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nix\Documents\COTIZADORES\PLAN SEGURO\COTIZADOR 2021\"/>
    </mc:Choice>
  </mc:AlternateContent>
  <workbookProtection workbookPassword="AF57" lockStructure="1"/>
  <bookViews>
    <workbookView xWindow="0" yWindow="0" windowWidth="15345" windowHeight="4575"/>
  </bookViews>
  <sheets>
    <sheet name="GOLDEN SALUD IND" sheetId="1" r:id="rId1"/>
    <sheet name="CARTA PROPUESTA" sheetId="7" state="hidden" r:id="rId2"/>
    <sheet name="INFOGRAFÍA" sheetId="6" state="hidden" r:id="rId3"/>
    <sheet name="ASISTENCIAS" sheetId="11" state="hidden" r:id="rId4"/>
    <sheet name="INDIVIDUAL" sheetId="2" state="hidden" r:id="rId5"/>
    <sheet name="RESUMEN_REGIONES" sheetId="4" state="veryHidden" r:id="rId6"/>
    <sheet name="Hoja3" sheetId="3" state="veryHidden" r:id="rId7"/>
    <sheet name="SLP" sheetId="5" state="veryHidden" r:id="rId8"/>
  </sheets>
  <externalReferences>
    <externalReference r:id="rId9"/>
  </externalReferences>
  <definedNames>
    <definedName name="_xlnm._FilterDatabase" localSheetId="4" hidden="1">INDIVIDUAL!$E$94:$I$258</definedName>
    <definedName name="_xlnm._FilterDatabase" localSheetId="7" hidden="1">SLP!$A$1:$C$202</definedName>
    <definedName name="ANTI">INDIVIDUAL!$R$84:$R$85</definedName>
    <definedName name="_xlnm.Print_Area" localSheetId="3">ASISTENCIAS!$A$1:$D$100</definedName>
    <definedName name="_xlnm.Print_Area" localSheetId="1">'CARTA PROPUESTA'!$A$1:$H$98</definedName>
    <definedName name="_xlnm.Print_Area" localSheetId="0">'GOLDEN SALUD IND'!$A$1:$N$77</definedName>
    <definedName name="_xlnm.Print_Area" localSheetId="2">INFOGRAFÍA!$A$1:$G$15</definedName>
    <definedName name="_xlnm.Print_Area" localSheetId="5">RESUMEN_REGIONES!$G$1:$H$36</definedName>
    <definedName name="BASE">INDIVIDUAL!$R$50:$R$53</definedName>
    <definedName name="CE">INDIVIDUAL!$P$42:$P$45</definedName>
    <definedName name="COA">INDIVIDUAL!$P$13:$P$17</definedName>
    <definedName name="DED">INDIVIDUAL!$K$11:$K$83</definedName>
    <definedName name="DED_N">[1]Hoja1!$D$4:$D$22</definedName>
    <definedName name="DEDXACC">INDIVIDUAL!$Q$105:$Q$106</definedName>
    <definedName name="DENTAL">INDIVIDUAL!$P$33:$P$35</definedName>
    <definedName name="EDAD">INDIVIDUAL!$A$11:$A$111</definedName>
    <definedName name="EDOS">INDIVIDUAL!$E$95:$E$126</definedName>
    <definedName name="EE">INDIVIDUAL!$P$26:$P$28</definedName>
    <definedName name="ESTADOS">INDIVIDUAL!$E$136:$E$167</definedName>
    <definedName name="ICF">INDIVIDUAL!$AD$35:$AD$36</definedName>
    <definedName name="IDHA">INDIVIDUAL!$P$76:$P$80</definedName>
    <definedName name="MUNICIPIOS_EDOMEX">INDIVIDUAL!$E$134:$E$258</definedName>
    <definedName name="NARIZ">INDIVIDUAL!$P$119:$P$120</definedName>
    <definedName name="PAGO">'CARTA PROPUESTA'!$F$58:$F$61</definedName>
    <definedName name="PARTO">INDIVIDUAL!$P$112:$P$114</definedName>
    <definedName name="POLIZA">INDIVIDUAL!$Q$84:$Q$85</definedName>
    <definedName name="SA">INDIVIDUAL!$G$22:$G$79</definedName>
    <definedName name="SA_1">INDIVIDUAL!$AE$42:$AE$47</definedName>
    <definedName name="SA_10">INDIVIDUAL!$AE$114:$AE$119</definedName>
    <definedName name="SA_2">INDIVIDUAL!$AE$50:$AE$55</definedName>
    <definedName name="SA_3">INDIVIDUAL!$AE$58:$AE$63</definedName>
    <definedName name="SA_4">INDIVIDUAL!$AE$66:$AE$71</definedName>
    <definedName name="SA_5">INDIVIDUAL!$AE$74:$AE$79</definedName>
    <definedName name="SA_6">INDIVIDUAL!$AE$82:$AE$87</definedName>
    <definedName name="SA_7">INDIVIDUAL!$AE$90:$AE$95</definedName>
    <definedName name="SA_8">INDIVIDUAL!$AE$98:$AE$103</definedName>
    <definedName name="SA_9">INDIVIDUAL!$AE$106:$AE$111</definedName>
    <definedName name="SA_N">[1]Hoja1!$B$4:$B$18</definedName>
    <definedName name="SEXO">INDIVIDUAL!$K$123:$K$124</definedName>
    <definedName name="TARIFA">INDIVIDUAL!$P$84:$P$85</definedName>
    <definedName name="THQ">INDIVIDUAL!$R$60:$R$71</definedName>
    <definedName name="TMC">INDIVIDUAL!$K$131:$K$134</definedName>
  </definedNames>
  <calcPr calcId="162913"/>
  <pivotCaches>
    <pivotCache cacheId="0" r:id="rId10"/>
  </pivotCaches>
</workbook>
</file>

<file path=xl/calcChain.xml><?xml version="1.0" encoding="utf-8"?>
<calcChain xmlns="http://schemas.openxmlformats.org/spreadsheetml/2006/main">
  <c r="A67" i="7" l="1"/>
  <c r="B60" i="1" l="1"/>
  <c r="AB98" i="2" l="1"/>
  <c r="C35" i="1" l="1"/>
  <c r="I10" i="2" l="1"/>
  <c r="C13" i="7"/>
  <c r="I11" i="2"/>
  <c r="B71" i="1" l="1"/>
  <c r="A79" i="7" s="1"/>
  <c r="B68" i="1"/>
  <c r="B124" i="2"/>
  <c r="C124" i="2" s="1"/>
  <c r="I12" i="2"/>
  <c r="AB50" i="2" l="1"/>
  <c r="I13" i="2"/>
  <c r="AB42" i="2" l="1"/>
  <c r="AC42" i="2" s="1"/>
  <c r="I14" i="2"/>
  <c r="I13" i="1" l="1"/>
  <c r="I15" i="2"/>
  <c r="B70" i="1" l="1"/>
  <c r="A78" i="7" s="1"/>
  <c r="I16" i="2"/>
  <c r="S71" i="2" l="1"/>
  <c r="S70" i="2"/>
  <c r="S69" i="2"/>
  <c r="S68" i="2"/>
  <c r="S67" i="2"/>
  <c r="S66" i="2"/>
  <c r="S65" i="2"/>
  <c r="S64" i="2"/>
  <c r="S61" i="2"/>
  <c r="S60" i="2"/>
  <c r="R50" i="2"/>
  <c r="B119" i="2"/>
  <c r="B4" i="2"/>
  <c r="H118" i="2" s="1"/>
  <c r="I17" i="2"/>
  <c r="R63" i="2" l="1"/>
  <c r="S63" i="2" s="1"/>
  <c r="R62" i="2"/>
  <c r="S62" i="2" s="1"/>
  <c r="I18" i="2"/>
  <c r="E112" i="2" l="1"/>
  <c r="E109" i="2"/>
  <c r="E103" i="2"/>
  <c r="I19" i="2"/>
  <c r="C6" i="2" l="1"/>
  <c r="I22" i="1" s="1"/>
  <c r="B3" i="2"/>
  <c r="I20" i="2"/>
  <c r="S50" i="2" l="1"/>
  <c r="I21" i="2"/>
  <c r="S51" i="2" l="1"/>
  <c r="I22" i="2"/>
  <c r="R54" i="2" l="1"/>
  <c r="S54" i="2"/>
  <c r="E25" i="7"/>
  <c r="B91" i="7" l="1"/>
  <c r="G8" i="7" l="1"/>
  <c r="C15" i="7" l="1"/>
  <c r="H4" i="7" l="1"/>
  <c r="C25" i="7"/>
  <c r="I27" i="1" l="1"/>
  <c r="E41" i="7" l="1"/>
  <c r="G7" i="7" l="1"/>
  <c r="B59" i="1" l="1"/>
  <c r="B6" i="7"/>
  <c r="C52" i="7"/>
  <c r="C51" i="7"/>
  <c r="C50" i="7"/>
  <c r="C49" i="7"/>
  <c r="C48" i="7"/>
  <c r="C47" i="7"/>
  <c r="C46" i="7"/>
  <c r="C45" i="7"/>
  <c r="C44" i="7"/>
  <c r="C43" i="7"/>
  <c r="B52" i="7"/>
  <c r="B51" i="7"/>
  <c r="B50" i="7"/>
  <c r="B49" i="7"/>
  <c r="B48" i="7"/>
  <c r="B47" i="7"/>
  <c r="B46" i="7"/>
  <c r="B45" i="7"/>
  <c r="B44" i="7"/>
  <c r="B43" i="7"/>
  <c r="G25" i="7"/>
  <c r="G23" i="7"/>
  <c r="G21" i="7"/>
  <c r="G19" i="7"/>
  <c r="G17" i="7"/>
  <c r="G15" i="7"/>
  <c r="C31" i="7"/>
  <c r="C17" i="7"/>
  <c r="C19" i="7" s="1"/>
  <c r="C23" i="7"/>
  <c r="C21" i="7"/>
  <c r="F4" i="1" l="1"/>
  <c r="V97" i="2"/>
  <c r="V96" i="2"/>
  <c r="V95" i="2"/>
  <c r="V94" i="2"/>
  <c r="V93" i="2"/>
  <c r="T97" i="2"/>
  <c r="T96" i="2"/>
  <c r="T95" i="2"/>
  <c r="T94" i="2"/>
  <c r="T93" i="2"/>
  <c r="B205" i="5" l="1"/>
  <c r="B204" i="5"/>
  <c r="C28" i="1" l="1"/>
  <c r="D28" i="1" s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D35" i="1"/>
  <c r="C36" i="1"/>
  <c r="D36" i="1" s="1"/>
  <c r="C27" i="1"/>
  <c r="D27" i="1" s="1"/>
  <c r="B203" i="5" l="1"/>
  <c r="B202" i="5" l="1"/>
  <c r="B201" i="5" l="1"/>
  <c r="B3" i="5" l="1"/>
  <c r="G15" i="1" l="1"/>
  <c r="C14" i="7" s="1"/>
  <c r="L7" i="1"/>
  <c r="B67" i="1" l="1"/>
  <c r="A72" i="7" s="1"/>
  <c r="B4" i="5" l="1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" i="5"/>
  <c r="M73" i="1" l="1"/>
  <c r="L73" i="1"/>
  <c r="K73" i="1"/>
  <c r="J73" i="1"/>
  <c r="I73" i="1"/>
  <c r="H73" i="1"/>
  <c r="G73" i="1"/>
  <c r="F73" i="1"/>
  <c r="E73" i="1"/>
  <c r="D73" i="1"/>
  <c r="C73" i="1"/>
  <c r="B23" i="1" l="1"/>
  <c r="T216" i="2" l="1"/>
  <c r="S224" i="2"/>
  <c r="S143" i="2"/>
  <c r="S171" i="2"/>
  <c r="S191" i="2"/>
  <c r="S207" i="2"/>
  <c r="S223" i="2"/>
  <c r="T127" i="2"/>
  <c r="T131" i="2"/>
  <c r="T135" i="2"/>
  <c r="T139" i="2"/>
  <c r="T143" i="2"/>
  <c r="T147" i="2"/>
  <c r="T159" i="2"/>
  <c r="T163" i="2"/>
  <c r="T175" i="2"/>
  <c r="T187" i="2"/>
  <c r="T207" i="2"/>
  <c r="T219" i="2"/>
  <c r="S135" i="2"/>
  <c r="S155" i="2"/>
  <c r="S179" i="2"/>
  <c r="S195" i="2"/>
  <c r="S211" i="2"/>
  <c r="T126" i="2"/>
  <c r="T130" i="2"/>
  <c r="T134" i="2"/>
  <c r="T138" i="2"/>
  <c r="T142" i="2"/>
  <c r="T146" i="2"/>
  <c r="T150" i="2"/>
  <c r="T154" i="2"/>
  <c r="T158" i="2"/>
  <c r="T162" i="2"/>
  <c r="T166" i="2"/>
  <c r="T170" i="2"/>
  <c r="T174" i="2"/>
  <c r="T178" i="2"/>
  <c r="T182" i="2"/>
  <c r="T186" i="2"/>
  <c r="T190" i="2"/>
  <c r="T194" i="2"/>
  <c r="T198" i="2"/>
  <c r="T202" i="2"/>
  <c r="T206" i="2"/>
  <c r="T210" i="2"/>
  <c r="T214" i="2"/>
  <c r="T218" i="2"/>
  <c r="T222" i="2"/>
  <c r="S126" i="2"/>
  <c r="S130" i="2"/>
  <c r="S134" i="2"/>
  <c r="S138" i="2"/>
  <c r="S142" i="2"/>
  <c r="S146" i="2"/>
  <c r="S150" i="2"/>
  <c r="S154" i="2"/>
  <c r="S158" i="2"/>
  <c r="S162" i="2"/>
  <c r="S166" i="2"/>
  <c r="S170" i="2"/>
  <c r="S174" i="2"/>
  <c r="S178" i="2"/>
  <c r="S182" i="2"/>
  <c r="S186" i="2"/>
  <c r="S190" i="2"/>
  <c r="S194" i="2"/>
  <c r="S198" i="2"/>
  <c r="S202" i="2"/>
  <c r="S206" i="2"/>
  <c r="S210" i="2"/>
  <c r="S214" i="2"/>
  <c r="S218" i="2"/>
  <c r="S222" i="2"/>
  <c r="S124" i="2"/>
  <c r="T132" i="2"/>
  <c r="T144" i="2"/>
  <c r="T152" i="2"/>
  <c r="T164" i="2"/>
  <c r="T172" i="2"/>
  <c r="T180" i="2"/>
  <c r="T188" i="2"/>
  <c r="T196" i="2"/>
  <c r="T204" i="2"/>
  <c r="T212" i="2"/>
  <c r="T220" i="2"/>
  <c r="S128" i="2"/>
  <c r="S136" i="2"/>
  <c r="S144" i="2"/>
  <c r="S156" i="2"/>
  <c r="S164" i="2"/>
  <c r="S172" i="2"/>
  <c r="S180" i="2"/>
  <c r="S188" i="2"/>
  <c r="S196" i="2"/>
  <c r="S204" i="2"/>
  <c r="S212" i="2"/>
  <c r="S220" i="2"/>
  <c r="T151" i="2"/>
  <c r="T171" i="2"/>
  <c r="T183" i="2"/>
  <c r="T195" i="2"/>
  <c r="T203" i="2"/>
  <c r="T211" i="2"/>
  <c r="T223" i="2"/>
  <c r="S139" i="2"/>
  <c r="S151" i="2"/>
  <c r="S163" i="2"/>
  <c r="S175" i="2"/>
  <c r="S187" i="2"/>
  <c r="S203" i="2"/>
  <c r="S215" i="2"/>
  <c r="T125" i="2"/>
  <c r="T129" i="2"/>
  <c r="T133" i="2"/>
  <c r="T137" i="2"/>
  <c r="T141" i="2"/>
  <c r="T145" i="2"/>
  <c r="T149" i="2"/>
  <c r="T153" i="2"/>
  <c r="T157" i="2"/>
  <c r="T161" i="2"/>
  <c r="T165" i="2"/>
  <c r="T169" i="2"/>
  <c r="T173" i="2"/>
  <c r="T177" i="2"/>
  <c r="T181" i="2"/>
  <c r="T185" i="2"/>
  <c r="T189" i="2"/>
  <c r="T193" i="2"/>
  <c r="T197" i="2"/>
  <c r="T201" i="2"/>
  <c r="T205" i="2"/>
  <c r="T209" i="2"/>
  <c r="T213" i="2"/>
  <c r="T217" i="2"/>
  <c r="T221" i="2"/>
  <c r="S125" i="2"/>
  <c r="S129" i="2"/>
  <c r="S133" i="2"/>
  <c r="S137" i="2"/>
  <c r="S141" i="2"/>
  <c r="S145" i="2"/>
  <c r="S149" i="2"/>
  <c r="S153" i="2"/>
  <c r="S157" i="2"/>
  <c r="S161" i="2"/>
  <c r="S165" i="2"/>
  <c r="S169" i="2"/>
  <c r="S173" i="2"/>
  <c r="S177" i="2"/>
  <c r="S181" i="2"/>
  <c r="S185" i="2"/>
  <c r="S189" i="2"/>
  <c r="S193" i="2"/>
  <c r="S197" i="2"/>
  <c r="S201" i="2"/>
  <c r="S205" i="2"/>
  <c r="S209" i="2"/>
  <c r="S213" i="2"/>
  <c r="S217" i="2"/>
  <c r="S221" i="2"/>
  <c r="T124" i="2"/>
  <c r="T128" i="2"/>
  <c r="T136" i="2"/>
  <c r="T140" i="2"/>
  <c r="T148" i="2"/>
  <c r="T156" i="2"/>
  <c r="T160" i="2"/>
  <c r="T168" i="2"/>
  <c r="T176" i="2"/>
  <c r="T184" i="2"/>
  <c r="T192" i="2"/>
  <c r="T200" i="2"/>
  <c r="T208" i="2"/>
  <c r="T224" i="2"/>
  <c r="S132" i="2"/>
  <c r="S140" i="2"/>
  <c r="S148" i="2"/>
  <c r="S152" i="2"/>
  <c r="S160" i="2"/>
  <c r="S168" i="2"/>
  <c r="S176" i="2"/>
  <c r="S184" i="2"/>
  <c r="S192" i="2"/>
  <c r="S200" i="2"/>
  <c r="S208" i="2"/>
  <c r="S216" i="2"/>
  <c r="T155" i="2"/>
  <c r="T167" i="2"/>
  <c r="T179" i="2"/>
  <c r="T191" i="2"/>
  <c r="T199" i="2"/>
  <c r="T215" i="2"/>
  <c r="S127" i="2"/>
  <c r="S131" i="2"/>
  <c r="S147" i="2"/>
  <c r="S159" i="2"/>
  <c r="S167" i="2"/>
  <c r="S183" i="2"/>
  <c r="S199" i="2"/>
  <c r="S219" i="2"/>
  <c r="F15" i="1"/>
  <c r="F19" i="1"/>
  <c r="C18" i="4" l="1"/>
  <c r="C15" i="4"/>
  <c r="C12" i="4"/>
  <c r="B113" i="2" l="1"/>
  <c r="G10" i="1" l="1"/>
  <c r="B72" i="1" l="1"/>
  <c r="A82" i="7" s="1"/>
  <c r="A75" i="7"/>
  <c r="B66" i="1"/>
  <c r="A70" i="7" s="1"/>
  <c r="J25" i="1"/>
  <c r="R85" i="2"/>
  <c r="R84" i="2"/>
  <c r="I17" i="1" l="1"/>
  <c r="I15" i="1"/>
  <c r="K26" i="1"/>
  <c r="J26" i="1"/>
  <c r="I47" i="1"/>
  <c r="I46" i="1"/>
  <c r="I45" i="1"/>
  <c r="I44" i="1"/>
  <c r="I43" i="1"/>
  <c r="I42" i="1"/>
  <c r="I41" i="1"/>
  <c r="I40" i="1"/>
  <c r="I39" i="1"/>
  <c r="I38" i="1"/>
  <c r="I36" i="1"/>
  <c r="I35" i="1"/>
  <c r="I34" i="1"/>
  <c r="I33" i="1"/>
  <c r="I32" i="1"/>
  <c r="I31" i="1"/>
  <c r="I30" i="1"/>
  <c r="I29" i="1"/>
  <c r="I28" i="1"/>
  <c r="I23" i="1"/>
  <c r="B73" i="1" s="1"/>
  <c r="A85" i="7" s="1"/>
  <c r="G19" i="1"/>
  <c r="C24" i="7" s="1"/>
  <c r="G16" i="1"/>
  <c r="C16" i="7" s="1"/>
  <c r="AB114" i="2"/>
  <c r="AC114" i="2" s="1"/>
  <c r="AB106" i="2"/>
  <c r="AC106" i="2" s="1"/>
  <c r="AC98" i="2"/>
  <c r="AB90" i="2"/>
  <c r="AC90" i="2" s="1"/>
  <c r="AB82" i="2"/>
  <c r="AC82" i="2" s="1"/>
  <c r="AB74" i="2"/>
  <c r="AC74" i="2" s="1"/>
  <c r="AB66" i="2"/>
  <c r="AC66" i="2" s="1"/>
  <c r="AB58" i="2"/>
  <c r="AC58" i="2" s="1"/>
  <c r="AC50" i="2"/>
  <c r="R52" i="2"/>
  <c r="R51" i="2"/>
  <c r="B129" i="2"/>
  <c r="B127" i="2"/>
  <c r="C127" i="2" s="1"/>
  <c r="B126" i="2"/>
  <c r="C126" i="2" s="1"/>
  <c r="B125" i="2"/>
  <c r="B123" i="2"/>
  <c r="C123" i="2" s="1"/>
  <c r="B122" i="2"/>
  <c r="C122" i="2" s="1"/>
  <c r="B121" i="2"/>
  <c r="B120" i="2"/>
  <c r="B118" i="2"/>
  <c r="B117" i="2"/>
  <c r="C117" i="2" s="1"/>
  <c r="B116" i="2"/>
  <c r="C116" i="2" s="1"/>
  <c r="B115" i="2"/>
  <c r="B6" i="2" s="1"/>
  <c r="C118" i="2" l="1"/>
  <c r="L134" i="2"/>
  <c r="R53" i="2"/>
  <c r="L133" i="2"/>
  <c r="L132" i="2"/>
  <c r="L131" i="2"/>
  <c r="S52" i="2"/>
  <c r="S53" i="2"/>
  <c r="AE50" i="2"/>
  <c r="B16" i="1"/>
  <c r="K116" i="2"/>
  <c r="L116" i="2" s="1"/>
  <c r="B128" i="2"/>
  <c r="D8" i="2"/>
  <c r="B8" i="2" s="1"/>
  <c r="E260" i="2"/>
  <c r="AE42" i="2"/>
  <c r="C121" i="2"/>
  <c r="S25" i="2"/>
  <c r="S24" i="2" s="1"/>
  <c r="G13" i="7" s="1"/>
  <c r="I21" i="1"/>
  <c r="Q105" i="2" s="1"/>
  <c r="C129" i="2"/>
  <c r="D129" i="2" s="1"/>
  <c r="AE118" i="2"/>
  <c r="I26" i="1"/>
  <c r="C23" i="1"/>
  <c r="I37" i="1"/>
  <c r="B69" i="1" s="1"/>
  <c r="A76" i="7" s="1"/>
  <c r="AE45" i="2"/>
  <c r="AE52" i="2"/>
  <c r="AE59" i="2"/>
  <c r="AE63" i="2"/>
  <c r="AE69" i="2"/>
  <c r="AE75" i="2"/>
  <c r="AE79" i="2"/>
  <c r="AE85" i="2"/>
  <c r="AE91" i="2"/>
  <c r="AE95" i="2"/>
  <c r="AE101" i="2"/>
  <c r="AE107" i="2"/>
  <c r="AE111" i="2"/>
  <c r="AE117" i="2"/>
  <c r="AE44" i="2"/>
  <c r="AE51" i="2"/>
  <c r="AE55" i="2"/>
  <c r="AE62" i="2"/>
  <c r="AE68" i="2"/>
  <c r="AE74" i="2"/>
  <c r="AE78" i="2"/>
  <c r="AE84" i="2"/>
  <c r="AE90" i="2"/>
  <c r="AE94" i="2"/>
  <c r="AE100" i="2"/>
  <c r="AE106" i="2"/>
  <c r="AE110" i="2"/>
  <c r="AE116" i="2"/>
  <c r="AE43" i="2"/>
  <c r="AE47" i="2"/>
  <c r="AE58" i="2"/>
  <c r="AE54" i="2"/>
  <c r="AE61" i="2"/>
  <c r="AE67" i="2"/>
  <c r="AE71" i="2"/>
  <c r="AE77" i="2"/>
  <c r="AE83" i="2"/>
  <c r="AE87" i="2"/>
  <c r="AE93" i="2"/>
  <c r="AE99" i="2"/>
  <c r="AE103" i="2"/>
  <c r="AE109" i="2"/>
  <c r="AE115" i="2"/>
  <c r="AE119" i="2"/>
  <c r="AE46" i="2"/>
  <c r="AE53" i="2"/>
  <c r="AE60" i="2"/>
  <c r="AE66" i="2"/>
  <c r="AE70" i="2"/>
  <c r="AE76" i="2"/>
  <c r="AE82" i="2"/>
  <c r="AE86" i="2"/>
  <c r="AE92" i="2"/>
  <c r="AE98" i="2"/>
  <c r="AE102" i="2"/>
  <c r="AE108" i="2"/>
  <c r="AE114" i="2"/>
  <c r="C119" i="2" l="1"/>
  <c r="C128" i="2"/>
  <c r="B65" i="1"/>
  <c r="A69" i="7" s="1"/>
  <c r="Q106" i="2"/>
  <c r="G12" i="2"/>
  <c r="G13" i="2"/>
  <c r="G11" i="2"/>
  <c r="H12" i="2" l="1"/>
  <c r="H13" i="2"/>
  <c r="H11" i="2"/>
  <c r="G19" i="2"/>
  <c r="G15" i="2"/>
  <c r="G18" i="2"/>
  <c r="G14" i="2"/>
  <c r="G20" i="2"/>
  <c r="G17" i="2"/>
  <c r="G16" i="2"/>
  <c r="H19" i="2" l="1"/>
  <c r="H14" i="2"/>
  <c r="H18" i="2"/>
  <c r="H15" i="2"/>
  <c r="H17" i="2"/>
  <c r="H16" i="2"/>
  <c r="H20" i="2"/>
  <c r="C120" i="2"/>
  <c r="G21" i="2"/>
  <c r="H21" i="2" l="1"/>
  <c r="I16" i="1"/>
  <c r="G22" i="2"/>
  <c r="H22" i="2" l="1"/>
  <c r="B7" i="2" l="1"/>
  <c r="C111" i="2" l="1"/>
  <c r="C109" i="2"/>
  <c r="C107" i="2"/>
  <c r="C105" i="2"/>
  <c r="C103" i="2"/>
  <c r="C101" i="2"/>
  <c r="C99" i="2"/>
  <c r="C97" i="2"/>
  <c r="C95" i="2"/>
  <c r="C93" i="2"/>
  <c r="C91" i="2"/>
  <c r="C89" i="2"/>
  <c r="C87" i="2"/>
  <c r="C85" i="2"/>
  <c r="C83" i="2"/>
  <c r="C81" i="2"/>
  <c r="C79" i="2"/>
  <c r="C77" i="2"/>
  <c r="C75" i="2"/>
  <c r="C73" i="2"/>
  <c r="C71" i="2"/>
  <c r="C69" i="2"/>
  <c r="C67" i="2"/>
  <c r="C65" i="2"/>
  <c r="C63" i="2"/>
  <c r="C61" i="2"/>
  <c r="C59" i="2"/>
  <c r="C57" i="2"/>
  <c r="C55" i="2"/>
  <c r="C53" i="2"/>
  <c r="C51" i="2"/>
  <c r="C49" i="2"/>
  <c r="C47" i="2"/>
  <c r="C45" i="2"/>
  <c r="C43" i="2"/>
  <c r="C41" i="2"/>
  <c r="C39" i="2"/>
  <c r="C37" i="2"/>
  <c r="C35" i="2"/>
  <c r="C33" i="2"/>
  <c r="C31" i="2"/>
  <c r="C29" i="2"/>
  <c r="C27" i="2"/>
  <c r="C25" i="2"/>
  <c r="C23" i="2"/>
  <c r="C21" i="2"/>
  <c r="C19" i="2"/>
  <c r="C17" i="2"/>
  <c r="C15" i="2"/>
  <c r="C13" i="2"/>
  <c r="C11" i="2"/>
  <c r="B111" i="2"/>
  <c r="B109" i="2"/>
  <c r="B107" i="2"/>
  <c r="B105" i="2"/>
  <c r="B103" i="2"/>
  <c r="B101" i="2"/>
  <c r="B99" i="2"/>
  <c r="B97" i="2"/>
  <c r="B95" i="2"/>
  <c r="B93" i="2"/>
  <c r="B91" i="2"/>
  <c r="B89" i="2"/>
  <c r="B87" i="2"/>
  <c r="B85" i="2"/>
  <c r="B83" i="2"/>
  <c r="B81" i="2"/>
  <c r="B79" i="2"/>
  <c r="B77" i="2"/>
  <c r="B75" i="2"/>
  <c r="B73" i="2"/>
  <c r="B71" i="2"/>
  <c r="B69" i="2"/>
  <c r="B67" i="2"/>
  <c r="B65" i="2"/>
  <c r="B63" i="2"/>
  <c r="B61" i="2"/>
  <c r="B59" i="2"/>
  <c r="B57" i="2"/>
  <c r="B55" i="2"/>
  <c r="B53" i="2"/>
  <c r="B51" i="2"/>
  <c r="B49" i="2"/>
  <c r="B47" i="2"/>
  <c r="B45" i="2"/>
  <c r="B110" i="2"/>
  <c r="B106" i="2"/>
  <c r="B102" i="2"/>
  <c r="B98" i="2"/>
  <c r="B94" i="2"/>
  <c r="B90" i="2"/>
  <c r="B86" i="2"/>
  <c r="B82" i="2"/>
  <c r="B78" i="2"/>
  <c r="B74" i="2"/>
  <c r="B70" i="2"/>
  <c r="B66" i="2"/>
  <c r="B62" i="2"/>
  <c r="B58" i="2"/>
  <c r="B54" i="2"/>
  <c r="B50" i="2"/>
  <c r="B46" i="2"/>
  <c r="C42" i="2"/>
  <c r="B40" i="2"/>
  <c r="B37" i="2"/>
  <c r="C34" i="2"/>
  <c r="B32" i="2"/>
  <c r="B29" i="2"/>
  <c r="C26" i="2"/>
  <c r="B24" i="2"/>
  <c r="B21" i="2"/>
  <c r="C18" i="2"/>
  <c r="B16" i="2"/>
  <c r="B13" i="2"/>
  <c r="C108" i="2"/>
  <c r="C104" i="2"/>
  <c r="C100" i="2"/>
  <c r="C96" i="2"/>
  <c r="C92" i="2"/>
  <c r="C88" i="2"/>
  <c r="C84" i="2"/>
  <c r="C80" i="2"/>
  <c r="C76" i="2"/>
  <c r="C72" i="2"/>
  <c r="C68" i="2"/>
  <c r="C64" i="2"/>
  <c r="C60" i="2"/>
  <c r="C56" i="2"/>
  <c r="C52" i="2"/>
  <c r="C48" i="2"/>
  <c r="C44" i="2"/>
  <c r="B42" i="2"/>
  <c r="B39" i="2"/>
  <c r="C36" i="2"/>
  <c r="B34" i="2"/>
  <c r="B31" i="2"/>
  <c r="C28" i="2"/>
  <c r="B26" i="2"/>
  <c r="B23" i="2"/>
  <c r="C20" i="2"/>
  <c r="B18" i="2"/>
  <c r="B15" i="2"/>
  <c r="C12" i="2"/>
  <c r="B108" i="2"/>
  <c r="B104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1" i="2"/>
  <c r="C38" i="2"/>
  <c r="B36" i="2"/>
  <c r="B33" i="2"/>
  <c r="C30" i="2"/>
  <c r="B28" i="2"/>
  <c r="B25" i="2"/>
  <c r="C22" i="2"/>
  <c r="B20" i="2"/>
  <c r="B17" i="2"/>
  <c r="C110" i="2"/>
  <c r="C94" i="2"/>
  <c r="C78" i="2"/>
  <c r="C62" i="2"/>
  <c r="C46" i="2"/>
  <c r="B35" i="2"/>
  <c r="C24" i="2"/>
  <c r="C14" i="2"/>
  <c r="C106" i="2"/>
  <c r="C90" i="2"/>
  <c r="C74" i="2"/>
  <c r="C58" i="2"/>
  <c r="B43" i="2"/>
  <c r="C32" i="2"/>
  <c r="B22" i="2"/>
  <c r="B14" i="2"/>
  <c r="C102" i="2"/>
  <c r="C86" i="2"/>
  <c r="C70" i="2"/>
  <c r="C54" i="2"/>
  <c r="C40" i="2"/>
  <c r="B30" i="2"/>
  <c r="B19" i="2"/>
  <c r="B12" i="2"/>
  <c r="C98" i="2"/>
  <c r="C82" i="2"/>
  <c r="C66" i="2"/>
  <c r="C50" i="2"/>
  <c r="B38" i="2"/>
  <c r="B27" i="2"/>
  <c r="C16" i="2"/>
  <c r="B11" i="2"/>
  <c r="H35" i="1" l="1"/>
  <c r="K35" i="1" s="1"/>
  <c r="L35" i="1" s="1"/>
  <c r="D51" i="7" l="1"/>
  <c r="C131" i="2" l="1"/>
  <c r="C132" i="2" l="1"/>
  <c r="B15" i="1"/>
  <c r="B191" i="2" l="1"/>
  <c r="C169" i="2"/>
  <c r="C185" i="2"/>
  <c r="C154" i="2"/>
  <c r="B192" i="2"/>
  <c r="B228" i="2"/>
  <c r="B198" i="2"/>
  <c r="B225" i="2"/>
  <c r="C152" i="2"/>
  <c r="C230" i="2"/>
  <c r="C233" i="2"/>
  <c r="B176" i="2"/>
  <c r="C202" i="2"/>
  <c r="C220" i="2"/>
  <c r="B229" i="2"/>
  <c r="C162" i="2"/>
  <c r="H28" i="1" s="1"/>
  <c r="C226" i="2"/>
  <c r="B139" i="2"/>
  <c r="C197" i="2"/>
  <c r="C170" i="2"/>
  <c r="B203" i="2"/>
  <c r="C223" i="2"/>
  <c r="B236" i="2"/>
  <c r="B166" i="2"/>
  <c r="C184" i="2"/>
  <c r="B206" i="2"/>
  <c r="C139" i="2"/>
  <c r="B161" i="2"/>
  <c r="B212" i="2"/>
  <c r="C155" i="2"/>
  <c r="B141" i="2"/>
  <c r="B196" i="2"/>
  <c r="C208" i="2"/>
  <c r="C217" i="2"/>
  <c r="B180" i="2"/>
  <c r="C210" i="2"/>
  <c r="B154" i="2"/>
  <c r="B220" i="2"/>
  <c r="B221" i="2"/>
  <c r="B169" i="2"/>
  <c r="C192" i="2"/>
  <c r="H34" i="1" s="1"/>
  <c r="C190" i="2"/>
  <c r="C172" i="2"/>
  <c r="H30" i="1" s="1"/>
  <c r="B199" i="2"/>
  <c r="C236" i="2"/>
  <c r="C156" i="2"/>
  <c r="B162" i="2"/>
  <c r="C199" i="2"/>
  <c r="C157" i="2"/>
  <c r="C235" i="2"/>
  <c r="C213" i="2"/>
  <c r="B144" i="2"/>
  <c r="B157" i="2"/>
  <c r="C181" i="2"/>
  <c r="B156" i="2"/>
  <c r="C188" i="2"/>
  <c r="B190" i="2"/>
  <c r="B163" i="2"/>
  <c r="C206" i="2"/>
  <c r="C187" i="2"/>
  <c r="H33" i="1" s="1"/>
  <c r="B234" i="2"/>
  <c r="B195" i="2"/>
  <c r="B165" i="2"/>
  <c r="C153" i="2"/>
  <c r="B232" i="2"/>
  <c r="B172" i="2"/>
  <c r="B151" i="2"/>
  <c r="C147" i="2"/>
  <c r="C168" i="2"/>
  <c r="C141" i="2"/>
  <c r="B159" i="2"/>
  <c r="B173" i="2"/>
  <c r="C163" i="2"/>
  <c r="B189" i="2"/>
  <c r="B187" i="2"/>
  <c r="C140" i="2"/>
  <c r="B193" i="2"/>
  <c r="B184" i="2"/>
  <c r="C138" i="2"/>
  <c r="B143" i="2"/>
  <c r="C204" i="2"/>
  <c r="C222" i="2"/>
  <c r="C176" i="2"/>
  <c r="B171" i="2"/>
  <c r="C183" i="2"/>
  <c r="B155" i="2"/>
  <c r="B215" i="2"/>
  <c r="B211" i="2"/>
  <c r="B210" i="2"/>
  <c r="C186" i="2"/>
  <c r="B214" i="2"/>
  <c r="B224" i="2"/>
  <c r="B136" i="2"/>
  <c r="B200" i="2"/>
  <c r="C165" i="2"/>
  <c r="C195" i="2"/>
  <c r="C211" i="2"/>
  <c r="C174" i="2"/>
  <c r="B178" i="2"/>
  <c r="C150" i="2"/>
  <c r="B208" i="2"/>
  <c r="B170" i="2"/>
  <c r="C136" i="2"/>
  <c r="C198" i="2"/>
  <c r="C159" i="2"/>
  <c r="B185" i="2"/>
  <c r="C207" i="2"/>
  <c r="B150" i="2"/>
  <c r="C228" i="2"/>
  <c r="C166" i="2"/>
  <c r="C180" i="2"/>
  <c r="B213" i="2"/>
  <c r="C219" i="2"/>
  <c r="B197" i="2"/>
  <c r="B140" i="2"/>
  <c r="B164" i="2"/>
  <c r="B146" i="2"/>
  <c r="C148" i="2"/>
  <c r="C212" i="2"/>
  <c r="C216" i="2"/>
  <c r="C164" i="2"/>
  <c r="B153" i="2"/>
  <c r="B233" i="2"/>
  <c r="B182" i="2"/>
  <c r="C225" i="2"/>
  <c r="B174" i="2"/>
  <c r="C137" i="2"/>
  <c r="C215" i="2"/>
  <c r="C173" i="2"/>
  <c r="B194" i="2"/>
  <c r="C182" i="2"/>
  <c r="H32" i="1" s="1"/>
  <c r="B168" i="2"/>
  <c r="C144" i="2"/>
  <c r="B217" i="2"/>
  <c r="C151" i="2"/>
  <c r="C177" i="2"/>
  <c r="H31" i="1" s="1"/>
  <c r="C189" i="2"/>
  <c r="B188" i="2"/>
  <c r="C194" i="2"/>
  <c r="B181" i="2"/>
  <c r="B147" i="2"/>
  <c r="B160" i="2"/>
  <c r="B167" i="2"/>
  <c r="C231" i="2"/>
  <c r="C205" i="2"/>
  <c r="B179" i="2"/>
  <c r="B235" i="2"/>
  <c r="C234" i="2"/>
  <c r="B218" i="2"/>
  <c r="B205" i="2"/>
  <c r="C224" i="2"/>
  <c r="B183" i="2"/>
  <c r="B222" i="2"/>
  <c r="C200" i="2"/>
  <c r="C161" i="2"/>
  <c r="B145" i="2"/>
  <c r="B231" i="2"/>
  <c r="B149" i="2"/>
  <c r="C229" i="2"/>
  <c r="C145" i="2"/>
  <c r="B148" i="2"/>
  <c r="C191" i="2"/>
  <c r="C227" i="2"/>
  <c r="B142" i="2"/>
  <c r="B152" i="2"/>
  <c r="C175" i="2"/>
  <c r="B201" i="2"/>
  <c r="C221" i="2"/>
  <c r="C158" i="2"/>
  <c r="B207" i="2"/>
  <c r="C201" i="2"/>
  <c r="B137" i="2"/>
  <c r="B186" i="2"/>
  <c r="C209" i="2"/>
  <c r="B204" i="2"/>
  <c r="B158" i="2"/>
  <c r="C160" i="2"/>
  <c r="B227" i="2"/>
  <c r="C142" i="2"/>
  <c r="C178" i="2"/>
  <c r="C232" i="2"/>
  <c r="B175" i="2"/>
  <c r="C196" i="2"/>
  <c r="C193" i="2"/>
  <c r="C167" i="2"/>
  <c r="H29" i="1" s="1"/>
  <c r="B223" i="2"/>
  <c r="B219" i="2"/>
  <c r="B230" i="2"/>
  <c r="C143" i="2"/>
  <c r="H36" i="1" s="1"/>
  <c r="B177" i="2"/>
  <c r="C149" i="2"/>
  <c r="C218" i="2"/>
  <c r="C214" i="2"/>
  <c r="B138" i="2"/>
  <c r="B202" i="2"/>
  <c r="C146" i="2"/>
  <c r="C203" i="2"/>
  <c r="C179" i="2"/>
  <c r="B216" i="2"/>
  <c r="B226" i="2"/>
  <c r="B209" i="2"/>
  <c r="C171" i="2"/>
  <c r="H27" i="1" l="1"/>
  <c r="L27" i="1" s="1"/>
  <c r="K31" i="1"/>
  <c r="L31" i="1" s="1"/>
  <c r="D47" i="7"/>
  <c r="D49" i="7"/>
  <c r="K33" i="1"/>
  <c r="L33" i="1" s="1"/>
  <c r="D44" i="7"/>
  <c r="K28" i="1"/>
  <c r="L28" i="1" s="1"/>
  <c r="D48" i="7"/>
  <c r="K32" i="1"/>
  <c r="L32" i="1" s="1"/>
  <c r="K30" i="1"/>
  <c r="L30" i="1" s="1"/>
  <c r="D46" i="7"/>
  <c r="L36" i="1"/>
  <c r="D52" i="7"/>
  <c r="K36" i="1"/>
  <c r="D45" i="7"/>
  <c r="K29" i="1"/>
  <c r="L29" i="1" s="1"/>
  <c r="D50" i="7"/>
  <c r="K34" i="1"/>
  <c r="L34" i="1" s="1"/>
  <c r="D43" i="7" l="1"/>
  <c r="H37" i="1"/>
  <c r="G41" i="1" s="1"/>
  <c r="D54" i="7" s="1"/>
  <c r="K27" i="1"/>
  <c r="L37" i="1"/>
  <c r="G40" i="1" l="1"/>
  <c r="D53" i="7" s="1"/>
  <c r="J48" i="1" l="1"/>
  <c r="G60" i="7" s="1"/>
  <c r="G42" i="1"/>
  <c r="G44" i="1" s="1"/>
  <c r="K48" i="1"/>
  <c r="G61" i="7" s="1"/>
  <c r="H49" i="1"/>
  <c r="H59" i="7" s="1"/>
  <c r="K49" i="1"/>
  <c r="H61" i="7" s="1"/>
  <c r="H48" i="1"/>
  <c r="G59" i="7" s="1"/>
  <c r="J49" i="1"/>
  <c r="H60" i="7" s="1"/>
  <c r="D55" i="7" l="1"/>
  <c r="D56" i="7" s="1"/>
  <c r="G48" i="1"/>
  <c r="G58" i="7" s="1"/>
  <c r="K50" i="1"/>
  <c r="H50" i="1"/>
  <c r="J50" i="1"/>
  <c r="G50" i="1" l="1"/>
</calcChain>
</file>

<file path=xl/sharedStrings.xml><?xml version="1.0" encoding="utf-8"?>
<sst xmlns="http://schemas.openxmlformats.org/spreadsheetml/2006/main" count="1221" uniqueCount="619">
  <si>
    <t>COTIZACIÓN DE GOLDEN SALUD INDIVIDUAL</t>
  </si>
  <si>
    <t>LINEA</t>
  </si>
  <si>
    <t>CLIENTE:</t>
  </si>
  <si>
    <t>COTIZACIÓN:</t>
  </si>
  <si>
    <t>PÓLIZA NUEVA</t>
  </si>
  <si>
    <t>FECHA:</t>
  </si>
  <si>
    <t>TIPO DE TARIFA:</t>
  </si>
  <si>
    <t>EDAD</t>
  </si>
  <si>
    <t>NO</t>
  </si>
  <si>
    <t>ESTADO:</t>
  </si>
  <si>
    <t>PARÁMETROS COBERTURA BÁSICA</t>
  </si>
  <si>
    <t>PESOS ($)</t>
  </si>
  <si>
    <t>SUMA ASEGURADA</t>
  </si>
  <si>
    <t>DEDUCIBLE</t>
  </si>
  <si>
    <t>COASEGURO</t>
  </si>
  <si>
    <t>T.H.Q.</t>
  </si>
  <si>
    <t>CONSULTAS MÉDICAS AMBULATORIAS</t>
  </si>
  <si>
    <t>SI</t>
  </si>
  <si>
    <t>COBERTURAS OPCIONALES CON COSTO</t>
  </si>
  <si>
    <t>EMERGENCIA EN EL EXTRANJERO</t>
  </si>
  <si>
    <t>COBERTURA EN EL EXTRANJERO</t>
  </si>
  <si>
    <t>ASISTENCIA DENTAL</t>
  </si>
  <si>
    <t>IDHA</t>
  </si>
  <si>
    <t>ICF</t>
  </si>
  <si>
    <t>INCREMENTO DE SA PARA PARTO</t>
  </si>
  <si>
    <t>REDUCC COAS PAD DE NARIZ X ACC</t>
  </si>
  <si>
    <t>ELIMINACION DE DEDUCIBLE X ACC</t>
  </si>
  <si>
    <t># ASEG</t>
  </si>
  <si>
    <t>SEXO</t>
  </si>
  <si>
    <t>PRIMA</t>
  </si>
  <si>
    <t>SUBTOTAL</t>
  </si>
  <si>
    <t>GASTO DE EXPEDICION</t>
  </si>
  <si>
    <t>I.V.A</t>
  </si>
  <si>
    <t>PRIMA TOTAL ANUAL</t>
  </si>
  <si>
    <t>ANUAL</t>
  </si>
  <si>
    <t>SEMESTRAL</t>
  </si>
  <si>
    <t>TRIMESTRAL</t>
  </si>
  <si>
    <t>MENSUAL</t>
  </si>
  <si>
    <t>1er pago</t>
  </si>
  <si>
    <t>Subsec.</t>
  </si>
  <si>
    <t>TOTAL</t>
  </si>
  <si>
    <t>AGENTE:</t>
  </si>
  <si>
    <t>Las Consultas Médicas Ambulatorias se otorgarán exclusivamente con la Red de Proveedores establecida en el Directorio Médico.</t>
  </si>
  <si>
    <t>TIPO COTI</t>
  </si>
  <si>
    <t>DESCUENTO 10%</t>
  </si>
  <si>
    <t>FACTOR TAR INTRO</t>
  </si>
  <si>
    <t>TAR REGION</t>
  </si>
  <si>
    <t>PRIMAS NETAS</t>
  </si>
  <si>
    <t>TARIFAS POR EDAD</t>
  </si>
  <si>
    <t>FACTOR REG</t>
  </si>
  <si>
    <t>OK</t>
  </si>
  <si>
    <t>SUMAS ASEGURADAS</t>
  </si>
  <si>
    <t>FILA</t>
  </si>
  <si>
    <t>PRIMA DE PIVOTE</t>
  </si>
  <si>
    <t>Fomulitas no borrar</t>
  </si>
  <si>
    <t>DERECHOS DE EXPEDICIÓN</t>
  </si>
  <si>
    <t>Rango de Edad</t>
  </si>
  <si>
    <t>PMA LINEA</t>
  </si>
  <si>
    <t>CHAVEZ REZA</t>
  </si>
  <si>
    <t>NORESTE</t>
  </si>
  <si>
    <t>NUEVO LEON</t>
  </si>
  <si>
    <t>Edad</t>
  </si>
  <si>
    <t>Hombres</t>
  </si>
  <si>
    <t>Mujeres</t>
  </si>
  <si>
    <t>FACTOR</t>
  </si>
  <si>
    <t>PORCENTAJE</t>
  </si>
  <si>
    <t>POR PÓLIZA</t>
  </si>
  <si>
    <t>-</t>
  </si>
  <si>
    <t>Sin IVA</t>
  </si>
  <si>
    <t>E.EXT.</t>
  </si>
  <si>
    <t>OCPION</t>
  </si>
  <si>
    <t>SA 50,000 dlls</t>
  </si>
  <si>
    <t>SA 100,000 dlls</t>
  </si>
  <si>
    <t>COBERTURA DENTAL</t>
  </si>
  <si>
    <t>TARIFA</t>
  </si>
  <si>
    <t>.</t>
  </si>
  <si>
    <t>Atención Dental +</t>
  </si>
  <si>
    <t>COB. CF</t>
  </si>
  <si>
    <t>Atención Dental Total</t>
  </si>
  <si>
    <t>COB. EXT.</t>
  </si>
  <si>
    <t>Edad 1</t>
  </si>
  <si>
    <t>SA 1</t>
  </si>
  <si>
    <t>LISTA PARA COTIZADOR</t>
  </si>
  <si>
    <t>A</t>
  </si>
  <si>
    <t>B</t>
  </si>
  <si>
    <t>C</t>
  </si>
  <si>
    <t>HOSPITAL</t>
  </si>
  <si>
    <t>BASE</t>
  </si>
  <si>
    <t>Edad 2</t>
  </si>
  <si>
    <t>SA 2</t>
  </si>
  <si>
    <t>Edad 3</t>
  </si>
  <si>
    <t>SA 3</t>
  </si>
  <si>
    <t>HONORARIOS QUIRUR.</t>
  </si>
  <si>
    <t>Sin Límite</t>
  </si>
  <si>
    <t>INTERES ASEGURABLE</t>
  </si>
  <si>
    <t>DESDE (SA)</t>
  </si>
  <si>
    <t>HASTA (SA)</t>
  </si>
  <si>
    <t>DED A CONT</t>
  </si>
  <si>
    <t>Edad 4</t>
  </si>
  <si>
    <t>SA 4</t>
  </si>
  <si>
    <t>G.U.A.</t>
  </si>
  <si>
    <t>SA CONT</t>
  </si>
  <si>
    <t>Edad 5</t>
  </si>
  <si>
    <t>SA 5</t>
  </si>
  <si>
    <t>COBERTURA IDHA</t>
  </si>
  <si>
    <t>SA X DÍA DE HOSP</t>
  </si>
  <si>
    <t>SA $ 500.00 x día.</t>
  </si>
  <si>
    <t>SA $ 1,000.00 x día.</t>
  </si>
  <si>
    <t>SA $ 1,500.00 x día.</t>
  </si>
  <si>
    <t>F</t>
  </si>
  <si>
    <t>SA $ 2,000.00 x día.</t>
  </si>
  <si>
    <t>M</t>
  </si>
  <si>
    <t>Edad 6</t>
  </si>
  <si>
    <t>SA 6</t>
  </si>
  <si>
    <t>TIPO DE TARIFA</t>
  </si>
  <si>
    <t>COTIZACIÓN</t>
  </si>
  <si>
    <t>ANTIGÜEDAD</t>
  </si>
  <si>
    <t>PÓLIZA RENOVADA</t>
  </si>
  <si>
    <t>TMC</t>
  </si>
  <si>
    <t>Edad 7</t>
  </si>
  <si>
    <t>SA 7</t>
  </si>
  <si>
    <t>COBERTURA DED X ACC</t>
  </si>
  <si>
    <t>REGIÓN</t>
  </si>
  <si>
    <t>ESTADOS</t>
  </si>
  <si>
    <t>DESCUENTO HDI</t>
  </si>
  <si>
    <t>Aguascalientes</t>
  </si>
  <si>
    <t>BAJIO</t>
  </si>
  <si>
    <t>Baja California Norte</t>
  </si>
  <si>
    <t>NUEVA NOROESTE</t>
  </si>
  <si>
    <t>Baja California Sur</t>
  </si>
  <si>
    <t>Campeche</t>
  </si>
  <si>
    <t>SURESTE</t>
  </si>
  <si>
    <t>Chiapas</t>
  </si>
  <si>
    <t>SUR</t>
  </si>
  <si>
    <t>Edad 8</t>
  </si>
  <si>
    <t>SA 8</t>
  </si>
  <si>
    <t>Chihuahua</t>
  </si>
  <si>
    <t>Coahuila</t>
  </si>
  <si>
    <t>Colima</t>
  </si>
  <si>
    <t>OCCIDENTE</t>
  </si>
  <si>
    <t>D.F. y Zona Metropolitana</t>
  </si>
  <si>
    <t>Durango</t>
  </si>
  <si>
    <t>Estado de México</t>
  </si>
  <si>
    <t>ESTADO DE MÉXICO</t>
  </si>
  <si>
    <t>Guanajuato</t>
  </si>
  <si>
    <t>DED X ACC</t>
  </si>
  <si>
    <t>Guerrero</t>
  </si>
  <si>
    <t>Edad 9</t>
  </si>
  <si>
    <t>SA 9</t>
  </si>
  <si>
    <t>Hidalgo</t>
  </si>
  <si>
    <t>Jalisco</t>
  </si>
  <si>
    <t>Michoacán</t>
  </si>
  <si>
    <t>Morelos</t>
  </si>
  <si>
    <t>Nayarit</t>
  </si>
  <si>
    <t>INCREMENTO SA PARTO Y CESÁREA</t>
  </si>
  <si>
    <t>Nuevo León</t>
  </si>
  <si>
    <t>Oaxaca</t>
  </si>
  <si>
    <t>Puebla</t>
  </si>
  <si>
    <t>Edad 10</t>
  </si>
  <si>
    <t>SA 10</t>
  </si>
  <si>
    <t>Querétaro</t>
  </si>
  <si>
    <t>Quintana Roo</t>
  </si>
  <si>
    <t>SA</t>
  </si>
  <si>
    <t>San Luís Potosí</t>
  </si>
  <si>
    <t>DED</t>
  </si>
  <si>
    <t>Sinaloa</t>
  </si>
  <si>
    <t>RED COASEG PAD NARIZ X ACC</t>
  </si>
  <si>
    <t>COASEG</t>
  </si>
  <si>
    <t>Sonora</t>
  </si>
  <si>
    <t>OPCIÓN</t>
  </si>
  <si>
    <t>BH</t>
  </si>
  <si>
    <t>Tabasco</t>
  </si>
  <si>
    <t>THQ</t>
  </si>
  <si>
    <t>Tamaulipas</t>
  </si>
  <si>
    <t>EE</t>
  </si>
  <si>
    <t>Tlaxcala</t>
  </si>
  <si>
    <t>CE</t>
  </si>
  <si>
    <t>Veracruz</t>
  </si>
  <si>
    <t>DENTAL</t>
  </si>
  <si>
    <t>Yucatán</t>
  </si>
  <si>
    <t>Zacatecas</t>
  </si>
  <si>
    <t>CF</t>
  </si>
  <si>
    <t>PARTO</t>
  </si>
  <si>
    <t>NARIZ</t>
  </si>
  <si>
    <t>FACTOR TODOS</t>
  </si>
  <si>
    <t>FACTOR MUJ 20-37</t>
  </si>
  <si>
    <t>PRIMA DE TARIFA CON COB ADICIONALES</t>
  </si>
  <si>
    <t>TIPO TARIFA</t>
  </si>
  <si>
    <t>Total general</t>
  </si>
  <si>
    <t>UMAM</t>
  </si>
  <si>
    <t>Cambio2016</t>
  </si>
  <si>
    <t>SA 20 UMAM</t>
  </si>
  <si>
    <t>SA 25 UMAM</t>
  </si>
  <si>
    <t>RANGO DEDUCIBLE CONTRA (UMAM)</t>
  </si>
  <si>
    <t>UMAM ACTUAL</t>
  </si>
  <si>
    <t>SLP CR</t>
  </si>
  <si>
    <t>SLP SR</t>
  </si>
  <si>
    <t>FACTORES POR EDAD</t>
  </si>
  <si>
    <t>OCCIDENTE_2</t>
  </si>
  <si>
    <t>La cotización realizada en el presente cotizador deberan apegarse a las políticas internas vigentes, el deducible mínimo a contratar para venta nueva y renovaciones es de 4 UMAM.</t>
  </si>
  <si>
    <t>Baja California</t>
  </si>
  <si>
    <t>Ciudad de México y Zona Metropolitana</t>
  </si>
  <si>
    <t>FACTOR HOMBRES</t>
  </si>
  <si>
    <t>FACTOR MUJERES</t>
  </si>
  <si>
    <t>NOROESTE</t>
  </si>
  <si>
    <t>OCCIDENTE_2 / BAJIO</t>
  </si>
  <si>
    <t>GS013981</t>
  </si>
  <si>
    <t>GS013987</t>
  </si>
  <si>
    <t>GS013997</t>
  </si>
  <si>
    <t>GS013998</t>
  </si>
  <si>
    <t>GS013999</t>
  </si>
  <si>
    <t>GS014000</t>
  </si>
  <si>
    <t>GS014002</t>
  </si>
  <si>
    <t>GS014003</t>
  </si>
  <si>
    <t>GS014012</t>
  </si>
  <si>
    <t>GS014037</t>
  </si>
  <si>
    <t>GS014038</t>
  </si>
  <si>
    <t>GS014039</t>
  </si>
  <si>
    <t>GS014054</t>
  </si>
  <si>
    <t>GS014065</t>
  </si>
  <si>
    <t>GS014083</t>
  </si>
  <si>
    <t>GS014159</t>
  </si>
  <si>
    <t>GS014175</t>
  </si>
  <si>
    <t>GS014195</t>
  </si>
  <si>
    <t>GS014205</t>
  </si>
  <si>
    <t>GS014208</t>
  </si>
  <si>
    <t>GS014225</t>
  </si>
  <si>
    <t>GS014233</t>
  </si>
  <si>
    <t>GS014243</t>
  </si>
  <si>
    <t>GS014257</t>
  </si>
  <si>
    <t>GS014272</t>
  </si>
  <si>
    <t>GS014294</t>
  </si>
  <si>
    <t>GS014321</t>
  </si>
  <si>
    <t>GS014368</t>
  </si>
  <si>
    <t>GS014385</t>
  </si>
  <si>
    <t>GS014396</t>
  </si>
  <si>
    <t>GS014402</t>
  </si>
  <si>
    <t>GS014404</t>
  </si>
  <si>
    <t>GS014438</t>
  </si>
  <si>
    <t>GS014445</t>
  </si>
  <si>
    <t>GS014453</t>
  </si>
  <si>
    <t>GS014463</t>
  </si>
  <si>
    <t>GS014464</t>
  </si>
  <si>
    <t>GS014468</t>
  </si>
  <si>
    <t>GS014477</t>
  </si>
  <si>
    <t>GS014485</t>
  </si>
  <si>
    <t>GS014486</t>
  </si>
  <si>
    <t>GS014494</t>
  </si>
  <si>
    <t>GS014495</t>
  </si>
  <si>
    <t>GS014498</t>
  </si>
  <si>
    <t>GS014509</t>
  </si>
  <si>
    <t>GS014517</t>
  </si>
  <si>
    <t>GS014521</t>
  </si>
  <si>
    <t>GS014522</t>
  </si>
  <si>
    <t>GS014541</t>
  </si>
  <si>
    <t>GS014548</t>
  </si>
  <si>
    <t>GS014557</t>
  </si>
  <si>
    <t>GS014558</t>
  </si>
  <si>
    <t>GS014579</t>
  </si>
  <si>
    <t>GS014612</t>
  </si>
  <si>
    <t>GS014625</t>
  </si>
  <si>
    <t>GS014635</t>
  </si>
  <si>
    <t>GS014636</t>
  </si>
  <si>
    <t>GS014642</t>
  </si>
  <si>
    <t>GS014667</t>
  </si>
  <si>
    <t>GS014676</t>
  </si>
  <si>
    <t>GS014688</t>
  </si>
  <si>
    <t>GS014699</t>
  </si>
  <si>
    <t>GS014715</t>
  </si>
  <si>
    <t>GS014727</t>
  </si>
  <si>
    <t>GS014780</t>
  </si>
  <si>
    <t>GS014792</t>
  </si>
  <si>
    <t>GS014881</t>
  </si>
  <si>
    <t>GS014913</t>
  </si>
  <si>
    <t>GS014917</t>
  </si>
  <si>
    <t>GS014994</t>
  </si>
  <si>
    <t>GS015016</t>
  </si>
  <si>
    <t>GS015060</t>
  </si>
  <si>
    <t>GS015190</t>
  </si>
  <si>
    <t>GS015213</t>
  </si>
  <si>
    <t>GS015231</t>
  </si>
  <si>
    <t>GS015243</t>
  </si>
  <si>
    <t>GS015258</t>
  </si>
  <si>
    <t>GS015268</t>
  </si>
  <si>
    <t>GS015270</t>
  </si>
  <si>
    <t>GS015295</t>
  </si>
  <si>
    <t>GS015299</t>
  </si>
  <si>
    <t>GS015330</t>
  </si>
  <si>
    <t>GS015357</t>
  </si>
  <si>
    <t>GS015369</t>
  </si>
  <si>
    <t>GS015420</t>
  </si>
  <si>
    <t>GS015457</t>
  </si>
  <si>
    <t>GS015480</t>
  </si>
  <si>
    <t>GS015566</t>
  </si>
  <si>
    <t>GS015573</t>
  </si>
  <si>
    <t>GS015672</t>
  </si>
  <si>
    <t>GS015718</t>
  </si>
  <si>
    <t>GS015741</t>
  </si>
  <si>
    <t>GS015807</t>
  </si>
  <si>
    <t>GS015819</t>
  </si>
  <si>
    <t>GS015825</t>
  </si>
  <si>
    <t>GS015831</t>
  </si>
  <si>
    <t>GS015867</t>
  </si>
  <si>
    <t>GS015888</t>
  </si>
  <si>
    <t>GS015913</t>
  </si>
  <si>
    <t>GS015924</t>
  </si>
  <si>
    <t>GS015928</t>
  </si>
  <si>
    <t>GS016064</t>
  </si>
  <si>
    <t>GS016079</t>
  </si>
  <si>
    <t>GS016094</t>
  </si>
  <si>
    <t>GS016108</t>
  </si>
  <si>
    <t>GS016134</t>
  </si>
  <si>
    <t>GS016170</t>
  </si>
  <si>
    <t>GS016191</t>
  </si>
  <si>
    <t>GS016264</t>
  </si>
  <si>
    <t>GS016265</t>
  </si>
  <si>
    <t>GS016268</t>
  </si>
  <si>
    <t>GS016275</t>
  </si>
  <si>
    <t>GS016296</t>
  </si>
  <si>
    <t>GS016316</t>
  </si>
  <si>
    <t>GS016363</t>
  </si>
  <si>
    <t>GS016366</t>
  </si>
  <si>
    <t>GS016369</t>
  </si>
  <si>
    <t>GS016383</t>
  </si>
  <si>
    <t>GS016523</t>
  </si>
  <si>
    <t>GS016553</t>
  </si>
  <si>
    <t>GS016576</t>
  </si>
  <si>
    <t>GS016600</t>
  </si>
  <si>
    <t>GS016620</t>
  </si>
  <si>
    <t>GS016644</t>
  </si>
  <si>
    <t>GS016669</t>
  </si>
  <si>
    <t>GS017098</t>
  </si>
  <si>
    <t>GS017245</t>
  </si>
  <si>
    <t>GS017471</t>
  </si>
  <si>
    <t>GS017501</t>
  </si>
  <si>
    <t>GS017533</t>
  </si>
  <si>
    <t>GS017608</t>
  </si>
  <si>
    <t>GS017609</t>
  </si>
  <si>
    <t>GS017610</t>
  </si>
  <si>
    <t>GS017649</t>
  </si>
  <si>
    <t>GS017739</t>
  </si>
  <si>
    <t>GS017760</t>
  </si>
  <si>
    <t>GS017761</t>
  </si>
  <si>
    <t>GS017789</t>
  </si>
  <si>
    <t>GS018021</t>
  </si>
  <si>
    <t>GS018236</t>
  </si>
  <si>
    <t>GS018266</t>
  </si>
  <si>
    <t>GS018479</t>
  </si>
  <si>
    <t>GS018491</t>
  </si>
  <si>
    <t>GS018507</t>
  </si>
  <si>
    <t>GS018517</t>
  </si>
  <si>
    <t>GS018524</t>
  </si>
  <si>
    <t>GS018560</t>
  </si>
  <si>
    <t>GS018598</t>
  </si>
  <si>
    <t>GS018627</t>
  </si>
  <si>
    <t>GS018641</t>
  </si>
  <si>
    <t>GS018648</t>
  </si>
  <si>
    <t>GS018664</t>
  </si>
  <si>
    <t>GS018685</t>
  </si>
  <si>
    <t>GS018705</t>
  </si>
  <si>
    <t>GS018710</t>
  </si>
  <si>
    <t>GS018714</t>
  </si>
  <si>
    <t>GS018726</t>
  </si>
  <si>
    <t>GS018735</t>
  </si>
  <si>
    <t>GS018743</t>
  </si>
  <si>
    <t>GS018745</t>
  </si>
  <si>
    <t>GS018779</t>
  </si>
  <si>
    <t>GS018827</t>
  </si>
  <si>
    <t>GS018863</t>
  </si>
  <si>
    <t>GS018910</t>
  </si>
  <si>
    <t>GS018935</t>
  </si>
  <si>
    <t>GS018980</t>
  </si>
  <si>
    <t>GS019016</t>
  </si>
  <si>
    <t>GS019042</t>
  </si>
  <si>
    <t>GS019125</t>
  </si>
  <si>
    <t>GS019135</t>
  </si>
  <si>
    <t>GS019194</t>
  </si>
  <si>
    <t>GS019204</t>
  </si>
  <si>
    <t>GS019237</t>
  </si>
  <si>
    <t>GS019351</t>
  </si>
  <si>
    <t>GS019417</t>
  </si>
  <si>
    <t>GS019479</t>
  </si>
  <si>
    <t>GS019541</t>
  </si>
  <si>
    <t>GS019548</t>
  </si>
  <si>
    <t>GS019562</t>
  </si>
  <si>
    <t>GS019572</t>
  </si>
  <si>
    <t>GS019597</t>
  </si>
  <si>
    <t>GS019634</t>
  </si>
  <si>
    <t>GS019637</t>
  </si>
  <si>
    <t>GS019640</t>
  </si>
  <si>
    <t>GS019643</t>
  </si>
  <si>
    <t>GS019656</t>
  </si>
  <si>
    <t>GS019680</t>
  </si>
  <si>
    <t>GS019686</t>
  </si>
  <si>
    <t>GS019724</t>
  </si>
  <si>
    <t>GS019770</t>
  </si>
  <si>
    <t>GS019825</t>
  </si>
  <si>
    <t>GS019828</t>
  </si>
  <si>
    <t>GS019933</t>
  </si>
  <si>
    <t>GS019994</t>
  </si>
  <si>
    <t>GS019995</t>
  </si>
  <si>
    <t>GS020024</t>
  </si>
  <si>
    <t>GS020078</t>
  </si>
  <si>
    <t>GS020082</t>
  </si>
  <si>
    <t>Pólizas SLP</t>
  </si>
  <si>
    <t>PÓLIZA OK</t>
  </si>
  <si>
    <t>PÓLIZA</t>
  </si>
  <si>
    <t>PÓLIZA*SLP</t>
  </si>
  <si>
    <t>Esta cotización incluye el beneficio de asistencia médica telefónica en Estados Unidos, a excepción en los estados de Arkansas y Idaho.</t>
  </si>
  <si>
    <t>Si el Asegurado decide acudir a un Hospital, Clínica o Sanatorio que no se encuentre dentro de la Base Hospitalaria correspondiente a su plan contratado y siempre que este pertenezca a una jerarquía mayor a su base contratada, además del coaseguro correspondiente al plan contratado, pagará veinte (20) puntos porcentuales adicionales sobre los gastos cubiertos, por cada nivel de base hospitalaria superior a la contratada. El Asegurado pagará veinte (20) puntos porcentuales adicionales al coaseguro correspondiente al plan contratado en todos los casos independientemente de que sea Pago Directo o Reembolso.</t>
  </si>
  <si>
    <t>GS017062</t>
  </si>
  <si>
    <t>GS022727</t>
  </si>
  <si>
    <t>GS1002638</t>
  </si>
  <si>
    <t>GS017560</t>
  </si>
  <si>
    <t>GS020506</t>
  </si>
  <si>
    <t>AA MONTERREY</t>
  </si>
  <si>
    <t>GS021002</t>
  </si>
  <si>
    <t xml:space="preserve"> </t>
  </si>
  <si>
    <t>En atención a :</t>
  </si>
  <si>
    <t>Vigencia:</t>
  </si>
  <si>
    <t>Entidad Federativa de Atención:</t>
  </si>
  <si>
    <t xml:space="preserve">*Se considera que los Solicitantes en la presente cotización tienen actividades administrativas.  En caso de realizar actividades peligrosas o expuestas a algún riesgo, la cotización no será válida.
</t>
  </si>
  <si>
    <t>PARÁMETROS A CONTRATAR</t>
  </si>
  <si>
    <t>Suma Asegurada</t>
  </si>
  <si>
    <t>Deducible</t>
  </si>
  <si>
    <t>Coaseguro</t>
  </si>
  <si>
    <t>Tope Máximo de Coaseguro</t>
  </si>
  <si>
    <t>Base Hospitalaria</t>
  </si>
  <si>
    <t>Tabla de Honorarios Médico Quirúrgicos</t>
  </si>
  <si>
    <t>COBERTURAS OPCIONALES</t>
  </si>
  <si>
    <t>Consultas Médica Ambulatorias</t>
  </si>
  <si>
    <t>AMPARADA</t>
  </si>
  <si>
    <t>Asistencia Médica</t>
  </si>
  <si>
    <t>Asistencia Funeraria</t>
  </si>
  <si>
    <t>Asistencia Dental</t>
  </si>
  <si>
    <t>Reducción de Coaseguro en Padecimientos de Nariz o Senos
Paranasales derivados de un Accidente</t>
  </si>
  <si>
    <t>Emergencia en el Extranjero</t>
  </si>
  <si>
    <t>PROPUESTA</t>
  </si>
  <si>
    <t>FRECUENCIA DE PAGO</t>
  </si>
  <si>
    <t>SOLICITANTES</t>
  </si>
  <si>
    <t>PRIMA NETA</t>
  </si>
  <si>
    <t>GASTOS DE EXPEDICIÓN</t>
  </si>
  <si>
    <t>I.V.A.</t>
  </si>
  <si>
    <t>PRIMA TOTAL</t>
  </si>
  <si>
    <t>Anual</t>
  </si>
  <si>
    <t>Semestral</t>
  </si>
  <si>
    <t>Trimestral</t>
  </si>
  <si>
    <t>Mensual</t>
  </si>
  <si>
    <t>Primer Pago</t>
  </si>
  <si>
    <t>Pagos Subsecuentes</t>
  </si>
  <si>
    <t>Nombre del Agente:</t>
  </si>
  <si>
    <t>Oficina:</t>
  </si>
  <si>
    <t>Clave del Agente:</t>
  </si>
  <si>
    <t>Elaboró:</t>
  </si>
  <si>
    <t>PLAN SEGURO AGRADECE TU PREFERENCIA</t>
  </si>
  <si>
    <t>Esta cotización incluye el beneficio de Dr. Amigo (Asistencia Médica Telefónica en Estados Unidos, excepto en Arkansas e Idaho).</t>
  </si>
  <si>
    <t>1 El costo es con base en la zona de residencia del Contratante. A: Toda el Área Nacional comprendida dentro de la franja fronteriza norte de 20 km., B: Baja California Norte y Sur, Sonora, Chihuahua, Coahuila, Nuevo León y Tamaulipas (exceptuando la franja fronteriza Norte) así como Campeche, Yucatán y Quintana Roo, y C: El resto del país.</t>
  </si>
  <si>
    <t>2 La Suma Asegurada está en pesos por día.</t>
  </si>
  <si>
    <t>3 Aplica únicamente para Solicitantes mujeres.</t>
  </si>
  <si>
    <t>4 Aplica únicamente si el Deducible seleccionado es de 4 UMAM hasta 10 UMAM.</t>
  </si>
  <si>
    <t>04/09/2019 al 04/09/2020</t>
  </si>
  <si>
    <t>Entidad Federativa de Tarificación:</t>
  </si>
  <si>
    <t>Plan Seguro S.A de C.V.</t>
  </si>
  <si>
    <t>Incremento de Suma Asegurada para 
Parto y Cesárea</t>
  </si>
  <si>
    <t>SIN ASISTENCIAS</t>
  </si>
  <si>
    <t>AMPARADA 
CON COASEGURO DEL 50%</t>
  </si>
  <si>
    <t>CON ASISTENCIAS</t>
  </si>
  <si>
    <t xml:space="preserve">                 </t>
  </si>
  <si>
    <r>
      <t>Cobertura en el Extranjero</t>
    </r>
    <r>
      <rPr>
        <b/>
        <vertAlign val="superscript"/>
        <sz val="28"/>
        <color rgb="FF003B71"/>
        <rFont val="Calibri"/>
        <family val="2"/>
        <scheme val="minor"/>
      </rPr>
      <t>1</t>
    </r>
  </si>
  <si>
    <r>
      <t>Indemnización Diaria por Hospitalización por Accidente</t>
    </r>
    <r>
      <rPr>
        <b/>
        <vertAlign val="superscript"/>
        <sz val="28"/>
        <color rgb="FF003B71"/>
        <rFont val="Calibri"/>
        <family val="2"/>
        <scheme val="minor"/>
      </rPr>
      <t>2</t>
    </r>
  </si>
  <si>
    <r>
      <t>Indemnización por Cáncer Femenino</t>
    </r>
    <r>
      <rPr>
        <b/>
        <vertAlign val="superscript"/>
        <sz val="28"/>
        <color rgb="FF003B71"/>
        <rFont val="Calibri"/>
        <family val="2"/>
        <scheme val="minor"/>
      </rPr>
      <t>3</t>
    </r>
  </si>
  <si>
    <t>Esta cotización fue realizada con base en los datos proporcionados. Los costos presentados están sujetos a la contratación total de la población presentada y a las edades y sexos correctos para la población asegurada, estos costos son válidos por 30 días a partir de su elaboración o a la fecha de cambio de tarifa (lo que suceda primero), siempre y cuando no se alteren las condiciones bajo las cuales se elaboró la cotización y se encuentra sujeta a cambios.</t>
  </si>
  <si>
    <t>PSSAI-DDA-19112019</t>
  </si>
  <si>
    <t>Se actualizó al valor de la UMAM de 2020</t>
  </si>
  <si>
    <t>*UMAM.- Unidad de Medida y Actualización Mensual. El valor de la UMAM vigente es de $2,641.15</t>
  </si>
  <si>
    <t>GOLDEN 2020 - INDIVIDUAL</t>
  </si>
  <si>
    <t>FACTOR 2020</t>
  </si>
  <si>
    <t>FACTOR 2019</t>
  </si>
  <si>
    <t>Serie 400</t>
  </si>
  <si>
    <t>Serie 300</t>
  </si>
  <si>
    <t>Serie 200</t>
  </si>
  <si>
    <t>Serie 100</t>
  </si>
  <si>
    <t>NIVEL HOSPITALARIO</t>
  </si>
  <si>
    <t>Tarifas vigentes a partir del 15 de Julio del 2020 y hasta el 14 de Julio del 2021</t>
  </si>
  <si>
    <t>*antes tenía 5</t>
  </si>
  <si>
    <t>Esta cotización es válida por 30 días ó a la fecha de cambio de tarifa del producto contratado, lo que ocurra primero.</t>
  </si>
  <si>
    <t>Municipos EdoMex</t>
  </si>
  <si>
    <t>Acambay</t>
  </si>
  <si>
    <t>Acolman</t>
  </si>
  <si>
    <t>Aculco</t>
  </si>
  <si>
    <t>Almoloya de Alquisiras</t>
  </si>
  <si>
    <t>Almoloya de Juárez</t>
  </si>
  <si>
    <t>Almoloya del Río</t>
  </si>
  <si>
    <t>Amanalco</t>
  </si>
  <si>
    <t>Amatepec</t>
  </si>
  <si>
    <t>Amecameca</t>
  </si>
  <si>
    <t>Apaxco</t>
  </si>
  <si>
    <t>Atenco</t>
  </si>
  <si>
    <t>Atizapán</t>
  </si>
  <si>
    <t>Atizapán de Zaragoza</t>
  </si>
  <si>
    <t>Atlacomulco</t>
  </si>
  <si>
    <t>Atlautla</t>
  </si>
  <si>
    <t>Axapusco</t>
  </si>
  <si>
    <t>Ayapango</t>
  </si>
  <si>
    <t>Calimaya</t>
  </si>
  <si>
    <t>Capulhuac</t>
  </si>
  <si>
    <t>Coacalco de Berriozábal</t>
  </si>
  <si>
    <t>Coatepec Harinas</t>
  </si>
  <si>
    <t>Cocotitlán</t>
  </si>
  <si>
    <t>Coyotepec</t>
  </si>
  <si>
    <t>Cuautitlán</t>
  </si>
  <si>
    <t>Cuautitlán Izcalli</t>
  </si>
  <si>
    <t>Chalco</t>
  </si>
  <si>
    <t>Chapa de Mota</t>
  </si>
  <si>
    <t>Chapultepec</t>
  </si>
  <si>
    <t>Chiautla</t>
  </si>
  <si>
    <t>Chicoloapan</t>
  </si>
  <si>
    <t>Chiconcuac</t>
  </si>
  <si>
    <t>Chimalhuacán</t>
  </si>
  <si>
    <t>Donato Guerra</t>
  </si>
  <si>
    <t>Ecatepec de Morelos</t>
  </si>
  <si>
    <t>Ecatzingo</t>
  </si>
  <si>
    <t>Huehuetoca</t>
  </si>
  <si>
    <t>Hueypoxtla</t>
  </si>
  <si>
    <t>Huixquilucan</t>
  </si>
  <si>
    <t>Isidro Fabela</t>
  </si>
  <si>
    <t>Ixtapaluca</t>
  </si>
  <si>
    <t>Ixtapan de la Sal</t>
  </si>
  <si>
    <t>Ixtapan del Oro</t>
  </si>
  <si>
    <t>Ixtlahuaca</t>
  </si>
  <si>
    <t>Xalatlaco</t>
  </si>
  <si>
    <t>Jaltenco</t>
  </si>
  <si>
    <t>Jilotepec</t>
  </si>
  <si>
    <t>Jilotzingo</t>
  </si>
  <si>
    <t>Jiquipilco</t>
  </si>
  <si>
    <t>Jocotitlán</t>
  </si>
  <si>
    <t>Joquicingo</t>
  </si>
  <si>
    <t>Juchitepec</t>
  </si>
  <si>
    <t>Lerma</t>
  </si>
  <si>
    <t>Malinalco</t>
  </si>
  <si>
    <t>Melchor Ocampo</t>
  </si>
  <si>
    <t>Metepec</t>
  </si>
  <si>
    <t>Mexicaltzingo</t>
  </si>
  <si>
    <t>Naucalpan de Juárez</t>
  </si>
  <si>
    <t>Nezahualcóyotl</t>
  </si>
  <si>
    <t>Nextlalpan</t>
  </si>
  <si>
    <t>Nicolás Romero</t>
  </si>
  <si>
    <t>Nopaltepec</t>
  </si>
  <si>
    <t>Ocoyoacac</t>
  </si>
  <si>
    <t>Ocuilan</t>
  </si>
  <si>
    <t>El Oro</t>
  </si>
  <si>
    <t>Otumba</t>
  </si>
  <si>
    <t>Otzoloapan</t>
  </si>
  <si>
    <t>Otzolotepec</t>
  </si>
  <si>
    <t>Ozumba</t>
  </si>
  <si>
    <t>Papalotla</t>
  </si>
  <si>
    <t>La Paz</t>
  </si>
  <si>
    <t>Polotitlán</t>
  </si>
  <si>
    <t>Rayón</t>
  </si>
  <si>
    <t>San Antonio la Isla</t>
  </si>
  <si>
    <t>San Felipe del Progreso</t>
  </si>
  <si>
    <t>San Martín de las Pirámides</t>
  </si>
  <si>
    <t>San Mateo Atenco</t>
  </si>
  <si>
    <t>San Simón de Guerrero</t>
  </si>
  <si>
    <t>Santo Tomás</t>
  </si>
  <si>
    <t>Soyaniquilpan de Juárez</t>
  </si>
  <si>
    <t>Sultepec</t>
  </si>
  <si>
    <t>Tecámac</t>
  </si>
  <si>
    <t>Tejupilco</t>
  </si>
  <si>
    <t>Temamatla</t>
  </si>
  <si>
    <t>Temascalapa</t>
  </si>
  <si>
    <t>Temascalcingo</t>
  </si>
  <si>
    <t>Temascaltepec</t>
  </si>
  <si>
    <t>Temoaya</t>
  </si>
  <si>
    <t>Tenancingo</t>
  </si>
  <si>
    <t>Tenango del Aire</t>
  </si>
  <si>
    <t>Tenango del Valle</t>
  </si>
  <si>
    <t>Teoloyucan</t>
  </si>
  <si>
    <t>Teotihuacán</t>
  </si>
  <si>
    <t>Tepetlaoxtoc</t>
  </si>
  <si>
    <t>Tepetlixpa</t>
  </si>
  <si>
    <t>Tepotzotlán</t>
  </si>
  <si>
    <t>Tequixquiac</t>
  </si>
  <si>
    <t>Texcaltitlán</t>
  </si>
  <si>
    <t>Texcalyacac</t>
  </si>
  <si>
    <t>Texcoco</t>
  </si>
  <si>
    <t>Tezoyuca</t>
  </si>
  <si>
    <t>Tianguistenco</t>
  </si>
  <si>
    <t>Timilpan</t>
  </si>
  <si>
    <t>Tlalmanalco</t>
  </si>
  <si>
    <t>Tlalnepantla de Baz</t>
  </si>
  <si>
    <t>Tlatlaya</t>
  </si>
  <si>
    <t>Toluca</t>
  </si>
  <si>
    <t>Tonatico</t>
  </si>
  <si>
    <t>Tultepec</t>
  </si>
  <si>
    <t>Tultitlán</t>
  </si>
  <si>
    <t>Valle de Bravo</t>
  </si>
  <si>
    <t>Villa de Allende</t>
  </si>
  <si>
    <t>Villa del Carbón</t>
  </si>
  <si>
    <t>Villa Guerrero</t>
  </si>
  <si>
    <t>Villa Victoria</t>
  </si>
  <si>
    <t>Xonacatlán</t>
  </si>
  <si>
    <t>Zacazonapan</t>
  </si>
  <si>
    <t>Zacualpan</t>
  </si>
  <si>
    <t>Zinacantepec</t>
  </si>
  <si>
    <t>Zumpahuacán</t>
  </si>
  <si>
    <t>Zumpango</t>
  </si>
  <si>
    <t>Valle de Chalco Solidaridad</t>
  </si>
  <si>
    <t>Luvianos</t>
  </si>
  <si>
    <t>San José del Rincón</t>
  </si>
  <si>
    <t>Tonanitla</t>
  </si>
  <si>
    <t>MUNICIPIO:</t>
  </si>
  <si>
    <t>DESPLEGABLE:</t>
  </si>
  <si>
    <t>MUNICIPIO</t>
  </si>
  <si>
    <t>Tarifa</t>
  </si>
  <si>
    <t>Se incluye la atención atención visual (Armazón, micas graduadas y estuche o lentes de contacto graduados por $1,299.00 para adultos y $699.00 para menores de 12 años enmarcas participantes). Aplica en ópticas Devlyn y participantes.</t>
  </si>
  <si>
    <t xml:space="preserve">NORESTE </t>
  </si>
  <si>
    <t>EDO MEX</t>
  </si>
  <si>
    <t>DDA-GSICOT-30072020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</si>
</sst>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#,##0.0000"/>
    <numFmt numFmtId="166" formatCode="0.0"/>
    <numFmt numFmtId="167" formatCode="#,##0.0"/>
    <numFmt numFmtId="168" formatCode="0.000"/>
    <numFmt numFmtId="169" formatCode="_-* #,##0_-;\-* #,##0_-;_-* &quot;-&quot;??_-;_-@_-"/>
    <numFmt numFmtId="170" formatCode="&quot;$&quot;#,##0.00"/>
    <numFmt numFmtId="171" formatCode="_-* #,##0.0000_-;\-* #,##0.0000_-;_-* &quot;-&quot;??_-;_-@_-"/>
    <numFmt numFmtId="172" formatCode="0.0%"/>
    <numFmt numFmtId="173" formatCode="#,##0.00_ ;[Red]\-#,##0.00\ "/>
    <numFmt numFmtId="174" formatCode="_-* #,##0.0_-;\-* #,##0.0_-;_-* &quot;-&quot;??_-;_-@_-"/>
    <numFmt numFmtId="175" formatCode="#,##0.00000"/>
  </numFmts>
  <fonts count="7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sz val="9"/>
      <name val="Arial"/>
      <family val="2"/>
    </font>
    <font>
      <sz val="10"/>
      <name val="Tahoma"/>
      <family val="2"/>
    </font>
    <font>
      <b/>
      <sz val="11"/>
      <name val="Arial"/>
      <family val="2"/>
    </font>
    <font>
      <b/>
      <sz val="9"/>
      <color rgb="FF7030A0"/>
      <name val="Arial"/>
      <family val="2"/>
    </font>
    <font>
      <b/>
      <sz val="9"/>
      <name val="Arial"/>
      <family val="2"/>
    </font>
    <font>
      <b/>
      <sz val="9"/>
      <color theme="0"/>
      <name val="Arial"/>
      <family val="2"/>
    </font>
    <font>
      <sz val="9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sz val="8"/>
      <name val="Calibri"/>
      <family val="2"/>
    </font>
    <font>
      <sz val="12"/>
      <color indexed="9"/>
      <name val="Calibri"/>
      <family val="2"/>
    </font>
    <font>
      <sz val="12"/>
      <name val="Arial"/>
      <family val="2"/>
    </font>
    <font>
      <b/>
      <sz val="18"/>
      <color indexed="18"/>
      <name val="Calibri"/>
      <family val="2"/>
    </font>
    <font>
      <sz val="14"/>
      <color indexed="9"/>
      <name val="Calibri"/>
      <family val="2"/>
    </font>
    <font>
      <sz val="12"/>
      <color indexed="10"/>
      <name val="Calibri"/>
      <family val="2"/>
    </font>
    <font>
      <b/>
      <sz val="12"/>
      <color indexed="9"/>
      <name val="Calibri"/>
      <family val="2"/>
    </font>
    <font>
      <b/>
      <sz val="16"/>
      <color rgb="FF000066"/>
      <name val="Calibri"/>
      <family val="2"/>
    </font>
    <font>
      <b/>
      <sz val="12"/>
      <color rgb="FF000066"/>
      <name val="Calibri"/>
      <family val="2"/>
    </font>
    <font>
      <sz val="12"/>
      <name val="Calibri"/>
      <family val="2"/>
    </font>
    <font>
      <sz val="12"/>
      <color rgb="FF000066"/>
      <name val="Calibri"/>
      <family val="2"/>
    </font>
    <font>
      <b/>
      <sz val="12"/>
      <name val="Calibri"/>
      <family val="2"/>
    </font>
    <font>
      <b/>
      <sz val="12"/>
      <color theme="0"/>
      <name val="Calibri"/>
      <family val="2"/>
    </font>
    <font>
      <b/>
      <sz val="13"/>
      <color rgb="FF000066"/>
      <name val="Calibri"/>
      <family val="2"/>
    </font>
    <font>
      <b/>
      <sz val="13"/>
      <name val="Calibri"/>
      <family val="2"/>
    </font>
    <font>
      <sz val="12"/>
      <color theme="0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i/>
      <sz val="11.5"/>
      <color rgb="FF001B4C"/>
      <name val="Calibri"/>
      <family val="2"/>
    </font>
    <font>
      <b/>
      <sz val="12"/>
      <color indexed="8"/>
      <name val="Calibri"/>
      <family val="2"/>
    </font>
    <font>
      <sz val="14"/>
      <name val="Calibri"/>
      <family val="2"/>
    </font>
    <font>
      <sz val="14"/>
      <color theme="0"/>
      <name val="Calibri"/>
      <family val="2"/>
    </font>
    <font>
      <sz val="10"/>
      <name val="Calibri"/>
      <family val="2"/>
    </font>
    <font>
      <b/>
      <sz val="14"/>
      <color indexed="9"/>
      <name val="Calibri"/>
      <family val="2"/>
    </font>
    <font>
      <b/>
      <sz val="14"/>
      <color rgb="FF000066"/>
      <name val="Calibri"/>
      <family val="2"/>
    </font>
    <font>
      <sz val="14"/>
      <color rgb="FF000066"/>
      <name val="Calibri"/>
      <family val="2"/>
    </font>
    <font>
      <b/>
      <sz val="14"/>
      <name val="Calibri"/>
      <family val="2"/>
    </font>
    <font>
      <b/>
      <i/>
      <sz val="14"/>
      <name val="Calibri"/>
      <family val="2"/>
    </font>
    <font>
      <sz val="11"/>
      <color theme="0"/>
      <name val="Calibri"/>
      <family val="2"/>
      <scheme val="minor"/>
    </font>
    <font>
      <sz val="14"/>
      <color theme="1"/>
      <name val="Calibri"/>
      <family val="2"/>
    </font>
    <font>
      <b/>
      <i/>
      <sz val="11"/>
      <color rgb="FF000066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000066"/>
      <name val="Calibri"/>
      <family val="2"/>
    </font>
    <font>
      <b/>
      <sz val="11"/>
      <color theme="1"/>
      <name val="Calibri"/>
      <family val="2"/>
    </font>
    <font>
      <b/>
      <sz val="12"/>
      <color rgb="FFFF0000"/>
      <name val="Arial"/>
      <family val="2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rgb="FF003B71"/>
      <name val="Arial"/>
      <family val="2"/>
    </font>
    <font>
      <sz val="24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rgb="FF003B71"/>
      <name val="Calibri"/>
      <family val="2"/>
      <scheme val="minor"/>
    </font>
    <font>
      <b/>
      <sz val="28"/>
      <color rgb="FF003B71"/>
      <name val="Calibri"/>
      <family val="2"/>
      <scheme val="minor"/>
    </font>
    <font>
      <sz val="28"/>
      <color theme="0"/>
      <name val="Calibri"/>
      <family val="2"/>
      <scheme val="minor"/>
    </font>
    <font>
      <b/>
      <vertAlign val="superscript"/>
      <sz val="28"/>
      <color rgb="FF003B71"/>
      <name val="Calibri"/>
      <family val="2"/>
      <scheme val="minor"/>
    </font>
    <font>
      <sz val="11"/>
      <name val="Arial"/>
      <family val="2"/>
    </font>
    <font>
      <sz val="9"/>
      <color rgb="FFFF0000"/>
      <name val="Arial"/>
      <family val="2"/>
    </font>
    <font>
      <sz val="11"/>
      <color indexed="8"/>
      <name val="Arial"/>
      <family val="2"/>
    </font>
    <font>
      <b/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57"/>
      </patternFill>
    </fill>
    <fill>
      <patternFill patternType="solid">
        <fgColor rgb="FFC3A835"/>
        <bgColor indexed="64"/>
      </patternFill>
    </fill>
    <fill>
      <patternFill patternType="solid">
        <fgColor rgb="FF001B4C"/>
        <bgColor indexed="57"/>
      </patternFill>
    </fill>
    <fill>
      <patternFill patternType="solid">
        <fgColor rgb="FF0000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57"/>
      </patternFill>
    </fill>
    <fill>
      <patternFill patternType="solid">
        <fgColor rgb="FFFFC000"/>
        <bgColor indexed="64"/>
      </patternFill>
    </fill>
    <fill>
      <patternFill patternType="solid">
        <fgColor rgb="FF003B7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125">
        <fgColor rgb="FF003B71"/>
      </patternFill>
    </fill>
    <fill>
      <patternFill patternType="solid">
        <fgColor rgb="FFFFCCFF"/>
        <bgColor indexed="64"/>
      </patternFill>
    </fill>
    <fill>
      <patternFill patternType="solid">
        <fgColor rgb="FF92D050"/>
        <bgColor indexed="64"/>
      </patternFill>
    </fill>
  </fills>
  <borders count="116">
    <border>
      <left/>
      <right/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339966"/>
      </left>
      <right style="thin">
        <color rgb="FF339966"/>
      </right>
      <top style="medium">
        <color rgb="FF339966"/>
      </top>
      <bottom style="medium">
        <color rgb="FF339966"/>
      </bottom>
      <diagonal/>
    </border>
    <border>
      <left style="thin">
        <color rgb="FF339966"/>
      </left>
      <right style="thin">
        <color rgb="FF339966"/>
      </right>
      <top style="medium">
        <color rgb="FF339966"/>
      </top>
      <bottom style="medium">
        <color rgb="FF339966"/>
      </bottom>
      <diagonal/>
    </border>
    <border>
      <left style="thin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/>
      <top style="medium">
        <color rgb="FF339966"/>
      </top>
      <bottom style="medium">
        <color rgb="FF339966"/>
      </bottom>
      <diagonal/>
    </border>
    <border>
      <left/>
      <right/>
      <top style="medium">
        <color rgb="FF339966"/>
      </top>
      <bottom style="medium">
        <color rgb="FF339966"/>
      </bottom>
      <diagonal/>
    </border>
    <border>
      <left/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 style="thin">
        <color indexed="64"/>
      </right>
      <top style="medium">
        <color rgb="FF339966"/>
      </top>
      <bottom style="medium">
        <color rgb="FF339966"/>
      </bottom>
      <diagonal/>
    </border>
    <border>
      <left style="thin">
        <color indexed="64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/>
      <diagonal/>
    </border>
    <border>
      <left style="medium">
        <color rgb="FF00B050"/>
      </left>
      <right/>
      <top style="medium">
        <color rgb="FF00B050"/>
      </top>
      <bottom style="dashed">
        <color rgb="FF00B050"/>
      </bottom>
      <diagonal/>
    </border>
    <border>
      <left/>
      <right/>
      <top style="medium">
        <color rgb="FF00B050"/>
      </top>
      <bottom style="dashed">
        <color rgb="FF00B050"/>
      </bottom>
      <diagonal/>
    </border>
    <border>
      <left/>
      <right style="medium">
        <color rgb="FF00B050"/>
      </right>
      <top style="medium">
        <color rgb="FF00B050"/>
      </top>
      <bottom style="dashed">
        <color rgb="FF00B050"/>
      </bottom>
      <diagonal/>
    </border>
    <border>
      <left style="medium">
        <color rgb="FF00B050"/>
      </left>
      <right style="thin">
        <color rgb="FF00B050"/>
      </right>
      <top style="medium">
        <color rgb="FF00B050"/>
      </top>
      <bottom style="hair">
        <color rgb="FF00B050"/>
      </bottom>
      <diagonal/>
    </border>
    <border>
      <left style="thin">
        <color rgb="FF00B050"/>
      </left>
      <right style="thin">
        <color rgb="FF00B050"/>
      </right>
      <top style="medium">
        <color rgb="FF00B050"/>
      </top>
      <bottom style="hair">
        <color rgb="FF00B050"/>
      </bottom>
      <diagonal/>
    </border>
    <border>
      <left style="thin">
        <color rgb="FF00B050"/>
      </left>
      <right style="medium">
        <color rgb="FF00B050"/>
      </right>
      <top style="medium">
        <color rgb="FF00B050"/>
      </top>
      <bottom style="hair">
        <color rgb="FF00B050"/>
      </bottom>
      <diagonal/>
    </border>
    <border>
      <left style="medium">
        <color rgb="FF339966"/>
      </left>
      <right style="medium">
        <color rgb="FF339966"/>
      </right>
      <top/>
      <bottom/>
      <diagonal/>
    </border>
    <border>
      <left style="medium">
        <color rgb="FF339966"/>
      </left>
      <right style="medium">
        <color rgb="FF339966"/>
      </right>
      <top/>
      <bottom style="medium">
        <color rgb="FF339966"/>
      </bottom>
      <diagonal/>
    </border>
    <border>
      <left style="medium">
        <color rgb="FF00B050"/>
      </left>
      <right/>
      <top style="dashed">
        <color rgb="FF00B050"/>
      </top>
      <bottom style="dashed">
        <color rgb="FF00B050"/>
      </bottom>
      <diagonal/>
    </border>
    <border>
      <left/>
      <right/>
      <top style="dashed">
        <color rgb="FF00B050"/>
      </top>
      <bottom style="dashed">
        <color rgb="FF00B050"/>
      </bottom>
      <diagonal/>
    </border>
    <border>
      <left/>
      <right style="medium">
        <color rgb="FF00B050"/>
      </right>
      <top style="dashed">
        <color rgb="FF00B050"/>
      </top>
      <bottom style="dashed">
        <color rgb="FF00B050"/>
      </bottom>
      <diagonal/>
    </border>
    <border>
      <left style="medium">
        <color rgb="FF00B050"/>
      </left>
      <right style="thin">
        <color rgb="FF00B050"/>
      </right>
      <top/>
      <bottom style="hair">
        <color rgb="FF00B050"/>
      </bottom>
      <diagonal/>
    </border>
    <border>
      <left style="thin">
        <color rgb="FF00B050"/>
      </left>
      <right style="thin">
        <color rgb="FF00B050"/>
      </right>
      <top/>
      <bottom style="hair">
        <color rgb="FF00B050"/>
      </bottom>
      <diagonal/>
    </border>
    <border>
      <left style="thin">
        <color rgb="FF00B050"/>
      </left>
      <right style="medium">
        <color rgb="FF00B050"/>
      </right>
      <top/>
      <bottom style="hair">
        <color rgb="FF00B050"/>
      </bottom>
      <diagonal/>
    </border>
    <border>
      <left style="thin">
        <color rgb="FF00B050"/>
      </left>
      <right style="medium">
        <color rgb="FF00B050"/>
      </right>
      <top style="hair">
        <color rgb="FF00B050"/>
      </top>
      <bottom style="hair">
        <color rgb="FF00B050"/>
      </bottom>
      <diagonal/>
    </border>
    <border>
      <left style="medium">
        <color rgb="FF00B050"/>
      </left>
      <right style="thin">
        <color rgb="FF00B050"/>
      </right>
      <top style="hair">
        <color rgb="FF00B050"/>
      </top>
      <bottom style="hair">
        <color rgb="FF00B050"/>
      </bottom>
      <diagonal/>
    </border>
    <border>
      <left style="medium">
        <color rgb="FF00B050"/>
      </left>
      <right/>
      <top style="dashed">
        <color rgb="FF00B050"/>
      </top>
      <bottom style="medium">
        <color rgb="FF00B050"/>
      </bottom>
      <diagonal/>
    </border>
    <border>
      <left/>
      <right/>
      <top style="dashed">
        <color rgb="FF00B050"/>
      </top>
      <bottom style="medium">
        <color rgb="FF00B050"/>
      </bottom>
      <diagonal/>
    </border>
    <border>
      <left/>
      <right style="medium">
        <color rgb="FF00B050"/>
      </right>
      <top style="dashed">
        <color rgb="FF00B050"/>
      </top>
      <bottom style="medium">
        <color rgb="FF00B050"/>
      </bottom>
      <diagonal/>
    </border>
    <border>
      <left style="medium">
        <color rgb="FF00B050"/>
      </left>
      <right style="thin">
        <color rgb="FF00B050"/>
      </right>
      <top style="hair">
        <color rgb="FF00B050"/>
      </top>
      <bottom style="medium">
        <color rgb="FF00B050"/>
      </bottom>
      <diagonal/>
    </border>
    <border>
      <left style="thin">
        <color rgb="FF00B050"/>
      </left>
      <right style="thin">
        <color rgb="FF00B050"/>
      </right>
      <top style="hair">
        <color rgb="FF00B050"/>
      </top>
      <bottom style="medium">
        <color rgb="FF00B050"/>
      </bottom>
      <diagonal/>
    </border>
    <border>
      <left style="thin">
        <color rgb="FF00B050"/>
      </left>
      <right style="medium">
        <color rgb="FF00B050"/>
      </right>
      <top style="hair">
        <color rgb="FF00B050"/>
      </top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hair">
        <color rgb="FF00B050"/>
      </bottom>
      <diagonal/>
    </border>
    <border>
      <left style="medium">
        <color rgb="FF00B050"/>
      </left>
      <right style="medium">
        <color rgb="FF00B050"/>
      </right>
      <top style="hair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 style="medium">
        <color rgb="FF00B050"/>
      </left>
      <right style="medium">
        <color rgb="FF00B050"/>
      </right>
      <top style="hair">
        <color rgb="FF00B050"/>
      </top>
      <bottom style="hair">
        <color rgb="FF00B050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hair">
        <color rgb="FF339966"/>
      </bottom>
      <diagonal/>
    </border>
    <border>
      <left style="medium">
        <color rgb="FF339966"/>
      </left>
      <right style="medium">
        <color rgb="FF339966"/>
      </right>
      <top style="hair">
        <color rgb="FF339966"/>
      </top>
      <bottom style="hair">
        <color rgb="FF339966"/>
      </bottom>
      <diagonal/>
    </border>
    <border>
      <left style="medium">
        <color rgb="FF339966"/>
      </left>
      <right style="medium">
        <color rgb="FF339966"/>
      </right>
      <top style="hair">
        <color rgb="FF339966"/>
      </top>
      <bottom style="medium">
        <color rgb="FF339966"/>
      </bottom>
      <diagonal/>
    </border>
    <border>
      <left style="medium">
        <color rgb="FF00B050"/>
      </left>
      <right style="medium">
        <color rgb="FF00B050"/>
      </right>
      <top style="hair">
        <color rgb="FF00B050"/>
      </top>
      <bottom style="medium">
        <color rgb="FF00B050"/>
      </bottom>
      <diagonal/>
    </border>
    <border>
      <left style="medium">
        <color rgb="FF339966"/>
      </left>
      <right/>
      <top/>
      <bottom/>
      <diagonal/>
    </border>
    <border>
      <left/>
      <right style="medium">
        <color rgb="FF339966"/>
      </right>
      <top/>
      <bottom/>
      <diagonal/>
    </border>
    <border>
      <left style="medium">
        <color rgb="FF339966"/>
      </left>
      <right/>
      <top/>
      <bottom style="medium">
        <color rgb="FF339966"/>
      </bottom>
      <diagonal/>
    </border>
    <border>
      <left/>
      <right style="medium">
        <color rgb="FF339966"/>
      </right>
      <top/>
      <bottom style="medium">
        <color rgb="FF339966"/>
      </bottom>
      <diagonal/>
    </border>
    <border>
      <left style="medium">
        <color rgb="FF4D4F53"/>
      </left>
      <right/>
      <top style="medium">
        <color rgb="FF4D4F53"/>
      </top>
      <bottom style="medium">
        <color rgb="FF4D4F53"/>
      </bottom>
      <diagonal/>
    </border>
    <border>
      <left/>
      <right/>
      <top style="medium">
        <color rgb="FF4D4F53"/>
      </top>
      <bottom style="medium">
        <color rgb="FF4D4F53"/>
      </bottom>
      <diagonal/>
    </border>
    <border>
      <left/>
      <right style="medium">
        <color rgb="FF4D4F53"/>
      </right>
      <top style="medium">
        <color rgb="FF4D4F53"/>
      </top>
      <bottom style="medium">
        <color rgb="FF4D4F53"/>
      </bottom>
      <diagonal/>
    </border>
    <border>
      <left style="medium">
        <color rgb="FF4D4F53"/>
      </left>
      <right style="medium">
        <color rgb="FF4D4F53"/>
      </right>
      <top style="medium">
        <color rgb="FF4D4F53"/>
      </top>
      <bottom style="medium">
        <color rgb="FF4D4F53"/>
      </bottom>
      <diagonal/>
    </border>
    <border>
      <left style="medium">
        <color rgb="FF4D4F53"/>
      </left>
      <right style="medium">
        <color rgb="FF4D4F53"/>
      </right>
      <top style="medium">
        <color rgb="FF4D4F53"/>
      </top>
      <bottom/>
      <diagonal/>
    </border>
    <border>
      <left style="medium">
        <color rgb="FF4D4F53"/>
      </left>
      <right style="medium">
        <color rgb="FF4D4F53"/>
      </right>
      <top/>
      <bottom style="medium">
        <color rgb="FF4D4F53"/>
      </bottom>
      <diagonal/>
    </border>
    <border>
      <left style="thin">
        <color rgb="FF4D4F53"/>
      </left>
      <right style="thin">
        <color rgb="FF4D4F53"/>
      </right>
      <top style="thin">
        <color rgb="FF4D4F53"/>
      </top>
      <bottom style="thin">
        <color rgb="FF4D4F53"/>
      </bottom>
      <diagonal/>
    </border>
    <border>
      <left/>
      <right/>
      <top style="thin">
        <color rgb="FF009C3A"/>
      </top>
      <bottom style="thin">
        <color rgb="FF009C3A"/>
      </bottom>
      <diagonal/>
    </border>
    <border>
      <left style="thin">
        <color rgb="FF009C3A"/>
      </left>
      <right style="thin">
        <color rgb="FF009C3A"/>
      </right>
      <top style="thin">
        <color rgb="FF009C3A"/>
      </top>
      <bottom style="thin">
        <color rgb="FF009C3A"/>
      </bottom>
      <diagonal/>
    </border>
    <border>
      <left/>
      <right style="thin">
        <color rgb="FF009C3A"/>
      </right>
      <top style="thin">
        <color rgb="FF009C3A"/>
      </top>
      <bottom style="thin">
        <color rgb="FF009C3A"/>
      </bottom>
      <diagonal/>
    </border>
    <border>
      <left style="thin">
        <color rgb="FF009C3A"/>
      </left>
      <right style="thin">
        <color rgb="FF009C3A"/>
      </right>
      <top style="thin">
        <color rgb="FF009C3A"/>
      </top>
      <bottom/>
      <diagonal/>
    </border>
    <border>
      <left/>
      <right/>
      <top style="medium">
        <color rgb="FF009C3A"/>
      </top>
      <bottom style="medium">
        <color rgb="FF009C3A"/>
      </bottom>
      <diagonal/>
    </border>
    <border>
      <left style="medium">
        <color rgb="FF4D4F53"/>
      </left>
      <right style="medium">
        <color rgb="FF009C3A"/>
      </right>
      <top style="medium">
        <color rgb="FF4D4F53"/>
      </top>
      <bottom style="thin">
        <color rgb="FF4D4F53"/>
      </bottom>
      <diagonal/>
    </border>
    <border>
      <left style="medium">
        <color rgb="FF009C3A"/>
      </left>
      <right style="medium">
        <color rgb="FF009C3A"/>
      </right>
      <top style="medium">
        <color rgb="FF4D4F53"/>
      </top>
      <bottom style="thin">
        <color rgb="FF4D4F53"/>
      </bottom>
      <diagonal/>
    </border>
    <border>
      <left style="medium">
        <color rgb="FF009C3A"/>
      </left>
      <right style="medium">
        <color rgb="FF4D4F53"/>
      </right>
      <top style="medium">
        <color rgb="FF4D4F53"/>
      </top>
      <bottom style="thin">
        <color rgb="FF4D4F53"/>
      </bottom>
      <diagonal/>
    </border>
    <border>
      <left style="medium">
        <color rgb="FF4D4F53"/>
      </left>
      <right style="medium">
        <color rgb="FF4D4F53"/>
      </right>
      <top style="medium">
        <color rgb="FF4D4F53"/>
      </top>
      <bottom style="thin">
        <color rgb="FF4D4F53"/>
      </bottom>
      <diagonal/>
    </border>
    <border>
      <left/>
      <right/>
      <top style="medium">
        <color rgb="FF009C3A"/>
      </top>
      <bottom style="thin">
        <color rgb="FF009C3A"/>
      </bottom>
      <diagonal/>
    </border>
    <border>
      <left style="medium">
        <color rgb="FF4D4F53"/>
      </left>
      <right style="medium">
        <color rgb="FF009C3A"/>
      </right>
      <top style="thin">
        <color rgb="FF4D4F53"/>
      </top>
      <bottom style="medium">
        <color rgb="FF4D4F53"/>
      </bottom>
      <diagonal/>
    </border>
    <border>
      <left style="medium">
        <color rgb="FF009C3A"/>
      </left>
      <right style="medium">
        <color rgb="FF009C3A"/>
      </right>
      <top style="thin">
        <color rgb="FF4D4F53"/>
      </top>
      <bottom style="medium">
        <color rgb="FF4D4F53"/>
      </bottom>
      <diagonal/>
    </border>
    <border>
      <left style="medium">
        <color rgb="FF009C3A"/>
      </left>
      <right style="medium">
        <color rgb="FF4D4F53"/>
      </right>
      <top style="thin">
        <color rgb="FF4D4F53"/>
      </top>
      <bottom style="medium">
        <color rgb="FF4D4F53"/>
      </bottom>
      <diagonal/>
    </border>
    <border>
      <left style="medium">
        <color rgb="FF4D4F53"/>
      </left>
      <right style="medium">
        <color rgb="FF4D4F53"/>
      </right>
      <top style="thin">
        <color rgb="FF4D4F53"/>
      </top>
      <bottom style="medium">
        <color rgb="FF4D4F53"/>
      </bottom>
      <diagonal/>
    </border>
    <border>
      <left/>
      <right/>
      <top style="thin">
        <color rgb="FF009C3A"/>
      </top>
      <bottom style="medium">
        <color rgb="FF009C3A"/>
      </bottom>
      <diagonal/>
    </border>
    <border>
      <left/>
      <right/>
      <top/>
      <bottom style="medium">
        <color rgb="FF3399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3B71"/>
      </top>
      <bottom/>
      <diagonal/>
    </border>
    <border>
      <left/>
      <right/>
      <top/>
      <bottom style="thin">
        <color rgb="FF003B71"/>
      </bottom>
      <diagonal/>
    </border>
    <border>
      <left/>
      <right/>
      <top style="thin">
        <color rgb="FF003B71"/>
      </top>
      <bottom style="thin">
        <color rgb="FF003B71"/>
      </bottom>
      <diagonal/>
    </border>
    <border>
      <left style="thin">
        <color rgb="FF003B71"/>
      </left>
      <right style="dotted">
        <color rgb="FF003B71"/>
      </right>
      <top style="thin">
        <color rgb="FF003B71"/>
      </top>
      <bottom style="dotted">
        <color rgb="FF003B71"/>
      </bottom>
      <diagonal/>
    </border>
    <border>
      <left style="dotted">
        <color rgb="FF003B71"/>
      </left>
      <right style="dotted">
        <color rgb="FF003B71"/>
      </right>
      <top style="thin">
        <color rgb="FF003B71"/>
      </top>
      <bottom style="dotted">
        <color rgb="FF003B71"/>
      </bottom>
      <diagonal/>
    </border>
    <border>
      <left style="dotted">
        <color rgb="FF003B71"/>
      </left>
      <right style="thin">
        <color rgb="FF003B71"/>
      </right>
      <top style="thin">
        <color rgb="FF003B71"/>
      </top>
      <bottom style="dotted">
        <color rgb="FF003B71"/>
      </bottom>
      <diagonal/>
    </border>
    <border>
      <left style="thin">
        <color rgb="FF003B71"/>
      </left>
      <right style="dotted">
        <color rgb="FF003B71"/>
      </right>
      <top style="dotted">
        <color rgb="FF003B71"/>
      </top>
      <bottom style="thin">
        <color rgb="FF003B71"/>
      </bottom>
      <diagonal/>
    </border>
    <border>
      <left style="dotted">
        <color rgb="FF003B71"/>
      </left>
      <right style="dotted">
        <color rgb="FF003B71"/>
      </right>
      <top style="dotted">
        <color rgb="FF003B71"/>
      </top>
      <bottom style="thin">
        <color rgb="FF003B71"/>
      </bottom>
      <diagonal/>
    </border>
    <border>
      <left style="dotted">
        <color rgb="FF003B71"/>
      </left>
      <right style="thin">
        <color rgb="FF003B71"/>
      </right>
      <top style="dotted">
        <color rgb="FF003B71"/>
      </top>
      <bottom style="thin">
        <color rgb="FF003B71"/>
      </bottom>
      <diagonal/>
    </border>
    <border>
      <left style="thin">
        <color rgb="FF003B71"/>
      </left>
      <right style="dotted">
        <color rgb="FF003B71"/>
      </right>
      <top style="dotted">
        <color rgb="FF003B71"/>
      </top>
      <bottom style="dotted">
        <color rgb="FF003B71"/>
      </bottom>
      <diagonal/>
    </border>
    <border>
      <left style="dotted">
        <color rgb="FF003B71"/>
      </left>
      <right style="dotted">
        <color rgb="FF003B71"/>
      </right>
      <top style="dotted">
        <color rgb="FF003B71"/>
      </top>
      <bottom style="dotted">
        <color rgb="FF003B71"/>
      </bottom>
      <diagonal/>
    </border>
    <border>
      <left style="dotted">
        <color rgb="FF003B71"/>
      </left>
      <right style="thin">
        <color rgb="FF003B71"/>
      </right>
      <top style="dotted">
        <color rgb="FF003B71"/>
      </top>
      <bottom style="dotted">
        <color rgb="FF003B71"/>
      </bottom>
      <diagonal/>
    </border>
    <border>
      <left style="dotted">
        <color rgb="FF003B71"/>
      </left>
      <right style="dotted">
        <color rgb="FF003B71"/>
      </right>
      <top style="dotted">
        <color rgb="FF003B71"/>
      </top>
      <bottom/>
      <diagonal/>
    </border>
    <border>
      <left style="dotted">
        <color rgb="FF003B71"/>
      </left>
      <right style="thin">
        <color rgb="FF003B71"/>
      </right>
      <top style="dotted">
        <color rgb="FF003B71"/>
      </top>
      <bottom/>
      <diagonal/>
    </border>
    <border>
      <left style="dotted">
        <color rgb="FF003B71"/>
      </left>
      <right style="dotted">
        <color rgb="FF003B71"/>
      </right>
      <top/>
      <bottom style="dotted">
        <color rgb="FF003B71"/>
      </bottom>
      <diagonal/>
    </border>
    <border>
      <left style="dotted">
        <color rgb="FF003B71"/>
      </left>
      <right style="thin">
        <color rgb="FF003B71"/>
      </right>
      <top/>
      <bottom style="dotted">
        <color rgb="FF003B71"/>
      </bottom>
      <diagonal/>
    </border>
    <border>
      <left style="thin">
        <color rgb="FF003B71"/>
      </left>
      <right style="dashed">
        <color rgb="FF003B71"/>
      </right>
      <top style="thin">
        <color rgb="FF003B71"/>
      </top>
      <bottom/>
      <diagonal/>
    </border>
    <border>
      <left style="dashed">
        <color rgb="FF003B71"/>
      </left>
      <right style="dashed">
        <color rgb="FF003B71"/>
      </right>
      <top style="thin">
        <color rgb="FF003B71"/>
      </top>
      <bottom/>
      <diagonal/>
    </border>
    <border>
      <left style="dashed">
        <color rgb="FF003B71"/>
      </left>
      <right style="thin">
        <color rgb="FF003B71"/>
      </right>
      <top style="thin">
        <color rgb="FF003B71"/>
      </top>
      <bottom/>
      <diagonal/>
    </border>
    <border>
      <left style="dotted">
        <color rgb="FF003B71"/>
      </left>
      <right style="thin">
        <color rgb="FF003B71"/>
      </right>
      <top style="dotted">
        <color rgb="FF003B71"/>
      </top>
      <bottom style="dotted">
        <color indexed="64"/>
      </bottom>
      <diagonal/>
    </border>
    <border>
      <left style="dotted">
        <color rgb="FF003B71"/>
      </left>
      <right style="dotted">
        <color rgb="FF003B71"/>
      </right>
      <top style="dotted">
        <color rgb="FF003B71"/>
      </top>
      <bottom style="dotted">
        <color indexed="64"/>
      </bottom>
      <diagonal/>
    </border>
    <border>
      <left/>
      <right style="thin">
        <color rgb="FF003B71"/>
      </right>
      <top style="thin">
        <color rgb="FF003B71"/>
      </top>
      <bottom style="thin">
        <color rgb="FF003B71"/>
      </bottom>
      <diagonal/>
    </border>
    <border>
      <left style="thin">
        <color rgb="FF003B71"/>
      </left>
      <right/>
      <top style="thin">
        <color rgb="FF003B71"/>
      </top>
      <bottom style="thin">
        <color rgb="FF003B71"/>
      </bottom>
      <diagonal/>
    </border>
    <border>
      <left style="thin">
        <color rgb="FF003B71"/>
      </left>
      <right style="thin">
        <color rgb="FF003B71"/>
      </right>
      <top style="thin">
        <color rgb="FF003B71"/>
      </top>
      <bottom style="thin">
        <color rgb="FF003B71"/>
      </bottom>
      <diagonal/>
    </border>
    <border>
      <left/>
      <right style="dotted">
        <color rgb="FF003B71"/>
      </right>
      <top style="thin">
        <color rgb="FF003B71"/>
      </top>
      <bottom/>
      <diagonal/>
    </border>
    <border>
      <left style="dotted">
        <color rgb="FF003B71"/>
      </left>
      <right style="dotted">
        <color rgb="FF003B71"/>
      </right>
      <top style="dotted">
        <color indexed="64"/>
      </top>
      <bottom/>
      <diagonal/>
    </border>
    <border>
      <left style="dotted">
        <color rgb="FF003B71"/>
      </left>
      <right style="thin">
        <color rgb="FF003B71"/>
      </right>
      <top style="dotted">
        <color indexed="64"/>
      </top>
      <bottom/>
      <diagonal/>
    </border>
    <border>
      <left/>
      <right style="thin">
        <color rgb="FF003B71"/>
      </right>
      <top/>
      <bottom/>
      <diagonal/>
    </border>
    <border>
      <left style="thin">
        <color rgb="FF4D4F53"/>
      </left>
      <right style="thin">
        <color rgb="FF4D4F53"/>
      </right>
      <top style="thin">
        <color rgb="FF4D4F53"/>
      </top>
      <bottom/>
      <diagonal/>
    </border>
    <border>
      <left style="thin">
        <color rgb="FF4D4F53"/>
      </left>
      <right style="thin">
        <color rgb="FF4D4F53"/>
      </right>
      <top/>
      <bottom style="thin">
        <color rgb="FF4D4F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4D4F53"/>
      </left>
      <right/>
      <top style="thin">
        <color rgb="FF4D4F53"/>
      </top>
      <bottom style="thin">
        <color rgb="FF4D4F53"/>
      </bottom>
      <diagonal/>
    </border>
    <border>
      <left style="medium">
        <color rgb="FF00B050"/>
      </left>
      <right style="medium">
        <color rgb="FF00B05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14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2">
    <xf numFmtId="0" fontId="0" fillId="0" borderId="0" xfId="0"/>
    <xf numFmtId="0" fontId="27" fillId="11" borderId="0" xfId="1" applyFont="1" applyFill="1" applyBorder="1" applyAlignment="1" applyProtection="1">
      <alignment horizontal="left" vertical="center"/>
      <protection locked="0" hidden="1"/>
    </xf>
    <xf numFmtId="0" fontId="25" fillId="0" borderId="53" xfId="1" applyFont="1" applyFill="1" applyBorder="1" applyAlignment="1" applyProtection="1">
      <alignment horizontal="center" vertical="center"/>
      <protection locked="0" hidden="1"/>
    </xf>
    <xf numFmtId="3" fontId="25" fillId="11" borderId="50" xfId="1" applyNumberFormat="1" applyFont="1" applyFill="1" applyBorder="1" applyAlignment="1" applyProtection="1">
      <alignment horizontal="center" vertical="center"/>
      <protection locked="0" hidden="1"/>
    </xf>
    <xf numFmtId="0" fontId="25" fillId="11" borderId="50" xfId="1" applyNumberFormat="1" applyFont="1" applyFill="1" applyBorder="1" applyAlignment="1" applyProtection="1">
      <alignment horizontal="center" vertical="center"/>
      <protection locked="0" hidden="1"/>
    </xf>
    <xf numFmtId="0" fontId="28" fillId="13" borderId="0" xfId="1" applyFont="1" applyFill="1" applyBorder="1" applyAlignment="1" applyProtection="1">
      <alignment horizontal="center" vertical="center"/>
      <protection locked="0" hidden="1"/>
    </xf>
    <xf numFmtId="9" fontId="25" fillId="0" borderId="56" xfId="1" applyNumberFormat="1" applyFont="1" applyFill="1" applyBorder="1" applyAlignment="1" applyProtection="1">
      <alignment horizontal="center" vertical="center"/>
      <protection locked="0" hidden="1"/>
    </xf>
    <xf numFmtId="0" fontId="25" fillId="0" borderId="56" xfId="1" applyFont="1" applyFill="1" applyBorder="1" applyAlignment="1" applyProtection="1">
      <alignment horizontal="center" vertical="center"/>
      <protection locked="0" hidden="1"/>
    </xf>
    <xf numFmtId="0" fontId="5" fillId="0" borderId="0" xfId="1"/>
    <xf numFmtId="0" fontId="7" fillId="0" borderId="0" xfId="4" applyFont="1" applyAlignment="1">
      <alignment vertical="center"/>
    </xf>
    <xf numFmtId="0" fontId="8" fillId="0" borderId="0" xfId="1" applyFont="1" applyProtection="1">
      <protection hidden="1"/>
    </xf>
    <xf numFmtId="0" fontId="9" fillId="0" borderId="0" xfId="4" quotePrefix="1" applyFont="1" applyAlignment="1" applyProtection="1">
      <alignment vertical="center"/>
      <protection hidden="1"/>
    </xf>
    <xf numFmtId="0" fontId="10" fillId="0" borderId="0" xfId="4" applyFont="1" applyAlignment="1">
      <alignment vertical="center"/>
    </xf>
    <xf numFmtId="0" fontId="10" fillId="0" borderId="0" xfId="4" applyFont="1" applyFill="1" applyAlignment="1">
      <alignment vertical="center"/>
    </xf>
    <xf numFmtId="0" fontId="2" fillId="2" borderId="2" xfId="1" applyFont="1" applyFill="1" applyBorder="1" applyAlignment="1">
      <alignment horizontal="center" vertical="center"/>
    </xf>
    <xf numFmtId="0" fontId="7" fillId="0" borderId="0" xfId="4" applyFont="1" applyFill="1" applyAlignment="1">
      <alignment vertical="center"/>
    </xf>
    <xf numFmtId="0" fontId="11" fillId="0" borderId="9" xfId="4" applyFont="1" applyFill="1" applyBorder="1" applyAlignment="1" applyProtection="1">
      <alignment horizontal="center" vertical="center"/>
      <protection hidden="1"/>
    </xf>
    <xf numFmtId="0" fontId="7" fillId="0" borderId="0" xfId="4" applyFont="1" applyAlignment="1" applyProtection="1">
      <alignment vertical="center"/>
      <protection hidden="1"/>
    </xf>
    <xf numFmtId="3" fontId="5" fillId="3" borderId="1" xfId="1" applyNumberFormat="1" applyFill="1" applyBorder="1"/>
    <xf numFmtId="0" fontId="11" fillId="0" borderId="15" xfId="4" applyFont="1" applyBorder="1" applyAlignment="1" applyProtection="1">
      <alignment horizontal="center" vertical="center"/>
      <protection hidden="1"/>
    </xf>
    <xf numFmtId="2" fontId="11" fillId="0" borderId="15" xfId="4" applyNumberFormat="1" applyFont="1" applyBorder="1" applyAlignment="1" applyProtection="1">
      <alignment horizontal="center" vertical="center"/>
      <protection hidden="1"/>
    </xf>
    <xf numFmtId="0" fontId="8" fillId="0" borderId="16" xfId="1" applyFont="1" applyBorder="1" applyProtection="1">
      <protection hidden="1"/>
    </xf>
    <xf numFmtId="0" fontId="5" fillId="0" borderId="18" xfId="1" applyBorder="1" applyAlignment="1">
      <alignment horizontal="center" vertical="center"/>
    </xf>
    <xf numFmtId="3" fontId="1" fillId="0" borderId="19" xfId="2" applyNumberFormat="1" applyFont="1" applyBorder="1"/>
    <xf numFmtId="3" fontId="1" fillId="0" borderId="20" xfId="2" applyNumberFormat="1" applyFont="1" applyBorder="1"/>
    <xf numFmtId="3" fontId="1" fillId="0" borderId="21" xfId="2" applyNumberFormat="1" applyFont="1" applyBorder="1"/>
    <xf numFmtId="0" fontId="13" fillId="0" borderId="15" xfId="4" quotePrefix="1" applyNumberFormat="1" applyFont="1" applyFill="1" applyBorder="1" applyAlignment="1" applyProtection="1">
      <alignment horizontal="center" vertical="center"/>
      <protection hidden="1"/>
    </xf>
    <xf numFmtId="4" fontId="7" fillId="0" borderId="15" xfId="5" applyNumberFormat="1" applyFont="1" applyFill="1" applyBorder="1" applyAlignment="1" applyProtection="1">
      <alignment vertical="center"/>
      <protection hidden="1"/>
    </xf>
    <xf numFmtId="3" fontId="7" fillId="0" borderId="15" xfId="4" applyNumberFormat="1" applyFont="1" applyBorder="1" applyAlignment="1" applyProtection="1">
      <alignment horizontal="right" vertical="center"/>
      <protection hidden="1"/>
    </xf>
    <xf numFmtId="164" fontId="7" fillId="0" borderId="15" xfId="4" applyNumberFormat="1" applyFont="1" applyBorder="1" applyAlignment="1" applyProtection="1">
      <alignment horizontal="center" vertical="center"/>
      <protection hidden="1"/>
    </xf>
    <xf numFmtId="3" fontId="7" fillId="4" borderId="15" xfId="4" applyNumberFormat="1" applyFont="1" applyFill="1" applyBorder="1" applyAlignment="1" applyProtection="1">
      <alignment horizontal="right" vertical="center"/>
      <protection hidden="1"/>
    </xf>
    <xf numFmtId="166" fontId="7" fillId="0" borderId="0" xfId="6" applyNumberFormat="1" applyFont="1" applyFill="1" applyBorder="1" applyAlignment="1">
      <alignment horizontal="right" vertical="center"/>
    </xf>
    <xf numFmtId="167" fontId="7" fillId="0" borderId="22" xfId="4" applyNumberFormat="1" applyFont="1" applyBorder="1" applyAlignment="1" applyProtection="1">
      <alignment horizontal="center" vertical="center"/>
      <protection hidden="1"/>
    </xf>
    <xf numFmtId="164" fontId="7" fillId="0" borderId="22" xfId="4" applyNumberFormat="1" applyFont="1" applyBorder="1" applyAlignment="1" applyProtection="1">
      <alignment horizontal="center" vertical="center"/>
      <protection hidden="1"/>
    </xf>
    <xf numFmtId="164" fontId="7" fillId="4" borderId="22" xfId="4" applyNumberFormat="1" applyFont="1" applyFill="1" applyBorder="1" applyAlignment="1" applyProtection="1">
      <alignment horizontal="center" vertical="center"/>
      <protection hidden="1"/>
    </xf>
    <xf numFmtId="9" fontId="7" fillId="0" borderId="15" xfId="7" applyNumberFormat="1" applyFont="1" applyBorder="1" applyAlignment="1" applyProtection="1">
      <alignment horizontal="center" vertical="center"/>
      <protection hidden="1"/>
    </xf>
    <xf numFmtId="0" fontId="11" fillId="0" borderId="23" xfId="4" applyFont="1" applyBorder="1" applyAlignment="1" applyProtection="1">
      <alignment horizontal="center" vertical="center"/>
      <protection hidden="1"/>
    </xf>
    <xf numFmtId="0" fontId="11" fillId="5" borderId="23" xfId="4" applyFont="1" applyFill="1" applyBorder="1" applyAlignment="1" applyProtection="1">
      <alignment horizontal="center" vertical="center"/>
      <protection hidden="1"/>
    </xf>
    <xf numFmtId="0" fontId="8" fillId="0" borderId="24" xfId="1" applyFont="1" applyBorder="1" applyProtection="1">
      <protection hidden="1"/>
    </xf>
    <xf numFmtId="0" fontId="5" fillId="0" borderId="26" xfId="1" applyBorder="1" applyAlignment="1">
      <alignment horizontal="center" vertical="center"/>
    </xf>
    <xf numFmtId="3" fontId="1" fillId="0" borderId="27" xfId="2" applyNumberFormat="1" applyFont="1" applyBorder="1"/>
    <xf numFmtId="3" fontId="1" fillId="0" borderId="28" xfId="2" applyNumberFormat="1" applyFont="1" applyBorder="1"/>
    <xf numFmtId="3" fontId="1" fillId="0" borderId="29" xfId="2" applyNumberFormat="1" applyFont="1" applyBorder="1"/>
    <xf numFmtId="0" fontId="7" fillId="0" borderId="15" xfId="4" applyFont="1" applyBorder="1" applyAlignment="1" applyProtection="1">
      <alignment vertical="center"/>
      <protection hidden="1"/>
    </xf>
    <xf numFmtId="0" fontId="13" fillId="0" borderId="22" xfId="4" quotePrefix="1" applyNumberFormat="1" applyFont="1" applyFill="1" applyBorder="1" applyAlignment="1" applyProtection="1">
      <alignment horizontal="center" vertical="center"/>
      <protection hidden="1"/>
    </xf>
    <xf numFmtId="4" fontId="7" fillId="0" borderId="22" xfId="5" applyNumberFormat="1" applyFont="1" applyFill="1" applyBorder="1" applyAlignment="1" applyProtection="1">
      <alignment vertical="center"/>
      <protection hidden="1"/>
    </xf>
    <xf numFmtId="3" fontId="7" fillId="0" borderId="22" xfId="4" applyNumberFormat="1" applyFont="1" applyBorder="1" applyAlignment="1" applyProtection="1">
      <alignment horizontal="right" vertical="center"/>
      <protection hidden="1"/>
    </xf>
    <xf numFmtId="3" fontId="7" fillId="4" borderId="22" xfId="4" applyNumberFormat="1" applyFont="1" applyFill="1" applyBorder="1" applyAlignment="1" applyProtection="1">
      <alignment horizontal="right" vertical="center"/>
      <protection hidden="1"/>
    </xf>
    <xf numFmtId="9" fontId="7" fillId="0" borderId="22" xfId="7" applyNumberFormat="1" applyFont="1" applyBorder="1" applyAlignment="1" applyProtection="1">
      <alignment horizontal="center" vertical="center"/>
      <protection hidden="1"/>
    </xf>
    <xf numFmtId="0" fontId="7" fillId="0" borderId="22" xfId="4" applyFont="1" applyBorder="1" applyAlignment="1" applyProtection="1">
      <alignment vertical="center"/>
      <protection hidden="1"/>
    </xf>
    <xf numFmtId="9" fontId="7" fillId="0" borderId="22" xfId="7" applyNumberFormat="1" applyFont="1" applyFill="1" applyBorder="1" applyAlignment="1" applyProtection="1">
      <alignment horizontal="center" vertical="center"/>
      <protection hidden="1"/>
    </xf>
    <xf numFmtId="164" fontId="7" fillId="0" borderId="22" xfId="4" applyNumberFormat="1" applyFont="1" applyFill="1" applyBorder="1" applyAlignment="1" applyProtection="1">
      <alignment horizontal="center" vertical="center"/>
      <protection hidden="1"/>
    </xf>
    <xf numFmtId="3" fontId="15" fillId="0" borderId="28" xfId="2" applyNumberFormat="1" applyFont="1" applyBorder="1"/>
    <xf numFmtId="3" fontId="15" fillId="0" borderId="30" xfId="2" applyNumberFormat="1" applyFont="1" applyBorder="1"/>
    <xf numFmtId="3" fontId="3" fillId="5" borderId="28" xfId="2" applyNumberFormat="1" applyFont="1" applyFill="1" applyBorder="1"/>
    <xf numFmtId="3" fontId="3" fillId="5" borderId="29" xfId="2" applyNumberFormat="1" applyFont="1" applyFill="1" applyBorder="1"/>
    <xf numFmtId="3" fontId="15" fillId="0" borderId="29" xfId="2" applyNumberFormat="1" applyFont="1" applyFill="1" applyBorder="1"/>
    <xf numFmtId="0" fontId="7" fillId="0" borderId="0" xfId="4" applyFont="1" applyBorder="1" applyAlignment="1" applyProtection="1">
      <alignment vertical="center"/>
      <protection hidden="1"/>
    </xf>
    <xf numFmtId="3" fontId="1" fillId="0" borderId="31" xfId="2" applyNumberFormat="1" applyFont="1" applyBorder="1"/>
    <xf numFmtId="0" fontId="8" fillId="0" borderId="32" xfId="1" applyFont="1" applyBorder="1" applyProtection="1">
      <protection hidden="1"/>
    </xf>
    <xf numFmtId="0" fontId="5" fillId="0" borderId="34" xfId="1" applyBorder="1" applyAlignment="1">
      <alignment horizontal="center" vertical="center"/>
    </xf>
    <xf numFmtId="3" fontId="1" fillId="0" borderId="35" xfId="2" applyNumberFormat="1" applyFont="1" applyBorder="1"/>
    <xf numFmtId="3" fontId="3" fillId="5" borderId="36" xfId="2" applyNumberFormat="1" applyFont="1" applyFill="1" applyBorder="1"/>
    <xf numFmtId="3" fontId="3" fillId="5" borderId="37" xfId="2" applyNumberFormat="1" applyFont="1" applyFill="1" applyBorder="1"/>
    <xf numFmtId="3" fontId="15" fillId="0" borderId="37" xfId="2" applyNumberFormat="1" applyFont="1" applyFill="1" applyBorder="1"/>
    <xf numFmtId="9" fontId="7" fillId="0" borderId="23" xfId="7" applyNumberFormat="1" applyFont="1" applyBorder="1" applyAlignment="1" applyProtection="1">
      <alignment horizontal="center" vertical="center"/>
      <protection hidden="1"/>
    </xf>
    <xf numFmtId="164" fontId="7" fillId="0" borderId="23" xfId="4" applyNumberFormat="1" applyFont="1" applyBorder="1" applyAlignment="1" applyProtection="1">
      <alignment horizontal="center" vertical="center"/>
      <protection hidden="1"/>
    </xf>
    <xf numFmtId="0" fontId="10" fillId="5" borderId="0" xfId="4" applyFont="1" applyFill="1" applyAlignment="1">
      <alignment vertical="center"/>
    </xf>
    <xf numFmtId="4" fontId="13" fillId="0" borderId="22" xfId="5" applyNumberFormat="1" applyFont="1" applyFill="1" applyBorder="1" applyAlignment="1" applyProtection="1">
      <alignment vertical="center"/>
      <protection hidden="1"/>
    </xf>
    <xf numFmtId="0" fontId="7" fillId="0" borderId="15" xfId="4" applyFont="1" applyBorder="1" applyAlignment="1" applyProtection="1">
      <alignment horizontal="center" vertical="center"/>
      <protection hidden="1"/>
    </xf>
    <xf numFmtId="168" fontId="7" fillId="0" borderId="15" xfId="4" applyNumberFormat="1" applyFont="1" applyBorder="1" applyAlignment="1" applyProtection="1">
      <alignment horizontal="center" vertical="center"/>
      <protection hidden="1"/>
    </xf>
    <xf numFmtId="0" fontId="7" fillId="0" borderId="22" xfId="4" applyFont="1" applyBorder="1" applyAlignment="1" applyProtection="1">
      <alignment horizontal="center" vertical="center"/>
      <protection hidden="1"/>
    </xf>
    <xf numFmtId="168" fontId="7" fillId="0" borderId="22" xfId="4" applyNumberFormat="1" applyFont="1" applyBorder="1" applyAlignment="1" applyProtection="1">
      <alignment horizontal="center" vertical="center"/>
      <protection hidden="1"/>
    </xf>
    <xf numFmtId="0" fontId="7" fillId="0" borderId="23" xfId="4" applyFont="1" applyBorder="1" applyAlignment="1" applyProtection="1">
      <alignment horizontal="center" vertical="center"/>
      <protection hidden="1"/>
    </xf>
    <xf numFmtId="168" fontId="7" fillId="0" borderId="23" xfId="4" applyNumberFormat="1" applyFont="1" applyBorder="1" applyAlignment="1" applyProtection="1">
      <alignment horizontal="center" vertical="center"/>
      <protection hidden="1"/>
    </xf>
    <xf numFmtId="0" fontId="7" fillId="0" borderId="23" xfId="4" applyFont="1" applyBorder="1" applyAlignment="1" applyProtection="1">
      <alignment vertical="center"/>
      <protection hidden="1"/>
    </xf>
    <xf numFmtId="9" fontId="13" fillId="0" borderId="22" xfId="4" quotePrefix="1" applyNumberFormat="1" applyFont="1" applyBorder="1" applyAlignment="1" applyProtection="1">
      <alignment horizontal="center" vertical="center" wrapText="1"/>
      <protection hidden="1"/>
    </xf>
    <xf numFmtId="2" fontId="13" fillId="0" borderId="22" xfId="4" applyNumberFormat="1" applyFont="1" applyBorder="1" applyAlignment="1" applyProtection="1">
      <alignment horizontal="center" vertical="center" wrapText="1"/>
      <protection hidden="1"/>
    </xf>
    <xf numFmtId="9" fontId="13" fillId="0" borderId="23" xfId="4" quotePrefix="1" applyNumberFormat="1" applyFont="1" applyBorder="1" applyAlignment="1" applyProtection="1">
      <alignment horizontal="center" vertical="center" wrapText="1"/>
      <protection hidden="1"/>
    </xf>
    <xf numFmtId="2" fontId="13" fillId="0" borderId="23" xfId="4" applyNumberFormat="1" applyFont="1" applyBorder="1" applyAlignment="1" applyProtection="1">
      <alignment horizontal="center" vertical="center" wrapText="1"/>
      <protection hidden="1"/>
    </xf>
    <xf numFmtId="0" fontId="6" fillId="0" borderId="38" xfId="1" applyFont="1" applyBorder="1" applyAlignment="1">
      <alignment horizontal="center" vertical="center"/>
    </xf>
    <xf numFmtId="0" fontId="6" fillId="0" borderId="39" xfId="1" applyFont="1" applyBorder="1" applyAlignment="1">
      <alignment horizontal="center" vertical="center"/>
    </xf>
    <xf numFmtId="0" fontId="5" fillId="0" borderId="40" xfId="1" applyBorder="1" applyAlignment="1">
      <alignment horizontal="center" vertical="center"/>
    </xf>
    <xf numFmtId="0" fontId="5" fillId="0" borderId="0" xfId="1" applyBorder="1" applyAlignment="1">
      <alignment horizontal="center" vertical="center"/>
    </xf>
    <xf numFmtId="0" fontId="5" fillId="0" borderId="41" xfId="1" applyBorder="1" applyAlignment="1">
      <alignment horizontal="center" vertical="center"/>
    </xf>
    <xf numFmtId="3" fontId="5" fillId="0" borderId="42" xfId="1" applyNumberFormat="1" applyBorder="1" applyAlignment="1">
      <alignment horizontal="center" vertical="center"/>
    </xf>
    <xf numFmtId="3" fontId="5" fillId="4" borderId="42" xfId="1" applyNumberFormat="1" applyFill="1" applyBorder="1" applyAlignment="1">
      <alignment horizontal="center" vertical="center"/>
    </xf>
    <xf numFmtId="0" fontId="7" fillId="0" borderId="22" xfId="4" applyFont="1" applyBorder="1" applyAlignment="1" applyProtection="1">
      <alignment horizontal="center" vertical="center" wrapText="1"/>
      <protection hidden="1"/>
    </xf>
    <xf numFmtId="3" fontId="5" fillId="0" borderId="43" xfId="1" applyNumberFormat="1" applyBorder="1" applyAlignment="1">
      <alignment horizontal="center" vertical="center"/>
    </xf>
    <xf numFmtId="3" fontId="5" fillId="4" borderId="43" xfId="1" applyNumberFormat="1" applyFill="1" applyBorder="1" applyAlignment="1">
      <alignment horizontal="center" vertical="center"/>
    </xf>
    <xf numFmtId="0" fontId="7" fillId="0" borderId="22" xfId="4" applyFont="1" applyFill="1" applyBorder="1" applyAlignment="1" applyProtection="1">
      <alignment horizontal="center" vertical="center"/>
      <protection hidden="1"/>
    </xf>
    <xf numFmtId="0" fontId="7" fillId="0" borderId="23" xfId="4" applyFont="1" applyBorder="1" applyAlignment="1" applyProtection="1">
      <alignment horizontal="center" vertical="center" wrapText="1"/>
      <protection hidden="1"/>
    </xf>
    <xf numFmtId="3" fontId="5" fillId="0" borderId="44" xfId="1" applyNumberFormat="1" applyBorder="1" applyAlignment="1">
      <alignment horizontal="center" vertical="center"/>
    </xf>
    <xf numFmtId="3" fontId="5" fillId="4" borderId="44" xfId="1" applyNumberFormat="1" applyFill="1" applyBorder="1" applyAlignment="1">
      <alignment horizontal="center" vertical="center"/>
    </xf>
    <xf numFmtId="0" fontId="11" fillId="0" borderId="23" xfId="4" applyFont="1" applyFill="1" applyBorder="1" applyAlignment="1" applyProtection="1">
      <alignment horizontal="center" vertical="center"/>
      <protection hidden="1"/>
    </xf>
    <xf numFmtId="0" fontId="2" fillId="2" borderId="2" xfId="1" applyFont="1" applyFill="1" applyBorder="1" applyAlignment="1">
      <alignment horizontal="left" vertical="center"/>
    </xf>
    <xf numFmtId="0" fontId="7" fillId="0" borderId="15" xfId="4" quotePrefix="1" applyFont="1" applyBorder="1" applyAlignment="1" applyProtection="1">
      <alignment vertical="center"/>
      <protection hidden="1"/>
    </xf>
    <xf numFmtId="165" fontId="7" fillId="0" borderId="15" xfId="5" applyNumberFormat="1" applyFont="1" applyBorder="1" applyAlignment="1" applyProtection="1">
      <alignment horizontal="center" vertical="center"/>
      <protection hidden="1"/>
    </xf>
    <xf numFmtId="0" fontId="7" fillId="4" borderId="15" xfId="4" applyFont="1" applyFill="1" applyBorder="1" applyAlignment="1" applyProtection="1">
      <alignment horizontal="center" vertical="center"/>
      <protection hidden="1"/>
    </xf>
    <xf numFmtId="165" fontId="7" fillId="4" borderId="15" xfId="5" applyNumberFormat="1" applyFont="1" applyFill="1" applyBorder="1" applyAlignment="1" applyProtection="1">
      <alignment horizontal="center" vertical="center"/>
      <protection hidden="1"/>
    </xf>
    <xf numFmtId="0" fontId="7" fillId="0" borderId="0" xfId="4" quotePrefix="1" applyFont="1" applyAlignment="1" applyProtection="1">
      <alignment vertical="center"/>
      <protection hidden="1"/>
    </xf>
    <xf numFmtId="0" fontId="7" fillId="0" borderId="22" xfId="4" quotePrefix="1" applyFont="1" applyBorder="1" applyAlignment="1" applyProtection="1">
      <alignment vertical="center"/>
      <protection hidden="1"/>
    </xf>
    <xf numFmtId="165" fontId="7" fillId="0" borderId="22" xfId="5" applyNumberFormat="1" applyFont="1" applyBorder="1" applyAlignment="1" applyProtection="1">
      <alignment horizontal="center" vertical="center"/>
      <protection hidden="1"/>
    </xf>
    <xf numFmtId="0" fontId="7" fillId="4" borderId="22" xfId="4" applyFont="1" applyFill="1" applyBorder="1" applyAlignment="1" applyProtection="1">
      <alignment horizontal="center" vertical="center"/>
      <protection hidden="1"/>
    </xf>
    <xf numFmtId="165" fontId="7" fillId="4" borderId="22" xfId="5" applyNumberFormat="1" applyFont="1" applyFill="1" applyBorder="1" applyAlignment="1" applyProtection="1">
      <alignment horizontal="center" vertical="center"/>
      <protection hidden="1"/>
    </xf>
    <xf numFmtId="10" fontId="7" fillId="0" borderId="0" xfId="3" applyNumberFormat="1" applyFont="1" applyAlignment="1" applyProtection="1">
      <alignment vertical="center"/>
      <protection hidden="1"/>
    </xf>
    <xf numFmtId="0" fontId="7" fillId="0" borderId="23" xfId="4" quotePrefix="1" applyFont="1" applyBorder="1" applyAlignment="1" applyProtection="1">
      <alignment vertical="center"/>
      <protection hidden="1"/>
    </xf>
    <xf numFmtId="165" fontId="7" fillId="0" borderId="23" xfId="4" applyNumberFormat="1" applyFont="1" applyBorder="1" applyAlignment="1" applyProtection="1">
      <alignment horizontal="center" vertical="center"/>
      <protection hidden="1"/>
    </xf>
    <xf numFmtId="167" fontId="7" fillId="0" borderId="23" xfId="4" applyNumberFormat="1" applyFont="1" applyBorder="1" applyAlignment="1" applyProtection="1">
      <alignment horizontal="center" vertical="center"/>
      <protection hidden="1"/>
    </xf>
    <xf numFmtId="164" fontId="7" fillId="4" borderId="23" xfId="4" applyNumberFormat="1" applyFont="1" applyFill="1" applyBorder="1" applyAlignment="1" applyProtection="1">
      <alignment horizontal="center" vertical="center"/>
      <protection hidden="1"/>
    </xf>
    <xf numFmtId="0" fontId="12" fillId="2" borderId="0" xfId="4" applyFont="1" applyFill="1" applyBorder="1" applyAlignment="1" applyProtection="1">
      <alignment horizontal="center" vertical="center"/>
      <protection hidden="1"/>
    </xf>
    <xf numFmtId="164" fontId="7" fillId="0" borderId="0" xfId="4" applyNumberFormat="1" applyFont="1" applyBorder="1" applyAlignment="1" applyProtection="1">
      <alignment horizontal="center" vertical="center"/>
      <protection hidden="1"/>
    </xf>
    <xf numFmtId="167" fontId="7" fillId="0" borderId="0" xfId="4" applyNumberFormat="1" applyFont="1" applyBorder="1" applyAlignment="1" applyProtection="1">
      <alignment horizontal="center" vertical="center"/>
      <protection hidden="1"/>
    </xf>
    <xf numFmtId="1" fontId="7" fillId="4" borderId="15" xfId="4" applyNumberFormat="1" applyFont="1" applyFill="1" applyBorder="1" applyAlignment="1" applyProtection="1">
      <alignment horizontal="center" vertical="center"/>
      <protection hidden="1"/>
    </xf>
    <xf numFmtId="164" fontId="7" fillId="4" borderId="15" xfId="4" applyNumberFormat="1" applyFont="1" applyFill="1" applyBorder="1" applyAlignment="1" applyProtection="1">
      <alignment horizontal="center" vertical="center"/>
      <protection hidden="1"/>
    </xf>
    <xf numFmtId="1" fontId="7" fillId="4" borderId="22" xfId="4" applyNumberFormat="1" applyFont="1" applyFill="1" applyBorder="1" applyAlignment="1" applyProtection="1">
      <alignment horizontal="center" vertical="center"/>
      <protection hidden="1"/>
    </xf>
    <xf numFmtId="3" fontId="7" fillId="0" borderId="15" xfId="4" applyNumberFormat="1" applyFont="1" applyBorder="1" applyAlignment="1" applyProtection="1">
      <alignment horizontal="center" vertical="center"/>
      <protection hidden="1"/>
    </xf>
    <xf numFmtId="167" fontId="7" fillId="0" borderId="15" xfId="4" applyNumberFormat="1" applyFont="1" applyBorder="1" applyAlignment="1" applyProtection="1">
      <alignment horizontal="center" vertical="center"/>
      <protection hidden="1"/>
    </xf>
    <xf numFmtId="3" fontId="7" fillId="0" borderId="22" xfId="4" applyNumberFormat="1" applyFont="1" applyBorder="1" applyAlignment="1" applyProtection="1">
      <alignment horizontal="center" vertical="center"/>
      <protection hidden="1"/>
    </xf>
    <xf numFmtId="3" fontId="7" fillId="0" borderId="23" xfId="4" applyNumberFormat="1" applyFont="1" applyBorder="1" applyAlignment="1" applyProtection="1">
      <alignment horizontal="center" vertical="center"/>
      <protection hidden="1"/>
    </xf>
    <xf numFmtId="1" fontId="7" fillId="4" borderId="23" xfId="4" applyNumberFormat="1" applyFont="1" applyFill="1" applyBorder="1" applyAlignment="1" applyProtection="1">
      <alignment horizontal="center" vertical="center"/>
      <protection hidden="1"/>
    </xf>
    <xf numFmtId="0" fontId="12" fillId="2" borderId="9" xfId="4" applyFont="1" applyFill="1" applyBorder="1" applyAlignment="1" applyProtection="1">
      <alignment horizontal="center" vertical="center"/>
      <protection hidden="1"/>
    </xf>
    <xf numFmtId="1" fontId="7" fillId="4" borderId="9" xfId="4" applyNumberFormat="1" applyFont="1" applyFill="1" applyBorder="1" applyAlignment="1" applyProtection="1">
      <alignment vertical="center"/>
      <protection hidden="1"/>
    </xf>
    <xf numFmtId="166" fontId="7" fillId="4" borderId="9" xfId="4" applyNumberFormat="1" applyFont="1" applyFill="1" applyBorder="1" applyAlignment="1" applyProtection="1">
      <alignment vertical="center"/>
      <protection hidden="1"/>
    </xf>
    <xf numFmtId="0" fontId="2" fillId="2" borderId="1" xfId="1" applyFont="1" applyFill="1" applyBorder="1" applyAlignment="1">
      <alignment horizontal="center" vertical="center"/>
    </xf>
    <xf numFmtId="0" fontId="7" fillId="0" borderId="15" xfId="4" applyFont="1" applyFill="1" applyBorder="1" applyAlignment="1" applyProtection="1">
      <alignment horizontal="center" vertical="center"/>
      <protection hidden="1"/>
    </xf>
    <xf numFmtId="1" fontId="13" fillId="0" borderId="22" xfId="4" applyNumberFormat="1" applyFont="1" applyBorder="1" applyAlignment="1" applyProtection="1">
      <alignment horizontal="center" vertical="center" wrapText="1"/>
      <protection hidden="1"/>
    </xf>
    <xf numFmtId="1" fontId="7" fillId="0" borderId="23" xfId="4" applyNumberFormat="1" applyFont="1" applyBorder="1" applyAlignment="1" applyProtection="1">
      <alignment horizontal="center" vertical="center"/>
      <protection hidden="1"/>
    </xf>
    <xf numFmtId="0" fontId="6" fillId="0" borderId="45" xfId="1" applyFont="1" applyBorder="1" applyAlignment="1">
      <alignment horizontal="center" vertical="center"/>
    </xf>
    <xf numFmtId="0" fontId="5" fillId="0" borderId="15" xfId="1" applyBorder="1"/>
    <xf numFmtId="0" fontId="5" fillId="0" borderId="0" xfId="1" applyFill="1" applyBorder="1"/>
    <xf numFmtId="0" fontId="7" fillId="0" borderId="46" xfId="4" applyFont="1" applyBorder="1" applyAlignment="1" applyProtection="1">
      <alignment vertical="center"/>
      <protection hidden="1"/>
    </xf>
    <xf numFmtId="0" fontId="7" fillId="0" borderId="47" xfId="4" applyFont="1" applyFill="1" applyBorder="1" applyAlignment="1" applyProtection="1">
      <alignment horizontal="center" vertical="center"/>
      <protection hidden="1"/>
    </xf>
    <xf numFmtId="0" fontId="7" fillId="6" borderId="22" xfId="4" applyFont="1" applyFill="1" applyBorder="1" applyAlignment="1" applyProtection="1">
      <alignment vertical="center"/>
      <protection hidden="1"/>
    </xf>
    <xf numFmtId="0" fontId="5" fillId="6" borderId="22" xfId="1" applyFill="1" applyBorder="1"/>
    <xf numFmtId="9" fontId="7" fillId="6" borderId="22" xfId="4" applyNumberFormat="1" applyFont="1" applyFill="1" applyBorder="1" applyAlignment="1" applyProtection="1">
      <alignment vertical="center"/>
      <protection hidden="1"/>
    </xf>
    <xf numFmtId="9" fontId="7" fillId="0" borderId="0" xfId="4" applyNumberFormat="1" applyFont="1" applyFill="1" applyBorder="1" applyAlignment="1" applyProtection="1">
      <alignment vertical="center"/>
      <protection hidden="1"/>
    </xf>
    <xf numFmtId="0" fontId="8" fillId="0" borderId="0" xfId="1" applyFont="1" applyAlignment="1" applyProtection="1">
      <protection hidden="1"/>
    </xf>
    <xf numFmtId="0" fontId="5" fillId="0" borderId="0" xfId="1" applyAlignment="1"/>
    <xf numFmtId="0" fontId="7" fillId="6" borderId="0" xfId="4" applyFont="1" applyFill="1" applyAlignment="1" applyProtection="1">
      <alignment vertical="center"/>
      <protection hidden="1"/>
    </xf>
    <xf numFmtId="0" fontId="7" fillId="7" borderId="22" xfId="4" applyFont="1" applyFill="1" applyBorder="1" applyAlignment="1" applyProtection="1">
      <alignment vertical="center"/>
      <protection hidden="1"/>
    </xf>
    <xf numFmtId="0" fontId="7" fillId="7" borderId="0" xfId="4" applyFont="1" applyFill="1" applyBorder="1" applyAlignment="1" applyProtection="1">
      <alignment vertical="center"/>
      <protection hidden="1"/>
    </xf>
    <xf numFmtId="9" fontId="7" fillId="7" borderId="22" xfId="4" applyNumberFormat="1" applyFont="1" applyFill="1" applyBorder="1" applyAlignment="1" applyProtection="1">
      <alignment vertical="center"/>
      <protection hidden="1"/>
    </xf>
    <xf numFmtId="9" fontId="7" fillId="0" borderId="22" xfId="4" applyNumberFormat="1" applyFont="1" applyBorder="1" applyAlignment="1" applyProtection="1">
      <alignment vertical="center"/>
      <protection hidden="1"/>
    </xf>
    <xf numFmtId="0" fontId="5" fillId="0" borderId="22" xfId="1" applyBorder="1"/>
    <xf numFmtId="0" fontId="7" fillId="0" borderId="48" xfId="4" applyFont="1" applyBorder="1" applyAlignment="1" applyProtection="1">
      <alignment vertical="center"/>
      <protection hidden="1"/>
    </xf>
    <xf numFmtId="0" fontId="7" fillId="0" borderId="49" xfId="4" applyFont="1" applyBorder="1" applyAlignment="1" applyProtection="1">
      <alignment horizontal="center" vertical="center"/>
      <protection hidden="1"/>
    </xf>
    <xf numFmtId="0" fontId="7" fillId="0" borderId="0" xfId="4" applyFont="1" applyFill="1" applyBorder="1" applyAlignment="1" applyProtection="1">
      <alignment vertical="center"/>
      <protection hidden="1"/>
    </xf>
    <xf numFmtId="0" fontId="7" fillId="6" borderId="0" xfId="4" applyFont="1" applyFill="1" applyBorder="1" applyAlignment="1" applyProtection="1">
      <alignment vertical="center"/>
      <protection hidden="1"/>
    </xf>
    <xf numFmtId="0" fontId="5" fillId="5" borderId="22" xfId="1" applyFill="1" applyBorder="1"/>
    <xf numFmtId="9" fontId="5" fillId="0" borderId="22" xfId="1" applyNumberFormat="1" applyBorder="1"/>
    <xf numFmtId="0" fontId="13" fillId="0" borderId="23" xfId="4" applyFont="1" applyFill="1" applyBorder="1" applyAlignment="1" applyProtection="1">
      <alignment horizontal="center" vertical="center"/>
      <protection hidden="1"/>
    </xf>
    <xf numFmtId="4" fontId="7" fillId="0" borderId="23" xfId="5" applyNumberFormat="1" applyFont="1" applyFill="1" applyBorder="1" applyAlignment="1" applyProtection="1">
      <alignment vertical="center"/>
      <protection hidden="1"/>
    </xf>
    <xf numFmtId="0" fontId="7" fillId="0" borderId="15" xfId="1" applyFont="1" applyFill="1" applyBorder="1" applyAlignment="1" applyProtection="1">
      <alignment horizontal="center" vertical="center"/>
      <protection hidden="1"/>
    </xf>
    <xf numFmtId="2" fontId="13" fillId="0" borderId="22" xfId="1" applyNumberFormat="1" applyFont="1" applyFill="1" applyBorder="1" applyAlignment="1" applyProtection="1">
      <alignment horizontal="center" vertical="center" wrapText="1"/>
      <protection hidden="1"/>
    </xf>
    <xf numFmtId="2" fontId="13" fillId="0" borderId="23" xfId="1" applyNumberFormat="1" applyFont="1" applyFill="1" applyBorder="1" applyAlignment="1" applyProtection="1">
      <alignment horizontal="center" vertical="center" wrapText="1"/>
      <protection hidden="1"/>
    </xf>
    <xf numFmtId="0" fontId="12" fillId="2" borderId="9" xfId="4" applyFont="1" applyFill="1" applyBorder="1" applyAlignment="1" applyProtection="1">
      <alignment horizontal="left" vertical="center"/>
      <protection hidden="1"/>
    </xf>
    <xf numFmtId="3" fontId="11" fillId="0" borderId="9" xfId="4" applyNumberFormat="1" applyFont="1" applyFill="1" applyBorder="1" applyAlignment="1" applyProtection="1">
      <alignment horizontal="center" vertical="center"/>
      <protection hidden="1"/>
    </xf>
    <xf numFmtId="164" fontId="11" fillId="0" borderId="9" xfId="4" applyNumberFormat="1" applyFont="1" applyFill="1" applyBorder="1" applyAlignment="1" applyProtection="1">
      <alignment horizontal="center" vertical="center"/>
      <protection hidden="1"/>
    </xf>
    <xf numFmtId="164" fontId="7" fillId="0" borderId="0" xfId="4" applyNumberFormat="1" applyFont="1" applyAlignment="1" applyProtection="1">
      <alignment vertical="center"/>
      <protection hidden="1"/>
    </xf>
    <xf numFmtId="0" fontId="7" fillId="7" borderId="0" xfId="4" applyFont="1" applyFill="1" applyAlignment="1" applyProtection="1">
      <alignment vertical="center"/>
      <protection hidden="1"/>
    </xf>
    <xf numFmtId="9" fontId="11" fillId="0" borderId="9" xfId="4" applyNumberFormat="1" applyFont="1" applyFill="1" applyBorder="1" applyAlignment="1" applyProtection="1">
      <alignment horizontal="center" vertical="center"/>
      <protection hidden="1"/>
    </xf>
    <xf numFmtId="2" fontId="11" fillId="0" borderId="9" xfId="4" applyNumberFormat="1" applyFont="1" applyFill="1" applyBorder="1" applyAlignment="1" applyProtection="1">
      <alignment horizontal="center" vertical="center"/>
      <protection hidden="1"/>
    </xf>
    <xf numFmtId="4" fontId="7" fillId="8" borderId="15" xfId="5" applyNumberFormat="1" applyFont="1" applyFill="1" applyBorder="1" applyAlignment="1" applyProtection="1">
      <alignment vertical="center"/>
      <protection hidden="1"/>
    </xf>
    <xf numFmtId="4" fontId="7" fillId="8" borderId="22" xfId="5" applyNumberFormat="1" applyFont="1" applyFill="1" applyBorder="1" applyAlignment="1" applyProtection="1">
      <alignment vertical="center"/>
      <protection hidden="1"/>
    </xf>
    <xf numFmtId="4" fontId="13" fillId="8" borderId="22" xfId="5" applyNumberFormat="1" applyFont="1" applyFill="1" applyBorder="1" applyAlignment="1" applyProtection="1">
      <alignment vertical="center"/>
      <protection hidden="1"/>
    </xf>
    <xf numFmtId="4" fontId="7" fillId="9" borderId="22" xfId="5" applyNumberFormat="1" applyFont="1" applyFill="1" applyBorder="1" applyAlignment="1" applyProtection="1">
      <alignment vertical="center"/>
      <protection hidden="1"/>
    </xf>
    <xf numFmtId="4" fontId="7" fillId="8" borderId="23" xfId="5" applyNumberFormat="1" applyFont="1" applyFill="1" applyBorder="1" applyAlignment="1" applyProtection="1">
      <alignment vertical="center"/>
      <protection hidden="1"/>
    </xf>
    <xf numFmtId="4" fontId="25" fillId="0" borderId="58" xfId="1" applyNumberFormat="1" applyFont="1" applyFill="1" applyBorder="1" applyAlignment="1" applyProtection="1">
      <alignment horizontal="center" vertical="center"/>
      <protection locked="0" hidden="1"/>
    </xf>
    <xf numFmtId="165" fontId="5" fillId="0" borderId="0" xfId="1" applyNumberFormat="1"/>
    <xf numFmtId="166" fontId="25" fillId="16" borderId="0" xfId="1" applyNumberFormat="1" applyFont="1" applyFill="1" applyBorder="1" applyAlignment="1" applyProtection="1">
      <alignment horizontal="center"/>
      <protection locked="0" hidden="1"/>
    </xf>
    <xf numFmtId="169" fontId="25" fillId="10" borderId="53" xfId="5" applyNumberFormat="1" applyFont="1" applyFill="1" applyBorder="1" applyAlignment="1" applyProtection="1">
      <alignment horizontal="center" vertical="center"/>
      <protection locked="0" hidden="1"/>
    </xf>
    <xf numFmtId="10" fontId="7" fillId="0" borderId="0" xfId="10" applyNumberFormat="1" applyFont="1" applyAlignment="1">
      <alignment vertical="center"/>
    </xf>
    <xf numFmtId="43" fontId="7" fillId="0" borderId="23" xfId="9" applyFont="1" applyBorder="1" applyAlignment="1" applyProtection="1">
      <alignment horizontal="center" vertical="center"/>
      <protection hidden="1"/>
    </xf>
    <xf numFmtId="2" fontId="13" fillId="4" borderId="23" xfId="1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pivotButton="1"/>
    <xf numFmtId="0" fontId="49" fillId="0" borderId="0" xfId="1" applyFont="1"/>
    <xf numFmtId="0" fontId="5" fillId="5" borderId="0" xfId="1" applyFill="1"/>
    <xf numFmtId="171" fontId="0" fillId="0" borderId="0" xfId="0" applyNumberFormat="1"/>
    <xf numFmtId="0" fontId="10" fillId="17" borderId="0" xfId="4" applyFont="1" applyFill="1" applyAlignment="1">
      <alignment vertical="center"/>
    </xf>
    <xf numFmtId="164" fontId="11" fillId="0" borderId="9" xfId="4" quotePrefix="1" applyNumberFormat="1" applyFont="1" applyFill="1" applyBorder="1" applyAlignment="1" applyProtection="1">
      <alignment horizontal="center" vertical="center"/>
      <protection hidden="1"/>
    </xf>
    <xf numFmtId="3" fontId="6" fillId="0" borderId="38" xfId="1" applyNumberFormat="1" applyFont="1" applyBorder="1" applyAlignment="1">
      <alignment horizontal="center" vertical="center"/>
    </xf>
    <xf numFmtId="0" fontId="5" fillId="17" borderId="0" xfId="1" applyFill="1"/>
    <xf numFmtId="43" fontId="7" fillId="0" borderId="15" xfId="9" applyFont="1" applyFill="1" applyBorder="1" applyAlignment="1" applyProtection="1">
      <alignment vertical="center"/>
      <protection hidden="1"/>
    </xf>
    <xf numFmtId="43" fontId="7" fillId="0" borderId="22" xfId="9" applyFont="1" applyFill="1" applyBorder="1" applyAlignment="1" applyProtection="1">
      <alignment vertical="center"/>
      <protection hidden="1"/>
    </xf>
    <xf numFmtId="43" fontId="13" fillId="0" borderId="22" xfId="9" applyFont="1" applyFill="1" applyBorder="1" applyAlignment="1" applyProtection="1">
      <alignment vertical="center"/>
      <protection hidden="1"/>
    </xf>
    <xf numFmtId="43" fontId="7" fillId="0" borderId="23" xfId="9" applyFont="1" applyFill="1" applyBorder="1" applyAlignment="1" applyProtection="1">
      <alignment vertical="center"/>
      <protection hidden="1"/>
    </xf>
    <xf numFmtId="0" fontId="11" fillId="17" borderId="0" xfId="4" applyFont="1" applyFill="1" applyAlignment="1">
      <alignment horizontal="center" vertical="center"/>
    </xf>
    <xf numFmtId="4" fontId="7" fillId="4" borderId="22" xfId="4" applyNumberFormat="1" applyFont="1" applyFill="1" applyBorder="1" applyAlignment="1" applyProtection="1">
      <alignment horizontal="center" vertical="center"/>
      <protection hidden="1"/>
    </xf>
    <xf numFmtId="2" fontId="7" fillId="4" borderId="22" xfId="4" applyNumberFormat="1" applyFont="1" applyFill="1" applyBorder="1" applyAlignment="1" applyProtection="1">
      <alignment horizontal="center" vertical="center"/>
      <protection hidden="1"/>
    </xf>
    <xf numFmtId="4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0" fontId="4" fillId="5" borderId="0" xfId="0" applyFont="1" applyFill="1"/>
    <xf numFmtId="10" fontId="0" fillId="0" borderId="0" xfId="10" applyNumberFormat="1" applyFont="1"/>
    <xf numFmtId="1" fontId="0" fillId="0" borderId="0" xfId="0" applyNumberFormat="1"/>
    <xf numFmtId="169" fontId="5" fillId="0" borderId="0" xfId="9" applyNumberFormat="1" applyFont="1"/>
    <xf numFmtId="0" fontId="17" fillId="10" borderId="0" xfId="1" applyFont="1" applyFill="1" applyProtection="1">
      <protection locked="0" hidden="1"/>
    </xf>
    <xf numFmtId="0" fontId="17" fillId="11" borderId="0" xfId="1" applyFont="1" applyFill="1" applyBorder="1" applyProtection="1">
      <protection locked="0" hidden="1"/>
    </xf>
    <xf numFmtId="0" fontId="18" fillId="15" borderId="0" xfId="1" applyFont="1" applyFill="1" applyProtection="1">
      <protection locked="0"/>
    </xf>
    <xf numFmtId="0" fontId="17" fillId="16" borderId="0" xfId="1" applyFont="1" applyFill="1" applyBorder="1" applyProtection="1">
      <protection locked="0" hidden="1"/>
    </xf>
    <xf numFmtId="0" fontId="17" fillId="15" borderId="0" xfId="1" applyFont="1" applyFill="1" applyBorder="1" applyProtection="1">
      <protection locked="0" hidden="1"/>
    </xf>
    <xf numFmtId="0" fontId="17" fillId="15" borderId="0" xfId="1" applyFont="1" applyFill="1" applyProtection="1">
      <protection locked="0" hidden="1"/>
    </xf>
    <xf numFmtId="0" fontId="0" fillId="15" borderId="0" xfId="0" applyFill="1" applyProtection="1">
      <protection locked="0"/>
    </xf>
    <xf numFmtId="0" fontId="5" fillId="15" borderId="0" xfId="1" applyFill="1" applyProtection="1">
      <protection locked="0"/>
    </xf>
    <xf numFmtId="0" fontId="5" fillId="0" borderId="0" xfId="1" applyProtection="1">
      <protection locked="0"/>
    </xf>
    <xf numFmtId="4" fontId="19" fillId="10" borderId="0" xfId="1" applyNumberFormat="1" applyFont="1" applyFill="1" applyBorder="1" applyAlignment="1" applyProtection="1">
      <alignment vertical="center"/>
      <protection locked="0" hidden="1"/>
    </xf>
    <xf numFmtId="4" fontId="19" fillId="15" borderId="0" xfId="1" applyNumberFormat="1" applyFont="1" applyFill="1" applyBorder="1" applyAlignment="1" applyProtection="1">
      <alignment vertical="center"/>
      <protection locked="0" hidden="1"/>
    </xf>
    <xf numFmtId="0" fontId="20" fillId="16" borderId="0" xfId="1" applyFont="1" applyFill="1" applyBorder="1" applyProtection="1">
      <protection locked="0" hidden="1"/>
    </xf>
    <xf numFmtId="0" fontId="20" fillId="15" borderId="0" xfId="1" applyFont="1" applyFill="1" applyBorder="1" applyProtection="1">
      <protection locked="0" hidden="1"/>
    </xf>
    <xf numFmtId="0" fontId="21" fillId="15" borderId="0" xfId="1" applyFont="1" applyFill="1" applyProtection="1">
      <protection locked="0" hidden="1"/>
    </xf>
    <xf numFmtId="0" fontId="21" fillId="10" borderId="0" xfId="1" applyFont="1" applyFill="1" applyProtection="1">
      <protection locked="0" hidden="1"/>
    </xf>
    <xf numFmtId="0" fontId="22" fillId="11" borderId="0" xfId="1" applyFont="1" applyFill="1" applyBorder="1" applyAlignment="1" applyProtection="1">
      <alignment vertical="center"/>
      <protection locked="0" hidden="1"/>
    </xf>
    <xf numFmtId="0" fontId="20" fillId="11" borderId="0" xfId="1" applyFont="1" applyFill="1" applyBorder="1" applyProtection="1">
      <protection locked="0" hidden="1"/>
    </xf>
    <xf numFmtId="0" fontId="17" fillId="10" borderId="0" xfId="1" applyFont="1" applyFill="1" applyBorder="1" applyProtection="1">
      <protection locked="0" hidden="1"/>
    </xf>
    <xf numFmtId="0" fontId="26" fillId="10" borderId="0" xfId="1" applyFont="1" applyFill="1" applyProtection="1">
      <protection locked="0" hidden="1"/>
    </xf>
    <xf numFmtId="0" fontId="26" fillId="11" borderId="0" xfId="1" applyFont="1" applyFill="1" applyBorder="1" applyProtection="1">
      <protection locked="0" hidden="1"/>
    </xf>
    <xf numFmtId="0" fontId="26" fillId="10" borderId="0" xfId="1" applyFont="1" applyFill="1" applyBorder="1" applyAlignment="1" applyProtection="1">
      <protection locked="0" hidden="1"/>
    </xf>
    <xf numFmtId="0" fontId="17" fillId="11" borderId="0" xfId="1" applyFont="1" applyFill="1" applyBorder="1" applyAlignment="1" applyProtection="1">
      <alignment horizontal="left"/>
      <protection locked="0" hidden="1"/>
    </xf>
    <xf numFmtId="0" fontId="18" fillId="15" borderId="0" xfId="1" applyFont="1" applyFill="1" applyProtection="1">
      <protection locked="0" hidden="1"/>
    </xf>
    <xf numFmtId="0" fontId="26" fillId="11" borderId="0" xfId="1" applyFont="1" applyFill="1" applyBorder="1" applyAlignment="1" applyProtection="1">
      <alignment horizontal="left"/>
      <protection locked="0" hidden="1"/>
    </xf>
    <xf numFmtId="0" fontId="24" fillId="12" borderId="50" xfId="1" applyFont="1" applyFill="1" applyBorder="1" applyAlignment="1" applyProtection="1">
      <alignment vertical="center" wrapText="1"/>
      <protection locked="0" hidden="1"/>
    </xf>
    <xf numFmtId="0" fontId="44" fillId="15" borderId="0" xfId="0" applyFont="1" applyFill="1" applyProtection="1">
      <protection locked="0"/>
    </xf>
    <xf numFmtId="169" fontId="26" fillId="10" borderId="0" xfId="5" applyNumberFormat="1" applyFont="1" applyFill="1" applyBorder="1" applyAlignment="1" applyProtection="1">
      <alignment horizontal="center" vertical="center"/>
      <protection locked="0" hidden="1"/>
    </xf>
    <xf numFmtId="0" fontId="31" fillId="15" borderId="0" xfId="1" applyFont="1" applyFill="1" applyBorder="1" applyProtection="1">
      <protection locked="0" hidden="1"/>
    </xf>
    <xf numFmtId="0" fontId="17" fillId="16" borderId="0" xfId="1" applyFont="1" applyFill="1" applyBorder="1" applyAlignment="1" applyProtection="1">
      <alignment horizontal="center"/>
      <protection locked="0" hidden="1"/>
    </xf>
    <xf numFmtId="0" fontId="17" fillId="11" borderId="0" xfId="1" applyFont="1" applyFill="1" applyBorder="1" applyAlignment="1" applyProtection="1">
      <alignment horizontal="center"/>
      <protection locked="0" hidden="1"/>
    </xf>
    <xf numFmtId="44" fontId="31" fillId="11" borderId="0" xfId="1" applyNumberFormat="1" applyFont="1" applyFill="1" applyBorder="1" applyAlignment="1" applyProtection="1">
      <alignment horizontal="center"/>
      <protection locked="0" hidden="1"/>
    </xf>
    <xf numFmtId="0" fontId="31" fillId="11" borderId="0" xfId="1" applyFont="1" applyFill="1" applyBorder="1" applyAlignment="1" applyProtection="1">
      <alignment horizontal="center"/>
      <protection locked="0" hidden="1"/>
    </xf>
    <xf numFmtId="166" fontId="25" fillId="11" borderId="0" xfId="1" applyNumberFormat="1" applyFont="1" applyFill="1" applyBorder="1" applyAlignment="1" applyProtection="1">
      <alignment horizontal="center"/>
      <protection locked="0" hidden="1"/>
    </xf>
    <xf numFmtId="0" fontId="28" fillId="16" borderId="0" xfId="1" applyFont="1" applyFill="1" applyBorder="1" applyAlignment="1" applyProtection="1">
      <alignment horizontal="left"/>
      <protection locked="0" hidden="1"/>
    </xf>
    <xf numFmtId="0" fontId="34" fillId="11" borderId="0" xfId="1" applyFont="1" applyFill="1" applyBorder="1" applyAlignment="1" applyProtection="1">
      <alignment horizontal="left"/>
      <protection locked="0" hidden="1"/>
    </xf>
    <xf numFmtId="0" fontId="27" fillId="11" borderId="0" xfId="1" applyFont="1" applyFill="1" applyBorder="1" applyAlignment="1" applyProtection="1">
      <alignment horizontal="left"/>
      <protection locked="0" hidden="1"/>
    </xf>
    <xf numFmtId="9" fontId="35" fillId="11" borderId="0" xfId="1" applyNumberFormat="1" applyFont="1" applyFill="1" applyBorder="1" applyAlignment="1" applyProtection="1">
      <alignment horizontal="center" vertical="center"/>
      <protection locked="0" hidden="1"/>
    </xf>
    <xf numFmtId="0" fontId="27" fillId="0" borderId="0" xfId="1" applyFont="1" applyFill="1" applyBorder="1" applyAlignment="1" applyProtection="1">
      <alignment horizontal="left"/>
      <protection locked="0" hidden="1"/>
    </xf>
    <xf numFmtId="0" fontId="27" fillId="15" borderId="0" xfId="1" applyFont="1" applyFill="1" applyBorder="1" applyAlignment="1" applyProtection="1">
      <alignment horizontal="left"/>
      <protection locked="0" hidden="1"/>
    </xf>
    <xf numFmtId="0" fontId="27" fillId="16" borderId="0" xfId="1" applyFont="1" applyFill="1" applyBorder="1" applyAlignment="1" applyProtection="1">
      <alignment horizontal="left"/>
      <protection locked="0" hidden="1"/>
    </xf>
    <xf numFmtId="0" fontId="25" fillId="10" borderId="0" xfId="1" applyFont="1" applyFill="1" applyBorder="1" applyProtection="1">
      <protection locked="0" hidden="1"/>
    </xf>
    <xf numFmtId="0" fontId="25" fillId="11" borderId="0" xfId="1" applyFont="1" applyFill="1" applyBorder="1" applyProtection="1">
      <protection locked="0" hidden="1"/>
    </xf>
    <xf numFmtId="0" fontId="25" fillId="10" borderId="0" xfId="1" applyFont="1" applyFill="1" applyProtection="1">
      <protection locked="0" hidden="1"/>
    </xf>
    <xf numFmtId="0" fontId="25" fillId="16" borderId="0" xfId="1" applyFont="1" applyFill="1" applyBorder="1" applyAlignment="1" applyProtection="1">
      <alignment horizontal="center"/>
      <protection locked="0" hidden="1"/>
    </xf>
    <xf numFmtId="0" fontId="25" fillId="16" borderId="0" xfId="1" applyFont="1" applyFill="1" applyBorder="1" applyProtection="1">
      <protection locked="0" hidden="1"/>
    </xf>
    <xf numFmtId="0" fontId="25" fillId="15" borderId="0" xfId="1" applyFont="1" applyFill="1" applyBorder="1" applyProtection="1">
      <protection locked="0" hidden="1"/>
    </xf>
    <xf numFmtId="0" fontId="20" fillId="10" borderId="0" xfId="1" applyFont="1" applyFill="1" applyBorder="1" applyProtection="1">
      <protection locked="0" hidden="1"/>
    </xf>
    <xf numFmtId="0" fontId="20" fillId="10" borderId="0" xfId="1" applyFont="1" applyFill="1" applyProtection="1">
      <protection locked="0" hidden="1"/>
    </xf>
    <xf numFmtId="0" fontId="20" fillId="16" borderId="0" xfId="1" applyFont="1" applyFill="1" applyBorder="1" applyAlignment="1" applyProtection="1">
      <alignment horizontal="center"/>
      <protection locked="0" hidden="1"/>
    </xf>
    <xf numFmtId="0" fontId="38" fillId="15" borderId="0" xfId="1" applyFont="1" applyFill="1" applyProtection="1">
      <protection locked="0" hidden="1"/>
    </xf>
    <xf numFmtId="0" fontId="39" fillId="10" borderId="0" xfId="1" applyFont="1" applyFill="1" applyBorder="1" applyAlignment="1" applyProtection="1">
      <protection locked="0" hidden="1"/>
    </xf>
    <xf numFmtId="0" fontId="39" fillId="10" borderId="0" xfId="1" applyFont="1" applyFill="1" applyAlignment="1" applyProtection="1">
      <protection locked="0" hidden="1"/>
    </xf>
    <xf numFmtId="0" fontId="38" fillId="15" borderId="0" xfId="1" applyFont="1" applyFill="1" applyProtection="1">
      <protection locked="0"/>
    </xf>
    <xf numFmtId="0" fontId="39" fillId="15" borderId="0" xfId="1" applyFont="1" applyFill="1" applyBorder="1" applyAlignment="1" applyProtection="1">
      <protection locked="0" hidden="1"/>
    </xf>
    <xf numFmtId="0" fontId="39" fillId="10" borderId="0" xfId="1" applyFont="1" applyFill="1" applyBorder="1" applyProtection="1">
      <protection locked="0" hidden="1"/>
    </xf>
    <xf numFmtId="0" fontId="42" fillId="11" borderId="0" xfId="1" applyFont="1" applyFill="1" applyBorder="1" applyProtection="1">
      <protection locked="0" hidden="1"/>
    </xf>
    <xf numFmtId="0" fontId="39" fillId="11" borderId="0" xfId="1" applyFont="1" applyFill="1" applyBorder="1" applyAlignment="1" applyProtection="1">
      <alignment horizontal="left"/>
      <protection locked="0" hidden="1"/>
    </xf>
    <xf numFmtId="0" fontId="39" fillId="15" borderId="0" xfId="1" applyFont="1" applyFill="1" applyBorder="1" applyProtection="1">
      <protection locked="0" hidden="1"/>
    </xf>
    <xf numFmtId="0" fontId="39" fillId="16" borderId="0" xfId="1" applyFont="1" applyFill="1" applyBorder="1" applyAlignment="1" applyProtection="1">
      <alignment horizontal="left"/>
      <protection locked="0" hidden="1"/>
    </xf>
    <xf numFmtId="0" fontId="36" fillId="15" borderId="0" xfId="1" applyFont="1" applyFill="1" applyBorder="1" applyProtection="1">
      <protection locked="0" hidden="1"/>
    </xf>
    <xf numFmtId="0" fontId="22" fillId="16" borderId="0" xfId="1" applyFont="1" applyFill="1" applyBorder="1" applyProtection="1">
      <protection locked="0" hidden="1"/>
    </xf>
    <xf numFmtId="0" fontId="27" fillId="15" borderId="0" xfId="1" applyFont="1" applyFill="1" applyBorder="1" applyProtection="1">
      <protection locked="0" hidden="1"/>
    </xf>
    <xf numFmtId="0" fontId="17" fillId="11" borderId="0" xfId="1" applyFont="1" applyFill="1" applyBorder="1" applyAlignment="1" applyProtection="1">
      <alignment horizontal="center"/>
      <protection hidden="1"/>
    </xf>
    <xf numFmtId="0" fontId="24" fillId="12" borderId="56" xfId="1" applyFont="1" applyFill="1" applyBorder="1" applyAlignment="1" applyProtection="1">
      <alignment horizontal="center" vertical="center"/>
      <protection hidden="1"/>
    </xf>
    <xf numFmtId="4" fontId="25" fillId="0" borderId="56" xfId="1" applyNumberFormat="1" applyFont="1" applyFill="1" applyBorder="1" applyAlignment="1" applyProtection="1">
      <alignment horizontal="right"/>
      <protection hidden="1"/>
    </xf>
    <xf numFmtId="4" fontId="31" fillId="15" borderId="0" xfId="0" applyNumberFormat="1" applyFont="1" applyFill="1" applyBorder="1" applyAlignment="1" applyProtection="1">
      <alignment horizontal="right" vertical="center"/>
      <protection hidden="1"/>
    </xf>
    <xf numFmtId="0" fontId="17" fillId="10" borderId="0" xfId="1" applyFont="1" applyFill="1" applyProtection="1">
      <protection hidden="1"/>
    </xf>
    <xf numFmtId="0" fontId="27" fillId="11" borderId="50" xfId="1" applyFont="1" applyFill="1" applyBorder="1" applyAlignment="1" applyProtection="1">
      <protection hidden="1"/>
    </xf>
    <xf numFmtId="0" fontId="27" fillId="11" borderId="51" xfId="1" applyFont="1" applyFill="1" applyBorder="1" applyAlignment="1" applyProtection="1">
      <protection hidden="1"/>
    </xf>
    <xf numFmtId="0" fontId="27" fillId="11" borderId="51" xfId="1" applyNumberFormat="1" applyFont="1" applyFill="1" applyBorder="1" applyAlignment="1" applyProtection="1">
      <alignment horizontal="left"/>
      <protection hidden="1"/>
    </xf>
    <xf numFmtId="0" fontId="25" fillId="11" borderId="51" xfId="1" applyFont="1" applyFill="1" applyBorder="1" applyAlignment="1" applyProtection="1">
      <protection hidden="1"/>
    </xf>
    <xf numFmtId="9" fontId="27" fillId="11" borderId="51" xfId="1" applyNumberFormat="1" applyFont="1" applyFill="1" applyBorder="1" applyAlignment="1" applyProtection="1">
      <alignment horizontal="left"/>
      <protection hidden="1"/>
    </xf>
    <xf numFmtId="0" fontId="26" fillId="10" borderId="0" xfId="1" applyFont="1" applyFill="1" applyProtection="1">
      <protection hidden="1"/>
    </xf>
    <xf numFmtId="0" fontId="20" fillId="10" borderId="0" xfId="1" applyFont="1" applyFill="1" applyProtection="1">
      <protection hidden="1"/>
    </xf>
    <xf numFmtId="0" fontId="29" fillId="12" borderId="53" xfId="1" applyFont="1" applyFill="1" applyBorder="1" applyAlignment="1" applyProtection="1">
      <alignment horizontal="center" vertical="center"/>
      <protection hidden="1"/>
    </xf>
    <xf numFmtId="4" fontId="31" fillId="14" borderId="61" xfId="1" applyNumberFormat="1" applyFont="1" applyFill="1" applyBorder="1" applyAlignment="1" applyProtection="1">
      <alignment horizontal="center" vertical="center"/>
      <protection hidden="1"/>
    </xf>
    <xf numFmtId="170" fontId="25" fillId="11" borderId="65" xfId="1" applyNumberFormat="1" applyFont="1" applyFill="1" applyBorder="1" applyAlignment="1" applyProtection="1">
      <alignment horizontal="center" vertical="center"/>
      <protection hidden="1"/>
    </xf>
    <xf numFmtId="0" fontId="36" fillId="10" borderId="66" xfId="1" applyFont="1" applyFill="1" applyBorder="1" applyProtection="1">
      <protection hidden="1"/>
    </xf>
    <xf numFmtId="170" fontId="25" fillId="11" borderId="70" xfId="1" applyNumberFormat="1" applyFont="1" applyFill="1" applyBorder="1" applyAlignment="1" applyProtection="1">
      <alignment horizontal="center" vertical="center"/>
      <protection hidden="1"/>
    </xf>
    <xf numFmtId="0" fontId="36" fillId="10" borderId="71" xfId="1" applyFont="1" applyFill="1" applyBorder="1" applyProtection="1">
      <protection hidden="1"/>
    </xf>
    <xf numFmtId="170" fontId="24" fillId="12" borderId="53" xfId="1" applyNumberFormat="1" applyFont="1" applyFill="1" applyBorder="1" applyAlignment="1" applyProtection="1">
      <alignment horizontal="center" vertical="center"/>
      <protection hidden="1"/>
    </xf>
    <xf numFmtId="0" fontId="37" fillId="14" borderId="61" xfId="1" applyFont="1" applyFill="1" applyBorder="1" applyProtection="1">
      <protection hidden="1"/>
    </xf>
    <xf numFmtId="0" fontId="43" fillId="10" borderId="0" xfId="1" applyFont="1" applyFill="1" applyBorder="1" applyAlignment="1" applyProtection="1">
      <alignment horizontal="left" vertical="center"/>
      <protection hidden="1"/>
    </xf>
    <xf numFmtId="0" fontId="42" fillId="11" borderId="0" xfId="1" applyFont="1" applyFill="1" applyBorder="1" applyProtection="1">
      <protection hidden="1"/>
    </xf>
    <xf numFmtId="0" fontId="39" fillId="11" borderId="0" xfId="1" applyFont="1" applyFill="1" applyBorder="1" applyAlignment="1" applyProtection="1">
      <alignment horizontal="left"/>
      <protection hidden="1"/>
    </xf>
    <xf numFmtId="0" fontId="45" fillId="15" borderId="0" xfId="1" applyFont="1" applyFill="1" applyProtection="1"/>
    <xf numFmtId="0" fontId="42" fillId="11" borderId="0" xfId="1" applyFont="1" applyFill="1" applyBorder="1" applyAlignment="1" applyProtection="1">
      <alignment horizontal="left"/>
      <protection hidden="1"/>
    </xf>
    <xf numFmtId="0" fontId="42" fillId="10" borderId="0" xfId="1" applyFont="1" applyFill="1" applyProtection="1">
      <protection hidden="1"/>
    </xf>
    <xf numFmtId="0" fontId="36" fillId="11" borderId="0" xfId="1" applyFont="1" applyFill="1" applyBorder="1" applyProtection="1">
      <protection hidden="1"/>
    </xf>
    <xf numFmtId="0" fontId="1" fillId="15" borderId="0" xfId="1" applyFont="1" applyFill="1" applyProtection="1"/>
    <xf numFmtId="0" fontId="46" fillId="10" borderId="0" xfId="1" applyFont="1" applyFill="1" applyBorder="1" applyAlignment="1" applyProtection="1">
      <alignment horizontal="justify" vertical="center" wrapText="1"/>
      <protection hidden="1"/>
    </xf>
    <xf numFmtId="0" fontId="47" fillId="15" borderId="0" xfId="1" applyFont="1" applyFill="1" applyProtection="1"/>
    <xf numFmtId="0" fontId="0" fillId="15" borderId="0" xfId="0" applyFill="1" applyProtection="1"/>
    <xf numFmtId="0" fontId="1" fillId="15" borderId="0" xfId="0" applyFont="1" applyFill="1" applyAlignment="1" applyProtection="1">
      <alignment horizontal="left"/>
    </xf>
    <xf numFmtId="0" fontId="31" fillId="10" borderId="0" xfId="1" applyFont="1" applyFill="1" applyProtection="1">
      <protection locked="0" hidden="1"/>
    </xf>
    <xf numFmtId="4" fontId="25" fillId="0" borderId="57" xfId="1" applyNumberFormat="1" applyFont="1" applyFill="1" applyBorder="1" applyAlignment="1" applyProtection="1">
      <alignment horizontal="center" vertical="center"/>
      <protection locked="0" hidden="1"/>
    </xf>
    <xf numFmtId="3" fontId="31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25" fillId="15" borderId="0" xfId="1" applyFont="1" applyFill="1" applyProtection="1">
      <protection locked="0"/>
    </xf>
    <xf numFmtId="4" fontId="25" fillId="0" borderId="59" xfId="1" applyNumberFormat="1" applyFont="1" applyFill="1" applyBorder="1" applyAlignment="1" applyProtection="1">
      <alignment horizontal="center" vertical="center"/>
      <protection locked="0" hidden="1"/>
    </xf>
    <xf numFmtId="0" fontId="35" fillId="11" borderId="0" xfId="1" applyFont="1" applyFill="1" applyBorder="1" applyAlignment="1" applyProtection="1">
      <alignment horizontal="left"/>
      <protection locked="0" hidden="1"/>
    </xf>
    <xf numFmtId="4" fontId="25" fillId="0" borderId="60" xfId="1" applyNumberFormat="1" applyFont="1" applyFill="1" applyBorder="1" applyAlignment="1" applyProtection="1">
      <alignment horizontal="center" vertical="center"/>
      <protection locked="0" hidden="1"/>
    </xf>
    <xf numFmtId="0" fontId="20" fillId="11" borderId="0" xfId="1" applyFont="1" applyFill="1" applyBorder="1" applyAlignment="1" applyProtection="1">
      <alignment horizontal="center"/>
      <protection locked="0" hidden="1"/>
    </xf>
    <xf numFmtId="0" fontId="22" fillId="15" borderId="0" xfId="1" applyFont="1" applyFill="1" applyBorder="1" applyProtection="1">
      <protection locked="0" hidden="1"/>
    </xf>
    <xf numFmtId="4" fontId="24" fillId="12" borderId="56" xfId="1" applyNumberFormat="1" applyFont="1" applyFill="1" applyBorder="1" applyAlignment="1" applyProtection="1">
      <alignment horizontal="right" vertical="center"/>
      <protection hidden="1"/>
    </xf>
    <xf numFmtId="0" fontId="38" fillId="15" borderId="0" xfId="1" applyFont="1" applyFill="1" applyProtection="1">
      <protection hidden="1"/>
    </xf>
    <xf numFmtId="0" fontId="39" fillId="16" borderId="0" xfId="1" applyFont="1" applyFill="1" applyBorder="1" applyAlignment="1" applyProtection="1">
      <alignment horizontal="left"/>
      <protection hidden="1"/>
    </xf>
    <xf numFmtId="0" fontId="20" fillId="16" borderId="0" xfId="1" applyFont="1" applyFill="1" applyBorder="1" applyProtection="1">
      <protection hidden="1"/>
    </xf>
    <xf numFmtId="0" fontId="22" fillId="16" borderId="0" xfId="1" applyFont="1" applyFill="1" applyBorder="1" applyProtection="1">
      <protection hidden="1"/>
    </xf>
    <xf numFmtId="0" fontId="44" fillId="15" borderId="0" xfId="0" applyFont="1" applyFill="1" applyProtection="1"/>
    <xf numFmtId="0" fontId="31" fillId="15" borderId="0" xfId="1" applyFont="1" applyFill="1" applyProtection="1">
      <protection hidden="1"/>
    </xf>
    <xf numFmtId="3" fontId="25" fillId="11" borderId="52" xfId="1" applyNumberFormat="1" applyFont="1" applyFill="1" applyBorder="1" applyAlignment="1" applyProtection="1">
      <alignment horizontal="left" vertical="center"/>
      <protection hidden="1"/>
    </xf>
    <xf numFmtId="0" fontId="40" fillId="12" borderId="53" xfId="1" applyFont="1" applyFill="1" applyBorder="1" applyAlignment="1" applyProtection="1">
      <alignment vertical="center"/>
      <protection hidden="1"/>
    </xf>
    <xf numFmtId="0" fontId="24" fillId="12" borderId="53" xfId="1" applyFont="1" applyFill="1" applyBorder="1" applyAlignment="1" applyProtection="1">
      <alignment vertical="center"/>
      <protection hidden="1"/>
    </xf>
    <xf numFmtId="0" fontId="25" fillId="0" borderId="56" xfId="1" applyFont="1" applyFill="1" applyBorder="1" applyAlignment="1" applyProtection="1">
      <alignment horizontal="center" vertical="center"/>
      <protection hidden="1"/>
    </xf>
    <xf numFmtId="0" fontId="1" fillId="15" borderId="0" xfId="0" applyFont="1" applyFill="1" applyAlignment="1" applyProtection="1">
      <alignment wrapText="1"/>
    </xf>
    <xf numFmtId="0" fontId="50" fillId="15" borderId="0" xfId="0" applyFont="1" applyFill="1" applyAlignment="1" applyProtection="1">
      <alignment vertical="center" wrapText="1"/>
    </xf>
    <xf numFmtId="173" fontId="6" fillId="0" borderId="1" xfId="1" applyNumberFormat="1" applyFont="1" applyBorder="1" applyAlignment="1">
      <alignment horizontal="center" vertical="center"/>
    </xf>
    <xf numFmtId="169" fontId="11" fillId="0" borderId="9" xfId="4" applyNumberFormat="1" applyFont="1" applyFill="1" applyBorder="1" applyAlignment="1" applyProtection="1">
      <alignment horizontal="center" vertical="center"/>
      <protection hidden="1"/>
    </xf>
    <xf numFmtId="169" fontId="13" fillId="0" borderId="22" xfId="9" applyNumberFormat="1" applyFont="1" applyBorder="1" applyAlignment="1" applyProtection="1">
      <alignment horizontal="center" vertical="center"/>
      <protection hidden="1"/>
    </xf>
    <xf numFmtId="4" fontId="7" fillId="4" borderId="23" xfId="4" applyNumberFormat="1" applyFont="1" applyFill="1" applyBorder="1" applyAlignment="1" applyProtection="1">
      <alignment horizontal="center" vertical="center"/>
      <protection hidden="1"/>
    </xf>
    <xf numFmtId="2" fontId="7" fillId="4" borderId="23" xfId="4" applyNumberFormat="1" applyFont="1" applyFill="1" applyBorder="1" applyAlignment="1" applyProtection="1">
      <alignment horizontal="center" vertical="center"/>
      <protection hidden="1"/>
    </xf>
    <xf numFmtId="0" fontId="8" fillId="0" borderId="17" xfId="1" applyFont="1" applyBorder="1" applyAlignment="1" applyProtection="1">
      <alignment horizontal="center"/>
      <protection hidden="1"/>
    </xf>
    <xf numFmtId="0" fontId="8" fillId="0" borderId="25" xfId="1" applyFont="1" applyBorder="1" applyAlignment="1" applyProtection="1">
      <alignment horizontal="center"/>
      <protection hidden="1"/>
    </xf>
    <xf numFmtId="0" fontId="8" fillId="0" borderId="33" xfId="1" applyFont="1" applyBorder="1" applyAlignment="1" applyProtection="1">
      <alignment horizontal="center"/>
      <protection hidden="1"/>
    </xf>
    <xf numFmtId="172" fontId="5" fillId="0" borderId="0" xfId="10" applyNumberFormat="1" applyFont="1"/>
    <xf numFmtId="0" fontId="5" fillId="20" borderId="0" xfId="1" applyFill="1"/>
    <xf numFmtId="0" fontId="0" fillId="20" borderId="0" xfId="0" applyFill="1"/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vertical="center"/>
    </xf>
    <xf numFmtId="0" fontId="54" fillId="0" borderId="0" xfId="0" applyFont="1"/>
    <xf numFmtId="0" fontId="55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55" fillId="0" borderId="0" xfId="0" applyFont="1" applyAlignment="1" applyProtection="1">
      <alignment vertical="center"/>
    </xf>
    <xf numFmtId="0" fontId="58" fillId="0" borderId="0" xfId="0" applyFont="1" applyAlignment="1" applyProtection="1">
      <alignment vertical="center"/>
    </xf>
    <xf numFmtId="0" fontId="59" fillId="0" borderId="0" xfId="0" applyFont="1" applyAlignment="1" applyProtection="1">
      <alignment vertical="center"/>
    </xf>
    <xf numFmtId="0" fontId="52" fillId="0" borderId="0" xfId="0" applyFont="1" applyAlignment="1" applyProtection="1">
      <alignment vertical="center"/>
    </xf>
    <xf numFmtId="0" fontId="52" fillId="0" borderId="0" xfId="0" applyFont="1" applyBorder="1" applyAlignment="1">
      <alignment vertical="center"/>
    </xf>
    <xf numFmtId="14" fontId="17" fillId="10" borderId="0" xfId="1" applyNumberFormat="1" applyFont="1" applyFill="1" applyProtection="1">
      <protection locked="0" hidden="1"/>
    </xf>
    <xf numFmtId="0" fontId="24" fillId="12" borderId="53" xfId="1" applyFont="1" applyFill="1" applyBorder="1" applyAlignment="1" applyProtection="1">
      <alignment vertical="center" wrapText="1"/>
      <protection hidden="1"/>
    </xf>
    <xf numFmtId="14" fontId="56" fillId="0" borderId="0" xfId="0" applyNumberFormat="1" applyFont="1" applyAlignment="1">
      <alignment horizontal="right" vertical="center"/>
    </xf>
    <xf numFmtId="0" fontId="54" fillId="0" borderId="0" xfId="0" applyFont="1" applyAlignment="1">
      <alignment wrapText="1"/>
    </xf>
    <xf numFmtId="0" fontId="60" fillId="0" borderId="0" xfId="0" applyFont="1" applyAlignment="1">
      <alignment vertical="center"/>
    </xf>
    <xf numFmtId="0" fontId="61" fillId="18" borderId="97" xfId="0" applyFont="1" applyFill="1" applyBorder="1" applyAlignment="1">
      <alignment horizontal="right" vertical="center"/>
    </xf>
    <xf numFmtId="14" fontId="62" fillId="0" borderId="97" xfId="0" applyNumberFormat="1" applyFont="1" applyBorder="1" applyAlignment="1" applyProtection="1">
      <alignment horizontal="center" vertical="center"/>
      <protection hidden="1"/>
    </xf>
    <xf numFmtId="0" fontId="60" fillId="0" borderId="75" xfId="0" applyFont="1" applyBorder="1" applyAlignment="1">
      <alignment vertical="center"/>
    </xf>
    <xf numFmtId="0" fontId="60" fillId="0" borderId="76" xfId="0" applyFont="1" applyBorder="1" applyAlignment="1">
      <alignment vertical="center"/>
    </xf>
    <xf numFmtId="0" fontId="61" fillId="18" borderId="77" xfId="0" applyFont="1" applyFill="1" applyBorder="1" applyAlignment="1">
      <alignment horizontal="right" vertical="center"/>
    </xf>
    <xf numFmtId="0" fontId="61" fillId="18" borderId="80" xfId="0" applyFont="1" applyFill="1" applyBorder="1" applyAlignment="1">
      <alignment horizontal="right" vertical="center"/>
    </xf>
    <xf numFmtId="0" fontId="60" fillId="0" borderId="96" xfId="0" applyFont="1" applyBorder="1" applyAlignment="1">
      <alignment vertical="center"/>
    </xf>
    <xf numFmtId="0" fontId="61" fillId="18" borderId="77" xfId="0" applyFont="1" applyFill="1" applyBorder="1" applyAlignment="1" applyProtection="1">
      <alignment horizontal="center" vertical="center"/>
      <protection hidden="1"/>
    </xf>
    <xf numFmtId="0" fontId="61" fillId="18" borderId="78" xfId="0" applyFont="1" applyFill="1" applyBorder="1" applyAlignment="1" applyProtection="1">
      <alignment horizontal="center" vertical="center"/>
      <protection hidden="1"/>
    </xf>
    <xf numFmtId="0" fontId="61" fillId="18" borderId="79" xfId="0" applyFont="1" applyFill="1" applyBorder="1" applyAlignment="1" applyProtection="1">
      <alignment horizontal="center" vertical="center"/>
      <protection hidden="1"/>
    </xf>
    <xf numFmtId="0" fontId="61" fillId="15" borderId="0" xfId="0" applyFont="1" applyFill="1" applyBorder="1" applyAlignment="1">
      <alignment horizontal="center" vertical="center" wrapText="1"/>
    </xf>
    <xf numFmtId="0" fontId="61" fillId="15" borderId="0" xfId="0" applyFont="1" applyFill="1" applyBorder="1" applyAlignment="1">
      <alignment horizontal="center" vertical="center"/>
    </xf>
    <xf numFmtId="0" fontId="64" fillId="15" borderId="0" xfId="0" applyFont="1" applyFill="1" applyBorder="1" applyAlignment="1">
      <alignment vertical="center"/>
    </xf>
    <xf numFmtId="0" fontId="62" fillId="0" borderId="83" xfId="0" applyFont="1" applyBorder="1" applyAlignment="1" applyProtection="1">
      <alignment horizontal="center" vertical="center"/>
      <protection hidden="1"/>
    </xf>
    <xf numFmtId="9" fontId="62" fillId="0" borderId="84" xfId="0" applyNumberFormat="1" applyFont="1" applyBorder="1" applyAlignment="1" applyProtection="1">
      <alignment horizontal="center" vertical="center"/>
      <protection hidden="1"/>
    </xf>
    <xf numFmtId="49" fontId="62" fillId="0" borderId="84" xfId="9" applyNumberFormat="1" applyFont="1" applyBorder="1" applyAlignment="1" applyProtection="1">
      <alignment horizontal="center" vertical="center"/>
      <protection hidden="1"/>
    </xf>
    <xf numFmtId="170" fontId="62" fillId="0" borderId="85" xfId="0" applyNumberFormat="1" applyFont="1" applyFill="1" applyBorder="1" applyAlignment="1" applyProtection="1">
      <alignment vertical="center"/>
      <protection hidden="1"/>
    </xf>
    <xf numFmtId="170" fontId="64" fillId="15" borderId="0" xfId="9" applyNumberFormat="1" applyFont="1" applyFill="1" applyBorder="1" applyAlignment="1">
      <alignment horizontal="center" vertical="center"/>
    </xf>
    <xf numFmtId="170" fontId="64" fillId="15" borderId="0" xfId="0" applyNumberFormat="1" applyFont="1" applyFill="1" applyBorder="1" applyAlignment="1">
      <alignment horizontal="center" vertical="center"/>
    </xf>
    <xf numFmtId="0" fontId="62" fillId="0" borderId="80" xfId="0" applyFont="1" applyBorder="1" applyAlignment="1" applyProtection="1">
      <alignment horizontal="center" vertical="center"/>
      <protection hidden="1"/>
    </xf>
    <xf numFmtId="9" fontId="62" fillId="0" borderId="81" xfId="0" applyNumberFormat="1" applyFont="1" applyBorder="1" applyAlignment="1" applyProtection="1">
      <alignment horizontal="center" vertical="center"/>
      <protection hidden="1"/>
    </xf>
    <xf numFmtId="9" fontId="62" fillId="0" borderId="82" xfId="0" applyNumberFormat="1" applyFont="1" applyBorder="1" applyAlignment="1" applyProtection="1">
      <alignment horizontal="center" vertical="center"/>
      <protection hidden="1"/>
    </xf>
    <xf numFmtId="0" fontId="60" fillId="0" borderId="74" xfId="0" applyFont="1" applyBorder="1" applyAlignment="1" applyProtection="1">
      <alignment vertical="center"/>
      <protection hidden="1"/>
    </xf>
    <xf numFmtId="0" fontId="60" fillId="0" borderId="0" xfId="0" applyFont="1" applyAlignment="1" applyProtection="1">
      <alignment vertical="center"/>
      <protection hidden="1"/>
    </xf>
    <xf numFmtId="0" fontId="61" fillId="18" borderId="77" xfId="0" applyFont="1" applyFill="1" applyBorder="1" applyAlignment="1" applyProtection="1">
      <alignment vertical="center"/>
      <protection hidden="1"/>
    </xf>
    <xf numFmtId="170" fontId="63" fillId="0" borderId="79" xfId="0" applyNumberFormat="1" applyFont="1" applyFill="1" applyBorder="1" applyAlignment="1" applyProtection="1">
      <alignment vertical="center"/>
      <protection hidden="1"/>
    </xf>
    <xf numFmtId="0" fontId="64" fillId="16" borderId="0" xfId="1" applyFont="1" applyFill="1" applyBorder="1" applyAlignment="1" applyProtection="1">
      <alignment horizontal="center"/>
      <protection locked="0" hidden="1"/>
    </xf>
    <xf numFmtId="0" fontId="64" fillId="16" borderId="0" xfId="1" applyFont="1" applyFill="1" applyBorder="1" applyAlignment="1" applyProtection="1">
      <alignment horizontal="center"/>
      <protection hidden="1"/>
    </xf>
    <xf numFmtId="170" fontId="64" fillId="15" borderId="0" xfId="0" applyNumberFormat="1" applyFont="1" applyFill="1" applyBorder="1" applyAlignment="1">
      <alignment vertical="center"/>
    </xf>
    <xf numFmtId="0" fontId="60" fillId="0" borderId="0" xfId="0" applyFont="1" applyBorder="1" applyAlignment="1" applyProtection="1">
      <alignment vertical="center"/>
      <protection hidden="1"/>
    </xf>
    <xf numFmtId="0" fontId="61" fillId="18" borderId="83" xfId="0" applyFont="1" applyFill="1" applyBorder="1" applyAlignment="1" applyProtection="1">
      <alignment vertical="center" wrapText="1"/>
      <protection hidden="1"/>
    </xf>
    <xf numFmtId="170" fontId="63" fillId="0" borderId="85" xfId="0" applyNumberFormat="1" applyFont="1" applyFill="1" applyBorder="1" applyAlignment="1" applyProtection="1">
      <alignment vertical="center"/>
      <protection hidden="1"/>
    </xf>
    <xf numFmtId="0" fontId="61" fillId="18" borderId="83" xfId="0" applyFont="1" applyFill="1" applyBorder="1" applyAlignment="1" applyProtection="1">
      <alignment vertical="center"/>
      <protection hidden="1"/>
    </xf>
    <xf numFmtId="0" fontId="61" fillId="18" borderId="96" xfId="0" applyFont="1" applyFill="1" applyBorder="1" applyAlignment="1" applyProtection="1">
      <alignment horizontal="center" vertical="center" wrapText="1"/>
      <protection hidden="1"/>
    </xf>
    <xf numFmtId="0" fontId="61" fillId="18" borderId="80" xfId="0" applyFont="1" applyFill="1" applyBorder="1" applyAlignment="1" applyProtection="1">
      <alignment vertical="center"/>
      <protection hidden="1"/>
    </xf>
    <xf numFmtId="170" fontId="63" fillId="0" borderId="82" xfId="0" applyNumberFormat="1" applyFont="1" applyFill="1" applyBorder="1" applyAlignment="1" applyProtection="1">
      <alignment vertical="center"/>
      <protection hidden="1"/>
    </xf>
    <xf numFmtId="0" fontId="60" fillId="0" borderId="0" xfId="0" applyFont="1" applyProtection="1">
      <protection hidden="1"/>
    </xf>
    <xf numFmtId="0" fontId="60" fillId="0" borderId="76" xfId="0" applyFont="1" applyBorder="1" applyProtection="1">
      <protection hidden="1"/>
    </xf>
    <xf numFmtId="170" fontId="62" fillId="0" borderId="0" xfId="0" applyNumberFormat="1" applyFont="1" applyFill="1" applyBorder="1" applyAlignment="1">
      <alignment vertical="center"/>
    </xf>
    <xf numFmtId="0" fontId="61" fillId="18" borderId="97" xfId="0" applyFont="1" applyFill="1" applyBorder="1" applyAlignment="1" applyProtection="1">
      <alignment horizontal="center" vertical="center"/>
      <protection hidden="1"/>
    </xf>
    <xf numFmtId="0" fontId="62" fillId="0" borderId="77" xfId="0" applyFont="1" applyBorder="1" applyAlignment="1" applyProtection="1">
      <alignment horizontal="center" vertical="center"/>
      <protection hidden="1"/>
    </xf>
    <xf numFmtId="170" fontId="62" fillId="0" borderId="78" xfId="0" applyNumberFormat="1" applyFont="1" applyBorder="1" applyAlignment="1" applyProtection="1">
      <alignment vertical="center"/>
      <protection hidden="1"/>
    </xf>
    <xf numFmtId="170" fontId="62" fillId="21" borderId="79" xfId="0" applyNumberFormat="1" applyFont="1" applyFill="1" applyBorder="1" applyAlignment="1" applyProtection="1">
      <alignment vertical="center"/>
      <protection hidden="1"/>
    </xf>
    <xf numFmtId="0" fontId="60" fillId="0" borderId="101" xfId="0" applyFont="1" applyBorder="1" applyAlignment="1">
      <alignment vertical="center"/>
    </xf>
    <xf numFmtId="170" fontId="62" fillId="0" borderId="84" xfId="0" applyNumberFormat="1" applyFont="1" applyBorder="1" applyAlignment="1" applyProtection="1">
      <alignment vertical="center"/>
      <protection hidden="1"/>
    </xf>
    <xf numFmtId="170" fontId="62" fillId="0" borderId="85" xfId="0" applyNumberFormat="1" applyFont="1" applyBorder="1" applyAlignment="1" applyProtection="1">
      <alignment vertical="center"/>
      <protection hidden="1"/>
    </xf>
    <xf numFmtId="170" fontId="62" fillId="0" borderId="81" xfId="0" applyNumberFormat="1" applyFont="1" applyBorder="1" applyAlignment="1" applyProtection="1">
      <alignment vertical="center"/>
      <protection hidden="1"/>
    </xf>
    <xf numFmtId="170" fontId="62" fillId="0" borderId="82" xfId="0" applyNumberFormat="1" applyFont="1" applyBorder="1" applyAlignment="1" applyProtection="1">
      <alignment vertical="center"/>
      <protection hidden="1"/>
    </xf>
    <xf numFmtId="0" fontId="62" fillId="0" borderId="0" xfId="0" applyFont="1" applyAlignment="1">
      <alignment vertical="center"/>
    </xf>
    <xf numFmtId="0" fontId="60" fillId="0" borderId="74" xfId="0" applyFont="1" applyBorder="1" applyAlignment="1">
      <alignment vertical="center"/>
    </xf>
    <xf numFmtId="0" fontId="64" fillId="10" borderId="0" xfId="1" applyFont="1" applyFill="1" applyProtection="1">
      <protection locked="0" hidden="1"/>
    </xf>
    <xf numFmtId="0" fontId="62" fillId="0" borderId="0" xfId="0" applyFont="1" applyAlignment="1">
      <alignment horizontal="left" vertical="center" wrapText="1"/>
    </xf>
    <xf numFmtId="0" fontId="62" fillId="0" borderId="0" xfId="0" applyFont="1" applyAlignment="1">
      <alignment horizontal="right"/>
    </xf>
    <xf numFmtId="0" fontId="62" fillId="0" borderId="0" xfId="0" applyFont="1" applyAlignment="1">
      <alignment horizontal="right" vertical="center"/>
    </xf>
    <xf numFmtId="0" fontId="62" fillId="0" borderId="0" xfId="0" applyFont="1" applyBorder="1" applyAlignment="1">
      <alignment horizontal="left" vertical="center" wrapText="1"/>
    </xf>
    <xf numFmtId="0" fontId="11" fillId="22" borderId="9" xfId="4" applyFont="1" applyFill="1" applyBorder="1" applyAlignment="1" applyProtection="1">
      <alignment horizontal="center" vertical="center"/>
      <protection hidden="1"/>
    </xf>
    <xf numFmtId="0" fontId="11" fillId="22" borderId="23" xfId="4" applyFont="1" applyFill="1" applyBorder="1" applyAlignment="1" applyProtection="1">
      <alignment horizontal="center" vertical="center"/>
      <protection hidden="1"/>
    </xf>
    <xf numFmtId="4" fontId="25" fillId="0" borderId="102" xfId="1" applyNumberFormat="1" applyFont="1" applyFill="1" applyBorder="1" applyAlignment="1" applyProtection="1">
      <alignment horizontal="right"/>
      <protection hidden="1"/>
    </xf>
    <xf numFmtId="4" fontId="24" fillId="12" borderId="103" xfId="1" applyNumberFormat="1" applyFont="1" applyFill="1" applyBorder="1" applyAlignment="1" applyProtection="1">
      <alignment horizontal="right" vertical="center"/>
      <protection hidden="1"/>
    </xf>
    <xf numFmtId="43" fontId="7" fillId="0" borderId="0" xfId="10" applyNumberFormat="1" applyFont="1" applyAlignment="1">
      <alignment vertical="center"/>
    </xf>
    <xf numFmtId="43" fontId="7" fillId="0" borderId="0" xfId="4" applyNumberFormat="1" applyFont="1" applyAlignment="1">
      <alignment vertical="center"/>
    </xf>
    <xf numFmtId="168" fontId="5" fillId="0" borderId="22" xfId="1" applyNumberFormat="1" applyFill="1" applyBorder="1"/>
    <xf numFmtId="0" fontId="5" fillId="0" borderId="22" xfId="1" applyFill="1" applyBorder="1"/>
    <xf numFmtId="0" fontId="51" fillId="15" borderId="0" xfId="0" applyFont="1" applyFill="1" applyAlignment="1" applyProtection="1">
      <alignment vertical="top" wrapText="1"/>
    </xf>
    <xf numFmtId="0" fontId="42" fillId="10" borderId="0" xfId="1" applyFont="1" applyFill="1" applyBorder="1" applyAlignment="1" applyProtection="1">
      <alignment horizontal="left" vertical="center"/>
      <protection hidden="1"/>
    </xf>
    <xf numFmtId="0" fontId="62" fillId="0" borderId="0" xfId="0" applyFont="1" applyBorder="1" applyAlignment="1">
      <alignment horizontal="left" vertical="center" wrapText="1"/>
    </xf>
    <xf numFmtId="0" fontId="62" fillId="0" borderId="0" xfId="0" applyFont="1" applyAlignment="1">
      <alignment horizontal="left" vertical="center" wrapText="1"/>
    </xf>
    <xf numFmtId="0" fontId="62" fillId="0" borderId="0" xfId="0" applyFont="1" applyAlignment="1" applyProtection="1">
      <alignment vertical="center" wrapText="1"/>
      <protection hidden="1"/>
    </xf>
    <xf numFmtId="0" fontId="4" fillId="0" borderId="104" xfId="0" applyFont="1" applyBorder="1" applyAlignment="1">
      <alignment horizontal="center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11" fillId="0" borderId="9" xfId="4" quotePrefix="1" applyFont="1" applyFill="1" applyBorder="1" applyAlignment="1" applyProtection="1">
      <alignment horizontal="center" vertical="center"/>
      <protection hidden="1"/>
    </xf>
    <xf numFmtId="0" fontId="66" fillId="0" borderId="105" xfId="0" applyFont="1" applyFill="1" applyBorder="1" applyAlignment="1">
      <alignment horizontal="center" vertical="center" wrapText="1"/>
    </xf>
    <xf numFmtId="0" fontId="66" fillId="0" borderId="106" xfId="0" applyFont="1" applyFill="1" applyBorder="1" applyAlignment="1">
      <alignment horizontal="center" vertical="center" wrapText="1"/>
    </xf>
    <xf numFmtId="0" fontId="66" fillId="5" borderId="106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center" vertical="center" wrapText="1"/>
    </xf>
    <xf numFmtId="0" fontId="7" fillId="0" borderId="73" xfId="4" applyFont="1" applyFill="1" applyBorder="1" applyAlignment="1" applyProtection="1">
      <alignment vertical="center"/>
      <protection hidden="1"/>
    </xf>
    <xf numFmtId="0" fontId="7" fillId="0" borderId="22" xfId="4" applyNumberFormat="1" applyFont="1" applyBorder="1" applyAlignment="1" applyProtection="1">
      <alignment horizontal="center" vertical="center"/>
      <protection hidden="1"/>
    </xf>
    <xf numFmtId="0" fontId="7" fillId="0" borderId="0" xfId="4" applyNumberFormat="1" applyFont="1" applyBorder="1" applyAlignment="1" applyProtection="1">
      <alignment horizontal="center" vertical="center"/>
      <protection hidden="1"/>
    </xf>
    <xf numFmtId="0" fontId="25" fillId="0" borderId="108" xfId="1" applyFont="1" applyFill="1" applyBorder="1" applyAlignment="1" applyProtection="1">
      <alignment horizontal="center" vertical="center"/>
      <protection locked="0" hidden="1"/>
    </xf>
    <xf numFmtId="167" fontId="25" fillId="11" borderId="50" xfId="1" applyNumberFormat="1" applyFont="1" applyFill="1" applyBorder="1" applyAlignment="1" applyProtection="1">
      <alignment horizontal="center" vertical="center"/>
      <protection locked="0" hidden="1"/>
    </xf>
    <xf numFmtId="174" fontId="25" fillId="10" borderId="53" xfId="5" applyNumberFormat="1" applyFont="1" applyFill="1" applyBorder="1" applyAlignment="1" applyProtection="1">
      <alignment horizontal="center" vertical="center"/>
      <protection hidden="1"/>
    </xf>
    <xf numFmtId="0" fontId="0" fillId="5" borderId="0" xfId="0" applyFill="1"/>
    <xf numFmtId="0" fontId="0" fillId="5" borderId="0" xfId="0" applyFill="1" applyAlignment="1"/>
    <xf numFmtId="2" fontId="6" fillId="23" borderId="38" xfId="1" applyNumberFormat="1" applyFont="1" applyFill="1" applyBorder="1" applyAlignment="1">
      <alignment horizontal="center" vertical="center"/>
    </xf>
    <xf numFmtId="0" fontId="0" fillId="23" borderId="0" xfId="0" applyFill="1"/>
    <xf numFmtId="0" fontId="5" fillId="23" borderId="0" xfId="1" applyFill="1"/>
    <xf numFmtId="9" fontId="7" fillId="23" borderId="0" xfId="4" applyNumberFormat="1" applyFont="1" applyFill="1" applyBorder="1" applyAlignment="1" applyProtection="1">
      <alignment vertical="center"/>
      <protection hidden="1"/>
    </xf>
    <xf numFmtId="0" fontId="67" fillId="0" borderId="0" xfId="4" applyFont="1" applyAlignment="1">
      <alignment vertical="center"/>
    </xf>
    <xf numFmtId="4" fontId="66" fillId="5" borderId="15" xfId="5" applyNumberFormat="1" applyFont="1" applyFill="1" applyBorder="1" applyAlignment="1" applyProtection="1">
      <alignment vertical="center"/>
      <protection hidden="1"/>
    </xf>
    <xf numFmtId="4" fontId="66" fillId="5" borderId="22" xfId="5" applyNumberFormat="1" applyFont="1" applyFill="1" applyBorder="1" applyAlignment="1" applyProtection="1">
      <alignment vertical="center"/>
      <protection hidden="1"/>
    </xf>
    <xf numFmtId="4" fontId="68" fillId="5" borderId="22" xfId="5" applyNumberFormat="1" applyFont="1" applyFill="1" applyBorder="1" applyAlignment="1" applyProtection="1">
      <alignment vertical="center"/>
      <protection hidden="1"/>
    </xf>
    <xf numFmtId="43" fontId="66" fillId="5" borderId="22" xfId="9" applyFont="1" applyFill="1" applyBorder="1" applyAlignment="1" applyProtection="1">
      <alignment vertical="center"/>
      <protection hidden="1"/>
    </xf>
    <xf numFmtId="4" fontId="66" fillId="5" borderId="23" xfId="5" applyNumberFormat="1" applyFont="1" applyFill="1" applyBorder="1" applyAlignment="1" applyProtection="1">
      <alignment vertical="center"/>
      <protection hidden="1"/>
    </xf>
    <xf numFmtId="0" fontId="69" fillId="0" borderId="9" xfId="4" applyFont="1" applyFill="1" applyBorder="1" applyAlignment="1" applyProtection="1">
      <alignment horizontal="center" vertical="center"/>
      <protection hidden="1"/>
    </xf>
    <xf numFmtId="175" fontId="7" fillId="4" borderId="15" xfId="4" applyNumberFormat="1" applyFont="1" applyFill="1" applyBorder="1" applyAlignment="1" applyProtection="1">
      <alignment horizontal="right" vertical="center"/>
      <protection hidden="1"/>
    </xf>
    <xf numFmtId="175" fontId="7" fillId="4" borderId="22" xfId="4" applyNumberFormat="1" applyFont="1" applyFill="1" applyBorder="1" applyAlignment="1" applyProtection="1">
      <alignment horizontal="right" vertical="center"/>
      <protection hidden="1"/>
    </xf>
    <xf numFmtId="0" fontId="7" fillId="0" borderId="15" xfId="4" applyFont="1" applyFill="1" applyBorder="1" applyAlignment="1" applyProtection="1">
      <alignment vertical="center"/>
      <protection hidden="1"/>
    </xf>
    <xf numFmtId="0" fontId="5" fillId="0" borderId="15" xfId="1" applyFill="1" applyBorder="1"/>
    <xf numFmtId="0" fontId="7" fillId="0" borderId="22" xfId="4" applyFont="1" applyFill="1" applyBorder="1" applyAlignment="1" applyProtection="1">
      <alignment vertical="center"/>
      <protection hidden="1"/>
    </xf>
    <xf numFmtId="9" fontId="7" fillId="0" borderId="22" xfId="4" applyNumberFormat="1" applyFont="1" applyFill="1" applyBorder="1" applyAlignment="1" applyProtection="1">
      <alignment vertical="center"/>
      <protection hidden="1"/>
    </xf>
    <xf numFmtId="0" fontId="7" fillId="0" borderId="0" xfId="4" applyFont="1" applyFill="1" applyAlignment="1" applyProtection="1">
      <alignment vertical="center"/>
      <protection hidden="1"/>
    </xf>
    <xf numFmtId="9" fontId="5" fillId="0" borderId="22" xfId="1" applyNumberFormat="1" applyFill="1" applyBorder="1"/>
    <xf numFmtId="0" fontId="7" fillId="0" borderId="23" xfId="4" applyFont="1" applyFill="1" applyBorder="1" applyAlignment="1" applyProtection="1">
      <alignment vertical="center"/>
      <protection hidden="1"/>
    </xf>
    <xf numFmtId="0" fontId="5" fillId="0" borderId="23" xfId="1" applyFill="1" applyBorder="1"/>
    <xf numFmtId="0" fontId="2" fillId="2" borderId="109" xfId="1" applyFont="1" applyFill="1" applyBorder="1" applyAlignment="1">
      <alignment horizontal="center" vertical="center"/>
    </xf>
    <xf numFmtId="0" fontId="5" fillId="0" borderId="110" xfId="1" applyBorder="1"/>
    <xf numFmtId="0" fontId="5" fillId="0" borderId="111" xfId="1" applyBorder="1"/>
    <xf numFmtId="3" fontId="7" fillId="0" borderId="111" xfId="4" applyNumberFormat="1" applyFont="1" applyFill="1" applyBorder="1" applyAlignment="1" applyProtection="1">
      <alignment horizontal="right" vertical="center"/>
      <protection hidden="1"/>
    </xf>
    <xf numFmtId="0" fontId="5" fillId="0" borderId="112" xfId="1" applyBorder="1"/>
    <xf numFmtId="3" fontId="7" fillId="0" borderId="111" xfId="4" applyNumberFormat="1" applyFont="1" applyBorder="1" applyAlignment="1" applyProtection="1">
      <alignment horizontal="right" vertical="center"/>
      <protection hidden="1"/>
    </xf>
    <xf numFmtId="0" fontId="0" fillId="0" borderId="113" xfId="0" applyBorder="1"/>
    <xf numFmtId="164" fontId="7" fillId="0" borderId="114" xfId="4" applyNumberFormat="1" applyFont="1" applyBorder="1" applyAlignment="1" applyProtection="1">
      <alignment horizontal="center" vertical="center"/>
      <protection hidden="1"/>
    </xf>
    <xf numFmtId="0" fontId="0" fillId="0" borderId="114" xfId="0" applyBorder="1"/>
    <xf numFmtId="0" fontId="5" fillId="0" borderId="115" xfId="1" applyBorder="1"/>
    <xf numFmtId="0" fontId="25" fillId="10" borderId="50" xfId="1" applyFont="1" applyFill="1" applyBorder="1" applyAlignment="1" applyProtection="1">
      <alignment horizontal="left" vertical="center"/>
      <protection locked="0" hidden="1"/>
    </xf>
    <xf numFmtId="0" fontId="25" fillId="10" borderId="51" xfId="1" applyFont="1" applyFill="1" applyBorder="1" applyAlignment="1" applyProtection="1">
      <alignment horizontal="left" vertical="center"/>
      <protection locked="0" hidden="1"/>
    </xf>
    <xf numFmtId="0" fontId="25" fillId="10" borderId="52" xfId="1" applyFont="1" applyFill="1" applyBorder="1" applyAlignment="1" applyProtection="1">
      <alignment horizontal="left" vertical="center"/>
      <protection locked="0" hidden="1"/>
    </xf>
    <xf numFmtId="0" fontId="29" fillId="12" borderId="50" xfId="1" applyFont="1" applyFill="1" applyBorder="1" applyAlignment="1" applyProtection="1">
      <alignment horizontal="center" vertical="center"/>
      <protection hidden="1"/>
    </xf>
    <xf numFmtId="0" fontId="29" fillId="12" borderId="51" xfId="1" applyFont="1" applyFill="1" applyBorder="1" applyAlignment="1" applyProtection="1">
      <alignment horizontal="center" vertical="center"/>
      <protection hidden="1"/>
    </xf>
    <xf numFmtId="0" fontId="29" fillId="12" borderId="52" xfId="1" applyFont="1" applyFill="1" applyBorder="1" applyAlignment="1" applyProtection="1">
      <alignment horizontal="center" vertical="center"/>
      <protection hidden="1"/>
    </xf>
    <xf numFmtId="0" fontId="27" fillId="11" borderId="50" xfId="1" applyFont="1" applyFill="1" applyBorder="1" applyAlignment="1" applyProtection="1">
      <alignment horizontal="left"/>
      <protection hidden="1"/>
    </xf>
    <xf numFmtId="0" fontId="27" fillId="11" borderId="52" xfId="1" applyFont="1" applyFill="1" applyBorder="1" applyAlignment="1" applyProtection="1">
      <alignment horizontal="left"/>
      <protection hidden="1"/>
    </xf>
    <xf numFmtId="0" fontId="18" fillId="0" borderId="52" xfId="1" applyFont="1" applyBorder="1" applyAlignment="1" applyProtection="1">
      <alignment horizontal="left"/>
    </xf>
    <xf numFmtId="9" fontId="25" fillId="11" borderId="50" xfId="3" applyFont="1" applyFill="1" applyBorder="1" applyAlignment="1" applyProtection="1">
      <alignment horizontal="center" vertical="center"/>
      <protection locked="0" hidden="1"/>
    </xf>
    <xf numFmtId="9" fontId="25" fillId="11" borderId="52" xfId="3" applyFont="1" applyFill="1" applyBorder="1" applyAlignment="1" applyProtection="1">
      <alignment horizontal="center" vertical="center"/>
      <protection locked="0" hidden="1"/>
    </xf>
    <xf numFmtId="0" fontId="48" fillId="12" borderId="50" xfId="1" applyFont="1" applyFill="1" applyBorder="1" applyAlignment="1" applyProtection="1">
      <alignment horizontal="left" vertical="center" wrapText="1"/>
      <protection locked="0" hidden="1"/>
    </xf>
    <xf numFmtId="0" fontId="48" fillId="12" borderId="52" xfId="1" applyFont="1" applyFill="1" applyBorder="1" applyAlignment="1" applyProtection="1">
      <alignment horizontal="left" vertical="center" wrapText="1"/>
      <protection locked="0" hidden="1"/>
    </xf>
    <xf numFmtId="0" fontId="16" fillId="10" borderId="0" xfId="1" applyFont="1" applyFill="1" applyBorder="1" applyAlignment="1" applyProtection="1">
      <alignment horizontal="center" vertical="center" textRotation="90"/>
      <protection locked="0" hidden="1"/>
    </xf>
    <xf numFmtId="0" fontId="23" fillId="12" borderId="50" xfId="1" applyFont="1" applyFill="1" applyBorder="1" applyAlignment="1" applyProtection="1">
      <alignment horizontal="center" vertical="center"/>
      <protection hidden="1"/>
    </xf>
    <xf numFmtId="0" fontId="23" fillId="12" borderId="51" xfId="1" applyFont="1" applyFill="1" applyBorder="1" applyAlignment="1" applyProtection="1">
      <alignment horizontal="center" vertical="center"/>
      <protection hidden="1"/>
    </xf>
    <xf numFmtId="0" fontId="23" fillId="12" borderId="52" xfId="1" applyFont="1" applyFill="1" applyBorder="1" applyAlignment="1" applyProtection="1">
      <alignment horizontal="center" vertical="center"/>
      <protection hidden="1"/>
    </xf>
    <xf numFmtId="0" fontId="25" fillId="10" borderId="50" xfId="1" applyFont="1" applyFill="1" applyBorder="1" applyAlignment="1" applyProtection="1">
      <alignment horizontal="left"/>
      <protection locked="0" hidden="1"/>
    </xf>
    <xf numFmtId="0" fontId="25" fillId="10" borderId="51" xfId="1" applyFont="1" applyFill="1" applyBorder="1" applyAlignment="1" applyProtection="1">
      <alignment horizontal="left"/>
      <protection locked="0" hidden="1"/>
    </xf>
    <xf numFmtId="0" fontId="25" fillId="10" borderId="52" xfId="1" applyFont="1" applyFill="1" applyBorder="1" applyAlignment="1" applyProtection="1">
      <alignment horizontal="left"/>
      <protection locked="0" hidden="1"/>
    </xf>
    <xf numFmtId="0" fontId="25" fillId="10" borderId="50" xfId="1" applyFont="1" applyFill="1" applyBorder="1" applyAlignment="1" applyProtection="1">
      <alignment horizontal="left"/>
      <protection hidden="1"/>
    </xf>
    <xf numFmtId="0" fontId="25" fillId="10" borderId="51" xfId="1" applyFont="1" applyFill="1" applyBorder="1" applyAlignment="1" applyProtection="1">
      <alignment horizontal="left"/>
      <protection hidden="1"/>
    </xf>
    <xf numFmtId="0" fontId="25" fillId="10" borderId="52" xfId="1" applyFont="1" applyFill="1" applyBorder="1" applyAlignment="1" applyProtection="1">
      <alignment horizontal="left"/>
      <protection hidden="1"/>
    </xf>
    <xf numFmtId="0" fontId="33" fillId="0" borderId="54" xfId="1" applyFont="1" applyBorder="1" applyAlignment="1" applyProtection="1">
      <alignment horizontal="center" wrapText="1"/>
    </xf>
    <xf numFmtId="0" fontId="33" fillId="0" borderId="55" xfId="1" applyFont="1" applyBorder="1" applyAlignment="1" applyProtection="1">
      <alignment horizontal="center" wrapText="1"/>
    </xf>
    <xf numFmtId="166" fontId="25" fillId="0" borderId="53" xfId="1" applyNumberFormat="1" applyFont="1" applyFill="1" applyBorder="1" applyAlignment="1" applyProtection="1">
      <alignment horizontal="center" vertical="center"/>
      <protection locked="0" hidden="1"/>
    </xf>
    <xf numFmtId="0" fontId="27" fillId="0" borderId="50" xfId="1" applyFont="1" applyFill="1" applyBorder="1" applyAlignment="1" applyProtection="1">
      <alignment horizontal="center" vertical="center"/>
      <protection hidden="1"/>
    </xf>
    <xf numFmtId="0" fontId="27" fillId="0" borderId="51" xfId="1" applyFont="1" applyFill="1" applyBorder="1" applyAlignment="1" applyProtection="1">
      <alignment horizontal="center" vertical="center"/>
      <protection hidden="1"/>
    </xf>
    <xf numFmtId="44" fontId="27" fillId="11" borderId="51" xfId="8" applyFont="1" applyFill="1" applyBorder="1" applyAlignment="1" applyProtection="1">
      <alignment horizontal="center" vertical="center"/>
      <protection hidden="1"/>
    </xf>
    <xf numFmtId="44" fontId="27" fillId="11" borderId="52" xfId="8" applyFont="1" applyFill="1" applyBorder="1" applyAlignment="1" applyProtection="1">
      <alignment horizontal="center" vertical="center"/>
      <protection hidden="1"/>
    </xf>
    <xf numFmtId="0" fontId="29" fillId="12" borderId="50" xfId="1" applyFont="1" applyFill="1" applyBorder="1" applyAlignment="1" applyProtection="1">
      <alignment horizontal="center"/>
      <protection hidden="1"/>
    </xf>
    <xf numFmtId="0" fontId="29" fillId="12" borderId="51" xfId="1" applyFont="1" applyFill="1" applyBorder="1" applyAlignment="1" applyProtection="1">
      <alignment horizontal="center"/>
      <protection hidden="1"/>
    </xf>
    <xf numFmtId="0" fontId="29" fillId="12" borderId="52" xfId="1" applyFont="1" applyFill="1" applyBorder="1" applyAlignment="1" applyProtection="1">
      <alignment horizontal="center"/>
      <protection hidden="1"/>
    </xf>
    <xf numFmtId="169" fontId="30" fillId="11" borderId="62" xfId="1" applyNumberFormat="1" applyFont="1" applyFill="1" applyBorder="1" applyAlignment="1" applyProtection="1">
      <alignment horizontal="center" vertical="center"/>
      <protection hidden="1"/>
    </xf>
    <xf numFmtId="169" fontId="30" fillId="11" borderId="63" xfId="1" applyNumberFormat="1" applyFont="1" applyFill="1" applyBorder="1" applyAlignment="1" applyProtection="1">
      <alignment horizontal="center" vertical="center"/>
      <protection hidden="1"/>
    </xf>
    <xf numFmtId="169" fontId="30" fillId="11" borderId="64" xfId="1" applyNumberFormat="1" applyFont="1" applyFill="1" applyBorder="1" applyAlignment="1" applyProtection="1">
      <alignment horizontal="center" vertical="center"/>
      <protection hidden="1"/>
    </xf>
    <xf numFmtId="169" fontId="30" fillId="11" borderId="67" xfId="1" applyNumberFormat="1" applyFont="1" applyFill="1" applyBorder="1" applyAlignment="1" applyProtection="1">
      <alignment horizontal="center" vertical="center"/>
      <protection hidden="1"/>
    </xf>
    <xf numFmtId="169" fontId="30" fillId="11" borderId="68" xfId="1" applyNumberFormat="1" applyFont="1" applyFill="1" applyBorder="1" applyAlignment="1" applyProtection="1">
      <alignment horizontal="center" vertical="center"/>
      <protection hidden="1"/>
    </xf>
    <xf numFmtId="169" fontId="30" fillId="11" borderId="69" xfId="1" applyNumberFormat="1" applyFont="1" applyFill="1" applyBorder="1" applyAlignment="1" applyProtection="1">
      <alignment horizontal="center" vertical="center"/>
      <protection hidden="1"/>
    </xf>
    <xf numFmtId="170" fontId="24" fillId="12" borderId="50" xfId="1" applyNumberFormat="1" applyFont="1" applyFill="1" applyBorder="1" applyAlignment="1" applyProtection="1">
      <alignment horizontal="center" vertical="center"/>
      <protection hidden="1"/>
    </xf>
    <xf numFmtId="170" fontId="24" fillId="12" borderId="51" xfId="1" applyNumberFormat="1" applyFont="1" applyFill="1" applyBorder="1" applyAlignment="1" applyProtection="1">
      <alignment horizontal="center" vertical="center"/>
      <protection hidden="1"/>
    </xf>
    <xf numFmtId="170" fontId="24" fillId="12" borderId="52" xfId="1" applyNumberFormat="1" applyFont="1" applyFill="1" applyBorder="1" applyAlignment="1" applyProtection="1">
      <alignment horizontal="center" vertical="center"/>
      <protection hidden="1"/>
    </xf>
    <xf numFmtId="0" fontId="24" fillId="12" borderId="54" xfId="1" applyFont="1" applyFill="1" applyBorder="1" applyAlignment="1" applyProtection="1">
      <alignment horizontal="center" vertical="center"/>
      <protection hidden="1"/>
    </xf>
    <xf numFmtId="0" fontId="24" fillId="12" borderId="55" xfId="1" applyFont="1" applyFill="1" applyBorder="1" applyAlignment="1" applyProtection="1">
      <alignment horizontal="center" vertical="center"/>
      <protection hidden="1"/>
    </xf>
    <xf numFmtId="14" fontId="25" fillId="10" borderId="54" xfId="5" applyNumberFormat="1" applyFont="1" applyFill="1" applyBorder="1" applyAlignment="1" applyProtection="1">
      <alignment horizontal="center" vertical="center"/>
      <protection hidden="1"/>
    </xf>
    <xf numFmtId="14" fontId="25" fillId="10" borderId="55" xfId="5" applyNumberFormat="1" applyFont="1" applyFill="1" applyBorder="1" applyAlignment="1" applyProtection="1">
      <alignment horizontal="center" vertical="center"/>
      <protection hidden="1"/>
    </xf>
    <xf numFmtId="44" fontId="27" fillId="11" borderId="51" xfId="8" applyFont="1" applyFill="1" applyBorder="1" applyAlignment="1" applyProtection="1">
      <alignment horizontal="center"/>
      <protection hidden="1"/>
    </xf>
    <xf numFmtId="44" fontId="27" fillId="11" borderId="52" xfId="8" applyFont="1" applyFill="1" applyBorder="1" applyAlignment="1" applyProtection="1">
      <alignment horizontal="center"/>
      <protection hidden="1"/>
    </xf>
    <xf numFmtId="0" fontId="27" fillId="0" borderId="53" xfId="1" applyFont="1" applyFill="1" applyBorder="1" applyAlignment="1" applyProtection="1">
      <alignment horizontal="left"/>
      <protection hidden="1"/>
    </xf>
    <xf numFmtId="0" fontId="18" fillId="0" borderId="53" xfId="1" applyFont="1" applyFill="1" applyBorder="1" applyAlignment="1" applyProtection="1">
      <alignment horizontal="left"/>
      <protection hidden="1"/>
    </xf>
    <xf numFmtId="169" fontId="25" fillId="0" borderId="50" xfId="9" applyNumberFormat="1" applyFont="1" applyFill="1" applyBorder="1" applyAlignment="1" applyProtection="1">
      <alignment horizontal="center" vertical="center"/>
      <protection locked="0" hidden="1"/>
    </xf>
    <xf numFmtId="169" fontId="25" fillId="0" borderId="52" xfId="9" applyNumberFormat="1" applyFont="1" applyFill="1" applyBorder="1" applyAlignment="1" applyProtection="1">
      <alignment horizontal="center" vertical="center"/>
      <protection locked="0" hidden="1"/>
    </xf>
    <xf numFmtId="0" fontId="28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54" xfId="1" applyFont="1" applyBorder="1" applyAlignment="1" applyProtection="1">
      <alignment horizontal="left" wrapText="1"/>
    </xf>
    <xf numFmtId="0" fontId="32" fillId="0" borderId="55" xfId="1" applyFont="1" applyBorder="1" applyAlignment="1" applyProtection="1">
      <alignment horizontal="left" wrapText="1"/>
    </xf>
    <xf numFmtId="0" fontId="27" fillId="11" borderId="53" xfId="1" applyFont="1" applyFill="1" applyBorder="1" applyAlignment="1" applyProtection="1">
      <alignment horizontal="left"/>
      <protection hidden="1"/>
    </xf>
    <xf numFmtId="0" fontId="18" fillId="0" borderId="53" xfId="1" applyFont="1" applyBorder="1" applyAlignment="1" applyProtection="1">
      <alignment horizontal="left"/>
      <protection hidden="1"/>
    </xf>
    <xf numFmtId="0" fontId="1" fillId="15" borderId="0" xfId="0" applyFont="1" applyFill="1" applyAlignment="1" applyProtection="1">
      <alignment horizontal="left" vertical="top" wrapText="1"/>
    </xf>
    <xf numFmtId="0" fontId="50" fillId="15" borderId="0" xfId="0" applyFont="1" applyFill="1" applyAlignment="1" applyProtection="1">
      <alignment horizontal="left" vertical="center" wrapText="1"/>
    </xf>
    <xf numFmtId="0" fontId="47" fillId="15" borderId="0" xfId="1" applyFont="1" applyFill="1" applyBorder="1" applyAlignment="1" applyProtection="1">
      <alignment horizontal="left" vertical="center" wrapText="1"/>
      <protection hidden="1"/>
    </xf>
    <xf numFmtId="0" fontId="41" fillId="11" borderId="50" xfId="1" applyFont="1" applyFill="1" applyBorder="1" applyAlignment="1" applyProtection="1">
      <alignment horizontal="left" vertical="center"/>
      <protection locked="0" hidden="1"/>
    </xf>
    <xf numFmtId="0" fontId="41" fillId="11" borderId="51" xfId="1" applyFont="1" applyFill="1" applyBorder="1" applyAlignment="1" applyProtection="1">
      <alignment horizontal="left" vertical="center"/>
      <protection locked="0" hidden="1"/>
    </xf>
    <xf numFmtId="0" fontId="41" fillId="11" borderId="52" xfId="1" applyFont="1" applyFill="1" applyBorder="1" applyAlignment="1" applyProtection="1">
      <alignment horizontal="left" vertical="center"/>
      <protection locked="0" hidden="1"/>
    </xf>
    <xf numFmtId="0" fontId="51" fillId="10" borderId="0" xfId="1" quotePrefix="1" applyFont="1" applyFill="1" applyBorder="1" applyAlignment="1" applyProtection="1">
      <alignment horizontal="justify" vertical="center" wrapText="1"/>
      <protection hidden="1"/>
    </xf>
    <xf numFmtId="0" fontId="51" fillId="10" borderId="0" xfId="1" applyFont="1" applyFill="1" applyBorder="1" applyAlignment="1" applyProtection="1">
      <alignment horizontal="justify" vertical="center" wrapText="1"/>
      <protection hidden="1"/>
    </xf>
    <xf numFmtId="0" fontId="1" fillId="15" borderId="0" xfId="0" applyFont="1" applyFill="1" applyAlignment="1" applyProtection="1">
      <alignment horizontal="left" wrapText="1"/>
    </xf>
    <xf numFmtId="0" fontId="1" fillId="15" borderId="0" xfId="0" applyFont="1" applyFill="1" applyAlignment="1" applyProtection="1">
      <alignment horizontal="left" vertical="center" wrapText="1"/>
    </xf>
    <xf numFmtId="0" fontId="51" fillId="10" borderId="0" xfId="1" applyFont="1" applyFill="1" applyBorder="1" applyAlignment="1" applyProtection="1">
      <alignment horizontal="left" vertical="center" wrapText="1"/>
      <protection hidden="1"/>
    </xf>
    <xf numFmtId="0" fontId="60" fillId="0" borderId="76" xfId="0" applyFont="1" applyBorder="1" applyAlignment="1" applyProtection="1">
      <alignment horizontal="left" vertical="center"/>
      <protection locked="0"/>
    </xf>
    <xf numFmtId="0" fontId="62" fillId="0" borderId="0" xfId="0" applyFont="1" applyAlignment="1">
      <alignment horizontal="left" vertical="center" wrapText="1"/>
    </xf>
    <xf numFmtId="0" fontId="62" fillId="19" borderId="76" xfId="0" applyFont="1" applyFill="1" applyBorder="1" applyAlignment="1" applyProtection="1">
      <alignment horizontal="center" vertical="center" wrapText="1"/>
      <protection locked="0" hidden="1"/>
    </xf>
    <xf numFmtId="0" fontId="62" fillId="19" borderId="95" xfId="0" applyFont="1" applyFill="1" applyBorder="1" applyAlignment="1" applyProtection="1">
      <alignment horizontal="center" vertical="center" wrapText="1"/>
      <protection locked="0" hidden="1"/>
    </xf>
    <xf numFmtId="0" fontId="62" fillId="0" borderId="0" xfId="0" applyFont="1" applyAlignment="1" applyProtection="1">
      <alignment horizontal="left" vertical="center" wrapText="1"/>
      <protection hidden="1"/>
    </xf>
    <xf numFmtId="0" fontId="63" fillId="0" borderId="0" xfId="0" applyFont="1" applyAlignment="1">
      <alignment horizontal="center" vertical="center" wrapText="1"/>
    </xf>
    <xf numFmtId="0" fontId="60" fillId="0" borderId="75" xfId="0" applyFont="1" applyBorder="1" applyAlignment="1" applyProtection="1">
      <alignment horizontal="left" vertical="center"/>
      <protection locked="0"/>
    </xf>
    <xf numFmtId="0" fontId="62" fillId="0" borderId="0" xfId="0" applyFont="1" applyAlignment="1" applyProtection="1">
      <alignment horizontal="left" vertical="top" wrapText="1"/>
      <protection hidden="1"/>
    </xf>
    <xf numFmtId="0" fontId="63" fillId="0" borderId="83" xfId="0" applyFont="1" applyBorder="1" applyAlignment="1" applyProtection="1">
      <alignment horizontal="center" vertical="center" wrapText="1"/>
      <protection hidden="1"/>
    </xf>
    <xf numFmtId="0" fontId="63" fillId="0" borderId="84" xfId="0" applyFont="1" applyBorder="1" applyAlignment="1" applyProtection="1">
      <alignment horizontal="center" vertical="center" wrapText="1"/>
      <protection hidden="1"/>
    </xf>
    <xf numFmtId="0" fontId="63" fillId="0" borderId="80" xfId="0" applyFont="1" applyBorder="1" applyAlignment="1" applyProtection="1">
      <alignment horizontal="center" vertical="center" wrapText="1"/>
      <protection hidden="1"/>
    </xf>
    <xf numFmtId="0" fontId="63" fillId="0" borderId="81" xfId="0" applyFont="1" applyBorder="1" applyAlignment="1" applyProtection="1">
      <alignment horizontal="center" vertical="center" wrapText="1"/>
      <protection hidden="1"/>
    </xf>
    <xf numFmtId="170" fontId="62" fillId="0" borderId="84" xfId="0" applyNumberFormat="1" applyFont="1" applyBorder="1" applyAlignment="1" applyProtection="1">
      <alignment horizontal="center" vertical="center"/>
      <protection hidden="1"/>
    </xf>
    <xf numFmtId="170" fontId="62" fillId="0" borderId="85" xfId="0" applyNumberFormat="1" applyFont="1" applyBorder="1" applyAlignment="1" applyProtection="1">
      <alignment horizontal="center" vertical="center"/>
      <protection hidden="1"/>
    </xf>
    <xf numFmtId="170" fontId="62" fillId="0" borderId="81" xfId="0" applyNumberFormat="1" applyFont="1" applyBorder="1" applyAlignment="1" applyProtection="1">
      <alignment horizontal="center" vertical="center"/>
      <protection hidden="1"/>
    </xf>
    <xf numFmtId="170" fontId="62" fillId="0" borderId="82" xfId="0" applyNumberFormat="1" applyFont="1" applyBorder="1" applyAlignment="1" applyProtection="1">
      <alignment horizontal="center" vertical="center"/>
      <protection hidden="1"/>
    </xf>
    <xf numFmtId="0" fontId="63" fillId="0" borderId="0" xfId="0" applyFont="1" applyAlignment="1" applyProtection="1">
      <alignment horizontal="left" vertical="center" wrapText="1"/>
      <protection hidden="1"/>
    </xf>
    <xf numFmtId="0" fontId="61" fillId="0" borderId="0" xfId="0" applyFont="1" applyFill="1" applyBorder="1" applyAlignment="1" applyProtection="1">
      <alignment horizontal="center" vertical="center" wrapText="1"/>
      <protection hidden="1"/>
    </xf>
    <xf numFmtId="3" fontId="62" fillId="0" borderId="84" xfId="0" applyNumberFormat="1" applyFont="1" applyBorder="1" applyAlignment="1" applyProtection="1">
      <alignment horizontal="center" vertical="center"/>
      <protection hidden="1"/>
    </xf>
    <xf numFmtId="3" fontId="62" fillId="0" borderId="85" xfId="0" applyNumberFormat="1" applyFont="1" applyBorder="1" applyAlignment="1" applyProtection="1">
      <alignment horizontal="center" vertical="center"/>
      <protection hidden="1"/>
    </xf>
    <xf numFmtId="9" fontId="62" fillId="0" borderId="84" xfId="10" applyFont="1" applyBorder="1" applyAlignment="1" applyProtection="1">
      <alignment horizontal="center" vertical="center"/>
      <protection hidden="1"/>
    </xf>
    <xf numFmtId="9" fontId="62" fillId="0" borderId="85" xfId="10" applyFont="1" applyBorder="1" applyAlignment="1" applyProtection="1">
      <alignment horizontal="center" vertical="center"/>
      <protection hidden="1"/>
    </xf>
    <xf numFmtId="0" fontId="63" fillId="0" borderId="83" xfId="0" applyFont="1" applyBorder="1" applyAlignment="1" applyProtection="1">
      <alignment horizontal="center" vertical="center"/>
      <protection hidden="1"/>
    </xf>
    <xf numFmtId="0" fontId="63" fillId="0" borderId="84" xfId="0" applyFont="1" applyBorder="1" applyAlignment="1" applyProtection="1">
      <alignment horizontal="center" vertical="center"/>
      <protection hidden="1"/>
    </xf>
    <xf numFmtId="170" fontId="62" fillId="0" borderId="84" xfId="0" applyNumberFormat="1" applyFont="1" applyBorder="1" applyAlignment="1" applyProtection="1">
      <alignment horizontal="center" vertical="center" wrapText="1"/>
      <protection hidden="1"/>
    </xf>
    <xf numFmtId="170" fontId="62" fillId="0" borderId="85" xfId="0" applyNumberFormat="1" applyFont="1" applyBorder="1" applyAlignment="1" applyProtection="1">
      <alignment horizontal="center" vertical="center" wrapText="1"/>
      <protection hidden="1"/>
    </xf>
    <xf numFmtId="0" fontId="63" fillId="0" borderId="78" xfId="0" applyFont="1" applyBorder="1" applyAlignment="1" applyProtection="1">
      <alignment horizontal="center" vertical="center"/>
      <protection hidden="1"/>
    </xf>
    <xf numFmtId="0" fontId="63" fillId="0" borderId="79" xfId="0" applyFont="1" applyBorder="1" applyAlignment="1" applyProtection="1">
      <alignment horizontal="center" vertical="center"/>
      <protection hidden="1"/>
    </xf>
    <xf numFmtId="0" fontId="62" fillId="19" borderId="81" xfId="0" applyFont="1" applyFill="1" applyBorder="1" applyAlignment="1" applyProtection="1">
      <alignment horizontal="center" vertical="center"/>
      <protection locked="0"/>
    </xf>
    <xf numFmtId="0" fontId="62" fillId="0" borderId="94" xfId="0" applyFont="1" applyBorder="1" applyAlignment="1" applyProtection="1">
      <alignment horizontal="center" vertical="center"/>
      <protection hidden="1"/>
    </xf>
    <xf numFmtId="0" fontId="62" fillId="0" borderId="93" xfId="0" applyFont="1" applyBorder="1" applyAlignment="1" applyProtection="1">
      <alignment horizontal="center" vertical="center"/>
      <protection hidden="1"/>
    </xf>
    <xf numFmtId="0" fontId="62" fillId="0" borderId="74" xfId="0" applyFont="1" applyBorder="1" applyAlignment="1">
      <alignment horizontal="left" vertical="center" wrapText="1"/>
    </xf>
    <xf numFmtId="0" fontId="62" fillId="0" borderId="0" xfId="0" applyFont="1" applyBorder="1" applyAlignment="1">
      <alignment horizontal="left" vertical="center" wrapText="1"/>
    </xf>
    <xf numFmtId="0" fontId="61" fillId="18" borderId="74" xfId="0" applyFont="1" applyFill="1" applyBorder="1" applyAlignment="1">
      <alignment horizontal="right" vertical="center"/>
    </xf>
    <xf numFmtId="0" fontId="61" fillId="18" borderId="98" xfId="0" applyFont="1" applyFill="1" applyBorder="1" applyAlignment="1">
      <alignment horizontal="right" vertical="center"/>
    </xf>
    <xf numFmtId="0" fontId="62" fillId="0" borderId="99" xfId="0" applyFont="1" applyFill="1" applyBorder="1" applyAlignment="1" applyProtection="1">
      <alignment horizontal="center" vertical="center"/>
      <protection hidden="1"/>
    </xf>
    <xf numFmtId="0" fontId="62" fillId="0" borderId="100" xfId="0" applyFont="1" applyFill="1" applyBorder="1" applyAlignment="1" applyProtection="1">
      <alignment horizontal="center" vertical="center"/>
      <protection hidden="1"/>
    </xf>
    <xf numFmtId="0" fontId="61" fillId="18" borderId="77" xfId="0" applyFont="1" applyFill="1" applyBorder="1" applyAlignment="1">
      <alignment horizontal="center" vertical="center"/>
    </xf>
    <xf numFmtId="0" fontId="61" fillId="18" borderId="78" xfId="0" applyFont="1" applyFill="1" applyBorder="1" applyAlignment="1">
      <alignment horizontal="center" vertical="center"/>
    </xf>
    <xf numFmtId="0" fontId="61" fillId="18" borderId="79" xfId="0" applyFont="1" applyFill="1" applyBorder="1" applyAlignment="1">
      <alignment horizontal="center" vertical="center"/>
    </xf>
    <xf numFmtId="0" fontId="61" fillId="18" borderId="90" xfId="0" applyFont="1" applyFill="1" applyBorder="1" applyAlignment="1">
      <alignment horizontal="center" vertical="center"/>
    </xf>
    <xf numFmtId="0" fontId="61" fillId="18" borderId="91" xfId="0" applyFont="1" applyFill="1" applyBorder="1" applyAlignment="1">
      <alignment horizontal="center" vertical="center"/>
    </xf>
    <xf numFmtId="0" fontId="61" fillId="18" borderId="92" xfId="0" applyFont="1" applyFill="1" applyBorder="1" applyAlignment="1">
      <alignment horizontal="center" vertical="center"/>
    </xf>
    <xf numFmtId="0" fontId="61" fillId="18" borderId="81" xfId="0" applyFont="1" applyFill="1" applyBorder="1" applyAlignment="1">
      <alignment horizontal="right" vertical="center"/>
    </xf>
    <xf numFmtId="3" fontId="62" fillId="0" borderId="86" xfId="0" applyNumberFormat="1" applyFont="1" applyBorder="1" applyAlignment="1" applyProtection="1">
      <alignment horizontal="center" vertical="center"/>
      <protection hidden="1"/>
    </xf>
    <xf numFmtId="0" fontId="62" fillId="0" borderId="87" xfId="0" applyFont="1" applyBorder="1" applyAlignment="1" applyProtection="1">
      <alignment horizontal="center" vertical="center"/>
      <protection hidden="1"/>
    </xf>
    <xf numFmtId="170" fontId="63" fillId="0" borderId="88" xfId="0" applyNumberFormat="1" applyFont="1" applyBorder="1" applyAlignment="1" applyProtection="1">
      <alignment horizontal="center" vertical="center"/>
      <protection hidden="1"/>
    </xf>
    <xf numFmtId="170" fontId="63" fillId="0" borderId="89" xfId="0" applyNumberFormat="1" applyFont="1" applyBorder="1" applyAlignment="1" applyProtection="1">
      <alignment horizontal="center" vertical="center"/>
      <protection hidden="1"/>
    </xf>
    <xf numFmtId="0" fontId="11" fillId="17" borderId="0" xfId="4" applyFont="1" applyFill="1" applyAlignment="1">
      <alignment horizontal="center" vertical="center"/>
    </xf>
    <xf numFmtId="0" fontId="2" fillId="2" borderId="12" xfId="1" applyFont="1" applyFill="1" applyBorder="1" applyAlignment="1">
      <alignment horizontal="center" vertical="center"/>
    </xf>
    <xf numFmtId="0" fontId="2" fillId="2" borderId="13" xfId="1" applyFont="1" applyFill="1" applyBorder="1" applyAlignment="1">
      <alignment horizontal="center" vertical="center"/>
    </xf>
    <xf numFmtId="0" fontId="2" fillId="2" borderId="14" xfId="1" applyFont="1" applyFill="1" applyBorder="1" applyAlignment="1">
      <alignment horizontal="center" vertical="center"/>
    </xf>
    <xf numFmtId="0" fontId="12" fillId="23" borderId="6" xfId="4" applyFont="1" applyFill="1" applyBorder="1" applyAlignment="1" applyProtection="1">
      <alignment horizontal="center" vertical="center"/>
      <protection hidden="1"/>
    </xf>
    <xf numFmtId="0" fontId="12" fillId="23" borderId="8" xfId="4" applyFont="1" applyFill="1" applyBorder="1" applyAlignment="1" applyProtection="1">
      <alignment horizontal="center" vertical="center"/>
      <protection hidden="1"/>
    </xf>
    <xf numFmtId="0" fontId="12" fillId="2" borderId="6" xfId="4" applyFont="1" applyFill="1" applyBorder="1" applyAlignment="1" applyProtection="1">
      <alignment horizontal="center" vertical="center"/>
      <protection hidden="1"/>
    </xf>
    <xf numFmtId="0" fontId="12" fillId="2" borderId="8" xfId="4" applyFont="1" applyFill="1" applyBorder="1" applyAlignment="1" applyProtection="1">
      <alignment horizontal="center" vertical="center"/>
      <protection hidden="1"/>
    </xf>
    <xf numFmtId="0" fontId="4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12" fillId="2" borderId="46" xfId="4" applyFont="1" applyFill="1" applyBorder="1" applyAlignment="1" applyProtection="1">
      <alignment horizontal="center" vertical="center"/>
      <protection hidden="1"/>
    </xf>
    <xf numFmtId="0" fontId="12" fillId="2" borderId="0" xfId="4" applyFont="1" applyFill="1" applyBorder="1" applyAlignment="1" applyProtection="1">
      <alignment horizontal="center" vertical="center"/>
      <protection hidden="1"/>
    </xf>
    <xf numFmtId="0" fontId="12" fillId="2" borderId="10" xfId="4" applyFont="1" applyFill="1" applyBorder="1" applyAlignment="1" applyProtection="1">
      <alignment horizontal="center" vertical="center"/>
      <protection hidden="1"/>
    </xf>
    <xf numFmtId="0" fontId="12" fillId="2" borderId="11" xfId="4" applyFont="1" applyFill="1" applyBorder="1" applyAlignment="1" applyProtection="1">
      <alignment horizontal="center" vertical="center"/>
      <protection hidden="1"/>
    </xf>
    <xf numFmtId="0" fontId="12" fillId="2" borderId="7" xfId="4" applyFont="1" applyFill="1" applyBorder="1" applyAlignment="1" applyProtection="1">
      <alignment horizontal="center" vertical="center"/>
      <protection hidden="1"/>
    </xf>
    <xf numFmtId="0" fontId="12" fillId="2" borderId="3" xfId="4" applyFont="1" applyFill="1" applyBorder="1" applyAlignment="1" applyProtection="1">
      <alignment horizontal="center" vertical="center"/>
      <protection hidden="1"/>
    </xf>
    <xf numFmtId="0" fontId="12" fillId="2" borderId="4" xfId="4" applyFont="1" applyFill="1" applyBorder="1" applyAlignment="1" applyProtection="1">
      <alignment horizontal="center" vertical="center"/>
      <protection hidden="1"/>
    </xf>
    <xf numFmtId="0" fontId="12" fillId="2" borderId="5" xfId="4" applyFont="1" applyFill="1" applyBorder="1" applyAlignment="1" applyProtection="1">
      <alignment horizontal="center" vertical="center"/>
      <protection hidden="1"/>
    </xf>
    <xf numFmtId="0" fontId="11" fillId="0" borderId="6" xfId="4" applyFont="1" applyFill="1" applyBorder="1" applyAlignment="1" applyProtection="1">
      <alignment horizontal="center" vertical="center"/>
      <protection hidden="1"/>
    </xf>
    <xf numFmtId="0" fontId="11" fillId="0" borderId="8" xfId="4" applyFont="1" applyFill="1" applyBorder="1" applyAlignment="1" applyProtection="1">
      <alignment horizontal="center" vertical="center"/>
      <protection hidden="1"/>
    </xf>
    <xf numFmtId="0" fontId="12" fillId="2" borderId="48" xfId="4" applyFont="1" applyFill="1" applyBorder="1" applyAlignment="1" applyProtection="1">
      <alignment horizontal="center" vertical="center"/>
      <protection hidden="1"/>
    </xf>
    <xf numFmtId="0" fontId="12" fillId="2" borderId="72" xfId="4" applyFont="1" applyFill="1" applyBorder="1" applyAlignment="1" applyProtection="1">
      <alignment horizontal="center" vertical="center"/>
      <protection hidden="1"/>
    </xf>
  </cellXfs>
  <cellStyles count="11">
    <cellStyle name="Millares" xfId="9" builtinId="3"/>
    <cellStyle name="Millares 2 2" xfId="5"/>
    <cellStyle name="Millares 3" xfId="6"/>
    <cellStyle name="Moneda 2" xfId="8"/>
    <cellStyle name="Moneda 3" xfId="2"/>
    <cellStyle name="Normal" xfId="0" builtinId="0"/>
    <cellStyle name="Normal 2" xfId="4"/>
    <cellStyle name="Normal 3" xfId="1"/>
    <cellStyle name="Porcentaje" xfId="10" builtinId="5"/>
    <cellStyle name="Porcentaje 2" xfId="7"/>
    <cellStyle name="Porcentual 2" xfId="3"/>
  </cellStyles>
  <dxfs count="40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 val="0"/>
        <i val="0"/>
        <color auto="1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border>
        <top style="thin">
          <color rgb="FF4D4F53"/>
        </top>
        <vertical/>
        <horizontal/>
      </border>
    </dxf>
    <dxf>
      <border>
        <bottom style="thin">
          <color rgb="FF4D4F53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auto="1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  <vertical/>
        <horizontal/>
      </border>
    </dxf>
    <dxf>
      <font>
        <color auto="1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  <vertical/>
        <horizontal/>
      </border>
    </dxf>
    <dxf>
      <font>
        <color auto="1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  <vertical/>
        <horizontal/>
      </border>
    </dxf>
    <dxf>
      <font>
        <color auto="1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</border>
    </dxf>
    <dxf>
      <font>
        <color auto="1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  <vertical/>
        <horizontal/>
      </border>
    </dxf>
    <dxf>
      <font>
        <color auto="1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  <vertical/>
        <horizontal/>
      </border>
    </dxf>
    <dxf>
      <font>
        <color auto="1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  <vertical/>
        <horizontal/>
      </border>
    </dxf>
    <dxf>
      <font>
        <color auto="1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  <vertical/>
        <horizontal/>
      </border>
    </dxf>
    <dxf>
      <font>
        <color auto="1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  <vertical/>
        <horizontal/>
      </border>
    </dxf>
    <dxf>
      <font>
        <b val="0"/>
        <i val="0"/>
        <color auto="1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right/>
        <top/>
        <bottom/>
        <vertical/>
        <horizontal/>
      </border>
    </dxf>
    <dxf>
      <font>
        <b/>
        <i val="0"/>
        <color rgb="FF000066"/>
      </font>
      <border>
        <left style="thin">
          <color rgb="FF4D4F53"/>
        </left>
        <right style="thin">
          <color rgb="FF4D4F53"/>
        </right>
        <top style="thin">
          <color rgb="FF4D4F53"/>
        </top>
        <bottom style="thin">
          <color rgb="FF4D4F53"/>
        </bottom>
        <vertical/>
        <horizontal/>
      </border>
    </dxf>
  </dxfs>
  <tableStyles count="0" defaultTableStyle="TableStyleMedium2" defaultPivotStyle="PivotStyleLight16"/>
  <colors>
    <mruColors>
      <color rgb="FF4D4F53"/>
      <color rgb="FFFFCCFF"/>
      <color rgb="FFCC99FF"/>
      <color rgb="FF003B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0</xdr:row>
      <xdr:rowOff>152400</xdr:rowOff>
    </xdr:from>
    <xdr:to>
      <xdr:col>4</xdr:col>
      <xdr:colOff>28575</xdr:colOff>
      <xdr:row>4</xdr:row>
      <xdr:rowOff>28575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25" y="152400"/>
          <a:ext cx="1876425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1009650</xdr:colOff>
          <xdr:row>9</xdr:row>
          <xdr:rowOff>28575</xdr:rowOff>
        </xdr:from>
        <xdr:to>
          <xdr:col>12</xdr:col>
          <xdr:colOff>2600325</xdr:colOff>
          <xdr:row>10</xdr:row>
          <xdr:rowOff>114300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535780</xdr:colOff>
      <xdr:row>0</xdr:row>
      <xdr:rowOff>35719</xdr:rowOff>
    </xdr:from>
    <xdr:to>
      <xdr:col>11</xdr:col>
      <xdr:colOff>1385315</xdr:colOff>
      <xdr:row>4</xdr:row>
      <xdr:rowOff>190715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3593" y="35719"/>
          <a:ext cx="3064097" cy="11670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0</xdr:row>
          <xdr:rowOff>209550</xdr:rowOff>
        </xdr:from>
        <xdr:to>
          <xdr:col>8</xdr:col>
          <xdr:colOff>2286000</xdr:colOff>
          <xdr:row>3</xdr:row>
          <xdr:rowOff>381000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7</xdr:row>
          <xdr:rowOff>361950</xdr:rowOff>
        </xdr:from>
        <xdr:to>
          <xdr:col>8</xdr:col>
          <xdr:colOff>2286000</xdr:colOff>
          <xdr:row>9</xdr:row>
          <xdr:rowOff>219075</xdr:rowOff>
        </xdr:to>
        <xdr:sp macro="" textlink="">
          <xdr:nvSpPr>
            <xdr:cNvPr id="5125" name="CommandButton2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4</xdr:row>
          <xdr:rowOff>238125</xdr:rowOff>
        </xdr:from>
        <xdr:to>
          <xdr:col>8</xdr:col>
          <xdr:colOff>2286000</xdr:colOff>
          <xdr:row>6</xdr:row>
          <xdr:rowOff>409575</xdr:rowOff>
        </xdr:to>
        <xdr:sp macro="" textlink="">
          <xdr:nvSpPr>
            <xdr:cNvPr id="5129" name="CommandButton3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</xdr:colOff>
      <xdr:row>0</xdr:row>
      <xdr:rowOff>0</xdr:rowOff>
    </xdr:from>
    <xdr:to>
      <xdr:col>6</xdr:col>
      <xdr:colOff>735277</xdr:colOff>
      <xdr:row>14</xdr:row>
      <xdr:rowOff>93536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" y="0"/>
          <a:ext cx="6450273" cy="9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566805</xdr:colOff>
      <xdr:row>50</xdr:row>
      <xdr:rowOff>13048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950915" cy="97990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39144</xdr:rowOff>
    </xdr:from>
    <xdr:to>
      <xdr:col>3</xdr:col>
      <xdr:colOff>608810</xdr:colOff>
      <xdr:row>99</xdr:row>
      <xdr:rowOff>182671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5103"/>
          <a:ext cx="4992920" cy="97337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omero/Documents/Plan%20seguro/PARTICIPACION%20DEL%20ASEGURADO%20EN%20UNA%20RECLAMAC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4">
          <cell r="D4" t="str">
            <v>COASEGURO</v>
          </cell>
        </row>
        <row r="5">
          <cell r="B5" t="str">
            <v>HOSPITAL</v>
          </cell>
          <cell r="D5" t="str">
            <v>5% MENOS</v>
          </cell>
        </row>
        <row r="8">
          <cell r="D8" t="str">
            <v>COASEGURO</v>
          </cell>
        </row>
        <row r="9">
          <cell r="B9" t="str">
            <v>HOSPITAL</v>
          </cell>
          <cell r="D9" t="str">
            <v>5% MENOS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lan Seguro S.A. de C.V." refreshedDate="42893.778237962964" createdVersion="5" refreshedVersion="3" minRefreshableVersion="3" recordCount="33">
  <cacheSource type="worksheet">
    <worksheetSource ref="A1:E34" sheet="RESUMEN_REGIONES"/>
  </cacheSource>
  <cacheFields count="5">
    <cacheField name="REGIÓN" numFmtId="0">
      <sharedItems count="33">
        <s v="Aguascalientes"/>
        <s v="Baja California Norte"/>
        <s v="Baja California Sur"/>
        <s v="Campeche"/>
        <s v="Chiapas"/>
        <s v="Chihuahua"/>
        <s v="Coahuila"/>
        <s v="Colima"/>
        <s v="D.F. y Zona Metropolitana"/>
        <s v="Durango"/>
        <s v="Estado de México"/>
        <s v="Guanajuato"/>
        <s v="Guerrero"/>
        <s v="Hidalgo"/>
        <s v="Jalisco"/>
        <s v="Michoacán"/>
        <s v="Morelos"/>
        <s v="Nayarit"/>
        <s v="Nuevo León"/>
        <s v="Oaxaca"/>
        <s v="Puebla"/>
        <s v="Querétaro"/>
        <s v="Quintana Roo"/>
        <s v="San Luís Potosí"/>
        <s v="Sinaloa"/>
        <s v="Sonora"/>
        <s v="Tabasco"/>
        <s v="Tamaulipas"/>
        <s v="Tlaxcala"/>
        <s v="Veracruz"/>
        <s v="Yucatán"/>
        <s v="Zacatecas"/>
        <s v="CHAVEZ REZA"/>
      </sharedItems>
    </cacheField>
    <cacheField name="ESTADOS" numFmtId="0">
      <sharedItems count="11">
        <s v="BAJIO"/>
        <s v="NUEVA NOROESTE"/>
        <s v="SURESTE"/>
        <s v="SUR"/>
        <s v="NORESTE"/>
        <s v="OCCIDENTE"/>
        <s v="LINEA"/>
        <s v="ESTADO DE MÉXICO"/>
        <s v="OCCIDENTE_2"/>
        <s v="CHAVEZ REZA"/>
        <s v="OCCIDENTE 2" u="1"/>
      </sharedItems>
    </cacheField>
    <cacheField name="FACTOR" numFmtId="0">
      <sharedItems containsSemiMixedTypes="0" containsString="0" containsNumber="1" minValue="0.4274" maxValue="1"/>
    </cacheField>
    <cacheField name="TARIFA" numFmtId="0">
      <sharedItems containsSemiMixedTypes="0" containsString="0" containsNumber="1" containsInteger="1" minValue="1" maxValue="5"/>
    </cacheField>
    <cacheField name="DESCUENTO HDI" numFmtId="0">
      <sharedItems containsString="0" containsBlank="1" containsNumber="1" minValue="0.1" maxValue="0.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x v="0"/>
    <n v="1"/>
    <n v="2"/>
    <m/>
  </r>
  <r>
    <x v="1"/>
    <x v="1"/>
    <n v="0.49159999999999998"/>
    <n v="1"/>
    <m/>
  </r>
  <r>
    <x v="2"/>
    <x v="1"/>
    <n v="0.49159999999999998"/>
    <n v="1"/>
    <m/>
  </r>
  <r>
    <x v="3"/>
    <x v="2"/>
    <n v="0.4274"/>
    <n v="1"/>
    <n v="0.1"/>
  </r>
  <r>
    <x v="4"/>
    <x v="3"/>
    <n v="0.56979999999999997"/>
    <n v="1"/>
    <n v="0.1"/>
  </r>
  <r>
    <x v="5"/>
    <x v="1"/>
    <n v="0.49159999999999998"/>
    <n v="1"/>
    <m/>
  </r>
  <r>
    <x v="6"/>
    <x v="4"/>
    <n v="1"/>
    <n v="4"/>
    <m/>
  </r>
  <r>
    <x v="7"/>
    <x v="5"/>
    <n v="1"/>
    <n v="2"/>
    <m/>
  </r>
  <r>
    <x v="8"/>
    <x v="6"/>
    <n v="1"/>
    <n v="1"/>
    <n v="0.1"/>
  </r>
  <r>
    <x v="9"/>
    <x v="4"/>
    <n v="1"/>
    <n v="4"/>
    <m/>
  </r>
  <r>
    <x v="10"/>
    <x v="7"/>
    <n v="1"/>
    <n v="1"/>
    <m/>
  </r>
  <r>
    <x v="11"/>
    <x v="0"/>
    <n v="1"/>
    <n v="2"/>
    <m/>
  </r>
  <r>
    <x v="12"/>
    <x v="3"/>
    <n v="0.56979999999999997"/>
    <n v="1"/>
    <n v="0.1"/>
  </r>
  <r>
    <x v="13"/>
    <x v="7"/>
    <n v="1"/>
    <n v="1"/>
    <m/>
  </r>
  <r>
    <x v="14"/>
    <x v="5"/>
    <n v="1"/>
    <n v="2"/>
    <m/>
  </r>
  <r>
    <x v="15"/>
    <x v="8"/>
    <n v="1"/>
    <n v="2"/>
    <m/>
  </r>
  <r>
    <x v="16"/>
    <x v="7"/>
    <n v="1"/>
    <n v="1"/>
    <m/>
  </r>
  <r>
    <x v="17"/>
    <x v="5"/>
    <n v="1"/>
    <n v="2"/>
    <m/>
  </r>
  <r>
    <x v="18"/>
    <x v="4"/>
    <n v="1"/>
    <n v="5"/>
    <m/>
  </r>
  <r>
    <x v="19"/>
    <x v="3"/>
    <n v="0.56979999999999997"/>
    <n v="1"/>
    <n v="0.1"/>
  </r>
  <r>
    <x v="20"/>
    <x v="3"/>
    <n v="0.56979999999999997"/>
    <n v="1"/>
    <n v="0.1"/>
  </r>
  <r>
    <x v="21"/>
    <x v="0"/>
    <n v="1"/>
    <n v="2"/>
    <m/>
  </r>
  <r>
    <x v="22"/>
    <x v="2"/>
    <n v="0.4274"/>
    <n v="1"/>
    <n v="0.1"/>
  </r>
  <r>
    <x v="23"/>
    <x v="0"/>
    <n v="1"/>
    <n v="2"/>
    <m/>
  </r>
  <r>
    <x v="24"/>
    <x v="8"/>
    <n v="1"/>
    <n v="2"/>
    <m/>
  </r>
  <r>
    <x v="25"/>
    <x v="1"/>
    <n v="0.49159999999999998"/>
    <n v="1"/>
    <m/>
  </r>
  <r>
    <x v="26"/>
    <x v="2"/>
    <n v="0.4274"/>
    <n v="1"/>
    <n v="0.1"/>
  </r>
  <r>
    <x v="27"/>
    <x v="4"/>
    <n v="1"/>
    <n v="4"/>
    <m/>
  </r>
  <r>
    <x v="28"/>
    <x v="3"/>
    <n v="0.56979999999999997"/>
    <n v="1"/>
    <n v="0.1"/>
  </r>
  <r>
    <x v="29"/>
    <x v="3"/>
    <n v="0.56979999999999997"/>
    <n v="1"/>
    <n v="0.1"/>
  </r>
  <r>
    <x v="30"/>
    <x v="2"/>
    <n v="0.4274"/>
    <n v="1"/>
    <n v="0.1"/>
  </r>
  <r>
    <x v="31"/>
    <x v="0"/>
    <n v="1"/>
    <n v="2"/>
    <m/>
  </r>
  <r>
    <x v="32"/>
    <x v="9"/>
    <n v="1"/>
    <n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useAutoFormatting="1" itemPrintTitles="1" createdVersion="5" indent="0" compact="0" compactData="0" gridDropZones="1" multipleFieldFilters="0">
  <location ref="G2:N37" firstHeaderRow="2" firstDataRow="2" firstDataCol="2"/>
  <pivotFields count="5">
    <pivotField axis="axisRow" compact="0" outline="0" showAll="0" defaultSubtotal="0">
      <items count="33">
        <item x="0"/>
        <item x="1"/>
        <item x="2"/>
        <item x="3"/>
        <item x="3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axis="axisRow" compact="0" outline="0" showAll="0" defaultSubtotal="0">
      <items count="11">
        <item x="0"/>
        <item x="9"/>
        <item x="7"/>
        <item x="6"/>
        <item x="4"/>
        <item x="1"/>
        <item x="5"/>
        <item x="3"/>
        <item x="2"/>
        <item m="1" x="10"/>
        <item x="8"/>
      </items>
    </pivotField>
    <pivotField compact="0" outline="0" showAll="0"/>
    <pivotField compact="0" outline="0" showAll="0"/>
    <pivotField compact="0" outline="0" showAll="0"/>
  </pivotFields>
  <rowFields count="2">
    <field x="1"/>
    <field x="0"/>
  </rowFields>
  <rowItems count="34">
    <i>
      <x/>
      <x/>
    </i>
    <i r="1">
      <x v="12"/>
    </i>
    <i r="1">
      <x v="22"/>
    </i>
    <i r="1">
      <x v="24"/>
    </i>
    <i r="1">
      <x v="32"/>
    </i>
    <i>
      <x v="1"/>
      <x v="4"/>
    </i>
    <i>
      <x v="2"/>
      <x v="11"/>
    </i>
    <i r="1">
      <x v="14"/>
    </i>
    <i r="1">
      <x v="17"/>
    </i>
    <i>
      <x v="3"/>
      <x v="9"/>
    </i>
    <i>
      <x v="4"/>
      <x v="7"/>
    </i>
    <i r="1">
      <x v="10"/>
    </i>
    <i r="1">
      <x v="19"/>
    </i>
    <i r="1">
      <x v="28"/>
    </i>
    <i>
      <x v="5"/>
      <x v="1"/>
    </i>
    <i r="1">
      <x v="2"/>
    </i>
    <i r="1">
      <x v="6"/>
    </i>
    <i r="1">
      <x v="26"/>
    </i>
    <i>
      <x v="6"/>
      <x v="8"/>
    </i>
    <i r="1">
      <x v="15"/>
    </i>
    <i r="1">
      <x v="18"/>
    </i>
    <i>
      <x v="7"/>
      <x v="5"/>
    </i>
    <i r="1">
      <x v="13"/>
    </i>
    <i r="1">
      <x v="20"/>
    </i>
    <i r="1">
      <x v="21"/>
    </i>
    <i r="1">
      <x v="29"/>
    </i>
    <i r="1">
      <x v="30"/>
    </i>
    <i>
      <x v="8"/>
      <x v="3"/>
    </i>
    <i r="1">
      <x v="23"/>
    </i>
    <i r="1">
      <x v="27"/>
    </i>
    <i r="1">
      <x v="31"/>
    </i>
    <i>
      <x v="10"/>
      <x v="16"/>
    </i>
    <i r="1">
      <x v="25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10" Type="http://schemas.openxmlformats.org/officeDocument/2006/relationships/image" Target="../media/image6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T77"/>
  <sheetViews>
    <sheetView tabSelected="1" view="pageBreakPreview" topLeftCell="D1" zoomScaleNormal="100" zoomScaleSheetLayoutView="100" workbookViewId="0">
      <selection activeCell="G21" sqref="G21"/>
    </sheetView>
  </sheetViews>
  <sheetFormatPr baseColWidth="10" defaultColWidth="0" defaultRowHeight="15" zeroHeight="1" x14ac:dyDescent="0.25"/>
  <cols>
    <col min="1" max="1" width="3" style="203" bestFit="1" customWidth="1"/>
    <col min="2" max="2" width="11.42578125" style="203" customWidth="1"/>
    <col min="3" max="3" width="18" style="203" customWidth="1"/>
    <col min="4" max="5" width="11.42578125" style="203" customWidth="1"/>
    <col min="6" max="6" width="22.7109375" style="203" customWidth="1"/>
    <col min="7" max="7" width="19" style="203" customWidth="1"/>
    <col min="8" max="8" width="22.28515625" style="203" customWidth="1"/>
    <col min="9" max="9" width="4.28515625" style="203" hidden="1" customWidth="1"/>
    <col min="10" max="10" width="19.85546875" style="203" bestFit="1" customWidth="1"/>
    <col min="11" max="11" width="33.28515625" style="203" customWidth="1"/>
    <col min="12" max="12" width="31.7109375" style="203" customWidth="1"/>
    <col min="13" max="13" width="45.5703125" style="203" bestFit="1" customWidth="1"/>
    <col min="14" max="15" width="11.42578125" style="203" customWidth="1"/>
    <col min="16" max="16384" width="11.42578125" style="203" hidden="1"/>
  </cols>
  <sheetData>
    <row r="1" spans="1:20" ht="16.5" thickBot="1" x14ac:dyDescent="0.3">
      <c r="A1" s="467" t="s">
        <v>618</v>
      </c>
      <c r="B1" s="197"/>
      <c r="C1" s="197"/>
      <c r="D1" s="197"/>
      <c r="E1" s="197"/>
      <c r="F1" s="198"/>
      <c r="G1" s="197"/>
      <c r="H1" s="197"/>
      <c r="I1" s="197"/>
      <c r="J1" s="197"/>
      <c r="K1" s="197"/>
      <c r="L1" s="197"/>
      <c r="M1" s="199"/>
      <c r="N1" s="200"/>
      <c r="O1" s="200"/>
      <c r="P1" s="201"/>
      <c r="Q1" s="202"/>
      <c r="R1" s="202"/>
      <c r="S1" s="202"/>
      <c r="T1" s="202"/>
    </row>
    <row r="2" spans="1:20" ht="24" thickBot="1" x14ac:dyDescent="0.35">
      <c r="A2" s="467"/>
      <c r="B2" s="204"/>
      <c r="C2" s="204"/>
      <c r="D2" s="204"/>
      <c r="E2" s="205"/>
      <c r="F2" s="468" t="s">
        <v>0</v>
      </c>
      <c r="G2" s="469"/>
      <c r="H2" s="469"/>
      <c r="I2" s="469"/>
      <c r="J2" s="470"/>
      <c r="K2" s="205"/>
      <c r="L2" s="206"/>
      <c r="M2" s="204"/>
      <c r="N2" s="207"/>
      <c r="O2" s="208"/>
      <c r="P2" s="209"/>
      <c r="Q2" s="204"/>
      <c r="R2" s="204"/>
      <c r="S2" s="204"/>
      <c r="T2" s="204"/>
    </row>
    <row r="3" spans="1:20" ht="16.5" thickBot="1" x14ac:dyDescent="0.3">
      <c r="A3" s="467"/>
      <c r="B3" s="210"/>
      <c r="C3" s="210"/>
      <c r="D3" s="210"/>
      <c r="E3" s="211"/>
      <c r="F3" s="198"/>
      <c r="G3" s="197"/>
      <c r="H3" s="212"/>
      <c r="I3" s="212"/>
      <c r="J3" s="198"/>
      <c r="K3" s="198"/>
      <c r="L3" s="198"/>
      <c r="M3" s="199"/>
      <c r="N3" s="200"/>
      <c r="O3" s="200"/>
      <c r="P3" s="201"/>
      <c r="Q3" s="202"/>
      <c r="R3" s="202"/>
      <c r="S3" s="202"/>
      <c r="T3" s="202"/>
    </row>
    <row r="4" spans="1:20" ht="21.75" thickBot="1" x14ac:dyDescent="0.35">
      <c r="A4" s="467"/>
      <c r="B4" s="204"/>
      <c r="C4" s="204"/>
      <c r="D4" s="204"/>
      <c r="E4" s="211"/>
      <c r="F4" s="468" t="str">
        <f>IF(AND(IF(VLOOKUP(D12,INDIVIDUAL!$E$95:$F$126,2,FALSE)="LINEA","LINEA","REGION "&amp;VLOOKUP(D12,INDIVIDUAL!$E$95:$F$126,2,FALSE))="REGION OCCIDENTE",D8="PÓLIZA NUEVA"),"VENTA NO DISPONIBLE",IF(VLOOKUP(D12,INDIVIDUAL!$E$95:$F$126,2,FALSE)="LINEA","LINEA","REGION "&amp;VLOOKUP(D12,INDIVIDUAL!$E$95:$F$126,2,FALSE)))</f>
        <v>LINEA</v>
      </c>
      <c r="G4" s="469"/>
      <c r="H4" s="469"/>
      <c r="I4" s="469"/>
      <c r="J4" s="470"/>
      <c r="K4" s="205"/>
      <c r="L4" s="213"/>
      <c r="M4" s="204"/>
      <c r="N4" s="208"/>
      <c r="O4" s="208"/>
      <c r="P4" s="209"/>
      <c r="Q4" s="204"/>
      <c r="R4" s="204"/>
      <c r="S4" s="204"/>
      <c r="T4" s="204"/>
    </row>
    <row r="5" spans="1:20" ht="16.5" thickBot="1" x14ac:dyDescent="0.3">
      <c r="A5" s="467"/>
      <c r="B5" s="198"/>
      <c r="C5" s="198"/>
      <c r="D5" s="198"/>
      <c r="E5" s="198"/>
      <c r="F5" s="198"/>
      <c r="G5" s="198"/>
      <c r="H5" s="198"/>
      <c r="I5" s="198"/>
      <c r="J5" s="198"/>
      <c r="K5" s="198"/>
      <c r="L5" s="198"/>
      <c r="M5" s="199"/>
      <c r="N5" s="200"/>
      <c r="O5" s="200"/>
      <c r="P5" s="201"/>
      <c r="Q5" s="202"/>
      <c r="R5" s="202"/>
      <c r="S5" s="202"/>
      <c r="T5" s="202"/>
    </row>
    <row r="6" spans="1:20" ht="16.5" thickBot="1" x14ac:dyDescent="0.3">
      <c r="A6" s="214"/>
      <c r="B6" s="198"/>
      <c r="C6" s="309" t="s">
        <v>2</v>
      </c>
      <c r="D6" s="471" t="s">
        <v>462</v>
      </c>
      <c r="E6" s="472"/>
      <c r="F6" s="472"/>
      <c r="G6" s="472"/>
      <c r="H6" s="473"/>
      <c r="I6" s="198"/>
      <c r="J6" s="198"/>
      <c r="K6" s="198"/>
      <c r="L6" s="198"/>
      <c r="M6" s="199"/>
      <c r="N6" s="200"/>
      <c r="O6" s="200"/>
      <c r="P6" s="201"/>
      <c r="Q6" s="202"/>
      <c r="R6" s="202"/>
      <c r="S6" s="202"/>
      <c r="T6" s="202"/>
    </row>
    <row r="7" spans="1:20" ht="16.5" thickBot="1" x14ac:dyDescent="0.3">
      <c r="A7" s="214"/>
      <c r="B7" s="198"/>
      <c r="C7" s="198"/>
      <c r="D7" s="215"/>
      <c r="E7" s="215"/>
      <c r="F7" s="215"/>
      <c r="G7" s="215"/>
      <c r="H7" s="216"/>
      <c r="I7" s="198"/>
      <c r="J7" s="198"/>
      <c r="K7" s="496" t="s">
        <v>5</v>
      </c>
      <c r="L7" s="498">
        <f ca="1">TODAY()</f>
        <v>44214</v>
      </c>
      <c r="M7" s="199"/>
      <c r="N7" s="200"/>
      <c r="O7" s="200"/>
      <c r="P7" s="201"/>
      <c r="Q7" s="202"/>
      <c r="R7" s="202"/>
      <c r="S7" s="202"/>
      <c r="T7" s="202"/>
    </row>
    <row r="8" spans="1:20" ht="16.5" thickBot="1" x14ac:dyDescent="0.3">
      <c r="A8" s="214"/>
      <c r="B8" s="198"/>
      <c r="C8" s="309" t="s">
        <v>3</v>
      </c>
      <c r="D8" s="474" t="s">
        <v>117</v>
      </c>
      <c r="E8" s="475"/>
      <c r="F8" s="475"/>
      <c r="G8" s="476"/>
      <c r="H8" s="217"/>
      <c r="I8" s="218"/>
      <c r="J8" s="218"/>
      <c r="K8" s="497"/>
      <c r="L8" s="499"/>
      <c r="M8" s="219"/>
      <c r="N8" s="200"/>
      <c r="O8" s="200"/>
      <c r="P8" s="201"/>
      <c r="Q8" s="202"/>
      <c r="R8" s="202"/>
      <c r="S8" s="202"/>
      <c r="T8" s="202"/>
    </row>
    <row r="9" spans="1:20" ht="16.5" thickBot="1" x14ac:dyDescent="0.3">
      <c r="A9" s="201"/>
      <c r="B9" s="200"/>
      <c r="C9" s="198"/>
      <c r="D9" s="215"/>
      <c r="E9" s="215"/>
      <c r="F9" s="215"/>
      <c r="G9" s="215"/>
      <c r="H9" s="216"/>
      <c r="I9" s="198"/>
      <c r="J9" s="198"/>
      <c r="K9" s="198"/>
      <c r="L9" s="198"/>
      <c r="M9" s="199"/>
      <c r="N9" s="200"/>
      <c r="O9" s="200"/>
      <c r="P9" s="201"/>
      <c r="Q9" s="202"/>
      <c r="R9" s="202"/>
      <c r="S9" s="202"/>
      <c r="T9" s="202"/>
    </row>
    <row r="10" spans="1:20" ht="44.25" customHeight="1" thickBot="1" x14ac:dyDescent="0.3">
      <c r="A10" s="201"/>
      <c r="B10" s="210"/>
      <c r="C10" s="336" t="s">
        <v>6</v>
      </c>
      <c r="D10" s="454" t="s">
        <v>7</v>
      </c>
      <c r="E10" s="455"/>
      <c r="F10" s="456"/>
      <c r="G10" s="465" t="str">
        <f>IF(D8="PÓLIZA RENOVADA", "TARIFA POR INTRODUCCIÓN:", "RECONOCIMIENTO DE ANTIGÜEDAD:")</f>
        <v>TARIFA POR INTRODUCCIÓN:</v>
      </c>
      <c r="H10" s="466"/>
      <c r="I10" s="1"/>
      <c r="J10" s="2" t="s">
        <v>8</v>
      </c>
      <c r="K10" s="197"/>
      <c r="L10" s="335"/>
      <c r="M10" s="199"/>
      <c r="N10" s="202"/>
      <c r="O10" s="202"/>
      <c r="P10" s="201"/>
      <c r="Q10" s="202"/>
      <c r="R10" s="202"/>
      <c r="S10" s="202"/>
      <c r="T10" s="202"/>
    </row>
    <row r="11" spans="1:20" ht="16.5" thickBot="1" x14ac:dyDescent="0.3">
      <c r="A11" s="201"/>
      <c r="B11" s="200"/>
      <c r="C11" s="198"/>
      <c r="D11" s="216"/>
      <c r="E11" s="216"/>
      <c r="F11" s="220"/>
      <c r="G11" s="220"/>
      <c r="H11" s="220"/>
      <c r="I11" s="218"/>
      <c r="J11" s="218"/>
      <c r="K11" s="198"/>
      <c r="L11" s="198"/>
      <c r="M11" s="199"/>
      <c r="N11" s="200"/>
      <c r="O11" s="200"/>
      <c r="P11" s="201"/>
      <c r="Q11" s="202"/>
      <c r="R11" s="202"/>
      <c r="S11" s="202"/>
      <c r="T11" s="202"/>
    </row>
    <row r="12" spans="1:20" ht="16.5" thickBot="1" x14ac:dyDescent="0.3">
      <c r="C12" s="309" t="s">
        <v>9</v>
      </c>
      <c r="D12" s="454" t="s">
        <v>201</v>
      </c>
      <c r="E12" s="455"/>
      <c r="F12" s="456"/>
      <c r="G12" s="221" t="s">
        <v>406</v>
      </c>
      <c r="H12" s="2"/>
    </row>
    <row r="13" spans="1:20" ht="16.5" thickBot="1" x14ac:dyDescent="0.3">
      <c r="C13" s="309" t="s">
        <v>611</v>
      </c>
      <c r="D13" s="454" t="s">
        <v>503</v>
      </c>
      <c r="E13" s="455"/>
      <c r="F13" s="456"/>
      <c r="I13" s="203">
        <f>IF(AND(I12=1),1,0)</f>
        <v>0</v>
      </c>
    </row>
    <row r="14" spans="1:20" ht="18" thickBot="1" x14ac:dyDescent="0.35">
      <c r="C14" s="457" t="s">
        <v>10</v>
      </c>
      <c r="D14" s="458"/>
      <c r="E14" s="458"/>
      <c r="F14" s="459"/>
      <c r="G14" s="271" t="s">
        <v>11</v>
      </c>
      <c r="J14" s="484" t="s">
        <v>18</v>
      </c>
      <c r="K14" s="485"/>
      <c r="L14" s="486"/>
    </row>
    <row r="15" spans="1:20" ht="16.5" thickBot="1" x14ac:dyDescent="0.3">
      <c r="B15" s="203" t="str">
        <f>IF(INDIVIDUAL!C116=0,"ND","")</f>
        <v/>
      </c>
      <c r="C15" s="460" t="s">
        <v>12</v>
      </c>
      <c r="D15" s="461"/>
      <c r="E15" s="3">
        <v>1000</v>
      </c>
      <c r="F15" s="307" t="str">
        <f>+IF(E15="Sin Límite","","UMAM")</f>
        <v>UMAM</v>
      </c>
      <c r="G15" s="420">
        <f>+IF(E15="Sin Límite","",E15*INDIVIDUAL!$L$119)</f>
        <v>2641150</v>
      </c>
      <c r="I15" s="203">
        <f>IF(ISERROR(VLOOKUP(D12,EDO,1,FALSE))=TRUE,1,0)</f>
        <v>1</v>
      </c>
      <c r="J15" s="460" t="s">
        <v>19</v>
      </c>
      <c r="K15" s="461"/>
      <c r="L15" s="171" t="s">
        <v>8</v>
      </c>
    </row>
    <row r="16" spans="1:20" ht="16.5" thickBot="1" x14ac:dyDescent="0.3">
      <c r="B16" s="203" t="str">
        <f>IF(INDIVIDUAL!C117=0,"ND","")</f>
        <v/>
      </c>
      <c r="C16" s="460" t="s">
        <v>13</v>
      </c>
      <c r="D16" s="462"/>
      <c r="E16" s="419">
        <v>4</v>
      </c>
      <c r="F16" s="307" t="s">
        <v>189</v>
      </c>
      <c r="G16" s="420">
        <f>+E16*INDIVIDUAL!$L$119</f>
        <v>10564.6</v>
      </c>
      <c r="I16" s="203">
        <f>IF(ISERROR(VLOOKUP(E16,DED,1,FALSE))=TRUE,1,0)</f>
        <v>0</v>
      </c>
      <c r="J16" s="460" t="s">
        <v>20</v>
      </c>
      <c r="K16" s="462"/>
      <c r="L16" s="171" t="s">
        <v>8</v>
      </c>
    </row>
    <row r="17" spans="1:16" ht="16.5" thickBot="1" x14ac:dyDescent="0.3">
      <c r="C17" s="460" t="s">
        <v>14</v>
      </c>
      <c r="D17" s="462"/>
      <c r="E17" s="463">
        <v>0.1</v>
      </c>
      <c r="F17" s="464"/>
      <c r="I17" s="203">
        <f>IF(ISERROR(VLOOKUP(E18,BH,1,FALSE))=TRUE,1,0)</f>
        <v>1</v>
      </c>
      <c r="J17" s="460" t="s">
        <v>21</v>
      </c>
      <c r="K17" s="462"/>
      <c r="L17" s="171" t="s">
        <v>8</v>
      </c>
    </row>
    <row r="18" spans="1:16" ht="16.5" thickBot="1" x14ac:dyDescent="0.3">
      <c r="A18" s="222"/>
      <c r="B18" s="222"/>
      <c r="C18" s="460" t="s">
        <v>482</v>
      </c>
      <c r="D18" s="462"/>
      <c r="E18" s="463" t="s">
        <v>481</v>
      </c>
      <c r="F18" s="464"/>
      <c r="J18" s="460" t="s">
        <v>22</v>
      </c>
      <c r="K18" s="462"/>
      <c r="L18" s="171" t="s">
        <v>8</v>
      </c>
    </row>
    <row r="19" spans="1:16" ht="16.5" thickBot="1" x14ac:dyDescent="0.3">
      <c r="A19" s="222"/>
      <c r="B19" s="222"/>
      <c r="C19" s="460" t="s">
        <v>15</v>
      </c>
      <c r="D19" s="462"/>
      <c r="E19" s="4">
        <v>21</v>
      </c>
      <c r="F19" s="307" t="str">
        <f>+IF(E19="G.U.A.","","UMAM")</f>
        <v>UMAM</v>
      </c>
      <c r="G19" s="420">
        <f>IF(E19="G.U.A.",45*INDIVIDUAL!$L$119,E19*INDIVIDUAL!$L$119)</f>
        <v>55464.15</v>
      </c>
      <c r="J19" s="460" t="s">
        <v>23</v>
      </c>
      <c r="K19" s="462"/>
      <c r="L19" s="171" t="s">
        <v>8</v>
      </c>
    </row>
    <row r="20" spans="1:16" ht="16.5" thickBot="1" x14ac:dyDescent="0.3">
      <c r="A20" s="222"/>
      <c r="B20" s="222"/>
      <c r="C20" s="507" t="s">
        <v>16</v>
      </c>
      <c r="D20" s="507"/>
      <c r="E20" s="477" t="s">
        <v>465</v>
      </c>
      <c r="F20" s="477"/>
      <c r="G20" s="215"/>
      <c r="J20" s="460" t="s">
        <v>24</v>
      </c>
      <c r="K20" s="462"/>
      <c r="L20" s="171" t="s">
        <v>8</v>
      </c>
    </row>
    <row r="21" spans="1:16" ht="16.5" thickBot="1" x14ac:dyDescent="0.3">
      <c r="A21" s="222"/>
      <c r="B21" s="305"/>
      <c r="C21" s="508"/>
      <c r="D21" s="508"/>
      <c r="E21" s="478"/>
      <c r="F21" s="478"/>
      <c r="G21" s="215"/>
      <c r="I21" s="203" t="str">
        <f>IF(AND(I23&gt;=4,I23&lt;=10),"SI","NO")</f>
        <v>SI</v>
      </c>
      <c r="J21" s="460" t="s">
        <v>25</v>
      </c>
      <c r="K21" s="462"/>
      <c r="L21" s="171" t="s">
        <v>8</v>
      </c>
    </row>
    <row r="22" spans="1:16" ht="14.25" customHeight="1" thickBot="1" x14ac:dyDescent="0.3">
      <c r="A22" s="222"/>
      <c r="B22" s="305"/>
      <c r="C22" s="509"/>
      <c r="D22" s="510"/>
      <c r="E22" s="479" t="s">
        <v>417</v>
      </c>
      <c r="F22" s="479"/>
      <c r="G22" s="223"/>
      <c r="I22" s="203">
        <f>INDIVIDUAL!C6</f>
        <v>0.1</v>
      </c>
      <c r="J22" s="460" t="s">
        <v>26</v>
      </c>
      <c r="K22" s="462"/>
      <c r="L22" s="171" t="s">
        <v>8</v>
      </c>
    </row>
    <row r="23" spans="1:16" ht="16.5" thickBot="1" x14ac:dyDescent="0.3">
      <c r="A23" s="224"/>
      <c r="B23" s="306" t="str">
        <f>+IF(E17=10%,"SI","NO")</f>
        <v>SI</v>
      </c>
      <c r="C23" s="502" t="str">
        <f>+IF(B23="SI", "TOPE MÁX. COASEGURO"," ")</f>
        <v>TOPE MÁX. COASEGURO</v>
      </c>
      <c r="D23" s="503"/>
      <c r="E23" s="504">
        <v>30000</v>
      </c>
      <c r="F23" s="505"/>
      <c r="G23" s="197"/>
      <c r="H23" s="225"/>
      <c r="I23" s="170">
        <f>VALUE(E16)</f>
        <v>4</v>
      </c>
      <c r="J23" s="226"/>
      <c r="K23" s="227"/>
      <c r="L23" s="228"/>
      <c r="M23" s="199"/>
      <c r="N23" s="225"/>
      <c r="O23" s="200"/>
      <c r="P23" s="201"/>
    </row>
    <row r="24" spans="1:16" ht="15.75" x14ac:dyDescent="0.25">
      <c r="A24" s="224"/>
      <c r="B24" s="306"/>
      <c r="C24" s="263"/>
      <c r="D24" s="263"/>
      <c r="E24" s="197"/>
      <c r="F24" s="197"/>
      <c r="G24" s="197"/>
      <c r="H24" s="226"/>
      <c r="I24" s="229"/>
      <c r="J24" s="226"/>
      <c r="K24" s="227"/>
      <c r="L24" s="228"/>
      <c r="M24" s="199"/>
      <c r="N24" s="225"/>
      <c r="O24" s="200"/>
      <c r="P24" s="201"/>
    </row>
    <row r="25" spans="1:16" ht="15.75" customHeight="1" x14ac:dyDescent="0.25">
      <c r="A25" s="201"/>
      <c r="B25" s="230"/>
      <c r="C25" s="231"/>
      <c r="D25" s="232"/>
      <c r="E25" s="232"/>
      <c r="F25" s="232"/>
      <c r="G25" s="233"/>
      <c r="H25" s="226"/>
      <c r="I25" s="226"/>
      <c r="J25" s="506" t="str">
        <f>+IF(L19="NO","","CÁNCER FEMENINO (ICF)")</f>
        <v/>
      </c>
      <c r="K25" s="506"/>
      <c r="L25" s="291"/>
      <c r="M25" s="199"/>
      <c r="N25" s="225"/>
      <c r="O25" s="200"/>
      <c r="P25" s="201"/>
    </row>
    <row r="26" spans="1:16" ht="15.75" x14ac:dyDescent="0.25">
      <c r="A26" s="201"/>
      <c r="B26" s="202"/>
      <c r="C26" s="197"/>
      <c r="D26" s="197"/>
      <c r="E26" s="260" t="s">
        <v>27</v>
      </c>
      <c r="F26" s="260" t="s">
        <v>28</v>
      </c>
      <c r="G26" s="260" t="s">
        <v>7</v>
      </c>
      <c r="H26" s="260" t="s">
        <v>29</v>
      </c>
      <c r="I26" s="5" t="str">
        <f>IF(OR(I27="SI",I28="SI",I29="SI",I30="SI",I31="SI",I32="SI",I33="SI",I34="SI",I35="SI",I36="SI"),"SI","NO")</f>
        <v>NO</v>
      </c>
      <c r="J26" s="260" t="str">
        <f>+IF(L19="NO","","SUMA ASEGURADA")</f>
        <v/>
      </c>
      <c r="K26" s="260" t="str">
        <f>+IF(L19="NO","","PRIMA")</f>
        <v/>
      </c>
      <c r="L26" s="260" t="s">
        <v>30</v>
      </c>
      <c r="M26" s="199"/>
      <c r="N26" s="225"/>
      <c r="O26" s="200"/>
      <c r="P26" s="201"/>
    </row>
    <row r="27" spans="1:16" ht="15.75" x14ac:dyDescent="0.25">
      <c r="A27" s="201"/>
      <c r="B27" s="202"/>
      <c r="C27" s="291">
        <f>IF(OR(G27&gt;65,G27&lt;20),0,1)</f>
        <v>0</v>
      </c>
      <c r="D27" s="291">
        <f>IF(AND($L$18&lt;&gt;"NO",C27=0),0,1)</f>
        <v>1</v>
      </c>
      <c r="E27" s="310">
        <v>1</v>
      </c>
      <c r="F27" s="6"/>
      <c r="G27" s="7"/>
      <c r="H27" s="261" t="str">
        <f>IFERROR(IF(OR(G27="",F27="",$I$13=1),"",VLOOKUP(G27,INDIVIDUAL!$A$136:$C$236,VLOOKUP(F27,INDIVIDUAL!$K$123:$L$124,2,FALSE),FALSE)),"")</f>
        <v/>
      </c>
      <c r="I27" s="292" t="str">
        <f>IF(AND($L$19="SI",F27="F",G27&gt;19,G27&lt;56),"SI","NO")</f>
        <v>NO</v>
      </c>
      <c r="J27" s="293">
        <v>500000</v>
      </c>
      <c r="K27" s="262" t="str">
        <f>+IF(OR(I27="NO",H27=0),"",IF(ISERROR(VLOOKUP(J27,SA_1,1,FALSE))=FALSE,HLOOKUP(J27,INDIVIDUAL!$AB$9:$AG$19,INDIVIDUAL!AC42,FALSE),0))</f>
        <v/>
      </c>
      <c r="L27" s="262" t="str">
        <f>IFERROR(IF(OR(I27="NO",H27=0),H27,H27+K27),0)</f>
        <v/>
      </c>
      <c r="M27" s="294"/>
      <c r="N27" s="225"/>
      <c r="O27" s="200"/>
      <c r="P27" s="201"/>
    </row>
    <row r="28" spans="1:16" ht="15.75" x14ac:dyDescent="0.25">
      <c r="A28" s="214"/>
      <c r="B28" s="197"/>
      <c r="C28" s="291">
        <f t="shared" ref="C28:C36" si="0">IF(OR(G28&gt;65,G28&lt;20),0,1)</f>
        <v>0</v>
      </c>
      <c r="D28" s="291">
        <f t="shared" ref="D28:D36" si="1">IF(AND($L$18&lt;&gt;"NO",C28=0),0,1)</f>
        <v>1</v>
      </c>
      <c r="E28" s="310">
        <v>2</v>
      </c>
      <c r="F28" s="6"/>
      <c r="G28" s="7"/>
      <c r="H28" s="261" t="str">
        <f>IFERROR(IF(OR(G28="",F28="",$I$13=1),"",VLOOKUP(G28,INDIVIDUAL!$A$136:$C$236,VLOOKUP(F28,INDIVIDUAL!$K$123:$L$124,2,FALSE),FALSE)),"")</f>
        <v/>
      </c>
      <c r="I28" s="292" t="str">
        <f t="shared" ref="I28:I32" si="2">IF(AND($L$19="SI",F28="F",G28&gt;19,G28&lt;56),"SI","NO")</f>
        <v>NO</v>
      </c>
      <c r="J28" s="293">
        <v>500000</v>
      </c>
      <c r="K28" s="262" t="str">
        <f>+IF(OR(I28="NO",H28=0),"",IF(ISERROR(VLOOKUP(J28,SA_1,1,FALSE))=FALSE,HLOOKUP(J28,INDIVIDUAL!$AB$9:$AG$19,INDIVIDUAL!AC50,FALSE),0))</f>
        <v/>
      </c>
      <c r="L28" s="262" t="str">
        <f t="shared" ref="L28:L36" si="3">IFERROR(IF(OR(I28="NO",H28=0),H28,H28+K28),0)</f>
        <v/>
      </c>
      <c r="M28" s="294"/>
      <c r="N28" s="225"/>
      <c r="O28" s="200"/>
      <c r="P28" s="201"/>
    </row>
    <row r="29" spans="1:16" ht="15.75" x14ac:dyDescent="0.25">
      <c r="A29" s="214"/>
      <c r="B29" s="197"/>
      <c r="C29" s="291">
        <f t="shared" si="0"/>
        <v>0</v>
      </c>
      <c r="D29" s="291">
        <f t="shared" si="1"/>
        <v>1</v>
      </c>
      <c r="E29" s="310">
        <v>3</v>
      </c>
      <c r="F29" s="6"/>
      <c r="G29" s="7"/>
      <c r="H29" s="261" t="str">
        <f>IFERROR(IF(OR(G29="",F29="",$I$13=1),"",VLOOKUP(G29,INDIVIDUAL!$A$136:$C$236,VLOOKUP(F29,INDIVIDUAL!$K$123:$L$124,2,FALSE),FALSE)),"")</f>
        <v/>
      </c>
      <c r="I29" s="292" t="str">
        <f t="shared" si="2"/>
        <v>NO</v>
      </c>
      <c r="J29" s="293">
        <v>500000</v>
      </c>
      <c r="K29" s="262" t="str">
        <f>+IF(OR(I29="NO",H29=0),"",IF(ISERROR(VLOOKUP(J29,SA_3,1,FALSE))=FALSE,HLOOKUP(J29,INDIVIDUAL!$AB$9:$AG$19,INDIVIDUAL!AC58,FALSE),0))</f>
        <v/>
      </c>
      <c r="L29" s="262" t="str">
        <f t="shared" si="3"/>
        <v/>
      </c>
      <c r="M29" s="294"/>
      <c r="N29" s="225"/>
      <c r="O29" s="200"/>
      <c r="P29" s="201"/>
    </row>
    <row r="30" spans="1:16" ht="15.75" x14ac:dyDescent="0.25">
      <c r="A30" s="214"/>
      <c r="B30" s="197"/>
      <c r="C30" s="291">
        <f t="shared" si="0"/>
        <v>0</v>
      </c>
      <c r="D30" s="291">
        <f t="shared" si="1"/>
        <v>1</v>
      </c>
      <c r="E30" s="310">
        <v>4</v>
      </c>
      <c r="F30" s="6"/>
      <c r="G30" s="7"/>
      <c r="H30" s="261" t="str">
        <f>IFERROR(IF(OR(G30="",F30="",$I$13=1),"",VLOOKUP(G30,INDIVIDUAL!$A$136:$C$236,VLOOKUP(F30,INDIVIDUAL!$K$123:$L$124,2,FALSE),FALSE)),"")</f>
        <v/>
      </c>
      <c r="I30" s="292" t="str">
        <f t="shared" si="2"/>
        <v>NO</v>
      </c>
      <c r="J30" s="293">
        <v>500000</v>
      </c>
      <c r="K30" s="262" t="str">
        <f>+IF(OR(I30="NO",H30=0),"",IF(ISERROR(VLOOKUP(J30,SA_4,1,FALSE))=FALSE,HLOOKUP(J30,INDIVIDUAL!$AB$9:$AG$19,INDIVIDUAL!AC66,FALSE),0))</f>
        <v/>
      </c>
      <c r="L30" s="262" t="str">
        <f t="shared" si="3"/>
        <v/>
      </c>
      <c r="M30" s="294"/>
      <c r="N30" s="225"/>
      <c r="O30" s="200"/>
      <c r="P30" s="201"/>
    </row>
    <row r="31" spans="1:16" ht="15.75" x14ac:dyDescent="0.25">
      <c r="A31" s="214"/>
      <c r="B31" s="197"/>
      <c r="C31" s="291">
        <f t="shared" si="0"/>
        <v>0</v>
      </c>
      <c r="D31" s="291">
        <f t="shared" si="1"/>
        <v>1</v>
      </c>
      <c r="E31" s="310">
        <v>5</v>
      </c>
      <c r="F31" s="6"/>
      <c r="G31" s="7"/>
      <c r="H31" s="261" t="str">
        <f>IFERROR(IF(OR(G31="",F31="",$I$13=1),"",VLOOKUP(G31,INDIVIDUAL!$A$136:$C$236,VLOOKUP(F31,INDIVIDUAL!$K$123:$L$124,2,FALSE),FALSE)),"")</f>
        <v/>
      </c>
      <c r="I31" s="292" t="str">
        <f t="shared" si="2"/>
        <v>NO</v>
      </c>
      <c r="J31" s="293">
        <v>500000</v>
      </c>
      <c r="K31" s="262" t="str">
        <f>+IF(OR(I31="NO",H31=0),"",IF(ISERROR(VLOOKUP(J31,SA_5,1,FALSE))=FALSE,HLOOKUP(J31,INDIVIDUAL!$AB$9:$AG$19,INDIVIDUAL!AC74,FALSE),0))</f>
        <v/>
      </c>
      <c r="L31" s="262" t="str">
        <f t="shared" si="3"/>
        <v/>
      </c>
      <c r="M31" s="294"/>
      <c r="N31" s="225"/>
      <c r="O31" s="200"/>
      <c r="P31" s="201"/>
    </row>
    <row r="32" spans="1:16" ht="15.75" x14ac:dyDescent="0.25">
      <c r="A32" s="214"/>
      <c r="B32" s="197"/>
      <c r="C32" s="291">
        <f t="shared" si="0"/>
        <v>0</v>
      </c>
      <c r="D32" s="291">
        <f t="shared" si="1"/>
        <v>1</v>
      </c>
      <c r="E32" s="310">
        <v>6</v>
      </c>
      <c r="F32" s="6"/>
      <c r="G32" s="7"/>
      <c r="H32" s="261" t="str">
        <f>IFERROR(IF(OR(G32="",F32="",$I$13=1),"",VLOOKUP(G32,INDIVIDUAL!$A$136:$C$236,VLOOKUP(F32,INDIVIDUAL!$K$123:$L$124,2,FALSE),FALSE)),"")</f>
        <v/>
      </c>
      <c r="I32" s="292" t="str">
        <f t="shared" si="2"/>
        <v>NO</v>
      </c>
      <c r="J32" s="293">
        <v>400000</v>
      </c>
      <c r="K32" s="262" t="str">
        <f>+IF(OR(I32="NO",H32=0),"",IF(ISERROR(VLOOKUP(J32,SA_6,1,FALSE))=FALSE,HLOOKUP(J32,INDIVIDUAL!$AB$9:$AG$19,INDIVIDUAL!AC82,FALSE),0))</f>
        <v/>
      </c>
      <c r="L32" s="262" t="str">
        <f t="shared" si="3"/>
        <v/>
      </c>
      <c r="M32" s="294"/>
      <c r="N32" s="225"/>
      <c r="O32" s="200"/>
      <c r="P32" s="201"/>
    </row>
    <row r="33" spans="1:16" ht="15.75" x14ac:dyDescent="0.25">
      <c r="A33" s="214"/>
      <c r="B33" s="197"/>
      <c r="C33" s="291">
        <f t="shared" si="0"/>
        <v>0</v>
      </c>
      <c r="D33" s="291">
        <f t="shared" si="1"/>
        <v>1</v>
      </c>
      <c r="E33" s="310">
        <v>7</v>
      </c>
      <c r="F33" s="6"/>
      <c r="G33" s="7"/>
      <c r="H33" s="261" t="str">
        <f>IFERROR(IF(OR(G33="",F33="",$I$13=1),"",VLOOKUP(G33,INDIVIDUAL!$A$136:$C$236,VLOOKUP(F33,INDIVIDUAL!$K$123:$L$124,2,FALSE),FALSE)),"")</f>
        <v/>
      </c>
      <c r="I33" s="292" t="str">
        <f>IF(AND($L$19="SI",F33="F",G33&gt;19,G33&lt;56),"SI","NO")</f>
        <v>NO</v>
      </c>
      <c r="J33" s="293">
        <v>350000</v>
      </c>
      <c r="K33" s="262" t="str">
        <f>+IF(OR(I33="NO",H33=0),"",IF(ISERROR(VLOOKUP(J33,SA_7,1,FALSE))=FALSE,HLOOKUP(J33,INDIVIDUAL!$AB$9:$AG$19,INDIVIDUAL!AC90,FALSE),0))</f>
        <v/>
      </c>
      <c r="L33" s="262" t="str">
        <f t="shared" si="3"/>
        <v/>
      </c>
      <c r="M33" s="294"/>
      <c r="N33" s="225"/>
      <c r="O33" s="200"/>
      <c r="P33" s="201"/>
    </row>
    <row r="34" spans="1:16" ht="15.75" x14ac:dyDescent="0.25">
      <c r="A34" s="214"/>
      <c r="B34" s="197"/>
      <c r="C34" s="291">
        <f t="shared" si="0"/>
        <v>0</v>
      </c>
      <c r="D34" s="291">
        <f t="shared" si="1"/>
        <v>1</v>
      </c>
      <c r="E34" s="310">
        <v>8</v>
      </c>
      <c r="F34" s="6"/>
      <c r="G34" s="7"/>
      <c r="H34" s="261" t="str">
        <f>IFERROR(IF(OR(G34="",F34="",$I$13=1),"",VLOOKUP(G34,INDIVIDUAL!$A$136:$C$236,VLOOKUP(F34,INDIVIDUAL!$K$123:$L$124,2,FALSE),FALSE)),"")</f>
        <v/>
      </c>
      <c r="I34" s="292" t="str">
        <f>IF(AND($L$19="SI",F34="F",G34&gt;19,G34&lt;56),"SI","NO")</f>
        <v>NO</v>
      </c>
      <c r="J34" s="293"/>
      <c r="K34" s="262" t="str">
        <f>+IF(OR(I34="NO",H34=0),"",IF(ISERROR(VLOOKUP(J34,SA_8,1,FALSE))=FALSE,HLOOKUP(J34,INDIVIDUAL!$AB$9:$AG$19,INDIVIDUAL!AC98,FALSE),0))</f>
        <v/>
      </c>
      <c r="L34" s="262" t="str">
        <f t="shared" si="3"/>
        <v/>
      </c>
      <c r="M34" s="294"/>
      <c r="N34" s="225"/>
      <c r="O34" s="200"/>
      <c r="P34" s="201"/>
    </row>
    <row r="35" spans="1:16" ht="15.75" x14ac:dyDescent="0.25">
      <c r="A35" s="214"/>
      <c r="B35" s="197"/>
      <c r="C35" s="291">
        <f t="shared" si="0"/>
        <v>0</v>
      </c>
      <c r="D35" s="291">
        <f t="shared" si="1"/>
        <v>1</v>
      </c>
      <c r="E35" s="310">
        <v>9</v>
      </c>
      <c r="F35" s="6"/>
      <c r="G35" s="7"/>
      <c r="H35" s="397" t="str">
        <f>IFERROR(IF(OR(G35="",F35="",$I$13=1),"",VLOOKUP(G35,INDIVIDUAL!$A$136:$C$236,VLOOKUP(F35,INDIVIDUAL!$K$123:$L$124,2,FALSE),FALSE)),"")</f>
        <v/>
      </c>
      <c r="I35" s="292" t="str">
        <f>IF(AND($L$19="SI",F35="F",G35&gt;19,G35&lt;56),"SI","NO")</f>
        <v>NO</v>
      </c>
      <c r="J35" s="293">
        <v>350000</v>
      </c>
      <c r="K35" s="262" t="str">
        <f>+IF(OR(I35="NO",H35=0),"",IF(ISERROR(VLOOKUP(J35,SA_9,1,FALSE))=FALSE,HLOOKUP(J35,INDIVIDUAL!$AB$9:$AG$19,INDIVIDUAL!AC106,FALSE),0))</f>
        <v/>
      </c>
      <c r="L35" s="262" t="str">
        <f t="shared" si="3"/>
        <v/>
      </c>
      <c r="M35" s="294"/>
      <c r="N35" s="225"/>
      <c r="O35" s="200"/>
      <c r="P35" s="201"/>
    </row>
    <row r="36" spans="1:16" ht="15.75" x14ac:dyDescent="0.25">
      <c r="A36" s="214"/>
      <c r="B36" s="197"/>
      <c r="C36" s="291">
        <f t="shared" si="0"/>
        <v>0</v>
      </c>
      <c r="D36" s="291">
        <f t="shared" si="1"/>
        <v>1</v>
      </c>
      <c r="E36" s="310">
        <v>10</v>
      </c>
      <c r="F36" s="6"/>
      <c r="G36" s="418"/>
      <c r="H36" s="261" t="str">
        <f>IFERROR(IF(OR(G36="",F36="",$I$13=1),"",VLOOKUP(G36,INDIVIDUAL!$A$136:$C$236,VLOOKUP(F36,INDIVIDUAL!$K$123:$L$124,2,FALSE),FALSE)),"")</f>
        <v/>
      </c>
      <c r="I36" s="292" t="str">
        <f>IF(AND($L$19="SI",F36="F",G36&gt;19,G36&lt;56),"SI","NO")</f>
        <v>NO</v>
      </c>
      <c r="J36" s="293" t="s">
        <v>417</v>
      </c>
      <c r="K36" s="262" t="str">
        <f>+IF(OR(I36="NO",H36=0),"",IF(ISERROR(VLOOKUP(J36,SA_10,1,FALSE))=FALSE,HLOOKUP(J36,INDIVIDUAL!$AB$9:$AG$19,INDIVIDUAL!AC114,FALSE),0))</f>
        <v/>
      </c>
      <c r="L36" s="262" t="str">
        <f t="shared" si="3"/>
        <v/>
      </c>
      <c r="M36" s="294"/>
      <c r="N36" s="225"/>
      <c r="O36" s="200"/>
      <c r="P36" s="201"/>
    </row>
    <row r="37" spans="1:16" ht="15.75" x14ac:dyDescent="0.25">
      <c r="A37" s="214"/>
      <c r="B37" s="232"/>
      <c r="C37" s="232"/>
      <c r="D37" s="234"/>
      <c r="E37" s="235"/>
      <c r="F37" s="235"/>
      <c r="G37" s="235"/>
      <c r="H37" s="398">
        <f>SUM(H27:H36)</f>
        <v>0</v>
      </c>
      <c r="I37" s="5" t="str">
        <f>IF(OR(I38="SI",I39="SI",I40="SI",I41="SI",I42="SI",I43="SI",I44="SI",I45="SI",I46="SI",I47="SI"),"SI","NO")</f>
        <v>NO</v>
      </c>
      <c r="J37" s="225"/>
      <c r="K37" s="259"/>
      <c r="L37" s="300">
        <f>IFERROR(SUM(L27:L36),0)</f>
        <v>0</v>
      </c>
      <c r="M37" s="199"/>
      <c r="N37" s="225"/>
      <c r="O37" s="200"/>
      <c r="P37" s="201"/>
    </row>
    <row r="38" spans="1:16" ht="15.75" x14ac:dyDescent="0.25">
      <c r="A38" s="214"/>
      <c r="B38" s="232"/>
      <c r="C38" s="232"/>
      <c r="D38" s="232"/>
      <c r="E38" s="236"/>
      <c r="F38" s="236"/>
      <c r="G38" s="236"/>
      <c r="H38" s="226"/>
      <c r="I38" s="168" t="str">
        <f t="shared" ref="I38:I47" si="4">IF(AND($L$18&lt;&gt;"NO",G27&gt;19,G27&lt;66),"SI","NO")</f>
        <v>NO</v>
      </c>
      <c r="J38" s="226"/>
      <c r="K38" s="226"/>
      <c r="L38" s="239"/>
      <c r="M38" s="199"/>
      <c r="N38" s="225"/>
      <c r="O38" s="200"/>
      <c r="P38" s="201"/>
    </row>
    <row r="39" spans="1:16" ht="16.5" thickBot="1" x14ac:dyDescent="0.3">
      <c r="A39" s="214"/>
      <c r="B39" s="232"/>
      <c r="C39" s="232"/>
      <c r="D39" s="232"/>
      <c r="E39" s="232"/>
      <c r="F39" s="197"/>
      <c r="G39" s="197"/>
      <c r="H39" s="197"/>
      <c r="I39" s="168" t="str">
        <f t="shared" si="4"/>
        <v>NO</v>
      </c>
      <c r="J39" s="226"/>
      <c r="K39" s="227"/>
      <c r="L39" s="239"/>
      <c r="M39" s="199"/>
      <c r="N39" s="225"/>
      <c r="O39" s="200"/>
      <c r="P39" s="201"/>
    </row>
    <row r="40" spans="1:16" ht="16.5" thickBot="1" x14ac:dyDescent="0.3">
      <c r="A40" s="237"/>
      <c r="B40" s="238"/>
      <c r="C40" s="239"/>
      <c r="D40" s="264" t="s">
        <v>30</v>
      </c>
      <c r="E40" s="265"/>
      <c r="F40" s="266"/>
      <c r="G40" s="500">
        <f>IFERROR(IF(I26="SI",L37,H37),0)</f>
        <v>0</v>
      </c>
      <c r="H40" s="501"/>
      <c r="I40" s="295" t="str">
        <f t="shared" si="4"/>
        <v>NO</v>
      </c>
      <c r="J40" s="239"/>
      <c r="K40" s="239"/>
      <c r="L40" s="239"/>
      <c r="M40" s="199"/>
      <c r="N40" s="240"/>
      <c r="O40" s="241"/>
      <c r="P40" s="242"/>
    </row>
    <row r="41" spans="1:16" ht="16.5" customHeight="1" thickBot="1" x14ac:dyDescent="0.3">
      <c r="A41" s="237"/>
      <c r="B41" s="238"/>
      <c r="C41" s="239"/>
      <c r="D41" s="264" t="s">
        <v>31</v>
      </c>
      <c r="E41" s="265"/>
      <c r="F41" s="267"/>
      <c r="G41" s="500" t="str">
        <f>IF(H37=0,"",INDIVIDUAL!V11)</f>
        <v/>
      </c>
      <c r="H41" s="501"/>
      <c r="I41" s="295" t="str">
        <f t="shared" si="4"/>
        <v>NO</v>
      </c>
      <c r="J41" s="239"/>
      <c r="K41" s="239"/>
      <c r="L41" s="239"/>
      <c r="M41" s="199"/>
      <c r="N41" s="240"/>
      <c r="O41" s="241"/>
      <c r="P41" s="242"/>
    </row>
    <row r="42" spans="1:16" ht="16.5" thickBot="1" x14ac:dyDescent="0.3">
      <c r="A42" s="237"/>
      <c r="B42" s="238"/>
      <c r="C42" s="239"/>
      <c r="D42" s="264" t="s">
        <v>32</v>
      </c>
      <c r="E42" s="265"/>
      <c r="F42" s="268">
        <v>0.16</v>
      </c>
      <c r="G42" s="500" t="str">
        <f>IF(H37=0,"",(G41+G40)*F42)</f>
        <v/>
      </c>
      <c r="H42" s="501"/>
      <c r="I42" s="295" t="str">
        <f t="shared" si="4"/>
        <v>NO</v>
      </c>
      <c r="J42" s="239"/>
      <c r="K42" s="239"/>
      <c r="L42" s="239"/>
      <c r="M42" s="199"/>
      <c r="N42" s="240"/>
      <c r="O42" s="241"/>
      <c r="P42" s="242"/>
    </row>
    <row r="43" spans="1:16" ht="16.5" thickBot="1" x14ac:dyDescent="0.3">
      <c r="A43" s="237"/>
      <c r="B43" s="238"/>
      <c r="C43" s="197"/>
      <c r="D43" s="269"/>
      <c r="E43" s="269"/>
      <c r="F43" s="269"/>
      <c r="G43" s="269"/>
      <c r="H43" s="269"/>
      <c r="I43" s="168" t="str">
        <f t="shared" si="4"/>
        <v>NO</v>
      </c>
      <c r="J43" s="239"/>
      <c r="K43" s="239"/>
      <c r="L43" s="239"/>
      <c r="M43" s="199"/>
      <c r="N43" s="240"/>
      <c r="O43" s="241"/>
      <c r="P43" s="242"/>
    </row>
    <row r="44" spans="1:16" ht="16.5" thickBot="1" x14ac:dyDescent="0.3">
      <c r="A44" s="237"/>
      <c r="B44" s="238"/>
      <c r="C44" s="239"/>
      <c r="D44" s="480" t="s">
        <v>33</v>
      </c>
      <c r="E44" s="481"/>
      <c r="F44" s="481"/>
      <c r="G44" s="482" t="str">
        <f>IF(H37=0,"",+G42+G41+G40)</f>
        <v/>
      </c>
      <c r="H44" s="483"/>
      <c r="I44" s="295" t="str">
        <f t="shared" si="4"/>
        <v>NO</v>
      </c>
      <c r="J44" s="239"/>
      <c r="K44" s="239"/>
      <c r="L44" s="239"/>
      <c r="M44" s="199"/>
      <c r="N44" s="240"/>
      <c r="O44" s="241"/>
      <c r="P44" s="242"/>
    </row>
    <row r="45" spans="1:16" ht="15.75" x14ac:dyDescent="0.25">
      <c r="A45" s="237"/>
      <c r="B45" s="239"/>
      <c r="C45" s="239"/>
      <c r="D45" s="239"/>
      <c r="E45" s="239"/>
      <c r="F45" s="239"/>
      <c r="G45" s="239"/>
      <c r="H45" s="239"/>
      <c r="I45" s="168" t="str">
        <f t="shared" si="4"/>
        <v>NO</v>
      </c>
      <c r="J45" s="296"/>
      <c r="K45" s="197"/>
      <c r="L45" s="197"/>
      <c r="M45" s="199"/>
      <c r="N45" s="240"/>
      <c r="O45" s="241"/>
      <c r="P45" s="242"/>
    </row>
    <row r="46" spans="1:16" ht="16.5" thickBot="1" x14ac:dyDescent="0.3">
      <c r="A46" s="214"/>
      <c r="B46" s="198"/>
      <c r="C46" s="198"/>
      <c r="D46" s="197"/>
      <c r="E46" s="197"/>
      <c r="F46" s="197"/>
      <c r="G46" s="232"/>
      <c r="H46" s="197"/>
      <c r="I46" s="297" t="str">
        <f t="shared" si="4"/>
        <v>NO</v>
      </c>
      <c r="J46" s="226"/>
      <c r="K46" s="226"/>
      <c r="L46" s="226"/>
      <c r="M46" s="199"/>
      <c r="N46" s="225"/>
      <c r="O46" s="200"/>
      <c r="P46" s="201"/>
    </row>
    <row r="47" spans="1:16" ht="19.5" thickBot="1" x14ac:dyDescent="0.35">
      <c r="A47" s="243"/>
      <c r="B47" s="213"/>
      <c r="C47" s="244"/>
      <c r="D47" s="270"/>
      <c r="E47" s="270"/>
      <c r="F47" s="270"/>
      <c r="G47" s="271" t="s">
        <v>34</v>
      </c>
      <c r="H47" s="271" t="s">
        <v>35</v>
      </c>
      <c r="I47" s="272" t="str">
        <f t="shared" si="4"/>
        <v>NO</v>
      </c>
      <c r="J47" s="271" t="s">
        <v>36</v>
      </c>
      <c r="K47" s="271" t="s">
        <v>37</v>
      </c>
      <c r="L47" s="244"/>
      <c r="M47" s="204"/>
      <c r="N47" s="245"/>
      <c r="O47" s="208"/>
      <c r="P47" s="209"/>
    </row>
    <row r="48" spans="1:16" ht="18.75" x14ac:dyDescent="0.3">
      <c r="A48" s="243"/>
      <c r="B48" s="213"/>
      <c r="C48" s="244"/>
      <c r="D48" s="487" t="s">
        <v>38</v>
      </c>
      <c r="E48" s="488"/>
      <c r="F48" s="489"/>
      <c r="G48" s="273" t="str">
        <f>IF(H37=0,"",($G$40+$G$41+$G$42))</f>
        <v/>
      </c>
      <c r="H48" s="273" t="str">
        <f>IF(H37=0,"",(((($G$40)*(1.05)/2)+$G$41)*(1+$F$42)))</f>
        <v/>
      </c>
      <c r="I48" s="274"/>
      <c r="J48" s="273" t="str">
        <f>IF(H37=0,"",(((($G$40)*(1.1)/4)+$G$41)*(1+$F$42)))</f>
        <v/>
      </c>
      <c r="K48" s="273" t="str">
        <f>IF(H37=0,"",(((($G$40)*(1.15)/12)+$G$41)*(1+$F$42)))</f>
        <v/>
      </c>
      <c r="L48" s="244"/>
      <c r="M48" s="204"/>
      <c r="N48" s="245"/>
      <c r="O48" s="208"/>
      <c r="P48" s="209"/>
    </row>
    <row r="49" spans="1:16" ht="19.5" thickBot="1" x14ac:dyDescent="0.35">
      <c r="A49" s="243"/>
      <c r="B49" s="213"/>
      <c r="C49" s="244"/>
      <c r="D49" s="490" t="s">
        <v>39</v>
      </c>
      <c r="E49" s="491"/>
      <c r="F49" s="492"/>
      <c r="G49" s="275"/>
      <c r="H49" s="275" t="str">
        <f>IF(H37=0,"",(((($G$40)*(1.05)/2))*(1+$F$42)))</f>
        <v/>
      </c>
      <c r="I49" s="276"/>
      <c r="J49" s="275" t="str">
        <f>IF(H37=0,"",(((($G$40)*(1.1)/4))*(1+$F$42)))</f>
        <v/>
      </c>
      <c r="K49" s="275" t="str">
        <f>IF(H37=0,"",(((($G$40)*(1.15)/12))*(1+$F$42)))</f>
        <v/>
      </c>
      <c r="L49" s="244"/>
      <c r="M49" s="204"/>
      <c r="N49" s="245"/>
      <c r="O49" s="208"/>
      <c r="P49" s="209"/>
    </row>
    <row r="50" spans="1:16" ht="19.5" thickBot="1" x14ac:dyDescent="0.35">
      <c r="A50" s="243"/>
      <c r="B50" s="213"/>
      <c r="C50" s="244"/>
      <c r="D50" s="493" t="s">
        <v>40</v>
      </c>
      <c r="E50" s="494"/>
      <c r="F50" s="495"/>
      <c r="G50" s="277" t="str">
        <f>G48</f>
        <v/>
      </c>
      <c r="H50" s="277" t="str">
        <f>IFERROR(H48+H49,"")</f>
        <v/>
      </c>
      <c r="I50" s="278"/>
      <c r="J50" s="277" t="str">
        <f>IFERROR(J48+(3*J49),"")</f>
        <v/>
      </c>
      <c r="K50" s="277" t="str">
        <f>IFERROR(K48+(11*K49),"")</f>
        <v/>
      </c>
      <c r="L50" s="244"/>
      <c r="M50" s="204"/>
      <c r="N50" s="245"/>
      <c r="O50" s="208"/>
      <c r="P50" s="209"/>
    </row>
    <row r="51" spans="1:16" ht="18.75" x14ac:dyDescent="0.3">
      <c r="A51" s="243"/>
      <c r="B51" s="213"/>
      <c r="C51" s="213"/>
      <c r="D51" s="244"/>
      <c r="E51" s="244"/>
      <c r="F51" s="244"/>
      <c r="G51" s="298"/>
      <c r="H51" s="298"/>
      <c r="I51" s="298"/>
      <c r="J51" s="298"/>
      <c r="K51" s="298"/>
      <c r="L51" s="298"/>
      <c r="M51" s="204"/>
      <c r="N51" s="246"/>
      <c r="O51" s="246"/>
      <c r="P51" s="209"/>
    </row>
    <row r="52" spans="1:16" ht="19.5" thickBot="1" x14ac:dyDescent="0.35">
      <c r="A52" s="243"/>
      <c r="B52" s="213"/>
      <c r="C52" s="213"/>
      <c r="D52" s="244"/>
      <c r="E52" s="244"/>
      <c r="F52" s="244"/>
      <c r="G52" s="244"/>
      <c r="H52" s="244"/>
      <c r="I52" s="244"/>
      <c r="J52" s="244"/>
      <c r="K52" s="298"/>
      <c r="L52" s="298"/>
      <c r="M52" s="204"/>
      <c r="N52" s="246"/>
      <c r="O52" s="246"/>
      <c r="P52" s="209"/>
    </row>
    <row r="53" spans="1:16" ht="19.5" thickBot="1" x14ac:dyDescent="0.35">
      <c r="A53" s="247"/>
      <c r="B53" s="248"/>
      <c r="C53" s="308" t="s">
        <v>41</v>
      </c>
      <c r="D53" s="514"/>
      <c r="E53" s="515"/>
      <c r="F53" s="515"/>
      <c r="G53" s="515"/>
      <c r="H53" s="515"/>
      <c r="I53" s="515"/>
      <c r="J53" s="516"/>
      <c r="K53" s="244"/>
      <c r="L53" s="248"/>
      <c r="M53" s="204"/>
      <c r="N53" s="246"/>
      <c r="O53" s="249"/>
      <c r="P53" s="250"/>
    </row>
    <row r="54" spans="1:16" ht="18.75" x14ac:dyDescent="0.3">
      <c r="A54" s="251"/>
      <c r="B54" s="252"/>
      <c r="C54" s="252"/>
      <c r="D54" s="252"/>
      <c r="E54" s="252"/>
      <c r="F54" s="253"/>
      <c r="G54" s="253"/>
      <c r="H54" s="253"/>
      <c r="I54" s="253"/>
      <c r="J54" s="253"/>
      <c r="K54" s="253"/>
      <c r="L54" s="253"/>
      <c r="M54" s="204"/>
      <c r="N54" s="246"/>
      <c r="O54" s="246"/>
      <c r="P54" s="254"/>
    </row>
    <row r="55" spans="1:16" ht="18.75" x14ac:dyDescent="0.3">
      <c r="A55" s="251"/>
      <c r="B55" s="404" t="s">
        <v>485</v>
      </c>
      <c r="C55" s="280"/>
      <c r="D55" s="280"/>
      <c r="E55" s="280"/>
      <c r="F55" s="281"/>
      <c r="G55" s="281"/>
      <c r="H55" s="281"/>
      <c r="I55" s="281"/>
      <c r="J55" s="281"/>
      <c r="K55" s="281"/>
      <c r="L55" s="281"/>
      <c r="M55" s="282"/>
      <c r="N55" s="301"/>
      <c r="O55" s="246"/>
      <c r="P55" s="254"/>
    </row>
    <row r="56" spans="1:16" ht="18.75" x14ac:dyDescent="0.3">
      <c r="A56" s="251"/>
      <c r="B56" s="404" t="s">
        <v>483</v>
      </c>
      <c r="C56" s="279"/>
      <c r="D56" s="279"/>
      <c r="E56" s="279"/>
      <c r="F56" s="279"/>
      <c r="G56" s="283"/>
      <c r="H56" s="283"/>
      <c r="I56" s="283"/>
      <c r="J56" s="284"/>
      <c r="K56" s="283"/>
      <c r="L56" s="283"/>
      <c r="M56" s="282"/>
      <c r="N56" s="302"/>
      <c r="O56" s="255"/>
      <c r="P56" s="254"/>
    </row>
    <row r="57" spans="1:16" ht="18.75" x14ac:dyDescent="0.3">
      <c r="A57" s="243"/>
      <c r="B57" s="404" t="s">
        <v>42</v>
      </c>
      <c r="C57" s="279"/>
      <c r="D57" s="279"/>
      <c r="E57" s="279"/>
      <c r="F57" s="279"/>
      <c r="G57" s="285"/>
      <c r="H57" s="285"/>
      <c r="I57" s="285"/>
      <c r="J57" s="285"/>
      <c r="K57" s="285"/>
      <c r="L57" s="285"/>
      <c r="M57" s="282"/>
      <c r="N57" s="303"/>
      <c r="O57" s="208"/>
      <c r="P57" s="256"/>
    </row>
    <row r="58" spans="1:16" ht="18.75" x14ac:dyDescent="0.3">
      <c r="A58" s="243"/>
      <c r="B58" s="404" t="s">
        <v>408</v>
      </c>
      <c r="C58" s="279"/>
      <c r="D58" s="279"/>
      <c r="E58" s="279"/>
      <c r="F58" s="279"/>
      <c r="G58" s="285"/>
      <c r="H58" s="285"/>
      <c r="I58" s="285"/>
      <c r="J58" s="285"/>
      <c r="K58" s="285"/>
      <c r="L58" s="285"/>
      <c r="M58" s="282"/>
      <c r="N58" s="303"/>
      <c r="O58" s="208"/>
      <c r="P58" s="256"/>
    </row>
    <row r="59" spans="1:16" ht="18.75" x14ac:dyDescent="0.3">
      <c r="A59" s="243"/>
      <c r="B59" s="517" t="str">
        <f>IF(E23=50000,"El Tope Máximo de Coaseguro por padecimiento es de $50,000.00 pesos M.N., si la opcion de Coaseguro contratada es del 10%",IF(E23=40000,"El Tope Máximo de Coaseguro por padecimiento es de $40,000.00 pesos M.N., si la opcion de Coaseguro contratada es del 10%",IF(E23=30000,"El Tope Máximo de Coaseguro por padecimiento es de $30,000.00 pesos M.N., si la opcion de Coaseguro contratada es del 10%","")))</f>
        <v>El Tope Máximo de Coaseguro por padecimiento es de $30,000.00 pesos M.N., si la opcion de Coaseguro contratada es del 10%</v>
      </c>
      <c r="C59" s="518"/>
      <c r="D59" s="518"/>
      <c r="E59" s="518"/>
      <c r="F59" s="518"/>
      <c r="G59" s="518"/>
      <c r="H59" s="518"/>
      <c r="I59" s="518"/>
      <c r="J59" s="518"/>
      <c r="K59" s="518"/>
      <c r="L59" s="518"/>
      <c r="M59" s="286"/>
      <c r="N59" s="303"/>
      <c r="O59" s="208"/>
      <c r="P59" s="256"/>
    </row>
    <row r="60" spans="1:16" ht="18.75" x14ac:dyDescent="0.3">
      <c r="A60" s="243"/>
      <c r="B60" s="518" t="str">
        <f>IF(L17="NO","Esta cotización incluye en la Cobertura Básica Atención Dental.","")</f>
        <v>Esta cotización incluye en la Cobertura Básica Atención Dental.</v>
      </c>
      <c r="C60" s="518"/>
      <c r="D60" s="518"/>
      <c r="E60" s="518"/>
      <c r="F60" s="518"/>
      <c r="G60" s="518"/>
      <c r="H60" s="518"/>
      <c r="I60" s="518"/>
      <c r="J60" s="518"/>
      <c r="K60" s="518"/>
      <c r="L60" s="518"/>
      <c r="M60" s="286"/>
      <c r="N60" s="303"/>
      <c r="O60" s="208"/>
      <c r="P60" s="256"/>
    </row>
    <row r="61" spans="1:16" ht="18.75" customHeight="1" x14ac:dyDescent="0.3">
      <c r="A61" s="243"/>
      <c r="B61" s="521" t="s">
        <v>615</v>
      </c>
      <c r="C61" s="521"/>
      <c r="D61" s="521"/>
      <c r="E61" s="521"/>
      <c r="F61" s="521"/>
      <c r="G61" s="521"/>
      <c r="H61" s="521"/>
      <c r="I61" s="521"/>
      <c r="J61" s="521"/>
      <c r="K61" s="521"/>
      <c r="L61" s="521"/>
      <c r="M61" s="286"/>
      <c r="N61" s="303"/>
      <c r="O61" s="208"/>
      <c r="P61" s="256"/>
    </row>
    <row r="62" spans="1:16" ht="18.75" x14ac:dyDescent="0.3">
      <c r="A62" s="243"/>
      <c r="B62" s="521"/>
      <c r="C62" s="521"/>
      <c r="D62" s="521"/>
      <c r="E62" s="521"/>
      <c r="F62" s="521"/>
      <c r="G62" s="521"/>
      <c r="H62" s="521"/>
      <c r="I62" s="521"/>
      <c r="J62" s="521"/>
      <c r="K62" s="521"/>
      <c r="L62" s="521"/>
      <c r="M62" s="286"/>
      <c r="N62" s="303"/>
      <c r="O62" s="208"/>
      <c r="P62" s="256"/>
    </row>
    <row r="63" spans="1:16" ht="75" customHeight="1" x14ac:dyDescent="0.3">
      <c r="A63" s="243"/>
      <c r="B63" s="518" t="s">
        <v>409</v>
      </c>
      <c r="C63" s="518"/>
      <c r="D63" s="518"/>
      <c r="E63" s="518"/>
      <c r="F63" s="518"/>
      <c r="G63" s="518"/>
      <c r="H63" s="518"/>
      <c r="I63" s="518"/>
      <c r="J63" s="518"/>
      <c r="K63" s="518"/>
      <c r="L63" s="518"/>
      <c r="M63" s="286"/>
      <c r="N63" s="303"/>
      <c r="O63" s="208"/>
      <c r="P63" s="256"/>
    </row>
    <row r="64" spans="1:16" ht="18.75" x14ac:dyDescent="0.3">
      <c r="A64" s="243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6"/>
      <c r="N64" s="303"/>
      <c r="O64" s="208"/>
      <c r="P64" s="256"/>
    </row>
    <row r="65" spans="1:16" ht="15.75" x14ac:dyDescent="0.25">
      <c r="A65" s="299"/>
      <c r="B65" s="513" t="str">
        <f>IF(OR(B66&lt;&gt;"",B67&lt;&gt;"",B68&lt;&gt;"",B69&lt;&gt;"",B70&lt;&gt;"",B71&lt;&gt;"",B72&lt;&gt;"",B73&lt;&gt;""),"DESCRIPCIÓN DE COBERTURAS OPCIONALES CON COSTO INCLUIDAS EN LA PRESENTE COTIZACIÓN:","")</f>
        <v/>
      </c>
      <c r="C65" s="513"/>
      <c r="D65" s="513"/>
      <c r="E65" s="513"/>
      <c r="F65" s="513"/>
      <c r="G65" s="513"/>
      <c r="H65" s="513"/>
      <c r="I65" s="513"/>
      <c r="J65" s="513"/>
      <c r="K65" s="513"/>
      <c r="L65" s="513"/>
      <c r="M65" s="288"/>
      <c r="N65" s="304"/>
      <c r="O65" s="257"/>
      <c r="P65" s="258"/>
    </row>
    <row r="66" spans="1:16" ht="35.25" customHeight="1" x14ac:dyDescent="0.25">
      <c r="B66" s="519" t="str">
        <f>IF(L15&lt;&gt;"NO","- Emergencia en el Extranjero: Se cubre hasta "&amp;L15&amp;" con deducible de "&amp;IF(L15="SA 50,000 dlls","50 dlls","100 dlls")&amp;" y coaseguro del 0%, de acuerdo a Condiciones Generales y/o Endoso. La prima correspondiente se encuentra incluida en la presente cotización.","")</f>
        <v/>
      </c>
      <c r="C66" s="519"/>
      <c r="D66" s="519"/>
      <c r="E66" s="519"/>
      <c r="F66" s="519"/>
      <c r="G66" s="519"/>
      <c r="H66" s="519"/>
      <c r="I66" s="519"/>
      <c r="J66" s="519"/>
      <c r="K66" s="519"/>
      <c r="L66" s="519"/>
      <c r="M66" s="290"/>
      <c r="N66" s="289"/>
    </row>
    <row r="67" spans="1:16" ht="51.75" customHeight="1" x14ac:dyDescent="0.25">
      <c r="B67" s="520" t="str">
        <f>IF(L16="NO","","- Cobertura en el Extranjero para "&amp;IF(L16="A","toda el área comprendida dentro de la franja fronteriza norte de 20 Km",IF(L16="B","los estados de: Baja California Norte y Sur, Sonora, Chihuahua, Coahuila, Nuevo León y Tamaulipas (exceptuando la franja fronteriza norte), así como Campeche, Yucatán y Quintana Roo","el todo el País excepto los estados: Campeche, Yucatán, Quintana Roo, Baja California Norte y Sur, Sonora, Chihuahua, Coahuila, Nuevo León, Tamaulipas y la franja fronteriza norte de 20 km"))&amp;": Se cubre hasta la Suma Asegurada contratada con Deducible contratado y adicionando 20% al Coaseguro contratado.")</f>
        <v/>
      </c>
      <c r="C67" s="520"/>
      <c r="D67" s="520"/>
      <c r="E67" s="520"/>
      <c r="F67" s="520"/>
      <c r="G67" s="520"/>
      <c r="H67" s="520"/>
      <c r="I67" s="520"/>
      <c r="J67" s="520"/>
      <c r="K67" s="520"/>
      <c r="L67" s="520"/>
      <c r="M67" s="290"/>
      <c r="N67" s="289"/>
    </row>
    <row r="68" spans="1:16" ht="25.5" customHeight="1" x14ac:dyDescent="0.25">
      <c r="B68" s="519" t="str">
        <f>IF(L17&lt;&gt;"NO","- Asistencia Dental: Esta cotización incluye en la Atención Dental y "&amp;L17&amp;".","")</f>
        <v/>
      </c>
      <c r="C68" s="519"/>
      <c r="D68" s="519"/>
      <c r="E68" s="519"/>
      <c r="F68" s="519"/>
      <c r="G68" s="519"/>
      <c r="H68" s="519"/>
      <c r="I68" s="519"/>
      <c r="J68" s="519"/>
      <c r="K68" s="519"/>
      <c r="L68" s="519"/>
      <c r="M68" s="290"/>
      <c r="N68" s="289"/>
    </row>
    <row r="69" spans="1:16" ht="30" customHeight="1" x14ac:dyDescent="0.25">
      <c r="B69" s="511" t="str">
        <f>IF(I37&lt;&gt;"NO","- Indemnización Diaria por Hospitalización por Accidente ("&amp;J18&amp;"): Se cubre la Indemnización Diaria por Hospitalización por Accidente para asegurado entre 20 y 65 años y de acuerdo a Condiciones Generales y/o Endoso. La prima correspondiente se encuentra incluida en la presente cotización.","")</f>
        <v/>
      </c>
      <c r="C69" s="511"/>
      <c r="D69" s="511"/>
      <c r="E69" s="511"/>
      <c r="F69" s="511"/>
      <c r="G69" s="511"/>
      <c r="H69" s="511"/>
      <c r="I69" s="511"/>
      <c r="J69" s="511"/>
      <c r="K69" s="511"/>
      <c r="L69" s="511"/>
      <c r="M69" s="311"/>
      <c r="N69" s="289"/>
    </row>
    <row r="70" spans="1:16" ht="35.25" customHeight="1" x14ac:dyDescent="0.25">
      <c r="B70" s="519" t="str">
        <f>IF(L19="SI","- Indemnización por Cáncer Femenino ("&amp;J19&amp;"): Se cubre la Indemnización por Cáncer Femenino a las aseguradas que contraten la cobertura y que cuenten con edad mínima de 20 años de acuerdo a Condiciones Generales y/o Endoso. La prima correspondiente"&amp;" se encuentra incluida en la prima de las mujeres que cumplan con la elegibilidad. ","")</f>
        <v/>
      </c>
      <c r="C70" s="519"/>
      <c r="D70" s="519"/>
      <c r="E70" s="519"/>
      <c r="F70" s="519"/>
      <c r="G70" s="519"/>
      <c r="H70" s="519"/>
      <c r="I70" s="519"/>
      <c r="J70" s="519"/>
      <c r="K70" s="519"/>
      <c r="L70" s="519"/>
      <c r="M70" s="519"/>
      <c r="N70" s="289"/>
    </row>
    <row r="71" spans="1:16" ht="44.25" customHeight="1" x14ac:dyDescent="0.25">
      <c r="B71" s="519" t="str">
        <f>IF(L20="NO","","- Incremento de Suma Asegurada para Parto y Cesárea: Se aumenta la Suma Asegurada de la Cobertura Parto y Cesárea a quedar en: "&amp;MID(L20,4,7)&amp;", para aquellas Aseguradas que cuenten con al menos un año de cobertura continúa en el producto con Plan Seguro y que cuenten con edad mínima de 20 años y máxima de 37 años, de acuerdo a Condiciones Generales. "&amp;"La prima correspondiente se encuentra incluida en la prima de las mujeres que cumplan con la elegibilidad.")</f>
        <v/>
      </c>
      <c r="C71" s="519"/>
      <c r="D71" s="519"/>
      <c r="E71" s="519"/>
      <c r="F71" s="519"/>
      <c r="G71" s="519"/>
      <c r="H71" s="519"/>
      <c r="I71" s="519"/>
      <c r="J71" s="519"/>
      <c r="K71" s="519"/>
      <c r="L71" s="519"/>
      <c r="M71" s="519"/>
      <c r="N71" s="289"/>
    </row>
    <row r="72" spans="1:16" ht="33.75" customHeight="1" x14ac:dyDescent="0.25">
      <c r="B72" s="519" t="str">
        <f>IF(L21="NO","","- Reducción de Coaseguro para Padecimientos de Nariz y Senos paranasales derivados de un Accidente: Se reduce el coaseguro a quedar en 30% para Padecimientos de Nariz y Senos paranasales derivados por Accidente, de acuerdo a Condiciones Generales. "&amp;"La prima correspondiente se encuentra incluida en la presente cotización.")</f>
        <v/>
      </c>
      <c r="C72" s="519"/>
      <c r="D72" s="519"/>
      <c r="E72" s="519"/>
      <c r="F72" s="519"/>
      <c r="G72" s="519"/>
      <c r="H72" s="519"/>
      <c r="I72" s="519"/>
      <c r="J72" s="519"/>
      <c r="K72" s="519"/>
      <c r="L72" s="519"/>
      <c r="M72" s="519"/>
      <c r="N72" s="289"/>
    </row>
    <row r="73" spans="1:16" ht="45" customHeight="1" x14ac:dyDescent="0.25">
      <c r="B73" s="519" t="str">
        <f>IF(AND(I23&gt;=4,I23&lt;=10,L22="SI"),"- Eliminación de Deducible por Accidente: Se cubre el gasto erogado por accidente siempre y cuando la primera atención y gasto médico se realice durante los siguientes  "&amp;"diez días naturales a partir de la fecha del accidente y  el monto total de los gastos erogados y procedentes por Siniestro sea superior a 1 UMAM","")</f>
        <v/>
      </c>
      <c r="C73" s="519" t="e">
        <f>IF(AND(J22&lt;=7,M21=SI),"- Eliminación de Deducible por Accidente: Se cubre el gasto erogado por accidente sin que este tenga que rebasar el deducible contratado siempre y"&amp;" cuando el monto total de los gastos sin I.V.A. generados por el siniestro sea superior a a 1 UMAM como franquicia"&amp;"y la primera atención y gasto médico se realicen durante los siguientes diez días naturales a partir de la fecha en que ocurra el accidente, de acuerdo a Condiciones Generales."&amp;" La prima correspondiente se encuentra incluida en la presente cotización.","")</f>
        <v>#NAME?</v>
      </c>
      <c r="D73" s="519" t="e">
        <f>IF(AND(K22&lt;=7,N21=SI),"- Eliminación de Deducible por Accidente: Se cubre el gasto erogado por accidente sin que este tenga que rebasar el deducible contratado siempre y"&amp;" cuando el monto total de los gastos sin I.V.A. generados por el siniestro sea superior a a 1 UMAM como franquicia"&amp;"y la primera atención y gasto médico se realicen durante los siguientes diez días naturales a partir de la fecha en que ocurra el accidente, de acuerdo a Condiciones Generales."&amp;" La prima correspondiente se encuentra incluida en la presente cotización.","")</f>
        <v>#NAME?</v>
      </c>
      <c r="E73" s="519" t="e">
        <f>IF(AND(L22&lt;=7,O21=SI),"- Eliminación de Deducible por Accidente: Se cubre el gasto erogado por accidente sin que este tenga que rebasar el deducible contratado siempre y"&amp;" cuando el monto total de los gastos sin I.V.A. generados por el siniestro sea superior a a 1 UMAM como franquicia"&amp;"y la primera atención y gasto médico se realicen durante los siguientes diez días naturales a partir de la fecha en que ocurra el accidente, de acuerdo a Condiciones Generales."&amp;" La prima correspondiente se encuentra incluida en la presente cotización.","")</f>
        <v>#NAME?</v>
      </c>
      <c r="F73" s="519" t="e">
        <f>IF(AND(M22&lt;=7,P21=SI),"- Eliminación de Deducible por Accidente: Se cubre el gasto erogado por accidente sin que este tenga que rebasar el deducible contratado siempre y"&amp;" cuando el monto total de los gastos sin I.V.A. generados por el siniestro sea superior a a 1 UMAM como franquicia"&amp;"y la primera atención y gasto médico se realicen durante los siguientes diez días naturales a partir de la fecha en que ocurra el accidente, de acuerdo a Condiciones Generales."&amp;" La prima correspondiente se encuentra incluida en la presente cotización.","")</f>
        <v>#NAME?</v>
      </c>
      <c r="G73" s="519" t="e">
        <f>IF(AND(N22&lt;=7,Q21=SI),"- Eliminación de Deducible por Accidente: Se cubre el gasto erogado por accidente sin que este tenga que rebasar el deducible contratado siempre y"&amp;" cuando el monto total de los gastos sin I.V.A. generados por el siniestro sea superior a a 1 UMAM como franquicia"&amp;"y la primera atención y gasto médico se realicen durante los siguientes diez días naturales a partir de la fecha en que ocurra el accidente, de acuerdo a Condiciones Generales."&amp;" La prima correspondiente se encuentra incluida en la presente cotización.","")</f>
        <v>#NAME?</v>
      </c>
      <c r="H73" s="519" t="e">
        <f>IF(AND(O22&lt;=7,R21=SI),"- Eliminación de Deducible por Accidente: Se cubre el gasto erogado por accidente sin que este tenga que rebasar el deducible contratado siempre y"&amp;" cuando el monto total de los gastos sin I.V.A. generados por el siniestro sea superior a a 1 UMAM como franquicia"&amp;"y la primera atención y gasto médico se realicen durante los siguientes diez días naturales a partir de la fecha en que ocurra el accidente, de acuerdo a Condiciones Generales."&amp;" La prima correspondiente se encuentra incluida en la presente cotización.","")</f>
        <v>#NAME?</v>
      </c>
      <c r="I73" s="519" t="e">
        <f>IF(AND(P22&lt;=7,S21=SI),"- Eliminación de Deducible por Accidente: Se cubre el gasto erogado por accidente sin que este tenga que rebasar el deducible contratado siempre y"&amp;" cuando el monto total de los gastos sin I.V.A. generados por el siniestro sea superior a a 1 UMAM como franquicia"&amp;"y la primera atención y gasto médico se realicen durante los siguientes diez días naturales a partir de la fecha en que ocurra el accidente, de acuerdo a Condiciones Generales."&amp;" La prima correspondiente se encuentra incluida en la presente cotización.","")</f>
        <v>#NAME?</v>
      </c>
      <c r="J73" s="519" t="e">
        <f>IF(AND(Q22&lt;=7,T21=SI),"- Eliminación de Deducible por Accidente: Se cubre el gasto erogado por accidente sin que este tenga que rebasar el deducible contratado siempre y"&amp;" cuando el monto total de los gastos sin I.V.A. generados por el siniestro sea superior a a 1 UMAM como franquicia"&amp;"y la primera atención y gasto médico se realicen durante los siguientes diez días naturales a partir de la fecha en que ocurra el accidente, de acuerdo a Condiciones Generales."&amp;" La prima correspondiente se encuentra incluida en la presente cotización.","")</f>
        <v>#NAME?</v>
      </c>
      <c r="K73" s="519" t="e">
        <f>IF(AND(R22&lt;=7,U21=SI),"- Eliminación de Deducible por Accidente: Se cubre el gasto erogado por accidente sin que este tenga que rebasar el deducible contratado siempre y"&amp;" cuando el monto total de los gastos sin I.V.A. generados por el siniestro sea superior a a 1 UMAM como franquicia"&amp;"y la primera atención y gasto médico se realicen durante los siguientes diez días naturales a partir de la fecha en que ocurra el accidente, de acuerdo a Condiciones Generales."&amp;" La prima correspondiente se encuentra incluida en la presente cotización.","")</f>
        <v>#NAME?</v>
      </c>
      <c r="L73" s="519" t="e">
        <f>IF(AND(S22&lt;=7,V21=SI),"- Eliminación de Deducible por Accidente: Se cubre el gasto erogado por accidente sin que este tenga que rebasar el deducible contratado siempre y"&amp;" cuando el monto total de los gastos sin I.V.A. generados por el siniestro sea superior a a 1 UMAM como franquicia"&amp;"y la primera atención y gasto médico se realicen durante los siguientes diez días naturales a partir de la fecha en que ocurra el accidente, de acuerdo a Condiciones Generales."&amp;" La prima correspondiente se encuentra incluida en la presente cotización.","")</f>
        <v>#NAME?</v>
      </c>
      <c r="M73" s="519" t="e">
        <f>IF(AND(T22&lt;=7,W21=SI),"- Eliminación de Deducible por Accidente: Se cubre el gasto erogado por accidente sin que este tenga que rebasar el deducible contratado siempre y"&amp;" cuando el monto total de los gastos sin I.V.A. generados por el siniestro sea superior a a 1 UMAM como franquicia"&amp;"y la primera atención y gasto médico se realicen durante los siguientes diez días naturales a partir de la fecha en que ocurra el accidente, de acuerdo a Condiciones Generales."&amp;" La prima correspondiente se encuentra incluida en la presente cotización.","")</f>
        <v>#NAME?</v>
      </c>
      <c r="N73" s="289"/>
    </row>
    <row r="74" spans="1:16" ht="43.5" customHeight="1" x14ac:dyDescent="0.25">
      <c r="B74" s="512" t="s">
        <v>199</v>
      </c>
      <c r="C74" s="512"/>
      <c r="D74" s="512"/>
      <c r="E74" s="512"/>
      <c r="F74" s="512"/>
      <c r="G74" s="512"/>
      <c r="H74" s="512"/>
      <c r="I74" s="512"/>
      <c r="J74" s="512"/>
      <c r="K74" s="512"/>
      <c r="L74" s="512"/>
      <c r="M74" s="312"/>
      <c r="N74" s="289"/>
    </row>
    <row r="75" spans="1:16" ht="43.5" customHeight="1" x14ac:dyDescent="0.25">
      <c r="B75" s="403"/>
      <c r="C75" s="403"/>
      <c r="D75" s="403"/>
      <c r="E75" s="403"/>
      <c r="F75" s="403"/>
      <c r="G75" s="403"/>
      <c r="H75" s="403"/>
      <c r="I75" s="403"/>
      <c r="J75" s="403"/>
      <c r="K75" s="403"/>
      <c r="L75" s="403"/>
      <c r="M75" s="403"/>
      <c r="N75" s="403"/>
    </row>
    <row r="76" spans="1:16" ht="43.5" customHeight="1" x14ac:dyDescent="0.25">
      <c r="B76" s="403"/>
      <c r="C76" s="403"/>
      <c r="D76" s="403"/>
      <c r="E76" s="403"/>
      <c r="F76" s="403"/>
      <c r="G76" s="403"/>
      <c r="H76" s="403"/>
      <c r="I76" s="403"/>
      <c r="J76" s="403"/>
      <c r="K76" s="403"/>
      <c r="L76" s="403"/>
      <c r="M76" s="403"/>
      <c r="N76" s="403"/>
    </row>
    <row r="77" spans="1:16" ht="15" customHeight="1" x14ac:dyDescent="0.25">
      <c r="B77" s="403"/>
      <c r="C77" s="403"/>
      <c r="D77" s="403"/>
      <c r="E77" s="403"/>
      <c r="F77" s="403"/>
      <c r="G77" s="403"/>
      <c r="H77" s="403"/>
      <c r="I77" s="403"/>
      <c r="J77" s="403"/>
      <c r="K77" s="403"/>
      <c r="L77" s="403"/>
      <c r="M77" s="403"/>
      <c r="N77" s="403"/>
    </row>
  </sheetData>
  <sheetProtection password="AF57" sheet="1" objects="1" scenarios="1" selectLockedCells="1"/>
  <mergeCells count="58">
    <mergeCell ref="B69:L69"/>
    <mergeCell ref="B74:L74"/>
    <mergeCell ref="B65:L65"/>
    <mergeCell ref="D53:J53"/>
    <mergeCell ref="B59:L59"/>
    <mergeCell ref="B60:L60"/>
    <mergeCell ref="B63:L63"/>
    <mergeCell ref="B71:M71"/>
    <mergeCell ref="B72:M72"/>
    <mergeCell ref="B73:M73"/>
    <mergeCell ref="B66:L66"/>
    <mergeCell ref="B67:L67"/>
    <mergeCell ref="B68:L68"/>
    <mergeCell ref="B70:M70"/>
    <mergeCell ref="B61:L62"/>
    <mergeCell ref="D48:F48"/>
    <mergeCell ref="D49:F49"/>
    <mergeCell ref="D50:F50"/>
    <mergeCell ref="K7:K8"/>
    <mergeCell ref="L7:L8"/>
    <mergeCell ref="J20:K20"/>
    <mergeCell ref="J21:K21"/>
    <mergeCell ref="J22:K22"/>
    <mergeCell ref="G42:H42"/>
    <mergeCell ref="C23:D23"/>
    <mergeCell ref="E23:F23"/>
    <mergeCell ref="J25:K25"/>
    <mergeCell ref="G40:H40"/>
    <mergeCell ref="G41:H41"/>
    <mergeCell ref="C20:D21"/>
    <mergeCell ref="C22:D22"/>
    <mergeCell ref="E20:F21"/>
    <mergeCell ref="E22:F22"/>
    <mergeCell ref="D44:F44"/>
    <mergeCell ref="G44:H44"/>
    <mergeCell ref="J14:L14"/>
    <mergeCell ref="J19:K19"/>
    <mergeCell ref="J15:K15"/>
    <mergeCell ref="J16:K16"/>
    <mergeCell ref="J17:K17"/>
    <mergeCell ref="J18:K18"/>
    <mergeCell ref="G10:H10"/>
    <mergeCell ref="A1:A5"/>
    <mergeCell ref="F2:J2"/>
    <mergeCell ref="F4:J4"/>
    <mergeCell ref="D6:H6"/>
    <mergeCell ref="D8:G8"/>
    <mergeCell ref="D12:F12"/>
    <mergeCell ref="C14:F14"/>
    <mergeCell ref="C15:D15"/>
    <mergeCell ref="C19:D19"/>
    <mergeCell ref="D10:F10"/>
    <mergeCell ref="C16:D16"/>
    <mergeCell ref="C17:D17"/>
    <mergeCell ref="C18:D18"/>
    <mergeCell ref="E17:F17"/>
    <mergeCell ref="E18:F18"/>
    <mergeCell ref="D13:F13"/>
  </mergeCells>
  <conditionalFormatting sqref="J25:K25">
    <cfRule type="expression" dxfId="39" priority="40">
      <formula>$I$26="SI"</formula>
    </cfRule>
  </conditionalFormatting>
  <conditionalFormatting sqref="J26">
    <cfRule type="expression" dxfId="38" priority="39">
      <formula>$I$26="NO"</formula>
    </cfRule>
  </conditionalFormatting>
  <conditionalFormatting sqref="J27">
    <cfRule type="expression" dxfId="37" priority="38">
      <formula>$I$27="SI"</formula>
    </cfRule>
  </conditionalFormatting>
  <conditionalFormatting sqref="J27:L27">
    <cfRule type="expression" dxfId="36" priority="32">
      <formula>$I$27="SI"</formula>
    </cfRule>
  </conditionalFormatting>
  <conditionalFormatting sqref="K28:L28">
    <cfRule type="expression" dxfId="35" priority="31">
      <formula>$I$28="SI"</formula>
    </cfRule>
  </conditionalFormatting>
  <conditionalFormatting sqref="K29:L29">
    <cfRule type="expression" dxfId="34" priority="30">
      <formula>$I$29="SI"</formula>
    </cfRule>
  </conditionalFormatting>
  <conditionalFormatting sqref="K30:L30">
    <cfRule type="expression" dxfId="33" priority="29">
      <formula>$I$30="SI"</formula>
    </cfRule>
  </conditionalFormatting>
  <conditionalFormatting sqref="K31:L31">
    <cfRule type="expression" dxfId="32" priority="28">
      <formula>$I$31="SI"</formula>
    </cfRule>
  </conditionalFormatting>
  <conditionalFormatting sqref="K32:L32">
    <cfRule type="expression" dxfId="31" priority="27">
      <formula>$I$32="SI"</formula>
    </cfRule>
  </conditionalFormatting>
  <conditionalFormatting sqref="K33:L33">
    <cfRule type="expression" dxfId="30" priority="26">
      <formula>$I$33="SI"</formula>
    </cfRule>
  </conditionalFormatting>
  <conditionalFormatting sqref="K34:L34">
    <cfRule type="expression" dxfId="29" priority="25">
      <formula>$I$34="SI"</formula>
    </cfRule>
  </conditionalFormatting>
  <conditionalFormatting sqref="K35:L35">
    <cfRule type="expression" dxfId="28" priority="24">
      <formula>$I$35="SI"</formula>
    </cfRule>
  </conditionalFormatting>
  <conditionalFormatting sqref="K36:L36">
    <cfRule type="expression" dxfId="27" priority="23">
      <formula>$I$36="SI"</formula>
    </cfRule>
  </conditionalFormatting>
  <conditionalFormatting sqref="K26">
    <cfRule type="expression" dxfId="26" priority="22">
      <formula>$I$26="NO"</formula>
    </cfRule>
  </conditionalFormatting>
  <conditionalFormatting sqref="L26">
    <cfRule type="expression" dxfId="25" priority="21">
      <formula>$I$26="NO"</formula>
    </cfRule>
  </conditionalFormatting>
  <conditionalFormatting sqref="L37">
    <cfRule type="expression" dxfId="24" priority="20">
      <formula>$I$26&lt;&gt;"SI"</formula>
    </cfRule>
  </conditionalFormatting>
  <conditionalFormatting sqref="C22:D22">
    <cfRule type="expression" dxfId="23" priority="18">
      <formula>$C$22&lt;&gt;"TOPE MÁX. COASEGURO"</formula>
    </cfRule>
    <cfRule type="expression" dxfId="22" priority="19">
      <formula>$B$19="NO"</formula>
    </cfRule>
  </conditionalFormatting>
  <conditionalFormatting sqref="E22:F22">
    <cfRule type="expression" dxfId="21" priority="16">
      <formula>$B$22&lt;&gt;"SI"</formula>
    </cfRule>
    <cfRule type="expression" dxfId="20" priority="17">
      <formula>$B$19="NO"</formula>
    </cfRule>
  </conditionalFormatting>
  <conditionalFormatting sqref="H37">
    <cfRule type="expression" dxfId="19" priority="15">
      <formula>$I$26="SI"</formula>
    </cfRule>
  </conditionalFormatting>
  <conditionalFormatting sqref="G10:H10">
    <cfRule type="expression" dxfId="18" priority="14">
      <formula>$I$22=0</formula>
    </cfRule>
  </conditionalFormatting>
  <conditionalFormatting sqref="J10">
    <cfRule type="expression" dxfId="17" priority="13">
      <formula>$I$22=0</formula>
    </cfRule>
  </conditionalFormatting>
  <conditionalFormatting sqref="C23:D23">
    <cfRule type="expression" dxfId="16" priority="12">
      <formula>$B$23&lt;&gt;"SI"</formula>
    </cfRule>
  </conditionalFormatting>
  <conditionalFormatting sqref="E23:F23">
    <cfRule type="expression" dxfId="15" priority="11">
      <formula>$B$23&lt;&gt;"SI"</formula>
    </cfRule>
  </conditionalFormatting>
  <conditionalFormatting sqref="J22:K22">
    <cfRule type="expression" dxfId="14" priority="10">
      <formula>$I$21="NO"</formula>
    </cfRule>
  </conditionalFormatting>
  <conditionalFormatting sqref="L22">
    <cfRule type="expression" dxfId="13" priority="9">
      <formula>$I$21="NO"</formula>
    </cfRule>
  </conditionalFormatting>
  <conditionalFormatting sqref="H12">
    <cfRule type="expression" dxfId="12" priority="8">
      <formula>$I$22=0</formula>
    </cfRule>
  </conditionalFormatting>
  <conditionalFormatting sqref="G12:H12">
    <cfRule type="expression" dxfId="11" priority="7">
      <formula>$I$12=0</formula>
    </cfRule>
  </conditionalFormatting>
  <conditionalFormatting sqref="H12">
    <cfRule type="expression" dxfId="10" priority="6">
      <formula>$I$12=0</formula>
    </cfRule>
  </conditionalFormatting>
  <conditionalFormatting sqref="C13:F13">
    <cfRule type="expression" dxfId="9" priority="5">
      <formula>$D$12&lt;&gt;"Estado de México"</formula>
    </cfRule>
  </conditionalFormatting>
  <conditionalFormatting sqref="C12:F12">
    <cfRule type="expression" dxfId="8" priority="4">
      <formula>$D$12&lt;&gt;"Estado de México"</formula>
    </cfRule>
  </conditionalFormatting>
  <conditionalFormatting sqref="C14:F14">
    <cfRule type="expression" dxfId="7" priority="3">
      <formula>$D$12&lt;&gt;"Estado de México"</formula>
    </cfRule>
  </conditionalFormatting>
  <conditionalFormatting sqref="J28:J36">
    <cfRule type="expression" dxfId="6" priority="2">
      <formula>$I$27="SI"</formula>
    </cfRule>
  </conditionalFormatting>
  <conditionalFormatting sqref="J28:J36">
    <cfRule type="expression" dxfId="5" priority="1">
      <formula>$I$27="SI"</formula>
    </cfRule>
  </conditionalFormatting>
  <dataValidations count="26">
    <dataValidation type="list" allowBlank="1" showInputMessage="1" showErrorMessage="1" sqref="G27:G36">
      <formula1>EDAD</formula1>
    </dataValidation>
    <dataValidation type="list" allowBlank="1" showInputMessage="1" showErrorMessage="1" sqref="F27:F36">
      <formula1>SEXO</formula1>
    </dataValidation>
    <dataValidation type="list" allowBlank="1" showInputMessage="1" showErrorMessage="1" sqref="E17:F17">
      <formula1>COA</formula1>
    </dataValidation>
    <dataValidation type="list" allowBlank="1" showInputMessage="1" showErrorMessage="1" sqref="L15">
      <formula1>EE</formula1>
    </dataValidation>
    <dataValidation type="list" allowBlank="1" showInputMessage="1" showErrorMessage="1" sqref="L16">
      <formula1>CE</formula1>
    </dataValidation>
    <dataValidation type="list" allowBlank="1" showInputMessage="1" showErrorMessage="1" sqref="L17">
      <formula1>DENTAL</formula1>
    </dataValidation>
    <dataValidation type="list" allowBlank="1" showInputMessage="1" showErrorMessage="1" sqref="E23:F23">
      <formula1>TMC</formula1>
    </dataValidation>
    <dataValidation type="list" allowBlank="1" showInputMessage="1" showErrorMessage="1" sqref="D12:F12">
      <formula1>EDOS</formula1>
    </dataValidation>
    <dataValidation type="list" allowBlank="1" showInputMessage="1" showErrorMessage="1" sqref="D10:F10">
      <formula1>TARIFA</formula1>
    </dataValidation>
    <dataValidation type="list" allowBlank="1" showInputMessage="1" showErrorMessage="1" sqref="J10">
      <formula1>ANTI</formula1>
    </dataValidation>
    <dataValidation type="list" allowBlank="1" showInputMessage="1" showErrorMessage="1" sqref="L18">
      <formula1>IDHA</formula1>
    </dataValidation>
    <dataValidation type="list" allowBlank="1" showInputMessage="1" showErrorMessage="1" sqref="L19">
      <formula1>ICF</formula1>
    </dataValidation>
    <dataValidation type="list" allowBlank="1" showInputMessage="1" showErrorMessage="1" sqref="L20">
      <formula1>PARTO</formula1>
    </dataValidation>
    <dataValidation type="list" allowBlank="1" showInputMessage="1" showErrorMessage="1" sqref="L21">
      <formula1>NARIZ</formula1>
    </dataValidation>
    <dataValidation type="list" allowBlank="1" showInputMessage="1" showErrorMessage="1" sqref="L22">
      <formula1>DEDXACC</formula1>
    </dataValidation>
    <dataValidation type="list" allowBlank="1" showInputMessage="1" showErrorMessage="1" sqref="J27">
      <formula1>SA_1</formula1>
    </dataValidation>
    <dataValidation type="list" allowBlank="1" showInputMessage="1" showErrorMessage="1" sqref="E18:F18">
      <formula1>BASE</formula1>
    </dataValidation>
    <dataValidation type="list" allowBlank="1" showInputMessage="1" showErrorMessage="1" sqref="J28">
      <formula1>SA_2</formula1>
    </dataValidation>
    <dataValidation type="list" allowBlank="1" showInputMessage="1" showErrorMessage="1" sqref="J29">
      <formula1>SA_3</formula1>
    </dataValidation>
    <dataValidation type="list" allowBlank="1" showInputMessage="1" showErrorMessage="1" sqref="J30">
      <formula1>SA_4</formula1>
    </dataValidation>
    <dataValidation type="list" allowBlank="1" showInputMessage="1" showErrorMessage="1" sqref="J31">
      <formula1>SA_5</formula1>
    </dataValidation>
    <dataValidation type="list" allowBlank="1" showInputMessage="1" showErrorMessage="1" sqref="J32">
      <formula1>SA_6</formula1>
    </dataValidation>
    <dataValidation type="list" allowBlank="1" showInputMessage="1" showErrorMessage="1" sqref="J33">
      <formula1>SA_7</formula1>
    </dataValidation>
    <dataValidation type="list" allowBlank="1" showInputMessage="1" showErrorMessage="1" sqref="J34">
      <formula1>SA_8</formula1>
    </dataValidation>
    <dataValidation type="list" allowBlank="1" showInputMessage="1" showErrorMessage="1" sqref="J35">
      <formula1>SA_9</formula1>
    </dataValidation>
    <dataValidation type="list" allowBlank="1" showInputMessage="1" showErrorMessage="1" sqref="J36">
      <formula1>SA_10</formula1>
    </dataValidation>
  </dataValidations>
  <pageMargins left="0.70866141732283472" right="0.70866141732283472" top="0.74803149606299213" bottom="0.74803149606299213" header="0.31496062992125984" footer="0.31496062992125984"/>
  <pageSetup scale="34" orientation="portrait" r:id="rId1"/>
  <ignoredErrors>
    <ignoredError sqref="C28:C34 C27 D27:D36 C36 L7" unlockedFormula="1"/>
  </ignoredErrors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autoPict="0" r:id="rId5">
            <anchor moveWithCells="1">
              <from>
                <xdr:col>12</xdr:col>
                <xdr:colOff>1009650</xdr:colOff>
                <xdr:row>9</xdr:row>
                <xdr:rowOff>28575</xdr:rowOff>
              </from>
              <to>
                <xdr:col>12</xdr:col>
                <xdr:colOff>2600325</xdr:colOff>
                <xdr:row>10</xdr:row>
                <xdr:rowOff>114300</xdr:rowOff>
              </to>
            </anchor>
          </controlPr>
        </control>
      </mc:Choice>
      <mc:Fallback>
        <control shapeId="102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INDIVIDUAL!$R$61:$R$71</xm:f>
          </x14:formula1>
          <xm:sqref>E19</xm:sqref>
        </x14:dataValidation>
        <x14:dataValidation type="list" allowBlank="1" showInputMessage="1" showErrorMessage="1">
          <x14:formula1>
            <xm:f>INDIRECT(INDIVIDUAL!$E$260)</xm:f>
          </x14:formula1>
          <xm:sqref>D13:F13</xm:sqref>
        </x14:dataValidation>
        <x14:dataValidation type="list" allowBlank="1" showInputMessage="1" showErrorMessage="1">
          <x14:formula1>
            <xm:f>INDIVIDUAL!$K$11:$K$26</xm:f>
          </x14:formula1>
          <xm:sqref>E16</xm:sqref>
        </x14:dataValidation>
        <x14:dataValidation type="list" allowBlank="1" showInputMessage="1" showErrorMessage="1">
          <x14:formula1>
            <xm:f>INDIVIDUAL!$E$11:$E$22</xm:f>
          </x14:formula1>
          <xm:sqref>E15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K103"/>
  <sheetViews>
    <sheetView showGridLines="0" view="pageBreakPreview" topLeftCell="A63" zoomScale="40" zoomScaleNormal="40" zoomScaleSheetLayoutView="40" zoomScalePageLayoutView="30" workbookViewId="0">
      <selection activeCell="A70" sqref="A70:H71"/>
    </sheetView>
  </sheetViews>
  <sheetFormatPr baseColWidth="10" defaultColWidth="50.7109375" defaultRowHeight="23.25" x14ac:dyDescent="0.25"/>
  <cols>
    <col min="1" max="1" width="48" style="325" customWidth="1"/>
    <col min="2" max="3" width="38.7109375" style="325" customWidth="1"/>
    <col min="4" max="4" width="45.5703125" style="325" customWidth="1"/>
    <col min="5" max="5" width="49.85546875" style="325" customWidth="1"/>
    <col min="6" max="7" width="38.7109375" style="325" customWidth="1"/>
    <col min="8" max="8" width="59.28515625" style="325" customWidth="1"/>
    <col min="9" max="9" width="36.7109375" style="324" customWidth="1"/>
    <col min="10" max="10" width="25.140625" style="324" bestFit="1" customWidth="1"/>
    <col min="11" max="11" width="50.7109375" style="324"/>
    <col min="12" max="12" width="8.140625" style="324" customWidth="1"/>
    <col min="13" max="16384" width="50.7109375" style="324"/>
  </cols>
  <sheetData>
    <row r="1" spans="1:11" ht="19.5" customHeight="1" x14ac:dyDescent="0.25">
      <c r="A1" s="339"/>
      <c r="B1" s="339"/>
      <c r="C1" s="339"/>
      <c r="D1" s="339"/>
      <c r="E1" s="339"/>
      <c r="F1" s="339"/>
      <c r="G1" s="339"/>
      <c r="H1" s="339"/>
      <c r="I1" s="334"/>
    </row>
    <row r="2" spans="1:11" ht="19.5" customHeight="1" x14ac:dyDescent="0.25">
      <c r="A2" s="339"/>
      <c r="B2" s="339"/>
      <c r="C2" s="339"/>
      <c r="D2" s="339"/>
      <c r="E2" s="339"/>
      <c r="F2" s="339"/>
      <c r="G2" s="339"/>
      <c r="H2" s="339"/>
      <c r="I2" s="328"/>
      <c r="J2" s="330"/>
    </row>
    <row r="3" spans="1:11" ht="36" x14ac:dyDescent="0.25">
      <c r="A3" s="339"/>
      <c r="B3" s="339"/>
      <c r="C3" s="339"/>
      <c r="D3" s="339"/>
      <c r="E3" s="339"/>
      <c r="F3" s="339"/>
      <c r="G3" s="339"/>
      <c r="H3" s="339"/>
      <c r="I3" s="328"/>
      <c r="J3" s="331" t="s">
        <v>466</v>
      </c>
    </row>
    <row r="4" spans="1:11" ht="36" x14ac:dyDescent="0.25">
      <c r="A4" s="339"/>
      <c r="B4" s="339"/>
      <c r="C4" s="339"/>
      <c r="D4" s="339"/>
      <c r="E4" s="339"/>
      <c r="F4" s="339"/>
      <c r="G4" s="340" t="s">
        <v>5</v>
      </c>
      <c r="H4" s="341">
        <f ca="1">+TODAY()</f>
        <v>44214</v>
      </c>
      <c r="I4" s="328"/>
      <c r="J4" s="332"/>
    </row>
    <row r="5" spans="1:11" ht="36" x14ac:dyDescent="0.25">
      <c r="A5" s="339"/>
      <c r="B5" s="339"/>
      <c r="C5" s="339"/>
      <c r="D5" s="339"/>
      <c r="E5" s="339"/>
      <c r="F5" s="342"/>
      <c r="G5" s="343"/>
      <c r="H5" s="339"/>
      <c r="J5" s="331"/>
    </row>
    <row r="6" spans="1:11" s="328" customFormat="1" ht="36" x14ac:dyDescent="0.25">
      <c r="A6" s="344" t="s">
        <v>418</v>
      </c>
      <c r="B6" s="548" t="str">
        <f>+'GOLDEN SALUD IND'!$D$6</f>
        <v>Plan Seguro S.A de C.V.</v>
      </c>
      <c r="C6" s="548"/>
      <c r="D6" s="548"/>
      <c r="E6" s="548"/>
      <c r="F6" s="548"/>
      <c r="G6" s="548"/>
      <c r="H6" s="549"/>
      <c r="I6" s="324"/>
      <c r="J6" s="331" t="s">
        <v>464</v>
      </c>
      <c r="K6" s="330"/>
    </row>
    <row r="7" spans="1:11" s="328" customFormat="1" ht="36" x14ac:dyDescent="0.25">
      <c r="A7" s="345" t="s">
        <v>419</v>
      </c>
      <c r="B7" s="550" t="s">
        <v>460</v>
      </c>
      <c r="C7" s="550"/>
      <c r="D7" s="565" t="s">
        <v>420</v>
      </c>
      <c r="E7" s="565"/>
      <c r="F7" s="565"/>
      <c r="G7" s="551">
        <f>+'GOLDEN SALUD IND'!$M$40</f>
        <v>0</v>
      </c>
      <c r="H7" s="552"/>
      <c r="I7" s="324"/>
      <c r="J7" s="324"/>
      <c r="K7" s="330"/>
    </row>
    <row r="8" spans="1:11" s="328" customFormat="1" ht="36" x14ac:dyDescent="0.25">
      <c r="A8" s="346"/>
      <c r="B8" s="339"/>
      <c r="C8" s="339"/>
      <c r="D8" s="555" t="s">
        <v>461</v>
      </c>
      <c r="E8" s="555"/>
      <c r="F8" s="556"/>
      <c r="G8" s="557" t="str">
        <f>+'GOLDEN SALUD IND'!$D$12</f>
        <v>Ciudad de México y Zona Metropolitana</v>
      </c>
      <c r="H8" s="558"/>
      <c r="I8" s="326"/>
      <c r="J8" s="326"/>
      <c r="K8" s="330"/>
    </row>
    <row r="9" spans="1:11" ht="60" customHeight="1" x14ac:dyDescent="0.25">
      <c r="A9" s="553" t="s">
        <v>421</v>
      </c>
      <c r="B9" s="553"/>
      <c r="C9" s="553"/>
      <c r="D9" s="553"/>
      <c r="E9" s="553"/>
      <c r="F9" s="553"/>
      <c r="G9" s="553"/>
      <c r="H9" s="553"/>
      <c r="I9" s="326"/>
      <c r="J9" s="326"/>
      <c r="K9" s="333"/>
    </row>
    <row r="10" spans="1:11" ht="48" customHeight="1" x14ac:dyDescent="0.25">
      <c r="A10" s="554"/>
      <c r="B10" s="554"/>
      <c r="C10" s="554"/>
      <c r="D10" s="554"/>
      <c r="E10" s="554"/>
      <c r="F10" s="554"/>
      <c r="G10" s="554"/>
      <c r="H10" s="554"/>
      <c r="I10" s="326"/>
      <c r="J10" s="326"/>
      <c r="K10" s="333"/>
    </row>
    <row r="11" spans="1:11" ht="19.5" customHeight="1" x14ac:dyDescent="0.25">
      <c r="A11" s="339"/>
      <c r="B11" s="339"/>
      <c r="C11" s="339"/>
      <c r="D11" s="339"/>
      <c r="E11" s="339"/>
      <c r="F11" s="339"/>
      <c r="G11" s="339"/>
      <c r="H11" s="339"/>
      <c r="I11" s="326"/>
      <c r="J11" s="326"/>
    </row>
    <row r="12" spans="1:11" s="326" customFormat="1" ht="75" customHeight="1" x14ac:dyDescent="0.25">
      <c r="A12" s="559" t="s">
        <v>422</v>
      </c>
      <c r="B12" s="560"/>
      <c r="C12" s="560"/>
      <c r="D12" s="561"/>
      <c r="E12" s="562" t="s">
        <v>429</v>
      </c>
      <c r="F12" s="563"/>
      <c r="G12" s="563"/>
      <c r="H12" s="564"/>
    </row>
    <row r="13" spans="1:11" s="326" customFormat="1" ht="33" customHeight="1" x14ac:dyDescent="0.25">
      <c r="A13" s="544" t="s">
        <v>423</v>
      </c>
      <c r="B13" s="545"/>
      <c r="C13" s="566" t="str">
        <f>+IF('GOLDEN SALUD IND'!E15="Sin Límite","Sin Límite",CONCATENATE('GOLDEN SALUD IND'!$E$15," ","UMAM"))</f>
        <v>1000 UMAM</v>
      </c>
      <c r="D13" s="567"/>
      <c r="E13" s="544" t="s">
        <v>436</v>
      </c>
      <c r="F13" s="545"/>
      <c r="G13" s="540" t="str">
        <f>+IF(INDIVIDUAL!$S$24=0,"NO",IF(INDIVIDUAL!$S$24=1,"50 mil dólares","100 mil dólares"))</f>
        <v>NO</v>
      </c>
      <c r="H13" s="541"/>
    </row>
    <row r="14" spans="1:11" s="326" customFormat="1" ht="35.25" customHeight="1" x14ac:dyDescent="0.25">
      <c r="A14" s="544"/>
      <c r="B14" s="545"/>
      <c r="C14" s="568">
        <f>+'GOLDEN SALUD IND'!$G$15</f>
        <v>2641150</v>
      </c>
      <c r="D14" s="569"/>
      <c r="E14" s="544"/>
      <c r="F14" s="545"/>
      <c r="G14" s="540"/>
      <c r="H14" s="541"/>
    </row>
    <row r="15" spans="1:11" s="326" customFormat="1" ht="38.25" customHeight="1" x14ac:dyDescent="0.25">
      <c r="A15" s="544" t="s">
        <v>424</v>
      </c>
      <c r="B15" s="545"/>
      <c r="C15" s="566" t="str">
        <f>+CONCATENATE('GOLDEN SALUD IND'!$E$16," ","UMAM")</f>
        <v>4 UMAM</v>
      </c>
      <c r="D15" s="567"/>
      <c r="E15" s="544" t="s">
        <v>468</v>
      </c>
      <c r="F15" s="545"/>
      <c r="G15" s="540" t="str">
        <f>+'GOLDEN SALUD IND'!$L$16</f>
        <v>NO</v>
      </c>
      <c r="H15" s="541"/>
    </row>
    <row r="16" spans="1:11" s="326" customFormat="1" ht="28.5" customHeight="1" x14ac:dyDescent="0.25">
      <c r="A16" s="544"/>
      <c r="B16" s="545"/>
      <c r="C16" s="568">
        <f>+'GOLDEN SALUD IND'!$G$16</f>
        <v>10564.6</v>
      </c>
      <c r="D16" s="569"/>
      <c r="E16" s="544"/>
      <c r="F16" s="545"/>
      <c r="G16" s="540"/>
      <c r="H16" s="541"/>
    </row>
    <row r="17" spans="1:10" s="326" customFormat="1" ht="25.5" customHeight="1" x14ac:dyDescent="0.25">
      <c r="A17" s="544" t="s">
        <v>425</v>
      </c>
      <c r="B17" s="545"/>
      <c r="C17" s="542">
        <f>+'GOLDEN SALUD IND'!$E$17</f>
        <v>0.1</v>
      </c>
      <c r="D17" s="543"/>
      <c r="E17" s="530" t="s">
        <v>469</v>
      </c>
      <c r="F17" s="531"/>
      <c r="G17" s="542" t="str">
        <f>+'GOLDEN SALUD IND'!$L$18</f>
        <v>NO</v>
      </c>
      <c r="H17" s="543"/>
    </row>
    <row r="18" spans="1:10" s="326" customFormat="1" ht="57.75" customHeight="1" x14ac:dyDescent="0.25">
      <c r="A18" s="544"/>
      <c r="B18" s="545"/>
      <c r="C18" s="542"/>
      <c r="D18" s="543"/>
      <c r="E18" s="530"/>
      <c r="F18" s="531"/>
      <c r="G18" s="542"/>
      <c r="H18" s="543"/>
    </row>
    <row r="19" spans="1:10" s="326" customFormat="1" ht="20.100000000000001" customHeight="1" x14ac:dyDescent="0.25">
      <c r="A19" s="544" t="s">
        <v>426</v>
      </c>
      <c r="B19" s="545"/>
      <c r="C19" s="534">
        <f>+IF(C17&lt;&gt;10%,"NO",'GOLDEN SALUD IND'!E$23)</f>
        <v>30000</v>
      </c>
      <c r="D19" s="535"/>
      <c r="E19" s="530" t="s">
        <v>470</v>
      </c>
      <c r="F19" s="531"/>
      <c r="G19" s="534" t="str">
        <f>+'GOLDEN SALUD IND'!$L$19</f>
        <v>NO</v>
      </c>
      <c r="H19" s="535"/>
    </row>
    <row r="20" spans="1:10" s="326" customFormat="1" ht="65.25" customHeight="1" x14ac:dyDescent="0.25">
      <c r="A20" s="544"/>
      <c r="B20" s="545"/>
      <c r="C20" s="534"/>
      <c r="D20" s="535"/>
      <c r="E20" s="530"/>
      <c r="F20" s="531"/>
      <c r="G20" s="534"/>
      <c r="H20" s="535"/>
    </row>
    <row r="21" spans="1:10" s="326" customFormat="1" ht="20.100000000000001" customHeight="1" x14ac:dyDescent="0.25">
      <c r="A21" s="544" t="s">
        <v>427</v>
      </c>
      <c r="B21" s="545"/>
      <c r="C21" s="534" t="str">
        <f>+'GOLDEN SALUD IND'!$E$18</f>
        <v>Serie 100</v>
      </c>
      <c r="D21" s="535"/>
      <c r="E21" s="530" t="s">
        <v>463</v>
      </c>
      <c r="F21" s="531"/>
      <c r="G21" s="534" t="str">
        <f>+'GOLDEN SALUD IND'!L20</f>
        <v>NO</v>
      </c>
      <c r="H21" s="535"/>
    </row>
    <row r="22" spans="1:10" s="326" customFormat="1" ht="90" customHeight="1" x14ac:dyDescent="0.25">
      <c r="A22" s="544"/>
      <c r="B22" s="545"/>
      <c r="C22" s="534"/>
      <c r="D22" s="535"/>
      <c r="E22" s="530"/>
      <c r="F22" s="531"/>
      <c r="G22" s="534"/>
      <c r="H22" s="535"/>
    </row>
    <row r="23" spans="1:10" s="326" customFormat="1" ht="29.25" customHeight="1" x14ac:dyDescent="0.25">
      <c r="A23" s="530" t="s">
        <v>428</v>
      </c>
      <c r="B23" s="531"/>
      <c r="C23" s="566" t="str">
        <f>+CONCATENATE('GOLDEN SALUD IND'!$E$19," ","UMAM")</f>
        <v>21 UMAM</v>
      </c>
      <c r="D23" s="567"/>
      <c r="E23" s="530" t="s">
        <v>435</v>
      </c>
      <c r="F23" s="531"/>
      <c r="G23" s="540" t="str">
        <f>+'GOLDEN SALUD IND'!L21</f>
        <v>NO</v>
      </c>
      <c r="H23" s="541"/>
    </row>
    <row r="24" spans="1:10" s="326" customFormat="1" ht="113.25" customHeight="1" x14ac:dyDescent="0.25">
      <c r="A24" s="530"/>
      <c r="B24" s="531"/>
      <c r="C24" s="568">
        <f>+'GOLDEN SALUD IND'!$G$19</f>
        <v>55464.15</v>
      </c>
      <c r="D24" s="569"/>
      <c r="E24" s="530"/>
      <c r="F24" s="531"/>
      <c r="G24" s="540"/>
      <c r="H24" s="541"/>
    </row>
    <row r="25" spans="1:10" s="326" customFormat="1" ht="20.100000000000001" customHeight="1" x14ac:dyDescent="0.25">
      <c r="A25" s="530" t="s">
        <v>430</v>
      </c>
      <c r="B25" s="531"/>
      <c r="C25" s="546" t="str">
        <f>+'GOLDEN SALUD IND'!E20</f>
        <v>AMPARADA 
CON COASEGURO DEL 50%</v>
      </c>
      <c r="D25" s="547"/>
      <c r="E25" s="530" t="str">
        <f>IF('GOLDEN SALUD IND'!J22="","","Eliminación de Deducible por Accidente4")</f>
        <v>Eliminación de Deducible por Accidente4</v>
      </c>
      <c r="F25" s="531"/>
      <c r="G25" s="534" t="str">
        <f>+'GOLDEN SALUD IND'!$L$22</f>
        <v>NO</v>
      </c>
      <c r="H25" s="535"/>
    </row>
    <row r="26" spans="1:10" s="326" customFormat="1" ht="57.75" customHeight="1" x14ac:dyDescent="0.25">
      <c r="A26" s="530"/>
      <c r="B26" s="531"/>
      <c r="C26" s="546"/>
      <c r="D26" s="547"/>
      <c r="E26" s="532"/>
      <c r="F26" s="533"/>
      <c r="G26" s="536"/>
      <c r="H26" s="537"/>
    </row>
    <row r="27" spans="1:10" s="326" customFormat="1" ht="20.100000000000001" customHeight="1" x14ac:dyDescent="0.25">
      <c r="A27" s="530" t="s">
        <v>432</v>
      </c>
      <c r="B27" s="531"/>
      <c r="C27" s="534" t="s">
        <v>431</v>
      </c>
      <c r="D27" s="535"/>
      <c r="E27" s="363"/>
      <c r="F27" s="363"/>
      <c r="G27" s="363"/>
      <c r="H27" s="363"/>
    </row>
    <row r="28" spans="1:10" s="326" customFormat="1" ht="19.5" customHeight="1" x14ac:dyDescent="0.25">
      <c r="A28" s="530"/>
      <c r="B28" s="531"/>
      <c r="C28" s="534"/>
      <c r="D28" s="535"/>
      <c r="E28" s="363"/>
      <c r="F28" s="363"/>
      <c r="G28" s="363"/>
      <c r="H28" s="363"/>
    </row>
    <row r="29" spans="1:10" s="326" customFormat="1" ht="20.100000000000001" customHeight="1" x14ac:dyDescent="0.25">
      <c r="A29" s="530" t="s">
        <v>433</v>
      </c>
      <c r="B29" s="531"/>
      <c r="C29" s="534" t="s">
        <v>431</v>
      </c>
      <c r="D29" s="535"/>
      <c r="E29" s="363"/>
      <c r="F29" s="363"/>
      <c r="G29" s="363"/>
      <c r="H29" s="363"/>
      <c r="I29" s="324"/>
      <c r="J29" s="324"/>
    </row>
    <row r="30" spans="1:10" s="326" customFormat="1" ht="20.100000000000001" customHeight="1" x14ac:dyDescent="0.25">
      <c r="A30" s="530"/>
      <c r="B30" s="531"/>
      <c r="C30" s="534"/>
      <c r="D30" s="535"/>
      <c r="E30" s="363"/>
      <c r="F30" s="363"/>
      <c r="G30" s="363"/>
      <c r="H30" s="363"/>
      <c r="I30" s="324"/>
      <c r="J30" s="324"/>
    </row>
    <row r="31" spans="1:10" s="326" customFormat="1" ht="20.100000000000001" customHeight="1" x14ac:dyDescent="0.25">
      <c r="A31" s="530" t="s">
        <v>434</v>
      </c>
      <c r="B31" s="531"/>
      <c r="C31" s="534" t="str">
        <f>+IF('GOLDEN SALUD IND'!$L$17="NO","AMPARADA",'GOLDEN SALUD IND'!$L$17)</f>
        <v>AMPARADA</v>
      </c>
      <c r="D31" s="535"/>
      <c r="E31" s="363"/>
      <c r="F31" s="363"/>
      <c r="G31" s="363"/>
      <c r="H31" s="363"/>
      <c r="I31" s="324"/>
      <c r="J31" s="324"/>
    </row>
    <row r="32" spans="1:10" s="326" customFormat="1" ht="20.100000000000001" customHeight="1" x14ac:dyDescent="0.25">
      <c r="A32" s="532"/>
      <c r="B32" s="533"/>
      <c r="C32" s="536"/>
      <c r="D32" s="537"/>
      <c r="E32" s="363"/>
      <c r="F32" s="363"/>
      <c r="G32" s="363"/>
      <c r="H32" s="363"/>
      <c r="I32" s="324"/>
      <c r="J32" s="324"/>
    </row>
    <row r="33" spans="1:10" ht="47.25" customHeight="1" x14ac:dyDescent="0.25">
      <c r="A33" s="388" t="s">
        <v>474</v>
      </c>
      <c r="B33" s="339"/>
      <c r="C33" s="339"/>
      <c r="D33" s="389"/>
      <c r="E33" s="339"/>
      <c r="F33" s="339"/>
      <c r="G33" s="339"/>
      <c r="H33" s="339"/>
    </row>
    <row r="34" spans="1:10" ht="33.75" customHeight="1" x14ac:dyDescent="0.25">
      <c r="A34" s="388" t="s">
        <v>455</v>
      </c>
      <c r="B34" s="339"/>
      <c r="C34" s="339"/>
      <c r="D34" s="339"/>
      <c r="E34" s="339"/>
      <c r="F34" s="339"/>
      <c r="G34" s="339"/>
      <c r="H34" s="339"/>
    </row>
    <row r="35" spans="1:10" ht="24.75" customHeight="1" x14ac:dyDescent="0.25">
      <c r="A35" s="523" t="s">
        <v>456</v>
      </c>
      <c r="B35" s="523"/>
      <c r="C35" s="523"/>
      <c r="D35" s="523"/>
      <c r="E35" s="523"/>
      <c r="F35" s="523"/>
      <c r="G35" s="523"/>
      <c r="H35" s="523"/>
    </row>
    <row r="36" spans="1:10" ht="77.25" customHeight="1" x14ac:dyDescent="0.25">
      <c r="A36" s="523"/>
      <c r="B36" s="523"/>
      <c r="C36" s="523"/>
      <c r="D36" s="523"/>
      <c r="E36" s="523"/>
      <c r="F36" s="523"/>
      <c r="G36" s="523"/>
      <c r="H36" s="523"/>
    </row>
    <row r="37" spans="1:10" ht="38.25" customHeight="1" x14ac:dyDescent="0.25">
      <c r="A37" s="388" t="s">
        <v>457</v>
      </c>
      <c r="B37" s="339"/>
      <c r="C37" s="339"/>
      <c r="D37" s="339"/>
      <c r="E37" s="339"/>
      <c r="F37" s="339"/>
      <c r="G37" s="339"/>
      <c r="H37" s="339"/>
    </row>
    <row r="38" spans="1:10" ht="36" x14ac:dyDescent="0.25">
      <c r="A38" s="388" t="s">
        <v>458</v>
      </c>
      <c r="B38" s="339"/>
      <c r="C38" s="339"/>
      <c r="D38" s="339"/>
      <c r="E38" s="339"/>
      <c r="F38" s="339"/>
      <c r="G38" s="339"/>
      <c r="H38" s="339"/>
      <c r="I38" s="326"/>
      <c r="J38" s="326"/>
    </row>
    <row r="39" spans="1:10" ht="38.25" customHeight="1" x14ac:dyDescent="0.25">
      <c r="A39" s="388" t="s">
        <v>459</v>
      </c>
      <c r="B39" s="339"/>
      <c r="C39" s="339"/>
      <c r="D39" s="339"/>
      <c r="E39" s="339"/>
      <c r="F39" s="339"/>
      <c r="G39" s="339"/>
      <c r="H39" s="339"/>
      <c r="I39" s="326"/>
      <c r="J39" s="326"/>
    </row>
    <row r="40" spans="1:10" ht="20.100000000000001" customHeight="1" x14ac:dyDescent="0.25">
      <c r="A40" s="339"/>
      <c r="B40" s="339"/>
      <c r="C40" s="339"/>
      <c r="D40" s="339"/>
      <c r="E40" s="339"/>
      <c r="F40" s="339"/>
      <c r="G40" s="339"/>
      <c r="H40" s="339"/>
      <c r="I40" s="326"/>
      <c r="J40" s="326"/>
    </row>
    <row r="41" spans="1:10" ht="20.100000000000001" customHeight="1" x14ac:dyDescent="0.55000000000000004">
      <c r="A41" s="339"/>
      <c r="B41" s="339"/>
      <c r="C41" s="339"/>
      <c r="D41" s="339"/>
      <c r="E41" s="539" t="str">
        <f>+IF(G35="NO","","CÁNCER FEMENINO (ICF)")</f>
        <v>CÁNCER FEMENINO (ICF)</v>
      </c>
      <c r="F41" s="539"/>
      <c r="G41" s="390"/>
      <c r="H41" s="339"/>
      <c r="I41" s="326"/>
      <c r="J41" s="326"/>
    </row>
    <row r="42" spans="1:10" s="326" customFormat="1" ht="64.5" customHeight="1" x14ac:dyDescent="0.25">
      <c r="A42" s="347" t="s">
        <v>439</v>
      </c>
      <c r="B42" s="348" t="s">
        <v>28</v>
      </c>
      <c r="C42" s="348" t="s">
        <v>7</v>
      </c>
      <c r="D42" s="349" t="s">
        <v>440</v>
      </c>
      <c r="E42" s="350"/>
      <c r="F42" s="351"/>
      <c r="G42" s="351"/>
      <c r="H42" s="352"/>
    </row>
    <row r="43" spans="1:10" s="326" customFormat="1" ht="34.5" customHeight="1" x14ac:dyDescent="0.25">
      <c r="A43" s="353">
        <v>1</v>
      </c>
      <c r="B43" s="354" t="str">
        <f>+IF('GOLDEN SALUD IND'!$F27&lt;&gt;0,'GOLDEN SALUD IND'!$F27," ")</f>
        <v xml:space="preserve"> </v>
      </c>
      <c r="C43" s="355" t="str">
        <f>+IF('GOLDEN SALUD IND'!$G27&lt;&gt;0,'GOLDEN SALUD IND'!$G27," ")</f>
        <v xml:space="preserve"> </v>
      </c>
      <c r="D43" s="356" t="str">
        <f>+IF('GOLDEN SALUD IND'!$H27&lt;&gt;0,'GOLDEN SALUD IND'!$H27," ")</f>
        <v/>
      </c>
      <c r="E43" s="357"/>
      <c r="F43" s="357"/>
      <c r="G43" s="357"/>
      <c r="H43" s="352"/>
    </row>
    <row r="44" spans="1:10" s="326" customFormat="1" ht="34.5" customHeight="1" x14ac:dyDescent="0.25">
      <c r="A44" s="353">
        <v>2</v>
      </c>
      <c r="B44" s="354" t="str">
        <f>+IF('GOLDEN SALUD IND'!$F28&lt;&gt;0,'GOLDEN SALUD IND'!$F28," ")</f>
        <v xml:space="preserve"> </v>
      </c>
      <c r="C44" s="355" t="str">
        <f>+IF('GOLDEN SALUD IND'!$G28&lt;&gt;0,'GOLDEN SALUD IND'!$G28," ")</f>
        <v xml:space="preserve"> </v>
      </c>
      <c r="D44" s="356" t="str">
        <f>+IF('GOLDEN SALUD IND'!$H28&lt;&gt;0,'GOLDEN SALUD IND'!$H28," ")</f>
        <v/>
      </c>
      <c r="E44" s="357"/>
      <c r="F44" s="357"/>
      <c r="G44" s="358"/>
      <c r="H44" s="352"/>
    </row>
    <row r="45" spans="1:10" s="326" customFormat="1" ht="34.5" customHeight="1" x14ac:dyDescent="0.25">
      <c r="A45" s="353">
        <v>3</v>
      </c>
      <c r="B45" s="354" t="str">
        <f>+IF('GOLDEN SALUD IND'!$F29&lt;&gt;0,'GOLDEN SALUD IND'!$F29," ")</f>
        <v xml:space="preserve"> </v>
      </c>
      <c r="C45" s="355" t="str">
        <f>+IF('GOLDEN SALUD IND'!$G29&lt;&gt;0,'GOLDEN SALUD IND'!$G29," ")</f>
        <v xml:space="preserve"> </v>
      </c>
      <c r="D45" s="356" t="str">
        <f>+IF('GOLDEN SALUD IND'!$H29&lt;&gt;0,'GOLDEN SALUD IND'!$H29," ")</f>
        <v/>
      </c>
      <c r="E45" s="357"/>
      <c r="F45" s="357"/>
      <c r="G45" s="358"/>
      <c r="H45" s="352"/>
    </row>
    <row r="46" spans="1:10" s="326" customFormat="1" ht="34.5" customHeight="1" x14ac:dyDescent="0.25">
      <c r="A46" s="353">
        <v>4</v>
      </c>
      <c r="B46" s="354" t="str">
        <f>+IF('GOLDEN SALUD IND'!$F30&lt;&gt;0,'GOLDEN SALUD IND'!$F30," ")</f>
        <v xml:space="preserve"> </v>
      </c>
      <c r="C46" s="355" t="str">
        <f>+IF('GOLDEN SALUD IND'!$G30&lt;&gt;0,'GOLDEN SALUD IND'!$G30," ")</f>
        <v xml:space="preserve"> </v>
      </c>
      <c r="D46" s="356" t="str">
        <f>+IF('GOLDEN SALUD IND'!$H30&lt;&gt;0,'GOLDEN SALUD IND'!$H30," ")</f>
        <v/>
      </c>
      <c r="E46" s="357"/>
      <c r="F46" s="357"/>
      <c r="G46" s="358"/>
      <c r="H46" s="352"/>
    </row>
    <row r="47" spans="1:10" s="326" customFormat="1" ht="34.5" customHeight="1" x14ac:dyDescent="0.25">
      <c r="A47" s="353">
        <v>5</v>
      </c>
      <c r="B47" s="354" t="str">
        <f>+IF('GOLDEN SALUD IND'!$F31&lt;&gt;0,'GOLDEN SALUD IND'!$F31," ")</f>
        <v xml:space="preserve"> </v>
      </c>
      <c r="C47" s="355" t="str">
        <f>+IF('GOLDEN SALUD IND'!$G31&lt;&gt;0,'GOLDEN SALUD IND'!$G31," ")</f>
        <v xml:space="preserve"> </v>
      </c>
      <c r="D47" s="356" t="str">
        <f>+IF('GOLDEN SALUD IND'!$H31&lt;&gt;0,'GOLDEN SALUD IND'!$H31," ")</f>
        <v/>
      </c>
      <c r="E47" s="357"/>
      <c r="F47" s="357"/>
      <c r="G47" s="358"/>
      <c r="H47" s="352"/>
    </row>
    <row r="48" spans="1:10" s="326" customFormat="1" ht="34.5" customHeight="1" x14ac:dyDescent="0.25">
      <c r="A48" s="353">
        <v>6</v>
      </c>
      <c r="B48" s="354" t="str">
        <f>+IF('GOLDEN SALUD IND'!$F32&lt;&gt;0,'GOLDEN SALUD IND'!$F32," ")</f>
        <v xml:space="preserve"> </v>
      </c>
      <c r="C48" s="355" t="str">
        <f>+IF('GOLDEN SALUD IND'!$G32&lt;&gt;0,'GOLDEN SALUD IND'!$G32," ")</f>
        <v xml:space="preserve"> </v>
      </c>
      <c r="D48" s="356" t="str">
        <f>+IF('GOLDEN SALUD IND'!$H32&lt;&gt;0,'GOLDEN SALUD IND'!$H32," ")</f>
        <v/>
      </c>
      <c r="E48" s="357"/>
      <c r="F48" s="357"/>
      <c r="G48" s="358"/>
      <c r="H48" s="352"/>
    </row>
    <row r="49" spans="1:10" s="326" customFormat="1" ht="34.5" customHeight="1" x14ac:dyDescent="0.25">
      <c r="A49" s="353">
        <v>7</v>
      </c>
      <c r="B49" s="354" t="str">
        <f>+IF('GOLDEN SALUD IND'!$F33&lt;&gt;0,'GOLDEN SALUD IND'!$F33," ")</f>
        <v xml:space="preserve"> </v>
      </c>
      <c r="C49" s="355" t="str">
        <f>+IF('GOLDEN SALUD IND'!$G33&lt;&gt;0,'GOLDEN SALUD IND'!$G33," ")</f>
        <v xml:space="preserve"> </v>
      </c>
      <c r="D49" s="356" t="str">
        <f>+IF('GOLDEN SALUD IND'!$H33&lt;&gt;0,'GOLDEN SALUD IND'!$H33," ")</f>
        <v/>
      </c>
      <c r="E49" s="357"/>
      <c r="F49" s="357"/>
      <c r="G49" s="358"/>
      <c r="H49" s="352"/>
    </row>
    <row r="50" spans="1:10" s="326" customFormat="1" ht="34.5" customHeight="1" x14ac:dyDescent="0.25">
      <c r="A50" s="353">
        <v>8</v>
      </c>
      <c r="B50" s="354" t="str">
        <f>+IF('GOLDEN SALUD IND'!$F34&lt;&gt;0,'GOLDEN SALUD IND'!$F34," ")</f>
        <v xml:space="preserve"> </v>
      </c>
      <c r="C50" s="355" t="str">
        <f>+IF('GOLDEN SALUD IND'!$G34&lt;&gt;0,'GOLDEN SALUD IND'!$G34," ")</f>
        <v xml:space="preserve"> </v>
      </c>
      <c r="D50" s="356" t="str">
        <f>+IF('GOLDEN SALUD IND'!$H34&lt;&gt;0,'GOLDEN SALUD IND'!$H34," ")</f>
        <v/>
      </c>
      <c r="E50" s="357"/>
      <c r="F50" s="357"/>
      <c r="G50" s="358"/>
      <c r="H50" s="352"/>
    </row>
    <row r="51" spans="1:10" s="326" customFormat="1" ht="34.5" customHeight="1" x14ac:dyDescent="0.25">
      <c r="A51" s="353">
        <v>9</v>
      </c>
      <c r="B51" s="354" t="str">
        <f>+IF('GOLDEN SALUD IND'!$F35&lt;&gt;0,'GOLDEN SALUD IND'!$F35," ")</f>
        <v xml:space="preserve"> </v>
      </c>
      <c r="C51" s="355" t="str">
        <f>+IF('GOLDEN SALUD IND'!$G35&lt;&gt;0,'GOLDEN SALUD IND'!$G35," ")</f>
        <v xml:space="preserve"> </v>
      </c>
      <c r="D51" s="356" t="str">
        <f>+IF('GOLDEN SALUD IND'!$H35&lt;&gt;0,'GOLDEN SALUD IND'!$H35," ")</f>
        <v/>
      </c>
      <c r="E51" s="357"/>
      <c r="F51" s="357"/>
      <c r="G51" s="358"/>
      <c r="H51" s="352"/>
    </row>
    <row r="52" spans="1:10" s="326" customFormat="1" ht="34.5" customHeight="1" x14ac:dyDescent="0.25">
      <c r="A52" s="359">
        <v>10</v>
      </c>
      <c r="B52" s="360" t="str">
        <f>+IF('GOLDEN SALUD IND'!$F36&lt;&gt;0,'GOLDEN SALUD IND'!$F36," ")</f>
        <v xml:space="preserve"> </v>
      </c>
      <c r="C52" s="360" t="str">
        <f>+IF('GOLDEN SALUD IND'!$G36&lt;&gt;0,'GOLDEN SALUD IND'!$G36," ")</f>
        <v xml:space="preserve"> </v>
      </c>
      <c r="D52" s="361" t="str">
        <f>+IF('GOLDEN SALUD IND'!$H36&lt;&gt;0,'GOLDEN SALUD IND'!$H36," ")</f>
        <v/>
      </c>
      <c r="E52" s="358"/>
      <c r="F52" s="357"/>
      <c r="G52" s="358"/>
      <c r="H52" s="352"/>
    </row>
    <row r="53" spans="1:10" s="326" customFormat="1" ht="34.5" customHeight="1" x14ac:dyDescent="0.55000000000000004">
      <c r="A53" s="362"/>
      <c r="B53" s="363"/>
      <c r="C53" s="364" t="s">
        <v>30</v>
      </c>
      <c r="D53" s="365">
        <f>+'GOLDEN SALUD IND'!$G$40</f>
        <v>0</v>
      </c>
      <c r="E53" s="366"/>
      <c r="F53" s="367"/>
      <c r="G53" s="368"/>
      <c r="H53" s="352"/>
    </row>
    <row r="54" spans="1:10" s="326" customFormat="1" ht="74.25" customHeight="1" x14ac:dyDescent="0.25">
      <c r="A54" s="369"/>
      <c r="B54" s="363"/>
      <c r="C54" s="370" t="s">
        <v>441</v>
      </c>
      <c r="D54" s="371" t="str">
        <f>+'GOLDEN SALUD IND'!$G$41</f>
        <v/>
      </c>
      <c r="E54" s="352"/>
      <c r="F54" s="352"/>
      <c r="G54" s="352"/>
      <c r="H54" s="352"/>
    </row>
    <row r="55" spans="1:10" s="326" customFormat="1" ht="69" customHeight="1" x14ac:dyDescent="0.25">
      <c r="A55" s="363"/>
      <c r="B55" s="363"/>
      <c r="C55" s="372" t="s">
        <v>442</v>
      </c>
      <c r="D55" s="371" t="str">
        <f>+'GOLDEN SALUD IND'!$G$42</f>
        <v/>
      </c>
      <c r="E55" s="339"/>
      <c r="F55" s="373" t="s">
        <v>438</v>
      </c>
      <c r="G55" s="524" t="s">
        <v>444</v>
      </c>
      <c r="H55" s="525"/>
    </row>
    <row r="56" spans="1:10" s="326" customFormat="1" ht="34.5" customHeight="1" x14ac:dyDescent="0.55000000000000004">
      <c r="A56" s="363"/>
      <c r="B56" s="363"/>
      <c r="C56" s="374" t="s">
        <v>443</v>
      </c>
      <c r="D56" s="375">
        <f>+SUM($D$53:$D$55)</f>
        <v>0</v>
      </c>
      <c r="E56" s="339"/>
      <c r="F56" s="376"/>
      <c r="G56" s="377"/>
      <c r="H56" s="376"/>
    </row>
    <row r="57" spans="1:10" s="326" customFormat="1" ht="68.25" customHeight="1" x14ac:dyDescent="0.25">
      <c r="A57" s="339"/>
      <c r="B57" s="339"/>
      <c r="C57" s="339"/>
      <c r="D57" s="378"/>
      <c r="E57" s="339"/>
      <c r="F57" s="363"/>
      <c r="G57" s="379" t="s">
        <v>448</v>
      </c>
      <c r="H57" s="373" t="s">
        <v>449</v>
      </c>
    </row>
    <row r="58" spans="1:10" s="326" customFormat="1" ht="34.5" customHeight="1" x14ac:dyDescent="0.25">
      <c r="A58" s="339"/>
      <c r="B58" s="339"/>
      <c r="C58" s="339"/>
      <c r="D58" s="378"/>
      <c r="E58" s="339"/>
      <c r="F58" s="380" t="s">
        <v>444</v>
      </c>
      <c r="G58" s="381" t="str">
        <f>+'GOLDEN SALUD IND'!$G$48</f>
        <v/>
      </c>
      <c r="H58" s="382"/>
      <c r="I58" s="324"/>
      <c r="J58" s="324"/>
    </row>
    <row r="59" spans="1:10" s="326" customFormat="1" ht="34.5" customHeight="1" x14ac:dyDescent="0.25">
      <c r="A59" s="339"/>
      <c r="B59" s="339"/>
      <c r="C59" s="339"/>
      <c r="D59" s="378"/>
      <c r="E59" s="383"/>
      <c r="F59" s="353" t="s">
        <v>445</v>
      </c>
      <c r="G59" s="384" t="str">
        <f>+'GOLDEN SALUD IND'!$H$48</f>
        <v/>
      </c>
      <c r="H59" s="385" t="str">
        <f>+'GOLDEN SALUD IND'!$H$49</f>
        <v/>
      </c>
      <c r="I59" s="324"/>
      <c r="J59" s="324"/>
    </row>
    <row r="60" spans="1:10" s="326" customFormat="1" ht="34.5" customHeight="1" x14ac:dyDescent="0.25">
      <c r="A60" s="339"/>
      <c r="B60" s="339"/>
      <c r="C60" s="339"/>
      <c r="D60" s="378"/>
      <c r="E60" s="339"/>
      <c r="F60" s="353" t="s">
        <v>446</v>
      </c>
      <c r="G60" s="384" t="str">
        <f>+'GOLDEN SALUD IND'!$J$48</f>
        <v/>
      </c>
      <c r="H60" s="385" t="str">
        <f>+'GOLDEN SALUD IND'!$J$49</f>
        <v/>
      </c>
      <c r="I60" s="324"/>
      <c r="J60" s="324"/>
    </row>
    <row r="61" spans="1:10" s="326" customFormat="1" ht="34.5" customHeight="1" x14ac:dyDescent="0.25">
      <c r="A61" s="339"/>
      <c r="B61" s="339"/>
      <c r="C61" s="339"/>
      <c r="D61" s="378"/>
      <c r="E61" s="339"/>
      <c r="F61" s="359" t="s">
        <v>447</v>
      </c>
      <c r="G61" s="386" t="str">
        <f>+'GOLDEN SALUD IND'!$K$48</f>
        <v/>
      </c>
      <c r="H61" s="387" t="str">
        <f>+'GOLDEN SALUD IND'!$K$49</f>
        <v/>
      </c>
      <c r="I61" s="324"/>
      <c r="J61" s="324"/>
    </row>
    <row r="62" spans="1:10" ht="20.25" customHeight="1" x14ac:dyDescent="0.25">
      <c r="A62" s="339"/>
      <c r="B62" s="339"/>
      <c r="C62" s="339"/>
      <c r="D62" s="378"/>
      <c r="E62" s="339"/>
      <c r="F62" s="389"/>
      <c r="G62" s="339"/>
      <c r="H62" s="339"/>
    </row>
    <row r="63" spans="1:10" ht="18" customHeight="1" x14ac:dyDescent="0.25">
      <c r="A63" s="407"/>
      <c r="B63" s="407"/>
      <c r="C63" s="407"/>
      <c r="D63" s="407"/>
      <c r="E63" s="407"/>
      <c r="F63" s="407"/>
      <c r="G63" s="407"/>
      <c r="H63" s="407"/>
    </row>
    <row r="64" spans="1:10" ht="18" customHeight="1" x14ac:dyDescent="0.25">
      <c r="A64" s="407"/>
      <c r="B64" s="407"/>
      <c r="C64" s="407"/>
      <c r="D64" s="407"/>
      <c r="E64" s="407"/>
      <c r="F64" s="407"/>
      <c r="G64" s="407"/>
      <c r="H64" s="407"/>
    </row>
    <row r="65" spans="1:8" x14ac:dyDescent="0.25">
      <c r="A65" s="526" t="s">
        <v>471</v>
      </c>
      <c r="B65" s="526"/>
      <c r="C65" s="526"/>
      <c r="D65" s="526"/>
      <c r="E65" s="526"/>
      <c r="F65" s="526"/>
      <c r="G65" s="526"/>
      <c r="H65" s="526"/>
    </row>
    <row r="66" spans="1:8" ht="98.25" customHeight="1" x14ac:dyDescent="0.25">
      <c r="A66" s="526"/>
      <c r="B66" s="526"/>
      <c r="C66" s="526"/>
      <c r="D66" s="526"/>
      <c r="E66" s="526"/>
      <c r="F66" s="526"/>
      <c r="G66" s="526"/>
      <c r="H66" s="526"/>
    </row>
    <row r="67" spans="1:8" ht="36" customHeight="1" x14ac:dyDescent="0.25">
      <c r="A67" s="526" t="str">
        <f>+'GOLDEN SALUD IND'!B61</f>
        <v>Se incluye la atención atención visual (Armazón, micas graduadas y estuche o lentes de contacto graduados por $1,299.00 para adultos y $699.00 para menores de 12 años enmarcas participantes). Aplica en ópticas Devlyn y participantes.</v>
      </c>
      <c r="B67" s="526"/>
      <c r="C67" s="526"/>
      <c r="D67" s="526"/>
      <c r="E67" s="526"/>
      <c r="F67" s="526"/>
      <c r="G67" s="526"/>
      <c r="H67" s="526"/>
    </row>
    <row r="68" spans="1:8" ht="36" customHeight="1" x14ac:dyDescent="0.25">
      <c r="A68" s="526"/>
      <c r="B68" s="526"/>
      <c r="C68" s="526"/>
      <c r="D68" s="526"/>
      <c r="E68" s="526"/>
      <c r="F68" s="526"/>
      <c r="G68" s="526"/>
      <c r="H68" s="526"/>
    </row>
    <row r="69" spans="1:8" ht="36" x14ac:dyDescent="0.25">
      <c r="A69" s="538" t="str">
        <f>+'GOLDEN SALUD IND'!B65</f>
        <v/>
      </c>
      <c r="B69" s="538"/>
      <c r="C69" s="538"/>
      <c r="D69" s="538"/>
      <c r="E69" s="538"/>
      <c r="F69" s="538"/>
      <c r="G69" s="538"/>
      <c r="H69" s="538"/>
    </row>
    <row r="70" spans="1:8" ht="52.5" customHeight="1" x14ac:dyDescent="0.25">
      <c r="A70" s="526" t="str">
        <f>+'GOLDEN SALUD IND'!B66</f>
        <v/>
      </c>
      <c r="B70" s="526"/>
      <c r="C70" s="526"/>
      <c r="D70" s="526"/>
      <c r="E70" s="526"/>
      <c r="F70" s="526"/>
      <c r="G70" s="526"/>
      <c r="H70" s="526"/>
    </row>
    <row r="71" spans="1:8" ht="39" customHeight="1" x14ac:dyDescent="0.25">
      <c r="A71" s="526"/>
      <c r="B71" s="526"/>
      <c r="C71" s="526"/>
      <c r="D71" s="526"/>
      <c r="E71" s="526"/>
      <c r="F71" s="526"/>
      <c r="G71" s="526"/>
      <c r="H71" s="526"/>
    </row>
    <row r="72" spans="1:8" x14ac:dyDescent="0.25">
      <c r="A72" s="526" t="str">
        <f>+'GOLDEN SALUD IND'!B67</f>
        <v/>
      </c>
      <c r="B72" s="526"/>
      <c r="C72" s="526"/>
      <c r="D72" s="526"/>
      <c r="E72" s="526"/>
      <c r="F72" s="526"/>
      <c r="G72" s="526"/>
      <c r="H72" s="526"/>
    </row>
    <row r="73" spans="1:8" ht="42.75" customHeight="1" x14ac:dyDescent="0.25">
      <c r="A73" s="526"/>
      <c r="B73" s="526"/>
      <c r="C73" s="526"/>
      <c r="D73" s="526"/>
      <c r="E73" s="526"/>
      <c r="F73" s="526"/>
      <c r="G73" s="526"/>
      <c r="H73" s="526"/>
    </row>
    <row r="74" spans="1:8" ht="49.5" customHeight="1" x14ac:dyDescent="0.25">
      <c r="A74" s="526"/>
      <c r="B74" s="526"/>
      <c r="C74" s="526"/>
      <c r="D74" s="526"/>
      <c r="E74" s="526"/>
      <c r="F74" s="526"/>
      <c r="G74" s="526"/>
      <c r="H74" s="526"/>
    </row>
    <row r="75" spans="1:8" ht="43.5" customHeight="1" x14ac:dyDescent="0.25">
      <c r="A75" s="526" t="str">
        <f>+'GOLDEN SALUD IND'!B68</f>
        <v/>
      </c>
      <c r="B75" s="526"/>
      <c r="C75" s="526"/>
      <c r="D75" s="526"/>
      <c r="E75" s="526"/>
      <c r="F75" s="526"/>
      <c r="G75" s="526"/>
      <c r="H75" s="526"/>
    </row>
    <row r="76" spans="1:8" ht="44.25" customHeight="1" x14ac:dyDescent="0.25">
      <c r="A76" s="526" t="str">
        <f>+'GOLDEN SALUD IND'!B69</f>
        <v/>
      </c>
      <c r="B76" s="526"/>
      <c r="C76" s="526"/>
      <c r="D76" s="526"/>
      <c r="E76" s="526"/>
      <c r="F76" s="526"/>
      <c r="G76" s="526"/>
      <c r="H76" s="526"/>
    </row>
    <row r="77" spans="1:8" ht="42.75" customHeight="1" x14ac:dyDescent="0.25">
      <c r="A77" s="526"/>
      <c r="B77" s="526"/>
      <c r="C77" s="526"/>
      <c r="D77" s="526"/>
      <c r="E77" s="526"/>
      <c r="F77" s="526"/>
      <c r="G77" s="526"/>
      <c r="H77" s="526"/>
    </row>
    <row r="78" spans="1:8" ht="116.25" customHeight="1" x14ac:dyDescent="0.25">
      <c r="A78" s="529" t="str">
        <f>+'GOLDEN SALUD IND'!B70</f>
        <v/>
      </c>
      <c r="B78" s="529"/>
      <c r="C78" s="529"/>
      <c r="D78" s="529"/>
      <c r="E78" s="529"/>
      <c r="F78" s="529"/>
      <c r="G78" s="529"/>
      <c r="H78" s="529"/>
    </row>
    <row r="79" spans="1:8" ht="18" customHeight="1" x14ac:dyDescent="0.25">
      <c r="A79" s="526" t="str">
        <f>'GOLDEN SALUD IND'!B71</f>
        <v/>
      </c>
      <c r="B79" s="526"/>
      <c r="C79" s="526"/>
      <c r="D79" s="526"/>
      <c r="E79" s="526"/>
      <c r="F79" s="526"/>
      <c r="G79" s="526"/>
      <c r="H79" s="526"/>
    </row>
    <row r="80" spans="1:8" ht="42.75" customHeight="1" x14ac:dyDescent="0.25">
      <c r="A80" s="526"/>
      <c r="B80" s="526"/>
      <c r="C80" s="526"/>
      <c r="D80" s="526"/>
      <c r="E80" s="526"/>
      <c r="F80" s="526"/>
      <c r="G80" s="526"/>
      <c r="H80" s="526"/>
    </row>
    <row r="81" spans="1:10" ht="54" customHeight="1" x14ac:dyDescent="0.25">
      <c r="A81" s="526"/>
      <c r="B81" s="526"/>
      <c r="C81" s="526"/>
      <c r="D81" s="526"/>
      <c r="E81" s="526"/>
      <c r="F81" s="526"/>
      <c r="G81" s="526"/>
      <c r="H81" s="526"/>
    </row>
    <row r="82" spans="1:10" ht="50.25" customHeight="1" x14ac:dyDescent="0.25">
      <c r="A82" s="526" t="str">
        <f>'GOLDEN SALUD IND'!B72</f>
        <v/>
      </c>
      <c r="B82" s="526"/>
      <c r="C82" s="526"/>
      <c r="D82" s="526"/>
      <c r="E82" s="526"/>
      <c r="F82" s="526"/>
      <c r="G82" s="526"/>
      <c r="H82" s="526"/>
    </row>
    <row r="83" spans="1:10" ht="35.25" customHeight="1" x14ac:dyDescent="0.25">
      <c r="A83" s="526"/>
      <c r="B83" s="526"/>
      <c r="C83" s="526"/>
      <c r="D83" s="526"/>
      <c r="E83" s="526"/>
      <c r="F83" s="526"/>
      <c r="G83" s="526"/>
      <c r="H83" s="526"/>
    </row>
    <row r="84" spans="1:10" ht="35.25" customHeight="1" x14ac:dyDescent="0.25">
      <c r="A84" s="526"/>
      <c r="B84" s="526"/>
      <c r="C84" s="526"/>
      <c r="D84" s="526"/>
      <c r="E84" s="526"/>
      <c r="F84" s="526"/>
      <c r="G84" s="526"/>
      <c r="H84" s="526"/>
    </row>
    <row r="85" spans="1:10" ht="24" customHeight="1" x14ac:dyDescent="0.25">
      <c r="A85" s="523" t="str">
        <f>'GOLDEN SALUD IND'!B73</f>
        <v/>
      </c>
      <c r="B85" s="523"/>
      <c r="C85" s="523"/>
      <c r="D85" s="523"/>
      <c r="E85" s="523"/>
      <c r="F85" s="523"/>
      <c r="G85" s="523"/>
      <c r="H85" s="523"/>
    </row>
    <row r="86" spans="1:10" ht="24" customHeight="1" x14ac:dyDescent="0.25">
      <c r="A86" s="523"/>
      <c r="B86" s="523"/>
      <c r="C86" s="523"/>
      <c r="D86" s="523"/>
      <c r="E86" s="523"/>
      <c r="F86" s="523"/>
      <c r="G86" s="523"/>
      <c r="H86" s="523"/>
    </row>
    <row r="87" spans="1:10" ht="24" customHeight="1" x14ac:dyDescent="0.25">
      <c r="A87" s="523"/>
      <c r="B87" s="523"/>
      <c r="C87" s="523"/>
      <c r="D87" s="523"/>
      <c r="E87" s="523"/>
      <c r="F87" s="523"/>
      <c r="G87" s="523"/>
      <c r="H87" s="523"/>
    </row>
    <row r="88" spans="1:10" ht="18" customHeight="1" x14ac:dyDescent="0.25">
      <c r="A88" s="391"/>
      <c r="B88" s="394"/>
      <c r="C88" s="394"/>
      <c r="D88" s="394"/>
      <c r="E88" s="391"/>
      <c r="F88" s="391"/>
      <c r="G88" s="391"/>
      <c r="H88" s="391"/>
    </row>
    <row r="89" spans="1:10" ht="18" customHeight="1" x14ac:dyDescent="0.25">
      <c r="A89" s="406"/>
      <c r="B89" s="405"/>
      <c r="C89" s="405"/>
      <c r="D89" s="405"/>
      <c r="E89" s="406"/>
      <c r="F89" s="406"/>
      <c r="G89" s="406"/>
      <c r="H89" s="406"/>
    </row>
    <row r="90" spans="1:10" ht="18" customHeight="1" x14ac:dyDescent="0.25">
      <c r="A90" s="406"/>
      <c r="B90" s="405"/>
      <c r="C90" s="405"/>
      <c r="D90" s="405"/>
      <c r="E90" s="406"/>
      <c r="F90" s="406"/>
      <c r="G90" s="406"/>
      <c r="H90" s="406"/>
    </row>
    <row r="91" spans="1:10" ht="36" x14ac:dyDescent="0.55000000000000004">
      <c r="A91" s="392" t="s">
        <v>450</v>
      </c>
      <c r="B91" s="526" t="str">
        <f>IF(+'GOLDEN SALUD IND'!$D$53="","",+'GOLDEN SALUD IND'!$D$53)</f>
        <v/>
      </c>
      <c r="C91" s="526"/>
      <c r="D91" s="526"/>
      <c r="E91" s="393" t="s">
        <v>452</v>
      </c>
      <c r="F91" s="528"/>
      <c r="G91" s="528"/>
      <c r="H91" s="528"/>
    </row>
    <row r="92" spans="1:10" ht="42.75" customHeight="1" x14ac:dyDescent="0.25">
      <c r="A92" s="393" t="s">
        <v>451</v>
      </c>
      <c r="B92" s="522"/>
      <c r="C92" s="522"/>
      <c r="D92" s="522"/>
      <c r="E92" s="393" t="s">
        <v>453</v>
      </c>
      <c r="F92" s="522"/>
      <c r="G92" s="522"/>
      <c r="H92" s="522"/>
    </row>
    <row r="93" spans="1:10" ht="36" x14ac:dyDescent="0.25">
      <c r="A93" s="339"/>
      <c r="B93" s="339"/>
      <c r="C93" s="339"/>
      <c r="D93" s="339"/>
      <c r="E93" s="339"/>
      <c r="F93" s="339"/>
      <c r="G93" s="339"/>
      <c r="H93" s="339"/>
      <c r="I93" s="328"/>
      <c r="J93" s="328"/>
    </row>
    <row r="94" spans="1:10" ht="36" x14ac:dyDescent="0.25">
      <c r="A94" s="339"/>
      <c r="B94" s="339"/>
      <c r="C94" s="339"/>
      <c r="D94" s="339"/>
      <c r="E94" s="339"/>
      <c r="F94" s="339"/>
      <c r="G94" s="339"/>
      <c r="H94" s="339"/>
    </row>
    <row r="95" spans="1:10" ht="36" x14ac:dyDescent="0.25">
      <c r="A95" s="339"/>
      <c r="B95" s="339"/>
      <c r="C95" s="339"/>
      <c r="D95" s="339"/>
      <c r="E95" s="339"/>
      <c r="F95" s="339"/>
      <c r="G95" s="339"/>
      <c r="H95" s="339"/>
    </row>
    <row r="96" spans="1:10" s="328" customFormat="1" ht="36" x14ac:dyDescent="0.25">
      <c r="A96" s="527" t="s">
        <v>454</v>
      </c>
      <c r="B96" s="527"/>
      <c r="C96" s="527"/>
      <c r="D96" s="527"/>
      <c r="E96" s="527"/>
      <c r="F96" s="527"/>
      <c r="G96" s="527"/>
      <c r="H96" s="527"/>
      <c r="I96" s="324"/>
      <c r="J96" s="324"/>
    </row>
    <row r="97" spans="1:8" ht="36" x14ac:dyDescent="0.25">
      <c r="A97" s="339"/>
      <c r="B97" s="339"/>
      <c r="C97" s="339"/>
      <c r="D97" s="339"/>
      <c r="E97" s="339"/>
      <c r="F97" s="339"/>
      <c r="G97" s="339"/>
      <c r="H97" s="339"/>
    </row>
    <row r="98" spans="1:8" ht="36" x14ac:dyDescent="0.25">
      <c r="A98" s="339"/>
      <c r="B98" s="339"/>
      <c r="C98" s="339"/>
      <c r="D98" s="339"/>
      <c r="E98" s="339"/>
      <c r="F98" s="339"/>
      <c r="G98" s="339"/>
      <c r="H98" s="393" t="s">
        <v>472</v>
      </c>
    </row>
    <row r="99" spans="1:8" ht="30" x14ac:dyDescent="0.25">
      <c r="A99" s="329"/>
      <c r="B99" s="329"/>
      <c r="C99" s="329"/>
      <c r="D99" s="329"/>
      <c r="E99" s="329"/>
      <c r="F99" s="329"/>
      <c r="G99" s="329"/>
      <c r="H99" s="337"/>
    </row>
    <row r="103" spans="1:8" x14ac:dyDescent="0.25">
      <c r="F103" s="325" t="s">
        <v>467</v>
      </c>
    </row>
  </sheetData>
  <dataConsolidate/>
  <mergeCells count="65">
    <mergeCell ref="C15:D15"/>
    <mergeCell ref="C16:D16"/>
    <mergeCell ref="C17:D18"/>
    <mergeCell ref="A23:B24"/>
    <mergeCell ref="C23:D23"/>
    <mergeCell ref="C24:D24"/>
    <mergeCell ref="C19:D20"/>
    <mergeCell ref="C21:D22"/>
    <mergeCell ref="A15:B16"/>
    <mergeCell ref="A17:B18"/>
    <mergeCell ref="A19:B20"/>
    <mergeCell ref="A21:B22"/>
    <mergeCell ref="A12:D12"/>
    <mergeCell ref="E12:H12"/>
    <mergeCell ref="D7:F7"/>
    <mergeCell ref="C13:D13"/>
    <mergeCell ref="C14:D14"/>
    <mergeCell ref="A13:B14"/>
    <mergeCell ref="G13:H14"/>
    <mergeCell ref="E13:F14"/>
    <mergeCell ref="B6:H6"/>
    <mergeCell ref="B7:C7"/>
    <mergeCell ref="G7:H7"/>
    <mergeCell ref="A9:H10"/>
    <mergeCell ref="D8:F8"/>
    <mergeCell ref="G8:H8"/>
    <mergeCell ref="A25:B26"/>
    <mergeCell ref="C25:D26"/>
    <mergeCell ref="A27:B28"/>
    <mergeCell ref="C27:D28"/>
    <mergeCell ref="A29:B30"/>
    <mergeCell ref="C29:D30"/>
    <mergeCell ref="G15:H16"/>
    <mergeCell ref="G23:H24"/>
    <mergeCell ref="E25:F26"/>
    <mergeCell ref="G25:H26"/>
    <mergeCell ref="E23:F24"/>
    <mergeCell ref="E17:F18"/>
    <mergeCell ref="G17:H18"/>
    <mergeCell ref="E19:F20"/>
    <mergeCell ref="G19:H20"/>
    <mergeCell ref="E21:F22"/>
    <mergeCell ref="G21:H22"/>
    <mergeCell ref="E15:F16"/>
    <mergeCell ref="A31:B32"/>
    <mergeCell ref="C31:D32"/>
    <mergeCell ref="A69:H69"/>
    <mergeCell ref="E41:F41"/>
    <mergeCell ref="A67:H68"/>
    <mergeCell ref="F92:H92"/>
    <mergeCell ref="A35:H36"/>
    <mergeCell ref="G55:H55"/>
    <mergeCell ref="A65:H66"/>
    <mergeCell ref="A96:H96"/>
    <mergeCell ref="A76:H77"/>
    <mergeCell ref="A72:H74"/>
    <mergeCell ref="A75:H75"/>
    <mergeCell ref="A70:H71"/>
    <mergeCell ref="B91:D91"/>
    <mergeCell ref="B92:D92"/>
    <mergeCell ref="F91:H91"/>
    <mergeCell ref="A79:H81"/>
    <mergeCell ref="A78:H78"/>
    <mergeCell ref="A82:H84"/>
    <mergeCell ref="A85:H87"/>
  </mergeCells>
  <conditionalFormatting sqref="F58:H61">
    <cfRule type="expression" dxfId="4" priority="32">
      <formula>+VLOOKUP($G$55,$F$58:$H$61,1,FALSE)</formula>
    </cfRule>
  </conditionalFormatting>
  <conditionalFormatting sqref="F58:H58">
    <cfRule type="expression" dxfId="3" priority="31">
      <formula>+$G$55="ANUAL"</formula>
    </cfRule>
  </conditionalFormatting>
  <conditionalFormatting sqref="F59:H59">
    <cfRule type="expression" dxfId="2" priority="30">
      <formula>+$G$55="SEMESTRAL"</formula>
    </cfRule>
  </conditionalFormatting>
  <conditionalFormatting sqref="F60:H60">
    <cfRule type="expression" dxfId="1" priority="29">
      <formula>+$G$55="TRIMESTRAL"</formula>
    </cfRule>
  </conditionalFormatting>
  <conditionalFormatting sqref="F61:H61">
    <cfRule type="expression" dxfId="0" priority="28">
      <formula>+$G$55="MENSUAL"</formula>
    </cfRule>
  </conditionalFormatting>
  <dataValidations count="1">
    <dataValidation type="list" allowBlank="1" showInputMessage="1" showErrorMessage="1" sqref="G55:H55">
      <formula1>PAGO</formula1>
    </dataValidation>
  </dataValidations>
  <printOptions horizontalCentered="1" verticalCentered="1"/>
  <pageMargins left="0.97" right="0.95" top="0.74803149606299213" bottom="0.9055118110236221" header="0.31496062992125984" footer="0.70866141732283472"/>
  <pageSetup paperSize="9" scale="19" orientation="portrait" r:id="rId1"/>
  <headerFooter>
    <oddHeader xml:space="preserve">&amp;L&amp;G&amp;C&amp;"Arial,Negrita"&amp;36&amp;K003B71
Propuesta de Seguro Individual de Salud&amp;R
</oddHeader>
    <oddFooter>&amp;L&amp;G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5129" r:id="rId5" name="CommandButton3">
          <controlPr defaultSize="0" autoLine="0" r:id="rId6">
            <anchor moveWithCells="1">
              <from>
                <xdr:col>8</xdr:col>
                <xdr:colOff>209550</xdr:colOff>
                <xdr:row>4</xdr:row>
                <xdr:rowOff>238125</xdr:rowOff>
              </from>
              <to>
                <xdr:col>8</xdr:col>
                <xdr:colOff>2286000</xdr:colOff>
                <xdr:row>6</xdr:row>
                <xdr:rowOff>409575</xdr:rowOff>
              </to>
            </anchor>
          </controlPr>
        </control>
      </mc:Choice>
      <mc:Fallback>
        <control shapeId="5129" r:id="rId5" name="CommandButton3"/>
      </mc:Fallback>
    </mc:AlternateContent>
    <mc:AlternateContent xmlns:mc="http://schemas.openxmlformats.org/markup-compatibility/2006">
      <mc:Choice Requires="x14">
        <control shapeId="5125" r:id="rId7" name="CommandButton2">
          <controlPr defaultSize="0" autoLine="0" r:id="rId8">
            <anchor moveWithCells="1">
              <from>
                <xdr:col>8</xdr:col>
                <xdr:colOff>209550</xdr:colOff>
                <xdr:row>7</xdr:row>
                <xdr:rowOff>361950</xdr:rowOff>
              </from>
              <to>
                <xdr:col>8</xdr:col>
                <xdr:colOff>2286000</xdr:colOff>
                <xdr:row>9</xdr:row>
                <xdr:rowOff>219075</xdr:rowOff>
              </to>
            </anchor>
          </controlPr>
        </control>
      </mc:Choice>
      <mc:Fallback>
        <control shapeId="5125" r:id="rId7" name="CommandButton2"/>
      </mc:Fallback>
    </mc:AlternateContent>
    <mc:AlternateContent xmlns:mc="http://schemas.openxmlformats.org/markup-compatibility/2006">
      <mc:Choice Requires="x14">
        <control shapeId="5123" r:id="rId9" name="CommandButton1">
          <controlPr defaultSize="0" autoLine="0" r:id="rId10">
            <anchor moveWithCells="1">
              <from>
                <xdr:col>8</xdr:col>
                <xdr:colOff>209550</xdr:colOff>
                <xdr:row>0</xdr:row>
                <xdr:rowOff>209550</xdr:rowOff>
              </from>
              <to>
                <xdr:col>8</xdr:col>
                <xdr:colOff>2286000</xdr:colOff>
                <xdr:row>3</xdr:row>
                <xdr:rowOff>381000</xdr:rowOff>
              </to>
            </anchor>
          </controlPr>
        </control>
      </mc:Choice>
      <mc:Fallback>
        <control shapeId="5123" r:id="rId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20"/>
  <sheetViews>
    <sheetView view="pageBreakPreview" zoomScale="70" zoomScaleNormal="100" zoomScaleSheetLayoutView="70" workbookViewId="0">
      <selection activeCell="G23" sqref="G23"/>
    </sheetView>
  </sheetViews>
  <sheetFormatPr baseColWidth="10" defaultRowHeight="15" x14ac:dyDescent="0.25"/>
  <cols>
    <col min="1" max="1" width="43" customWidth="1"/>
    <col min="5" max="5" width="8.28515625" customWidth="1"/>
    <col min="6" max="6" width="14.28515625" hidden="1" customWidth="1"/>
  </cols>
  <sheetData>
    <row r="1" spans="1:5" ht="28.5" x14ac:dyDescent="0.45">
      <c r="A1" s="327"/>
      <c r="B1" s="327"/>
      <c r="C1" s="327"/>
      <c r="D1" s="327"/>
      <c r="E1" s="327"/>
    </row>
    <row r="2" spans="1:5" ht="28.5" x14ac:dyDescent="0.45">
      <c r="A2" s="327"/>
      <c r="B2" s="327"/>
      <c r="C2" s="327"/>
      <c r="D2" s="327"/>
      <c r="E2" s="327"/>
    </row>
    <row r="3" spans="1:5" ht="28.5" x14ac:dyDescent="0.45">
      <c r="A3" s="327"/>
      <c r="B3" s="327"/>
      <c r="C3" s="327"/>
      <c r="D3" s="327"/>
      <c r="E3" s="327"/>
    </row>
    <row r="4" spans="1:5" ht="28.5" x14ac:dyDescent="0.45">
      <c r="A4" s="327"/>
      <c r="B4" s="327"/>
      <c r="C4" s="327"/>
      <c r="D4" s="327"/>
      <c r="E4" s="327"/>
    </row>
    <row r="5" spans="1:5" ht="28.5" x14ac:dyDescent="0.45">
      <c r="A5" s="327"/>
      <c r="B5" s="327"/>
      <c r="C5" s="327"/>
      <c r="D5" s="327"/>
      <c r="E5" s="327"/>
    </row>
    <row r="6" spans="1:5" ht="28.5" x14ac:dyDescent="0.45">
      <c r="A6" s="327"/>
      <c r="B6" s="327"/>
      <c r="C6" s="327"/>
      <c r="D6" s="327"/>
      <c r="E6" s="327"/>
    </row>
    <row r="7" spans="1:5" ht="28.5" x14ac:dyDescent="0.45">
      <c r="A7" s="327"/>
      <c r="B7" s="327"/>
      <c r="C7" s="327"/>
      <c r="D7" s="327"/>
      <c r="E7" s="327"/>
    </row>
    <row r="8" spans="1:5" ht="48" customHeight="1" x14ac:dyDescent="0.45">
      <c r="A8" s="327"/>
      <c r="B8" s="327"/>
      <c r="C8" s="327"/>
      <c r="D8" s="327"/>
      <c r="E8" s="327"/>
    </row>
    <row r="9" spans="1:5" ht="313.5" x14ac:dyDescent="0.45">
      <c r="A9" s="338" t="s">
        <v>421</v>
      </c>
      <c r="B9" s="327"/>
      <c r="C9" s="327"/>
      <c r="D9" s="327"/>
      <c r="E9" s="327"/>
    </row>
    <row r="10" spans="1:5" ht="28.5" x14ac:dyDescent="0.45">
      <c r="A10" s="327"/>
      <c r="B10" s="327"/>
      <c r="C10" s="327"/>
      <c r="D10" s="327"/>
      <c r="E10" s="327"/>
    </row>
    <row r="11" spans="1:5" ht="33" customHeight="1" x14ac:dyDescent="0.45">
      <c r="A11" s="327"/>
      <c r="B11" s="327"/>
      <c r="C11" s="327"/>
      <c r="D11" s="327"/>
      <c r="E11" s="327"/>
    </row>
    <row r="12" spans="1:5" ht="35.25" customHeight="1" x14ac:dyDescent="0.45">
      <c r="A12" s="327"/>
      <c r="B12" s="327"/>
      <c r="C12" s="327"/>
      <c r="D12" s="327"/>
      <c r="E12" s="327"/>
    </row>
    <row r="13" spans="1:5" ht="38.25" customHeight="1" x14ac:dyDescent="0.45">
      <c r="A13" s="327"/>
      <c r="B13" s="327"/>
      <c r="C13" s="327"/>
      <c r="D13" s="327"/>
      <c r="E13" s="327"/>
    </row>
    <row r="14" spans="1:5" ht="28.5" x14ac:dyDescent="0.45">
      <c r="A14" s="327"/>
      <c r="B14" s="327"/>
      <c r="C14" s="327"/>
      <c r="D14" s="327"/>
      <c r="E14" s="327"/>
    </row>
    <row r="15" spans="1:5" ht="28.5" x14ac:dyDescent="0.45">
      <c r="A15" s="327"/>
      <c r="B15" s="327"/>
      <c r="C15" s="327"/>
      <c r="D15" s="327"/>
      <c r="E15" s="327"/>
    </row>
    <row r="16" spans="1:5" ht="46.5" customHeight="1" x14ac:dyDescent="0.45">
      <c r="A16" s="327"/>
      <c r="B16" s="327"/>
      <c r="C16" s="327"/>
      <c r="D16" s="327"/>
      <c r="E16" s="327"/>
    </row>
    <row r="17" spans="1:5" ht="28.5" x14ac:dyDescent="0.45">
      <c r="A17" s="327"/>
      <c r="B17" s="327"/>
      <c r="C17" s="327"/>
      <c r="D17" s="327"/>
      <c r="E17" s="327"/>
    </row>
    <row r="18" spans="1:5" ht="48" customHeight="1" x14ac:dyDescent="0.45">
      <c r="A18" s="327"/>
      <c r="B18" s="327"/>
      <c r="C18" s="327"/>
      <c r="D18" s="327"/>
      <c r="E18" s="327"/>
    </row>
    <row r="19" spans="1:5" ht="28.5" x14ac:dyDescent="0.45">
      <c r="A19" s="327"/>
      <c r="B19" s="327"/>
      <c r="C19" s="327"/>
      <c r="D19" s="327"/>
      <c r="E19" s="327"/>
    </row>
    <row r="20" spans="1:5" ht="76.5" customHeight="1" x14ac:dyDescent="0.45">
      <c r="A20" s="327"/>
      <c r="B20" s="327"/>
      <c r="C20" s="327"/>
      <c r="D20" s="327"/>
      <c r="E20" s="327"/>
    </row>
  </sheetData>
  <printOptions horizontalCentered="1"/>
  <pageMargins left="0.25" right="0.25" top="0.75" bottom="0.75" header="0.3" footer="0.3"/>
  <pageSetup paperSize="9" fitToWidth="0" fitToHeight="0" orientation="portrait" r:id="rId1"/>
  <headerFooter>
    <oddHeader xml:space="preserve">&amp;L&amp;G&amp;C&amp;"Arial,Negrita"&amp;16&amp;K003B71
Propuesta de Seguro Individual de Salud&amp;R
</oddHeader>
    <oddFooter>&amp;L&amp;G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38"/>
  <sheetViews>
    <sheetView view="pageBreakPreview" zoomScaleNormal="100" zoomScaleSheetLayoutView="100" workbookViewId="0">
      <selection activeCell="G17" sqref="G17:H18"/>
    </sheetView>
  </sheetViews>
  <sheetFormatPr baseColWidth="10" defaultRowHeight="15" x14ac:dyDescent="0.25"/>
  <cols>
    <col min="1" max="1" width="43" customWidth="1"/>
    <col min="4" max="4" width="9.28515625" customWidth="1"/>
    <col min="7" max="7" width="5.7109375" customWidth="1"/>
  </cols>
  <sheetData>
    <row r="1" spans="1:8" ht="15" customHeight="1" x14ac:dyDescent="0.45">
      <c r="A1" s="327"/>
      <c r="B1" s="327"/>
      <c r="C1" s="327"/>
      <c r="D1" s="327"/>
      <c r="E1" s="327"/>
      <c r="F1" s="327"/>
      <c r="G1" s="327"/>
      <c r="H1" s="327"/>
    </row>
    <row r="2" spans="1:8" ht="15" customHeight="1" x14ac:dyDescent="0.45">
      <c r="A2" s="327"/>
      <c r="B2" s="327"/>
      <c r="C2" s="327"/>
      <c r="D2" s="327"/>
      <c r="E2" s="327"/>
      <c r="F2" s="327"/>
      <c r="G2" s="327"/>
      <c r="H2" s="327"/>
    </row>
    <row r="3" spans="1:8" ht="15" customHeight="1" x14ac:dyDescent="0.45">
      <c r="A3" s="327"/>
      <c r="B3" s="327"/>
      <c r="C3" s="327"/>
      <c r="D3" s="327"/>
      <c r="E3" s="327"/>
      <c r="F3" s="327"/>
      <c r="G3" s="327"/>
      <c r="H3" s="327"/>
    </row>
    <row r="4" spans="1:8" ht="15" customHeight="1" x14ac:dyDescent="0.45">
      <c r="A4" s="327"/>
      <c r="B4" s="327"/>
      <c r="C4" s="327"/>
      <c r="D4" s="327"/>
      <c r="E4" s="327"/>
      <c r="F4" s="327"/>
      <c r="G4" s="327"/>
      <c r="H4" s="327"/>
    </row>
    <row r="5" spans="1:8" ht="15" customHeight="1" x14ac:dyDescent="0.45">
      <c r="A5" s="327"/>
      <c r="B5" s="327"/>
      <c r="C5" s="327"/>
      <c r="D5" s="327"/>
      <c r="E5" s="327"/>
      <c r="F5" s="327"/>
      <c r="G5" s="327"/>
      <c r="H5" s="327"/>
    </row>
    <row r="6" spans="1:8" ht="15" customHeight="1" x14ac:dyDescent="0.45">
      <c r="A6" s="327"/>
      <c r="B6" s="327"/>
      <c r="C6" s="327"/>
      <c r="D6" s="327"/>
      <c r="E6" s="327"/>
      <c r="F6" s="327"/>
      <c r="G6" s="327"/>
      <c r="H6" s="327"/>
    </row>
    <row r="7" spans="1:8" ht="15" customHeight="1" x14ac:dyDescent="0.45">
      <c r="A7" s="327"/>
      <c r="B7" s="327"/>
      <c r="C7" s="327"/>
      <c r="D7" s="327"/>
      <c r="E7" s="327"/>
      <c r="F7" s="327"/>
      <c r="G7" s="327"/>
      <c r="H7" s="327"/>
    </row>
    <row r="8" spans="1:8" ht="15" customHeight="1" x14ac:dyDescent="0.45">
      <c r="A8" s="327"/>
      <c r="B8" s="327"/>
      <c r="C8" s="327"/>
      <c r="D8" s="327"/>
      <c r="E8" s="327"/>
      <c r="F8" s="327"/>
      <c r="G8" s="327"/>
      <c r="H8" s="327"/>
    </row>
    <row r="9" spans="1:8" ht="15" customHeight="1" x14ac:dyDescent="0.45">
      <c r="A9" s="327"/>
      <c r="B9" s="327"/>
      <c r="C9" s="327"/>
      <c r="D9" s="327"/>
      <c r="E9" s="327"/>
      <c r="F9" s="327"/>
      <c r="G9" s="327"/>
      <c r="H9" s="327"/>
    </row>
    <row r="10" spans="1:8" ht="15" customHeight="1" x14ac:dyDescent="0.45">
      <c r="A10" s="327"/>
      <c r="B10" s="327"/>
      <c r="C10" s="327"/>
      <c r="D10" s="327"/>
      <c r="E10" s="327"/>
      <c r="F10" s="327"/>
      <c r="G10" s="327"/>
      <c r="H10" s="327"/>
    </row>
    <row r="11" spans="1:8" ht="15" customHeight="1" x14ac:dyDescent="0.45">
      <c r="A11" s="327"/>
      <c r="B11" s="327"/>
      <c r="C11" s="327"/>
      <c r="D11" s="327"/>
      <c r="E11" s="327"/>
      <c r="F11" s="327"/>
      <c r="G11" s="327"/>
      <c r="H11" s="327"/>
    </row>
    <row r="12" spans="1:8" ht="15" customHeight="1" x14ac:dyDescent="0.45">
      <c r="A12" s="327"/>
      <c r="B12" s="327"/>
      <c r="C12" s="327"/>
      <c r="D12" s="327"/>
      <c r="E12" s="327"/>
      <c r="F12" s="327"/>
      <c r="G12" s="327"/>
      <c r="H12" s="327"/>
    </row>
    <row r="13" spans="1:8" ht="15" customHeight="1" x14ac:dyDescent="0.45">
      <c r="A13" s="327"/>
      <c r="B13" s="327"/>
      <c r="C13" s="327"/>
      <c r="D13" s="327"/>
      <c r="E13" s="327"/>
      <c r="F13" s="327"/>
      <c r="G13" s="327"/>
      <c r="H13" s="327"/>
    </row>
    <row r="14" spans="1:8" ht="15" customHeight="1" x14ac:dyDescent="0.45">
      <c r="A14" s="327"/>
      <c r="B14" s="327"/>
      <c r="C14" s="327"/>
      <c r="D14" s="327"/>
      <c r="E14" s="327"/>
      <c r="F14" s="327"/>
      <c r="G14" s="327"/>
      <c r="H14" s="327"/>
    </row>
    <row r="15" spans="1:8" ht="15" customHeight="1" x14ac:dyDescent="0.45">
      <c r="A15" s="327"/>
      <c r="B15" s="327"/>
      <c r="C15" s="327"/>
      <c r="D15" s="327"/>
      <c r="E15" s="327"/>
      <c r="F15" s="327"/>
      <c r="G15" s="327"/>
      <c r="H15" s="327"/>
    </row>
    <row r="16" spans="1:8" ht="15" customHeight="1" x14ac:dyDescent="0.45">
      <c r="A16" s="327"/>
      <c r="B16" s="327"/>
      <c r="C16" s="327"/>
      <c r="D16" s="327"/>
      <c r="E16" s="327"/>
      <c r="F16" s="327"/>
      <c r="G16" s="327"/>
      <c r="H16" s="327"/>
    </row>
    <row r="17" spans="1:8" ht="15" customHeight="1" x14ac:dyDescent="0.45">
      <c r="A17" s="327"/>
      <c r="B17" s="327"/>
      <c r="C17" s="327"/>
      <c r="D17" s="327"/>
      <c r="E17" s="327"/>
      <c r="F17" s="327"/>
      <c r="G17" s="327"/>
      <c r="H17" s="327"/>
    </row>
    <row r="18" spans="1:8" ht="15" customHeight="1" x14ac:dyDescent="0.45">
      <c r="A18" s="327"/>
      <c r="B18" s="327"/>
      <c r="C18" s="327"/>
      <c r="D18" s="327"/>
      <c r="E18" s="327"/>
      <c r="F18" s="327"/>
      <c r="G18" s="327"/>
      <c r="H18" s="327"/>
    </row>
    <row r="19" spans="1:8" ht="15" customHeight="1" x14ac:dyDescent="0.45">
      <c r="A19" s="327"/>
      <c r="B19" s="327"/>
      <c r="C19" s="327"/>
      <c r="D19" s="327"/>
      <c r="E19" s="327"/>
      <c r="F19" s="327"/>
      <c r="G19" s="327"/>
      <c r="H19" s="327"/>
    </row>
    <row r="20" spans="1:8" ht="15" customHeight="1" x14ac:dyDescent="0.45">
      <c r="A20" s="327"/>
      <c r="B20" s="327"/>
      <c r="C20" s="327"/>
      <c r="D20" s="327"/>
      <c r="E20" s="327"/>
      <c r="F20" s="327"/>
      <c r="G20" s="327"/>
      <c r="H20" s="327"/>
    </row>
    <row r="21" spans="1:8" ht="15" customHeight="1" x14ac:dyDescent="0.45">
      <c r="A21" s="327"/>
      <c r="B21" s="327"/>
      <c r="C21" s="327"/>
      <c r="D21" s="327"/>
      <c r="E21" s="327"/>
      <c r="F21" s="327"/>
      <c r="G21" s="327"/>
      <c r="H21" s="327"/>
    </row>
    <row r="22" spans="1:8" ht="15" customHeight="1" x14ac:dyDescent="0.45">
      <c r="A22" s="327"/>
      <c r="B22" s="327"/>
      <c r="C22" s="327"/>
      <c r="D22" s="327"/>
      <c r="E22" s="327"/>
      <c r="F22" s="327"/>
      <c r="G22" s="327"/>
      <c r="H22" s="327"/>
    </row>
    <row r="23" spans="1:8" ht="15" customHeight="1" x14ac:dyDescent="0.45">
      <c r="A23" s="327"/>
      <c r="B23" s="327"/>
      <c r="C23" s="327"/>
      <c r="D23" s="327"/>
      <c r="E23" s="327"/>
      <c r="F23" s="327"/>
      <c r="G23" s="327"/>
      <c r="H23" s="327"/>
    </row>
    <row r="24" spans="1:8" ht="15" customHeight="1" x14ac:dyDescent="0.45">
      <c r="A24" s="327"/>
      <c r="B24" s="327"/>
      <c r="C24" s="327"/>
      <c r="D24" s="327"/>
      <c r="E24" s="327"/>
      <c r="F24" s="327"/>
      <c r="G24" s="327"/>
      <c r="H24" s="327"/>
    </row>
    <row r="25" spans="1:8" ht="15" customHeight="1" x14ac:dyDescent="0.45">
      <c r="A25" s="327"/>
      <c r="B25" s="327"/>
      <c r="C25" s="327"/>
      <c r="D25" s="327"/>
      <c r="E25" s="327"/>
      <c r="F25" s="327"/>
      <c r="G25" s="327"/>
      <c r="H25" s="327"/>
    </row>
    <row r="26" spans="1:8" ht="15" customHeight="1" x14ac:dyDescent="0.45">
      <c r="A26" s="327"/>
      <c r="B26" s="327"/>
      <c r="C26" s="327"/>
      <c r="D26" s="327"/>
      <c r="E26" s="327"/>
      <c r="F26" s="327"/>
      <c r="G26" s="327"/>
      <c r="H26" s="327"/>
    </row>
    <row r="27" spans="1:8" ht="15" customHeight="1" x14ac:dyDescent="0.45">
      <c r="A27" s="327"/>
      <c r="B27" s="327"/>
      <c r="C27" s="327"/>
      <c r="D27" s="327"/>
      <c r="E27" s="327"/>
      <c r="F27" s="327"/>
      <c r="G27" s="327"/>
      <c r="H27" s="327"/>
    </row>
    <row r="28" spans="1:8" ht="15" customHeight="1" x14ac:dyDescent="0.45">
      <c r="A28" s="327"/>
      <c r="B28" s="327"/>
      <c r="C28" s="327"/>
      <c r="D28" s="327"/>
      <c r="E28" s="327"/>
      <c r="F28" s="327"/>
      <c r="G28" s="327"/>
      <c r="H28" s="327"/>
    </row>
    <row r="29" spans="1:8" ht="15" customHeight="1" x14ac:dyDescent="0.45">
      <c r="A29" s="327"/>
      <c r="B29" s="327"/>
      <c r="C29" s="327"/>
      <c r="D29" s="327"/>
      <c r="E29" s="327"/>
      <c r="F29" s="327"/>
      <c r="G29" s="327"/>
      <c r="H29" s="327"/>
    </row>
    <row r="30" spans="1:8" ht="15" customHeight="1" x14ac:dyDescent="0.45">
      <c r="A30" s="327"/>
      <c r="B30" s="327"/>
      <c r="C30" s="327"/>
      <c r="D30" s="327"/>
      <c r="E30" s="327"/>
      <c r="F30" s="327"/>
      <c r="G30" s="327"/>
      <c r="H30" s="327"/>
    </row>
    <row r="31" spans="1:8" ht="15" customHeight="1" x14ac:dyDescent="0.45">
      <c r="A31" s="327"/>
      <c r="B31" s="327"/>
      <c r="C31" s="327"/>
      <c r="D31" s="327"/>
      <c r="E31" s="327"/>
      <c r="F31" s="327"/>
      <c r="G31" s="327"/>
      <c r="H31" s="327"/>
    </row>
    <row r="32" spans="1:8" ht="15" customHeight="1" x14ac:dyDescent="0.45">
      <c r="A32" s="327"/>
      <c r="B32" s="327"/>
      <c r="C32" s="327"/>
      <c r="D32" s="327"/>
      <c r="E32" s="327"/>
      <c r="F32" s="327"/>
      <c r="G32" s="327"/>
      <c r="H32" s="327"/>
    </row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</sheetData>
  <printOptions horizontalCentered="1"/>
  <pageMargins left="0.25" right="0.25" top="0.75" bottom="0.75" header="0.3" footer="0.3"/>
  <pageSetup paperSize="9" fitToWidth="0" fitToHeight="0" orientation="portrait" r:id="rId1"/>
  <headerFooter>
    <oddHeader xml:space="preserve">&amp;L&amp;G&amp;C&amp;"Arial,Negrita"&amp;16&amp;K003B71
Propuesta de Seguro Individual de Salud&amp;R
</oddHeader>
    <oddFooter>&amp;L&amp;G</oddFooter>
  </headerFooter>
  <rowBreaks count="1" manualBreakCount="1">
    <brk id="50" max="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M261"/>
  <sheetViews>
    <sheetView zoomScale="80" zoomScaleNormal="80" workbookViewId="0">
      <selection activeCell="F13" sqref="F13"/>
    </sheetView>
  </sheetViews>
  <sheetFormatPr baseColWidth="10" defaultRowHeight="15" x14ac:dyDescent="0.25"/>
  <cols>
    <col min="1" max="1" width="15" customWidth="1"/>
    <col min="2" max="2" width="17.28515625" customWidth="1"/>
    <col min="3" max="3" width="20.85546875" customWidth="1"/>
    <col min="4" max="4" width="11.85546875" bestFit="1" customWidth="1"/>
    <col min="5" max="5" width="20.85546875" bestFit="1" customWidth="1"/>
    <col min="6" max="6" width="27" bestFit="1" customWidth="1"/>
    <col min="8" max="8" width="11.85546875" bestFit="1" customWidth="1"/>
    <col min="9" max="9" width="18" customWidth="1"/>
    <col min="10" max="10" width="21.5703125" customWidth="1"/>
    <col min="11" max="11" width="14.5703125" customWidth="1"/>
    <col min="12" max="12" width="15" customWidth="1"/>
    <col min="13" max="15" width="11.42578125" customWidth="1"/>
    <col min="16" max="16" width="19.5703125" customWidth="1"/>
    <col min="17" max="17" width="17.85546875" customWidth="1"/>
    <col min="18" max="18" width="16.140625" customWidth="1"/>
    <col min="19" max="19" width="20.5703125" customWidth="1"/>
    <col min="20" max="20" width="19.85546875" customWidth="1"/>
    <col min="21" max="36" width="11.42578125" customWidth="1"/>
    <col min="37" max="37" width="7.140625" customWidth="1"/>
    <col min="38" max="39" width="14.42578125" bestFit="1" customWidth="1"/>
    <col min="40" max="40" width="16.42578125" customWidth="1"/>
    <col min="41" max="44" width="12.42578125" bestFit="1" customWidth="1"/>
    <col min="45" max="45" width="15.42578125" customWidth="1"/>
    <col min="46" max="51" width="12.42578125" bestFit="1" customWidth="1"/>
    <col min="53" max="53" width="20.28515625" customWidth="1"/>
    <col min="54" max="54" width="9.5703125" bestFit="1" customWidth="1"/>
    <col min="55" max="55" width="8.7109375" bestFit="1" customWidth="1"/>
    <col min="56" max="57" width="9.85546875" bestFit="1" customWidth="1"/>
    <col min="58" max="59" width="10.28515625" bestFit="1" customWidth="1"/>
    <col min="60" max="65" width="9.85546875" bestFit="1" customWidth="1"/>
    <col min="68" max="69" width="11.85546875" bestFit="1" customWidth="1"/>
    <col min="70" max="71" width="11.28515625" bestFit="1" customWidth="1"/>
    <col min="72" max="73" width="11.85546875" bestFit="1" customWidth="1"/>
    <col min="78" max="78" width="11.85546875" bestFit="1" customWidth="1"/>
  </cols>
  <sheetData>
    <row r="1" spans="1:66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8"/>
      <c r="S1" s="8"/>
      <c r="T1" s="9"/>
      <c r="U1" s="9"/>
      <c r="V1" s="9"/>
      <c r="W1" s="9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N1" s="9"/>
    </row>
    <row r="2" spans="1:66" x14ac:dyDescent="0.25">
      <c r="A2" s="11" t="s">
        <v>475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8"/>
      <c r="S2" s="8"/>
      <c r="T2" s="9"/>
      <c r="U2" s="9"/>
      <c r="V2" s="9"/>
      <c r="W2" s="9"/>
      <c r="X2" s="9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N2" s="9"/>
    </row>
    <row r="3" spans="1:66" x14ac:dyDescent="0.25">
      <c r="A3" s="12" t="s">
        <v>407</v>
      </c>
      <c r="B3" s="9">
        <f>IF(AND('GOLDEN SALUD IND'!D8="PÓLIZA RENOVADA",'GOLDEN SALUD IND'!D12="San Luís Potosí",'GOLDEN SALUD IND'!D10="EDAD"),'GOLDEN SALUD IND'!H12,0)</f>
        <v>0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8"/>
      <c r="S3" s="8"/>
      <c r="T3" s="9"/>
      <c r="U3" s="9"/>
      <c r="V3" s="9"/>
      <c r="W3" s="9"/>
      <c r="X3" s="9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N3" s="9"/>
    </row>
    <row r="4" spans="1:66" x14ac:dyDescent="0.25">
      <c r="A4" s="12" t="s">
        <v>43</v>
      </c>
      <c r="B4" s="9">
        <f>IF('GOLDEN SALUD IND'!D8="PÓLIZA NUEVA",1,2)</f>
        <v>2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8"/>
      <c r="S4" s="8"/>
      <c r="T4" s="9"/>
      <c r="U4" s="9"/>
      <c r="V4" s="9"/>
      <c r="W4" s="9"/>
      <c r="X4" s="9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N4" s="9"/>
    </row>
    <row r="5" spans="1:66" x14ac:dyDescent="0.25">
      <c r="A5" s="12"/>
      <c r="B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8"/>
      <c r="S5" s="8"/>
      <c r="T5" s="9"/>
      <c r="U5" s="9"/>
      <c r="V5" s="9"/>
      <c r="W5" s="9"/>
      <c r="X5" s="9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9"/>
      <c r="AJ5" s="9"/>
      <c r="AK5" s="9"/>
      <c r="AL5" s="9"/>
      <c r="AM5" s="9"/>
      <c r="AN5" s="400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N5" s="9"/>
    </row>
    <row r="6" spans="1:66" ht="15.75" thickBot="1" x14ac:dyDescent="0.3">
      <c r="A6" s="12" t="s">
        <v>45</v>
      </c>
      <c r="B6" s="9">
        <f>IF('GOLDEN SALUD IND'!D8="PÓLIZA NUEVA", IF(OR('GOLDEN SALUD IND'!J10="SI",B115="San Luís Potosí"),1,1-IF('GOLDEN SALUD IND'!J10="NO",C6,0)), IF(OR('GOLDEN SALUD IND'!J10="NO",B115="San Luís Potosí"),1,1-IF('GOLDEN SALUD IND'!J10="SI",C6,0)))</f>
        <v>1</v>
      </c>
      <c r="C6" s="9">
        <f>VLOOKUP('GOLDEN SALUD IND'!D12,E95:I126,5,FALSE)</f>
        <v>0.1</v>
      </c>
      <c r="D6" s="12" t="s">
        <v>44</v>
      </c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8"/>
      <c r="S6" s="8"/>
      <c r="T6" s="9"/>
      <c r="U6" s="9"/>
      <c r="V6" s="9"/>
      <c r="W6" s="9"/>
      <c r="X6" s="9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9"/>
      <c r="AJ6" s="9"/>
      <c r="AL6" s="9"/>
      <c r="AM6" s="9"/>
      <c r="AN6" s="399"/>
      <c r="AO6" s="399"/>
      <c r="AP6" s="9"/>
      <c r="AQ6" s="9"/>
      <c r="AR6" s="9"/>
      <c r="AS6" s="9"/>
      <c r="AT6" s="172"/>
      <c r="AU6" s="9"/>
      <c r="AV6" s="9"/>
      <c r="AW6" s="9"/>
      <c r="AX6" s="9"/>
      <c r="AY6" s="9"/>
      <c r="AZ6" s="9"/>
      <c r="BN6" s="9"/>
    </row>
    <row r="7" spans="1:66" ht="15.75" thickBot="1" x14ac:dyDescent="0.3">
      <c r="A7" s="12" t="s">
        <v>46</v>
      </c>
      <c r="B7" s="9">
        <f>VLOOKUP('GOLDEN SALUD IND'!D12,E95:H126,4,FALSE)</f>
        <v>1</v>
      </c>
      <c r="C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8"/>
      <c r="S7" s="8"/>
      <c r="T7" s="9"/>
      <c r="U7" s="9"/>
      <c r="V7" s="9"/>
      <c r="W7" s="9"/>
      <c r="X7" s="9"/>
      <c r="Y7" s="10"/>
      <c r="Z7" s="10"/>
      <c r="AA7" s="10"/>
      <c r="AB7" s="578" t="s">
        <v>47</v>
      </c>
      <c r="AC7" s="578"/>
      <c r="AD7" s="578"/>
      <c r="AE7" s="578"/>
      <c r="AF7" s="578"/>
      <c r="AG7" s="578"/>
      <c r="AH7" s="10"/>
      <c r="AI7" s="9"/>
      <c r="AJ7" s="9"/>
      <c r="AK7" s="570" t="s">
        <v>48</v>
      </c>
      <c r="AL7" s="570"/>
      <c r="AM7" s="570"/>
      <c r="AN7" s="570"/>
      <c r="AO7" s="570"/>
      <c r="AP7" s="570"/>
      <c r="AQ7" s="570"/>
      <c r="AR7" s="570"/>
      <c r="AS7" s="570"/>
      <c r="AT7" s="570"/>
      <c r="AU7" s="570"/>
      <c r="AV7" s="570"/>
      <c r="AW7" s="570"/>
      <c r="AX7" s="187"/>
      <c r="AY7" s="187"/>
      <c r="AZ7" s="9"/>
      <c r="BN7" s="9"/>
    </row>
    <row r="8" spans="1:66" ht="15.75" thickBot="1" x14ac:dyDescent="0.3">
      <c r="A8" s="12" t="s">
        <v>49</v>
      </c>
      <c r="B8" s="9">
        <f>IF(B115="Estado de México",VLOOKUP(D8,F95:G126,2,FALSE),VLOOKUP('GOLDEN SALUD IND'!D12,E95:H129,3,FALSE))</f>
        <v>1</v>
      </c>
      <c r="C8" s="156" t="s">
        <v>613</v>
      </c>
      <c r="D8" s="410" t="str">
        <f>IF(B115="Estado de México",VLOOKUP('GOLDEN SALUD IND'!D13,INDIVIDUAL!$E$134:$F$258,2,FALSE),"No aplica")</f>
        <v>No aplica</v>
      </c>
      <c r="E8" s="12" t="s">
        <v>50</v>
      </c>
      <c r="F8" s="12"/>
      <c r="G8" s="9"/>
      <c r="H8" s="9"/>
      <c r="I8" s="9"/>
      <c r="J8" s="9"/>
      <c r="K8" s="13" t="s">
        <v>50</v>
      </c>
      <c r="L8" s="9"/>
      <c r="M8" s="9"/>
      <c r="N8" s="9"/>
      <c r="O8" s="9"/>
      <c r="P8" s="12" t="s">
        <v>50</v>
      </c>
      <c r="Q8" s="9"/>
      <c r="R8" s="8"/>
      <c r="S8" s="8"/>
      <c r="T8" s="9"/>
      <c r="U8" s="179" t="s">
        <v>50</v>
      </c>
      <c r="V8" s="9"/>
      <c r="W8" s="9"/>
      <c r="X8" s="9"/>
      <c r="Y8" s="10"/>
      <c r="Z8" s="10"/>
      <c r="AA8" s="10"/>
      <c r="AB8" s="579" t="s">
        <v>51</v>
      </c>
      <c r="AC8" s="579"/>
      <c r="AD8" s="579"/>
      <c r="AE8" s="579"/>
      <c r="AF8" s="579"/>
      <c r="AG8" s="579"/>
      <c r="AH8" s="14" t="s">
        <v>52</v>
      </c>
      <c r="AI8" s="9"/>
      <c r="AJ8" s="9"/>
      <c r="AK8" s="12"/>
      <c r="AL8" s="15">
        <v>1</v>
      </c>
      <c r="AM8" s="15"/>
      <c r="AN8" s="427">
        <v>2</v>
      </c>
      <c r="AO8" s="9"/>
      <c r="AP8" s="9">
        <v>4</v>
      </c>
      <c r="AQ8" s="9"/>
      <c r="AR8" s="9">
        <v>5</v>
      </c>
      <c r="AS8" s="9"/>
      <c r="AT8" s="427">
        <v>6</v>
      </c>
      <c r="AU8" s="9"/>
      <c r="AV8" s="9">
        <v>7</v>
      </c>
      <c r="AW8" s="9"/>
      <c r="AX8" s="427">
        <v>8</v>
      </c>
      <c r="AY8" s="9"/>
      <c r="AZ8" s="9"/>
      <c r="BN8" s="9"/>
    </row>
    <row r="9" spans="1:66" ht="15.75" thickBot="1" x14ac:dyDescent="0.3">
      <c r="A9" s="585" t="s">
        <v>53</v>
      </c>
      <c r="B9" s="586"/>
      <c r="C9" s="587"/>
      <c r="D9" s="8"/>
      <c r="E9" s="576" t="s">
        <v>12</v>
      </c>
      <c r="F9" s="584"/>
      <c r="G9" s="584"/>
      <c r="H9" s="577"/>
      <c r="I9" s="16" t="s">
        <v>54</v>
      </c>
      <c r="J9" s="8"/>
      <c r="K9" s="576" t="s">
        <v>13</v>
      </c>
      <c r="L9" s="584"/>
      <c r="O9" s="8"/>
      <c r="P9" s="582" t="s">
        <v>14</v>
      </c>
      <c r="Q9" s="583"/>
      <c r="R9" s="8"/>
      <c r="S9" s="8"/>
      <c r="T9" s="8"/>
      <c r="U9" s="576" t="s">
        <v>55</v>
      </c>
      <c r="V9" s="577"/>
      <c r="W9" s="8"/>
      <c r="X9" s="8"/>
      <c r="Y9" s="571" t="s">
        <v>56</v>
      </c>
      <c r="Z9" s="572"/>
      <c r="AA9" s="573"/>
      <c r="AB9" s="18">
        <v>250000</v>
      </c>
      <c r="AC9" s="18">
        <v>300000</v>
      </c>
      <c r="AD9" s="18">
        <v>350000</v>
      </c>
      <c r="AE9" s="18">
        <v>400000</v>
      </c>
      <c r="AF9" s="18">
        <v>450000</v>
      </c>
      <c r="AG9" s="18">
        <v>500000</v>
      </c>
      <c r="AH9" s="18">
        <v>1</v>
      </c>
      <c r="AI9" s="8"/>
      <c r="AJ9" s="8"/>
      <c r="AK9" s="8"/>
      <c r="AL9" s="574" t="s">
        <v>57</v>
      </c>
      <c r="AM9" s="575"/>
      <c r="AN9" s="574" t="s">
        <v>205</v>
      </c>
      <c r="AO9" s="575"/>
      <c r="AP9" s="574" t="s">
        <v>59</v>
      </c>
      <c r="AQ9" s="575"/>
      <c r="AR9" s="576" t="s">
        <v>60</v>
      </c>
      <c r="AS9" s="577"/>
      <c r="AT9" s="576" t="s">
        <v>195</v>
      </c>
      <c r="AU9" s="577"/>
      <c r="AV9" s="576" t="s">
        <v>196</v>
      </c>
      <c r="AW9" s="577"/>
      <c r="AX9" s="576" t="s">
        <v>139</v>
      </c>
      <c r="AY9" s="577"/>
      <c r="AZ9" s="8"/>
      <c r="BN9" s="8"/>
    </row>
    <row r="10" spans="1:66" ht="15.75" thickBot="1" x14ac:dyDescent="0.3">
      <c r="A10" s="16" t="s">
        <v>61</v>
      </c>
      <c r="B10" s="16" t="s">
        <v>62</v>
      </c>
      <c r="C10" s="16" t="s">
        <v>63</v>
      </c>
      <c r="D10" s="8"/>
      <c r="E10" s="16" t="s">
        <v>189</v>
      </c>
      <c r="F10" s="16" t="s">
        <v>64</v>
      </c>
      <c r="G10" s="16" t="s">
        <v>189</v>
      </c>
      <c r="H10" s="16" t="s">
        <v>64</v>
      </c>
      <c r="I10" s="16">
        <f>IF(B5&lt;&gt;2,10,21)</f>
        <v>10</v>
      </c>
      <c r="J10" s="8"/>
      <c r="K10" s="16" t="s">
        <v>189</v>
      </c>
      <c r="L10" s="16" t="s">
        <v>64</v>
      </c>
      <c r="O10" s="8"/>
      <c r="P10" s="16" t="s">
        <v>65</v>
      </c>
      <c r="Q10" s="16" t="s">
        <v>477</v>
      </c>
      <c r="R10" s="395" t="s">
        <v>476</v>
      </c>
      <c r="S10" s="8"/>
      <c r="T10" s="8"/>
      <c r="U10" s="19" t="s">
        <v>66</v>
      </c>
      <c r="V10" s="20">
        <v>1102</v>
      </c>
      <c r="W10" s="8"/>
      <c r="X10" s="8"/>
      <c r="Y10" s="21">
        <v>18</v>
      </c>
      <c r="Z10" s="318" t="s">
        <v>67</v>
      </c>
      <c r="AA10" s="22">
        <v>20</v>
      </c>
      <c r="AB10" s="23">
        <v>251</v>
      </c>
      <c r="AC10" s="24">
        <v>301</v>
      </c>
      <c r="AD10" s="24">
        <v>352</v>
      </c>
      <c r="AE10" s="24">
        <v>402</v>
      </c>
      <c r="AF10" s="24">
        <v>452</v>
      </c>
      <c r="AG10" s="25">
        <v>502</v>
      </c>
      <c r="AH10" s="25">
        <v>2</v>
      </c>
      <c r="AI10" s="8"/>
      <c r="AJ10" s="8"/>
      <c r="AK10" s="433" t="s">
        <v>61</v>
      </c>
      <c r="AL10" s="433" t="s">
        <v>62</v>
      </c>
      <c r="AM10" s="433" t="s">
        <v>63</v>
      </c>
      <c r="AN10" s="433" t="s">
        <v>62</v>
      </c>
      <c r="AO10" s="433" t="s">
        <v>63</v>
      </c>
      <c r="AP10" s="433" t="s">
        <v>62</v>
      </c>
      <c r="AQ10" s="433" t="s">
        <v>63</v>
      </c>
      <c r="AR10" s="433" t="s">
        <v>62</v>
      </c>
      <c r="AS10" s="433" t="s">
        <v>63</v>
      </c>
      <c r="AT10" s="433" t="s">
        <v>62</v>
      </c>
      <c r="AU10" s="433" t="s">
        <v>63</v>
      </c>
      <c r="AV10" s="433" t="s">
        <v>62</v>
      </c>
      <c r="AW10" s="433" t="s">
        <v>63</v>
      </c>
      <c r="AX10" s="433" t="s">
        <v>62</v>
      </c>
      <c r="AY10" s="433" t="s">
        <v>63</v>
      </c>
      <c r="AZ10" s="8"/>
      <c r="BN10" s="8"/>
    </row>
    <row r="11" spans="1:66" ht="15.75" thickBot="1" x14ac:dyDescent="0.3">
      <c r="A11" s="26">
        <v>0</v>
      </c>
      <c r="B11" s="27">
        <f>ROUND(IF($B$7=1,AL11,IF($B$7=2,AN11,IF($B$7=4,AP11,IF($B$7=5,AR11,IF($B$7=6,AT11,IF($B$7=7,AV11,IF($B$7=8,AX11)))))))*$B$6*$B$8,2)</f>
        <v>9280.18</v>
      </c>
      <c r="C11" s="27">
        <f>ROUND(IF($B$7=1,AM11,IF($B$7=2,AO11,IF($B$7=4,AQ11,IF($B$7=5,AS11,IF($B$7=6,AU11,IF($B$7=7,AW11,IF($B$7=8,AY11)))))))*$B$8*$B$6,2)</f>
        <v>8814.44</v>
      </c>
      <c r="D11" s="8"/>
      <c r="E11" s="445">
        <v>1000</v>
      </c>
      <c r="F11" s="450">
        <v>1.1254</v>
      </c>
      <c r="G11" s="30">
        <f t="shared" ref="G11:G22" ca="1" si="0">IF(AND($B$4&lt;&gt;2, IF(I11&lt;&gt;"",INDIRECT("e"&amp;I11,TRUE),"")="26,738 UMAM"),"Sin Límite",IF(I11&lt;&gt;"",INDIRECT("e"&amp;I11,TRUE),""))</f>
        <v>1000</v>
      </c>
      <c r="H11" s="434">
        <f t="shared" ref="H11:H22" ca="1" si="1">IF(G11&lt;&gt;"",IF(ISERROR(VLOOKUP(G11,$E$10:$F$79,2,FALSE))=TRUE,IF(G11="Sin Límite",$F$13,0),VLOOKUP(G11,$E$10:$F$79,2,FALSE)),0)</f>
        <v>1.1254</v>
      </c>
      <c r="I11" s="28">
        <f ca="1">IF(I10&lt;79,IF(INDIRECT("E"&amp;(I10+1),TRUE)&lt;&gt;"",I10+1,IF(INDIRECT("E"&amp;(I10+2),TRUE)&lt;&gt;"",I10+2,I10+3)),"")</f>
        <v>11</v>
      </c>
      <c r="J11" s="31"/>
      <c r="K11" s="32">
        <v>4</v>
      </c>
      <c r="L11" s="33">
        <v>0.88119999999999998</v>
      </c>
      <c r="O11" s="8"/>
      <c r="P11" s="35">
        <v>0</v>
      </c>
      <c r="Q11" s="29">
        <v>1.1100000000000001</v>
      </c>
      <c r="R11" s="29">
        <v>1.1000000000000001</v>
      </c>
      <c r="S11" s="8"/>
      <c r="T11" s="8"/>
      <c r="U11" s="36" t="s">
        <v>68</v>
      </c>
      <c r="V11" s="37">
        <v>1150</v>
      </c>
      <c r="W11" s="8"/>
      <c r="X11" s="8"/>
      <c r="Y11" s="38">
        <v>21</v>
      </c>
      <c r="Z11" s="319" t="s">
        <v>67</v>
      </c>
      <c r="AA11" s="39">
        <v>25</v>
      </c>
      <c r="AB11" s="40">
        <v>239</v>
      </c>
      <c r="AC11" s="41">
        <v>287</v>
      </c>
      <c r="AD11" s="41">
        <v>335</v>
      </c>
      <c r="AE11" s="41">
        <v>382</v>
      </c>
      <c r="AF11" s="41">
        <v>430</v>
      </c>
      <c r="AG11" s="42">
        <v>478</v>
      </c>
      <c r="AH11" s="42">
        <v>3</v>
      </c>
      <c r="AK11" s="26">
        <v>0</v>
      </c>
      <c r="AL11" s="428">
        <v>9280.18</v>
      </c>
      <c r="AM11" s="428">
        <v>8814.44</v>
      </c>
      <c r="AN11" s="428">
        <v>8249.0499999999993</v>
      </c>
      <c r="AO11" s="428">
        <v>7835.06</v>
      </c>
      <c r="AP11" s="428">
        <v>8705.02</v>
      </c>
      <c r="AQ11" s="428">
        <v>8268.15</v>
      </c>
      <c r="AR11" s="428">
        <v>9280.18</v>
      </c>
      <c r="AS11" s="428">
        <v>8814.44</v>
      </c>
      <c r="AT11" s="428">
        <v>8249.0499999999993</v>
      </c>
      <c r="AU11" s="428">
        <v>7835.06</v>
      </c>
      <c r="AV11" s="428">
        <v>7424.15</v>
      </c>
      <c r="AW11" s="428">
        <v>7051.55</v>
      </c>
      <c r="AX11" s="428">
        <v>8249.0499999999993</v>
      </c>
      <c r="AY11" s="428">
        <v>7835.06</v>
      </c>
      <c r="BN11" s="8"/>
    </row>
    <row r="12" spans="1:66" x14ac:dyDescent="0.25">
      <c r="A12" s="44">
        <v>1</v>
      </c>
      <c r="B12" s="45">
        <f t="shared" ref="B12:B75" si="2">ROUND(IF($B$7=1,AL12,IF($B$7=2,AN12,IF($B$7=4,AP12,IF($B$7=5,AR12,IF($B$7=6,AT12,IF($B$7=7,AV12,IF($B$7=8,AX12)))))))*$B$6*$B$8,2)</f>
        <v>9282.64</v>
      </c>
      <c r="C12" s="45">
        <f t="shared" ref="C12:C75" si="3">ROUND(IF($B$7=1,AM12,IF($B$7=2,AO12,IF($B$7=4,AQ12,IF($B$7=5,AS12,IF($B$7=6,AU12,IF($B$7=7,AW12,IF($B$7=8,AY12)))))))*$B$8*$B$6,2)</f>
        <v>8816.91</v>
      </c>
      <c r="D12" s="8"/>
      <c r="E12" s="449">
        <v>1500</v>
      </c>
      <c r="F12" s="451">
        <v>1.2103999999999999</v>
      </c>
      <c r="G12" s="47">
        <f t="shared" ca="1" si="0"/>
        <v>1500</v>
      </c>
      <c r="H12" s="435">
        <f t="shared" ca="1" si="1"/>
        <v>1.2103999999999999</v>
      </c>
      <c r="I12" s="46">
        <f t="shared" ref="I12:I22" ca="1" si="4">IF(I11&lt;79,IF(INDIRECT("E"&amp;(I11+1),TRUE)&lt;&gt;"",I11+1,IF(INDIRECT("E"&amp;(I11+2),TRUE)&lt;&gt;"",I11+2,I11+3)),"")</f>
        <v>12</v>
      </c>
      <c r="J12" s="31"/>
      <c r="K12" s="416">
        <v>5</v>
      </c>
      <c r="L12" s="33">
        <v>0.84709999999999996</v>
      </c>
      <c r="O12" s="8"/>
      <c r="P12" s="48">
        <v>0.05</v>
      </c>
      <c r="Q12" s="33">
        <v>1.06</v>
      </c>
      <c r="R12" s="33">
        <v>1.05</v>
      </c>
      <c r="S12" s="8"/>
      <c r="T12" s="8"/>
      <c r="U12" s="8"/>
      <c r="V12" s="8"/>
      <c r="W12" s="8"/>
      <c r="X12" s="8"/>
      <c r="Y12" s="38">
        <v>26</v>
      </c>
      <c r="Z12" s="319" t="s">
        <v>67</v>
      </c>
      <c r="AA12" s="39">
        <v>30</v>
      </c>
      <c r="AB12" s="40">
        <v>333</v>
      </c>
      <c r="AC12" s="41">
        <v>400</v>
      </c>
      <c r="AD12" s="41">
        <v>466</v>
      </c>
      <c r="AE12" s="41">
        <v>533</v>
      </c>
      <c r="AF12" s="41">
        <v>600</v>
      </c>
      <c r="AG12" s="42">
        <v>666</v>
      </c>
      <c r="AH12" s="42">
        <v>4</v>
      </c>
      <c r="AK12" s="44">
        <v>1</v>
      </c>
      <c r="AL12" s="429">
        <v>9282.64</v>
      </c>
      <c r="AM12" s="429">
        <v>8816.91</v>
      </c>
      <c r="AN12" s="429">
        <v>8251.24</v>
      </c>
      <c r="AO12" s="429">
        <v>7837.25</v>
      </c>
      <c r="AP12" s="429">
        <v>8707.34</v>
      </c>
      <c r="AQ12" s="429">
        <v>8270.4699999999993</v>
      </c>
      <c r="AR12" s="429">
        <v>9282.64</v>
      </c>
      <c r="AS12" s="429">
        <v>8816.91</v>
      </c>
      <c r="AT12" s="429">
        <v>8251.24</v>
      </c>
      <c r="AU12" s="429">
        <v>7837.25</v>
      </c>
      <c r="AV12" s="429">
        <v>7426.12</v>
      </c>
      <c r="AW12" s="429">
        <v>7053.53</v>
      </c>
      <c r="AX12" s="429">
        <v>8251.24</v>
      </c>
      <c r="AY12" s="429">
        <v>7837.25</v>
      </c>
      <c r="BN12" s="8"/>
    </row>
    <row r="13" spans="1:66" x14ac:dyDescent="0.25">
      <c r="A13" s="44">
        <v>2</v>
      </c>
      <c r="B13" s="45">
        <f t="shared" si="2"/>
        <v>9287.57</v>
      </c>
      <c r="C13" s="45">
        <f t="shared" si="3"/>
        <v>8819.3700000000008</v>
      </c>
      <c r="D13" s="8"/>
      <c r="E13" s="446">
        <v>2000</v>
      </c>
      <c r="F13" s="452">
        <v>1.2707999999999999</v>
      </c>
      <c r="G13" s="47">
        <f t="shared" ca="1" si="0"/>
        <v>2000</v>
      </c>
      <c r="H13" s="435">
        <f t="shared" ca="1" si="1"/>
        <v>1.2707999999999999</v>
      </c>
      <c r="I13" s="46">
        <f t="shared" ca="1" si="4"/>
        <v>13</v>
      </c>
      <c r="J13" s="31"/>
      <c r="K13" s="416">
        <v>6</v>
      </c>
      <c r="L13" s="33">
        <v>0.81430000000000002</v>
      </c>
      <c r="O13" s="10"/>
      <c r="P13" s="50">
        <v>0.1</v>
      </c>
      <c r="Q13" s="51">
        <v>1</v>
      </c>
      <c r="R13" s="51">
        <v>1</v>
      </c>
      <c r="S13" s="8"/>
      <c r="T13" s="8"/>
      <c r="U13" s="8"/>
      <c r="V13" s="8"/>
      <c r="W13" s="8"/>
      <c r="X13" s="8"/>
      <c r="Y13" s="38">
        <v>31</v>
      </c>
      <c r="Z13" s="319" t="s">
        <v>67</v>
      </c>
      <c r="AA13" s="39">
        <v>35</v>
      </c>
      <c r="AB13" s="40">
        <v>542</v>
      </c>
      <c r="AC13" s="41">
        <v>650</v>
      </c>
      <c r="AD13" s="41">
        <v>759</v>
      </c>
      <c r="AE13" s="41">
        <v>867</v>
      </c>
      <c r="AF13" s="41">
        <v>975</v>
      </c>
      <c r="AG13" s="42">
        <v>1084</v>
      </c>
      <c r="AH13" s="42">
        <v>5</v>
      </c>
      <c r="AK13" s="44">
        <v>2</v>
      </c>
      <c r="AL13" s="429">
        <v>9287.57</v>
      </c>
      <c r="AM13" s="429">
        <v>8819.3700000000008</v>
      </c>
      <c r="AN13" s="429">
        <v>8255.6200000000008</v>
      </c>
      <c r="AO13" s="429">
        <v>7839.44</v>
      </c>
      <c r="AP13" s="429">
        <v>8711.9599999999991</v>
      </c>
      <c r="AQ13" s="429">
        <v>8272.7800000000007</v>
      </c>
      <c r="AR13" s="429">
        <v>9287.57</v>
      </c>
      <c r="AS13" s="429">
        <v>8819.3700000000008</v>
      </c>
      <c r="AT13" s="429">
        <v>8255.6200000000008</v>
      </c>
      <c r="AU13" s="429">
        <v>7839.44</v>
      </c>
      <c r="AV13" s="429">
        <v>7430.06</v>
      </c>
      <c r="AW13" s="429">
        <v>7055.5</v>
      </c>
      <c r="AX13" s="429">
        <v>8255.6200000000008</v>
      </c>
      <c r="AY13" s="429">
        <v>7839.44</v>
      </c>
      <c r="BN13" s="8"/>
    </row>
    <row r="14" spans="1:66" x14ac:dyDescent="0.25">
      <c r="A14" s="44">
        <v>3</v>
      </c>
      <c r="B14" s="45">
        <f t="shared" si="2"/>
        <v>9291.27</v>
      </c>
      <c r="C14" s="45">
        <f t="shared" si="3"/>
        <v>8824.2999999999993</v>
      </c>
      <c r="D14" s="8"/>
      <c r="E14" s="446">
        <v>2500</v>
      </c>
      <c r="F14" s="452">
        <v>1.3176000000000001</v>
      </c>
      <c r="G14" s="47">
        <f t="shared" ca="1" si="0"/>
        <v>2500</v>
      </c>
      <c r="H14" s="435">
        <f t="shared" ca="1" si="1"/>
        <v>1.3176000000000001</v>
      </c>
      <c r="I14" s="46">
        <f t="shared" ca="1" si="4"/>
        <v>14</v>
      </c>
      <c r="J14" s="31"/>
      <c r="K14" s="416">
        <v>7</v>
      </c>
      <c r="L14" s="51">
        <v>0.78269999999999995</v>
      </c>
      <c r="O14" s="10"/>
      <c r="P14" s="50">
        <v>0.15</v>
      </c>
      <c r="Q14" s="51">
        <v>0.94</v>
      </c>
      <c r="R14" s="51">
        <v>0.95</v>
      </c>
      <c r="S14" s="8"/>
      <c r="T14" s="8"/>
      <c r="U14" s="8"/>
      <c r="V14" s="8"/>
      <c r="W14" s="8"/>
      <c r="X14" s="8"/>
      <c r="Y14" s="38">
        <v>36</v>
      </c>
      <c r="Z14" s="319" t="s">
        <v>67</v>
      </c>
      <c r="AA14" s="39">
        <v>40</v>
      </c>
      <c r="AB14" s="40">
        <v>855</v>
      </c>
      <c r="AC14" s="41">
        <v>1026</v>
      </c>
      <c r="AD14" s="41">
        <v>1197</v>
      </c>
      <c r="AE14" s="41">
        <v>1368</v>
      </c>
      <c r="AF14" s="41">
        <v>1539</v>
      </c>
      <c r="AG14" s="42">
        <v>1710</v>
      </c>
      <c r="AH14" s="42">
        <v>6</v>
      </c>
      <c r="AK14" s="44">
        <v>3</v>
      </c>
      <c r="AL14" s="429">
        <v>9291.27</v>
      </c>
      <c r="AM14" s="429">
        <v>8824.2999999999993</v>
      </c>
      <c r="AN14" s="429">
        <v>8258.9</v>
      </c>
      <c r="AO14" s="429">
        <v>7843.82</v>
      </c>
      <c r="AP14" s="429">
        <v>8715.43</v>
      </c>
      <c r="AQ14" s="429">
        <v>8277.4</v>
      </c>
      <c r="AR14" s="429">
        <v>9291.27</v>
      </c>
      <c r="AS14" s="429">
        <v>8824.2999999999993</v>
      </c>
      <c r="AT14" s="429">
        <v>8258.9</v>
      </c>
      <c r="AU14" s="429">
        <v>7843.82</v>
      </c>
      <c r="AV14" s="429">
        <v>7433.01</v>
      </c>
      <c r="AW14" s="429">
        <v>7059.44</v>
      </c>
      <c r="AX14" s="429">
        <v>8258.9</v>
      </c>
      <c r="AY14" s="429">
        <v>7843.82</v>
      </c>
      <c r="BN14" s="8"/>
    </row>
    <row r="15" spans="1:66" x14ac:dyDescent="0.25">
      <c r="A15" s="44">
        <v>4</v>
      </c>
      <c r="B15" s="45">
        <f t="shared" si="2"/>
        <v>9293.73</v>
      </c>
      <c r="C15" s="45">
        <f t="shared" si="3"/>
        <v>8825.5300000000007</v>
      </c>
      <c r="D15" s="8"/>
      <c r="E15" s="446">
        <v>3000</v>
      </c>
      <c r="F15" s="452">
        <v>1.3557999999999999</v>
      </c>
      <c r="G15" s="47">
        <f t="shared" ca="1" si="0"/>
        <v>3000</v>
      </c>
      <c r="H15" s="435">
        <f t="shared" ca="1" si="1"/>
        <v>1.3557999999999999</v>
      </c>
      <c r="I15" s="46">
        <f t="shared" ca="1" si="4"/>
        <v>15</v>
      </c>
      <c r="J15" s="31"/>
      <c r="K15" s="416">
        <v>8</v>
      </c>
      <c r="L15" s="51">
        <v>0.75239999999999996</v>
      </c>
      <c r="O15" s="10"/>
      <c r="P15" s="50">
        <v>0.2</v>
      </c>
      <c r="Q15" s="51">
        <v>0.89</v>
      </c>
      <c r="R15" s="51">
        <v>0.9</v>
      </c>
      <c r="S15" s="8"/>
      <c r="T15" s="8"/>
      <c r="U15" s="8"/>
      <c r="V15" s="8"/>
      <c r="W15" s="8"/>
      <c r="X15" s="8"/>
      <c r="Y15" s="38">
        <v>41</v>
      </c>
      <c r="Z15" s="319" t="s">
        <v>67</v>
      </c>
      <c r="AA15" s="39">
        <v>45</v>
      </c>
      <c r="AB15" s="40">
        <v>1255</v>
      </c>
      <c r="AC15" s="41">
        <v>1506</v>
      </c>
      <c r="AD15" s="52">
        <v>1757</v>
      </c>
      <c r="AE15" s="52">
        <v>2008</v>
      </c>
      <c r="AF15" s="52">
        <v>2259</v>
      </c>
      <c r="AG15" s="53">
        <v>2510</v>
      </c>
      <c r="AH15" s="53">
        <v>7</v>
      </c>
      <c r="AK15" s="44">
        <v>4</v>
      </c>
      <c r="AL15" s="429">
        <v>9293.73</v>
      </c>
      <c r="AM15" s="429">
        <v>8825.5300000000007</v>
      </c>
      <c r="AN15" s="429">
        <v>8261.09</v>
      </c>
      <c r="AO15" s="429">
        <v>7844.92</v>
      </c>
      <c r="AP15" s="429">
        <v>8717.74</v>
      </c>
      <c r="AQ15" s="429">
        <v>8278.56</v>
      </c>
      <c r="AR15" s="429">
        <v>9293.73</v>
      </c>
      <c r="AS15" s="429">
        <v>8825.5300000000007</v>
      </c>
      <c r="AT15" s="429">
        <v>8261.09</v>
      </c>
      <c r="AU15" s="429">
        <v>7844.92</v>
      </c>
      <c r="AV15" s="429">
        <v>7434.98</v>
      </c>
      <c r="AW15" s="429">
        <v>7060.43</v>
      </c>
      <c r="AX15" s="429">
        <v>8261.09</v>
      </c>
      <c r="AY15" s="429">
        <v>7844.92</v>
      </c>
      <c r="BN15" s="8"/>
    </row>
    <row r="16" spans="1:66" x14ac:dyDescent="0.25">
      <c r="A16" s="44">
        <v>5</v>
      </c>
      <c r="B16" s="45">
        <f t="shared" si="2"/>
        <v>9296.19</v>
      </c>
      <c r="C16" s="45">
        <f t="shared" si="3"/>
        <v>8828</v>
      </c>
      <c r="D16" s="8"/>
      <c r="E16" s="446">
        <v>4000</v>
      </c>
      <c r="F16" s="452">
        <v>1.4064000000000001</v>
      </c>
      <c r="G16" s="47">
        <f t="shared" ca="1" si="0"/>
        <v>4000</v>
      </c>
      <c r="H16" s="435">
        <f t="shared" ca="1" si="1"/>
        <v>1.4064000000000001</v>
      </c>
      <c r="I16" s="46">
        <f t="shared" ca="1" si="4"/>
        <v>16</v>
      </c>
      <c r="J16" s="31"/>
      <c r="K16" s="416">
        <v>9</v>
      </c>
      <c r="L16" s="51">
        <v>0.72330000000000005</v>
      </c>
      <c r="O16" s="10"/>
      <c r="P16" s="50">
        <v>0.25</v>
      </c>
      <c r="Q16" s="51">
        <v>0.83</v>
      </c>
      <c r="R16" s="51">
        <v>0.85</v>
      </c>
      <c r="S16" s="8"/>
      <c r="T16" s="8"/>
      <c r="U16" s="8"/>
      <c r="V16" s="8"/>
      <c r="W16" s="8"/>
      <c r="X16" s="8"/>
      <c r="Y16" s="38">
        <v>46</v>
      </c>
      <c r="Z16" s="319" t="s">
        <v>67</v>
      </c>
      <c r="AA16" s="39">
        <v>50</v>
      </c>
      <c r="AB16" s="40">
        <v>1688</v>
      </c>
      <c r="AC16" s="52">
        <v>2025</v>
      </c>
      <c r="AD16" s="52">
        <v>2363</v>
      </c>
      <c r="AE16" s="52">
        <v>2700</v>
      </c>
      <c r="AF16" s="54">
        <v>3038</v>
      </c>
      <c r="AG16" s="55">
        <v>3376</v>
      </c>
      <c r="AH16" s="56">
        <v>8</v>
      </c>
      <c r="AK16" s="44">
        <v>5</v>
      </c>
      <c r="AL16" s="429">
        <v>9296.19</v>
      </c>
      <c r="AM16" s="429">
        <v>8828</v>
      </c>
      <c r="AN16" s="429">
        <v>8263.2800000000007</v>
      </c>
      <c r="AO16" s="429">
        <v>7847.11</v>
      </c>
      <c r="AP16" s="429">
        <v>8720.0499999999993</v>
      </c>
      <c r="AQ16" s="429">
        <v>8280.8700000000008</v>
      </c>
      <c r="AR16" s="429">
        <v>9296.19</v>
      </c>
      <c r="AS16" s="429">
        <v>8828</v>
      </c>
      <c r="AT16" s="429">
        <v>8263.2800000000007</v>
      </c>
      <c r="AU16" s="429">
        <v>7847.11</v>
      </c>
      <c r="AV16" s="429">
        <v>7436.95</v>
      </c>
      <c r="AW16" s="429">
        <v>7062.4</v>
      </c>
      <c r="AX16" s="429">
        <v>8263.2800000000007</v>
      </c>
      <c r="AY16" s="429">
        <v>7847.11</v>
      </c>
      <c r="BN16" s="8"/>
    </row>
    <row r="17" spans="1:91" x14ac:dyDescent="0.25">
      <c r="A17" s="44">
        <v>6</v>
      </c>
      <c r="B17" s="45">
        <f t="shared" si="2"/>
        <v>9299.89</v>
      </c>
      <c r="C17" s="45">
        <f t="shared" si="3"/>
        <v>8832.92</v>
      </c>
      <c r="D17" s="8"/>
      <c r="E17" s="446">
        <v>7000</v>
      </c>
      <c r="F17" s="452">
        <v>1.4067000000000001</v>
      </c>
      <c r="G17" s="47">
        <f t="shared" ca="1" si="0"/>
        <v>7000</v>
      </c>
      <c r="H17" s="435">
        <f t="shared" ca="1" si="1"/>
        <v>1.4067000000000001</v>
      </c>
      <c r="I17" s="46">
        <f t="shared" ca="1" si="4"/>
        <v>17</v>
      </c>
      <c r="J17" s="31"/>
      <c r="K17" s="416">
        <v>10</v>
      </c>
      <c r="L17" s="51">
        <v>0.62570000000000003</v>
      </c>
      <c r="O17" s="10"/>
      <c r="P17" s="50">
        <v>0.3</v>
      </c>
      <c r="Q17" s="51">
        <v>0.78</v>
      </c>
      <c r="R17" s="51">
        <v>0.81</v>
      </c>
      <c r="S17" s="8"/>
      <c r="T17" s="8"/>
      <c r="U17" s="8"/>
      <c r="V17" s="8"/>
      <c r="W17" s="8"/>
      <c r="X17" s="8"/>
      <c r="Y17" s="38">
        <v>51</v>
      </c>
      <c r="Z17" s="319" t="s">
        <v>67</v>
      </c>
      <c r="AA17" s="39">
        <v>55</v>
      </c>
      <c r="AB17" s="40">
        <v>2137</v>
      </c>
      <c r="AC17" s="52">
        <v>2565</v>
      </c>
      <c r="AD17" s="52">
        <v>2992</v>
      </c>
      <c r="AE17" s="54">
        <v>3420</v>
      </c>
      <c r="AF17" s="54">
        <v>3847</v>
      </c>
      <c r="AG17" s="55">
        <v>4274</v>
      </c>
      <c r="AH17" s="56">
        <v>9</v>
      </c>
      <c r="AK17" s="44">
        <v>6</v>
      </c>
      <c r="AL17" s="429">
        <v>9299.89</v>
      </c>
      <c r="AM17" s="429">
        <v>8832.92</v>
      </c>
      <c r="AN17" s="429">
        <v>8266.57</v>
      </c>
      <c r="AO17" s="429">
        <v>7851.49</v>
      </c>
      <c r="AP17" s="429">
        <v>8723.52</v>
      </c>
      <c r="AQ17" s="429">
        <v>8285.49</v>
      </c>
      <c r="AR17" s="429">
        <v>9299.89</v>
      </c>
      <c r="AS17" s="429">
        <v>8832.92</v>
      </c>
      <c r="AT17" s="429">
        <v>8266.57</v>
      </c>
      <c r="AU17" s="429">
        <v>7851.49</v>
      </c>
      <c r="AV17" s="429">
        <v>7439.91</v>
      </c>
      <c r="AW17" s="429">
        <v>7066.34</v>
      </c>
      <c r="AX17" s="429">
        <v>8266.57</v>
      </c>
      <c r="AY17" s="429">
        <v>7851.49</v>
      </c>
      <c r="BN17" s="8"/>
    </row>
    <row r="18" spans="1:91" x14ac:dyDescent="0.25">
      <c r="A18" s="44">
        <v>7</v>
      </c>
      <c r="B18" s="45">
        <f t="shared" si="2"/>
        <v>9303.59</v>
      </c>
      <c r="C18" s="45">
        <f t="shared" si="3"/>
        <v>8835.39</v>
      </c>
      <c r="D18" s="8"/>
      <c r="E18" s="446">
        <v>11000</v>
      </c>
      <c r="F18" s="452">
        <v>1.4072</v>
      </c>
      <c r="G18" s="47">
        <f t="shared" ca="1" si="0"/>
        <v>11000</v>
      </c>
      <c r="H18" s="435">
        <f t="shared" ca="1" si="1"/>
        <v>1.4072</v>
      </c>
      <c r="I18" s="46">
        <f t="shared" ca="1" si="4"/>
        <v>18</v>
      </c>
      <c r="J18" s="31"/>
      <c r="K18" s="416">
        <v>12</v>
      </c>
      <c r="L18" s="33">
        <v>0.55989999999999995</v>
      </c>
      <c r="O18" s="8"/>
      <c r="P18" s="48">
        <v>0.35</v>
      </c>
      <c r="Q18" s="33">
        <v>0.72</v>
      </c>
      <c r="R18" s="33">
        <v>0.76</v>
      </c>
      <c r="S18" s="8"/>
      <c r="T18" s="8"/>
      <c r="U18" s="57"/>
      <c r="V18" s="8"/>
      <c r="W18" s="8"/>
      <c r="X18" s="8"/>
      <c r="Y18" s="38">
        <v>56</v>
      </c>
      <c r="Z18" s="319" t="s">
        <v>67</v>
      </c>
      <c r="AA18" s="39">
        <v>60</v>
      </c>
      <c r="AB18" s="58">
        <v>2615</v>
      </c>
      <c r="AC18" s="54">
        <v>3137</v>
      </c>
      <c r="AD18" s="54">
        <v>3660</v>
      </c>
      <c r="AE18" s="54">
        <v>4183</v>
      </c>
      <c r="AF18" s="54">
        <v>4706</v>
      </c>
      <c r="AG18" s="55">
        <v>5229</v>
      </c>
      <c r="AH18" s="56">
        <v>10</v>
      </c>
      <c r="AK18" s="44">
        <v>7</v>
      </c>
      <c r="AL18" s="429">
        <v>9303.59</v>
      </c>
      <c r="AM18" s="429">
        <v>8835.39</v>
      </c>
      <c r="AN18" s="429">
        <v>8269.86</v>
      </c>
      <c r="AO18" s="429">
        <v>7853.68</v>
      </c>
      <c r="AP18" s="429">
        <v>8726.98</v>
      </c>
      <c r="AQ18" s="429">
        <v>8287.7999999999993</v>
      </c>
      <c r="AR18" s="429">
        <v>9303.59</v>
      </c>
      <c r="AS18" s="429">
        <v>8835.39</v>
      </c>
      <c r="AT18" s="429">
        <v>8269.86</v>
      </c>
      <c r="AU18" s="429">
        <v>7853.68</v>
      </c>
      <c r="AV18" s="429">
        <v>7442.87</v>
      </c>
      <c r="AW18" s="429">
        <v>7068.31</v>
      </c>
      <c r="AX18" s="429">
        <v>8269.86</v>
      </c>
      <c r="AY18" s="429">
        <v>7853.68</v>
      </c>
      <c r="BN18" s="8"/>
    </row>
    <row r="19" spans="1:91" ht="15.75" thickBot="1" x14ac:dyDescent="0.3">
      <c r="A19" s="44">
        <v>8</v>
      </c>
      <c r="B19" s="45">
        <f t="shared" si="2"/>
        <v>9304.82</v>
      </c>
      <c r="C19" s="45">
        <f t="shared" si="3"/>
        <v>8836.6200000000008</v>
      </c>
      <c r="D19" s="8"/>
      <c r="E19" s="447">
        <v>14000</v>
      </c>
      <c r="F19" s="452">
        <v>1.4075</v>
      </c>
      <c r="G19" s="47">
        <f t="shared" ca="1" si="0"/>
        <v>14000</v>
      </c>
      <c r="H19" s="435">
        <f t="shared" ca="1" si="1"/>
        <v>1.4075</v>
      </c>
      <c r="I19" s="46">
        <f t="shared" ca="1" si="4"/>
        <v>19</v>
      </c>
      <c r="J19" s="31"/>
      <c r="K19" s="416">
        <v>14</v>
      </c>
      <c r="L19" s="33">
        <v>0.51729999999999998</v>
      </c>
      <c r="O19" s="8"/>
      <c r="P19" s="48">
        <v>0.4</v>
      </c>
      <c r="Q19" s="33">
        <v>0.67</v>
      </c>
      <c r="R19" s="33">
        <v>0.71</v>
      </c>
      <c r="S19" s="8"/>
      <c r="T19" s="8"/>
      <c r="U19" s="57"/>
      <c r="V19" s="8"/>
      <c r="W19" s="8"/>
      <c r="X19" s="8"/>
      <c r="Y19" s="59">
        <v>61</v>
      </c>
      <c r="Z19" s="320" t="s">
        <v>67</v>
      </c>
      <c r="AA19" s="60">
        <v>65</v>
      </c>
      <c r="AB19" s="61">
        <v>2719</v>
      </c>
      <c r="AC19" s="62">
        <v>3262</v>
      </c>
      <c r="AD19" s="62">
        <v>3806</v>
      </c>
      <c r="AE19" s="62">
        <v>4350</v>
      </c>
      <c r="AF19" s="62">
        <v>4893</v>
      </c>
      <c r="AG19" s="63">
        <v>5437</v>
      </c>
      <c r="AH19" s="64">
        <v>11</v>
      </c>
      <c r="AK19" s="44">
        <v>8</v>
      </c>
      <c r="AL19" s="429">
        <v>9304.82</v>
      </c>
      <c r="AM19" s="429">
        <v>8836.6200000000008</v>
      </c>
      <c r="AN19" s="429">
        <v>8270.9500000000007</v>
      </c>
      <c r="AO19" s="429">
        <v>7854.77</v>
      </c>
      <c r="AP19" s="429">
        <v>8728.14</v>
      </c>
      <c r="AQ19" s="429">
        <v>8288.9599999999991</v>
      </c>
      <c r="AR19" s="429">
        <v>9304.82</v>
      </c>
      <c r="AS19" s="429">
        <v>8836.6200000000008</v>
      </c>
      <c r="AT19" s="429">
        <v>8270.9500000000007</v>
      </c>
      <c r="AU19" s="429">
        <v>7854.77</v>
      </c>
      <c r="AV19" s="429">
        <v>7443.86</v>
      </c>
      <c r="AW19" s="429">
        <v>7069.29</v>
      </c>
      <c r="AX19" s="429">
        <v>8270.9500000000007</v>
      </c>
      <c r="AY19" s="429">
        <v>7854.77</v>
      </c>
      <c r="BN19" s="8"/>
    </row>
    <row r="20" spans="1:91" x14ac:dyDescent="0.25">
      <c r="A20" s="44">
        <v>9</v>
      </c>
      <c r="B20" s="45">
        <f t="shared" si="2"/>
        <v>9312.2099999999991</v>
      </c>
      <c r="C20" s="45">
        <f t="shared" si="3"/>
        <v>8839.09</v>
      </c>
      <c r="D20" s="8"/>
      <c r="E20" s="446">
        <v>20000</v>
      </c>
      <c r="F20" s="452">
        <v>1.4080999999999999</v>
      </c>
      <c r="G20" s="47">
        <f t="shared" ca="1" si="0"/>
        <v>20000</v>
      </c>
      <c r="H20" s="435">
        <f t="shared" ca="1" si="1"/>
        <v>1.4080999999999999</v>
      </c>
      <c r="I20" s="46">
        <f t="shared" ca="1" si="4"/>
        <v>20</v>
      </c>
      <c r="J20" s="31"/>
      <c r="K20" s="416">
        <v>16</v>
      </c>
      <c r="L20" s="33">
        <v>0.47849999999999998</v>
      </c>
      <c r="O20" s="8"/>
      <c r="P20" s="48">
        <v>0.45</v>
      </c>
      <c r="Q20" s="33">
        <v>0.61</v>
      </c>
      <c r="R20" s="33">
        <v>0.67</v>
      </c>
      <c r="S20" s="8"/>
      <c r="T20" s="8"/>
      <c r="U20" s="57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K20" s="44">
        <v>9</v>
      </c>
      <c r="AL20" s="429">
        <v>9312.2099999999991</v>
      </c>
      <c r="AM20" s="429">
        <v>8839.09</v>
      </c>
      <c r="AN20" s="429">
        <v>8277.52</v>
      </c>
      <c r="AO20" s="429">
        <v>7856.96</v>
      </c>
      <c r="AP20" s="429">
        <v>8735.07</v>
      </c>
      <c r="AQ20" s="429">
        <v>8291.27</v>
      </c>
      <c r="AR20" s="429">
        <v>9312.2099999999991</v>
      </c>
      <c r="AS20" s="429">
        <v>8839.09</v>
      </c>
      <c r="AT20" s="429">
        <v>8277.52</v>
      </c>
      <c r="AU20" s="429">
        <v>7856.96</v>
      </c>
      <c r="AV20" s="429">
        <v>7449.77</v>
      </c>
      <c r="AW20" s="429">
        <v>7071.26</v>
      </c>
      <c r="AX20" s="429">
        <v>8277.52</v>
      </c>
      <c r="AY20" s="429">
        <v>7856.96</v>
      </c>
      <c r="BN20" s="8"/>
    </row>
    <row r="21" spans="1:91" ht="15.75" thickBot="1" x14ac:dyDescent="0.3">
      <c r="A21" s="44">
        <v>10</v>
      </c>
      <c r="B21" s="45">
        <f t="shared" si="2"/>
        <v>9314.68</v>
      </c>
      <c r="C21" s="45">
        <f t="shared" si="3"/>
        <v>8842.7800000000007</v>
      </c>
      <c r="D21" s="8"/>
      <c r="E21" s="446">
        <v>25000</v>
      </c>
      <c r="F21" s="452">
        <v>1.4087000000000001</v>
      </c>
      <c r="G21" s="47">
        <f t="shared" ca="1" si="0"/>
        <v>25000</v>
      </c>
      <c r="H21" s="435">
        <f t="shared" ca="1" si="1"/>
        <v>1.4087000000000001</v>
      </c>
      <c r="I21" s="46">
        <f t="shared" ca="1" si="4"/>
        <v>21</v>
      </c>
      <c r="J21" s="31"/>
      <c r="K21" s="416">
        <v>18</v>
      </c>
      <c r="L21" s="33">
        <v>0.44209999999999999</v>
      </c>
      <c r="O21" s="8"/>
      <c r="P21" s="65">
        <v>0.5</v>
      </c>
      <c r="Q21" s="66">
        <v>0.56000000000000005</v>
      </c>
      <c r="R21" s="66">
        <v>0.62</v>
      </c>
      <c r="S21" s="8"/>
      <c r="T21" s="8"/>
      <c r="U21" s="57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K21" s="44">
        <v>10</v>
      </c>
      <c r="AL21" s="429">
        <v>9314.68</v>
      </c>
      <c r="AM21" s="429">
        <v>8842.7800000000007</v>
      </c>
      <c r="AN21" s="429">
        <v>8279.7099999999991</v>
      </c>
      <c r="AO21" s="429">
        <v>7860.25</v>
      </c>
      <c r="AP21" s="429">
        <v>8737.3799999999992</v>
      </c>
      <c r="AQ21" s="429">
        <v>8294.74</v>
      </c>
      <c r="AR21" s="429">
        <v>9314.68</v>
      </c>
      <c r="AS21" s="429">
        <v>8842.7800000000007</v>
      </c>
      <c r="AT21" s="429">
        <v>8279.7099999999991</v>
      </c>
      <c r="AU21" s="429">
        <v>7860.25</v>
      </c>
      <c r="AV21" s="429">
        <v>7451.74</v>
      </c>
      <c r="AW21" s="429">
        <v>7074.23</v>
      </c>
      <c r="AX21" s="429">
        <v>8279.7099999999991</v>
      </c>
      <c r="AY21" s="429">
        <v>7860.25</v>
      </c>
      <c r="BN21" s="8"/>
    </row>
    <row r="22" spans="1:91" ht="15.75" thickBot="1" x14ac:dyDescent="0.3">
      <c r="A22" s="44">
        <v>11</v>
      </c>
      <c r="B22" s="45">
        <f t="shared" si="2"/>
        <v>9318.3700000000008</v>
      </c>
      <c r="C22" s="45">
        <f t="shared" si="3"/>
        <v>8846.48</v>
      </c>
      <c r="D22" s="8"/>
      <c r="E22" s="448" t="s">
        <v>93</v>
      </c>
      <c r="F22" s="453">
        <v>1.4075</v>
      </c>
      <c r="G22" s="47" t="str">
        <f t="shared" ca="1" si="0"/>
        <v>Sin Límite</v>
      </c>
      <c r="H22" s="435">
        <f t="shared" ca="1" si="1"/>
        <v>1.4075</v>
      </c>
      <c r="I22" s="46">
        <f t="shared" ca="1" si="4"/>
        <v>22</v>
      </c>
      <c r="J22" s="31"/>
      <c r="K22" s="416">
        <v>20</v>
      </c>
      <c r="L22" s="33">
        <v>0.40839999999999999</v>
      </c>
      <c r="O22" s="8"/>
      <c r="P22" s="8"/>
      <c r="Q22" s="8"/>
      <c r="R22" s="8"/>
      <c r="S22" s="8"/>
      <c r="T22" s="8"/>
      <c r="U22" s="57"/>
      <c r="V22" s="8"/>
      <c r="W22" s="8"/>
      <c r="X22" s="8"/>
      <c r="Y22" s="8"/>
      <c r="AA22" s="8"/>
      <c r="AB22" s="8"/>
      <c r="AC22" s="8"/>
      <c r="AD22" s="8"/>
      <c r="AE22" s="8"/>
      <c r="AF22" s="8"/>
      <c r="AG22" s="8"/>
      <c r="AH22" s="8"/>
      <c r="AK22" s="44">
        <v>11</v>
      </c>
      <c r="AL22" s="429">
        <v>9318.3700000000008</v>
      </c>
      <c r="AM22" s="429">
        <v>8846.48</v>
      </c>
      <c r="AN22" s="429">
        <v>8283</v>
      </c>
      <c r="AO22" s="429">
        <v>7863.54</v>
      </c>
      <c r="AP22" s="429">
        <v>8740.85</v>
      </c>
      <c r="AQ22" s="429">
        <v>8298.2000000000007</v>
      </c>
      <c r="AR22" s="429">
        <v>9318.3700000000008</v>
      </c>
      <c r="AS22" s="429">
        <v>8846.48</v>
      </c>
      <c r="AT22" s="429">
        <v>8283</v>
      </c>
      <c r="AU22" s="429">
        <v>7863.54</v>
      </c>
      <c r="AV22" s="429">
        <v>7454.7</v>
      </c>
      <c r="AW22" s="429">
        <v>7077.19</v>
      </c>
      <c r="AX22" s="429">
        <v>8283</v>
      </c>
      <c r="AY22" s="429">
        <v>7863.54</v>
      </c>
      <c r="BN22" s="8"/>
    </row>
    <row r="23" spans="1:91" ht="15.75" thickBot="1" x14ac:dyDescent="0.3">
      <c r="A23" s="44">
        <v>12</v>
      </c>
      <c r="B23" s="45">
        <f t="shared" si="2"/>
        <v>9322.07</v>
      </c>
      <c r="C23" s="45">
        <f t="shared" si="3"/>
        <v>8847.7099999999991</v>
      </c>
      <c r="D23" s="8"/>
      <c r="J23" s="31"/>
      <c r="K23" s="416">
        <v>25</v>
      </c>
      <c r="L23" s="33">
        <v>0.33379999999999999</v>
      </c>
      <c r="O23" s="8"/>
      <c r="P23" s="179" t="s">
        <v>50</v>
      </c>
      <c r="Q23" s="8"/>
      <c r="R23" s="8"/>
      <c r="S23" s="8"/>
      <c r="T23" s="8"/>
      <c r="U23" s="57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K23" s="44">
        <v>12</v>
      </c>
      <c r="AL23" s="429">
        <v>9322.07</v>
      </c>
      <c r="AM23" s="429">
        <v>8847.7099999999991</v>
      </c>
      <c r="AN23" s="429">
        <v>8286.2800000000007</v>
      </c>
      <c r="AO23" s="429">
        <v>7864.63</v>
      </c>
      <c r="AP23" s="429">
        <v>8744.32</v>
      </c>
      <c r="AQ23" s="429">
        <v>8299.36</v>
      </c>
      <c r="AR23" s="429">
        <v>9322.07</v>
      </c>
      <c r="AS23" s="429">
        <v>8847.7099999999991</v>
      </c>
      <c r="AT23" s="429">
        <v>8286.2800000000007</v>
      </c>
      <c r="AU23" s="429">
        <v>7864.63</v>
      </c>
      <c r="AV23" s="429">
        <v>7457.65</v>
      </c>
      <c r="AW23" s="429">
        <v>7078.17</v>
      </c>
      <c r="AX23" s="429">
        <v>8286.2800000000007</v>
      </c>
      <c r="AY23" s="429">
        <v>7864.63</v>
      </c>
      <c r="BN23" s="8"/>
    </row>
    <row r="24" spans="1:91" ht="15.75" thickBot="1" x14ac:dyDescent="0.3">
      <c r="A24" s="44">
        <v>13</v>
      </c>
      <c r="B24" s="45">
        <f t="shared" si="2"/>
        <v>9323.2999999999993</v>
      </c>
      <c r="C24" s="45">
        <f t="shared" si="3"/>
        <v>8848.94</v>
      </c>
      <c r="D24" s="8"/>
      <c r="J24" s="31"/>
      <c r="K24" s="416">
        <v>30</v>
      </c>
      <c r="L24" s="33">
        <v>0.27210000000000001</v>
      </c>
      <c r="O24" s="8"/>
      <c r="P24" s="582" t="s">
        <v>69</v>
      </c>
      <c r="Q24" s="583"/>
      <c r="R24" s="322"/>
      <c r="S24" s="322">
        <f>+VLOOKUP(S25,$P$26:$R$28,3,FALSE)</f>
        <v>0</v>
      </c>
      <c r="T24" s="8"/>
      <c r="U24" s="57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K24" s="44">
        <v>13</v>
      </c>
      <c r="AL24" s="429">
        <v>9323.2999999999993</v>
      </c>
      <c r="AM24" s="429">
        <v>8848.94</v>
      </c>
      <c r="AN24" s="429">
        <v>8287.3799999999992</v>
      </c>
      <c r="AO24" s="429">
        <v>7865.73</v>
      </c>
      <c r="AP24" s="429">
        <v>8745.4699999999993</v>
      </c>
      <c r="AQ24" s="429">
        <v>8300.52</v>
      </c>
      <c r="AR24" s="429">
        <v>9323.2999999999993</v>
      </c>
      <c r="AS24" s="429">
        <v>8848.94</v>
      </c>
      <c r="AT24" s="429">
        <v>8287.3799999999992</v>
      </c>
      <c r="AU24" s="429">
        <v>7865.73</v>
      </c>
      <c r="AV24" s="429">
        <v>7458.64</v>
      </c>
      <c r="AW24" s="429">
        <v>7079.16</v>
      </c>
      <c r="AX24" s="429">
        <v>8287.3799999999992</v>
      </c>
      <c r="AY24" s="429">
        <v>7865.73</v>
      </c>
      <c r="BN24" s="8"/>
    </row>
    <row r="25" spans="1:91" ht="15.75" thickBot="1" x14ac:dyDescent="0.3">
      <c r="A25" s="44">
        <v>14</v>
      </c>
      <c r="B25" s="45">
        <f t="shared" si="2"/>
        <v>9325.76</v>
      </c>
      <c r="C25" s="45">
        <f t="shared" si="3"/>
        <v>8852.64</v>
      </c>
      <c r="D25" s="8"/>
      <c r="J25" s="31"/>
      <c r="K25" s="416">
        <v>35</v>
      </c>
      <c r="L25" s="33">
        <v>0.22259999999999999</v>
      </c>
      <c r="O25" s="8"/>
      <c r="P25" s="16" t="s">
        <v>70</v>
      </c>
      <c r="Q25" s="16" t="s">
        <v>64</v>
      </c>
      <c r="R25" s="322" t="s">
        <v>437</v>
      </c>
      <c r="S25" s="322" t="str">
        <f>VLOOKUP(B121,$P$25:$Q$28,1,FALSE)</f>
        <v>NO</v>
      </c>
      <c r="T25" s="8"/>
      <c r="U25" s="57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K25" s="44">
        <v>14</v>
      </c>
      <c r="AL25" s="429">
        <v>9325.76</v>
      </c>
      <c r="AM25" s="429">
        <v>8852.64</v>
      </c>
      <c r="AN25" s="429">
        <v>8289.57</v>
      </c>
      <c r="AO25" s="429">
        <v>7869.01</v>
      </c>
      <c r="AP25" s="429">
        <v>8747.7900000000009</v>
      </c>
      <c r="AQ25" s="429">
        <v>8303.98</v>
      </c>
      <c r="AR25" s="429">
        <v>9325.76</v>
      </c>
      <c r="AS25" s="429">
        <v>8852.64</v>
      </c>
      <c r="AT25" s="429">
        <v>8289.57</v>
      </c>
      <c r="AU25" s="429">
        <v>7869.01</v>
      </c>
      <c r="AV25" s="429">
        <v>7460.61</v>
      </c>
      <c r="AW25" s="429">
        <v>7082.11</v>
      </c>
      <c r="AX25" s="429">
        <v>8289.57</v>
      </c>
      <c r="AY25" s="429">
        <v>7869.01</v>
      </c>
      <c r="BN25" s="8"/>
    </row>
    <row r="26" spans="1:91" x14ac:dyDescent="0.25">
      <c r="A26" s="44">
        <v>15</v>
      </c>
      <c r="B26" s="68">
        <f t="shared" si="2"/>
        <v>9430.49</v>
      </c>
      <c r="C26" s="68">
        <f t="shared" si="3"/>
        <v>9238.2900000000009</v>
      </c>
      <c r="D26" s="8"/>
      <c r="J26" s="31"/>
      <c r="K26" s="416">
        <v>40</v>
      </c>
      <c r="L26" s="111">
        <v>0.18360000000000001</v>
      </c>
      <c r="O26" s="8"/>
      <c r="P26" s="69" t="s">
        <v>8</v>
      </c>
      <c r="Q26" s="70">
        <v>1</v>
      </c>
      <c r="R26" s="323">
        <v>0</v>
      </c>
      <c r="S26" s="323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K26" s="44">
        <v>15</v>
      </c>
      <c r="AL26" s="430">
        <v>9430.49</v>
      </c>
      <c r="AM26" s="430">
        <v>9238.2900000000009</v>
      </c>
      <c r="AN26" s="430">
        <v>8382.66</v>
      </c>
      <c r="AO26" s="430">
        <v>8211.81</v>
      </c>
      <c r="AP26" s="430">
        <v>8846.02</v>
      </c>
      <c r="AQ26" s="430">
        <v>8665.73</v>
      </c>
      <c r="AR26" s="430">
        <v>9430.49</v>
      </c>
      <c r="AS26" s="430">
        <v>9238.2900000000009</v>
      </c>
      <c r="AT26" s="430">
        <v>8382.66</v>
      </c>
      <c r="AU26" s="430">
        <v>8211.81</v>
      </c>
      <c r="AV26" s="430">
        <v>7544.39</v>
      </c>
      <c r="AW26" s="430">
        <v>7390.63</v>
      </c>
      <c r="AX26" s="430">
        <v>8382.66</v>
      </c>
      <c r="AY26" s="430">
        <v>8211.81</v>
      </c>
      <c r="BN26" s="8"/>
    </row>
    <row r="27" spans="1:91" x14ac:dyDescent="0.25">
      <c r="A27" s="44">
        <v>16</v>
      </c>
      <c r="B27" s="68">
        <f t="shared" si="2"/>
        <v>9538.92</v>
      </c>
      <c r="C27" s="68">
        <f t="shared" si="3"/>
        <v>9249.3700000000008</v>
      </c>
      <c r="D27" s="8"/>
      <c r="J27" s="31"/>
      <c r="O27" s="8"/>
      <c r="P27" s="71" t="s">
        <v>71</v>
      </c>
      <c r="Q27" s="72">
        <v>1.0289999999999999</v>
      </c>
      <c r="R27" s="322">
        <v>1</v>
      </c>
      <c r="S27" s="322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K27" s="44">
        <v>16</v>
      </c>
      <c r="AL27" s="430">
        <v>9538.92</v>
      </c>
      <c r="AM27" s="430">
        <v>9249.3700000000008</v>
      </c>
      <c r="AN27" s="430">
        <v>8479.0400000000009</v>
      </c>
      <c r="AO27" s="430">
        <v>8221.67</v>
      </c>
      <c r="AP27" s="430">
        <v>8947.73</v>
      </c>
      <c r="AQ27" s="430">
        <v>8676.1299999999992</v>
      </c>
      <c r="AR27" s="430">
        <v>9538.92</v>
      </c>
      <c r="AS27" s="430">
        <v>9249.3700000000008</v>
      </c>
      <c r="AT27" s="430">
        <v>8479.0400000000009</v>
      </c>
      <c r="AU27" s="430">
        <v>8221.67</v>
      </c>
      <c r="AV27" s="430">
        <v>7631.14</v>
      </c>
      <c r="AW27" s="430">
        <v>7399.5</v>
      </c>
      <c r="AX27" s="430">
        <v>8479.0400000000009</v>
      </c>
      <c r="AY27" s="430">
        <v>8221.67</v>
      </c>
      <c r="BN27" s="8"/>
    </row>
    <row r="28" spans="1:91" ht="15.75" thickBot="1" x14ac:dyDescent="0.3">
      <c r="A28" s="44">
        <v>17</v>
      </c>
      <c r="B28" s="68">
        <f t="shared" si="2"/>
        <v>9642.41</v>
      </c>
      <c r="C28" s="68">
        <f t="shared" si="3"/>
        <v>9269.09</v>
      </c>
      <c r="D28" s="8"/>
      <c r="J28" s="31"/>
      <c r="O28" s="8"/>
      <c r="P28" s="73" t="s">
        <v>72</v>
      </c>
      <c r="Q28" s="74">
        <v>1.0580000000000001</v>
      </c>
      <c r="R28" s="322">
        <v>2</v>
      </c>
      <c r="S28" s="322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K28" s="44">
        <v>17</v>
      </c>
      <c r="AL28" s="430">
        <v>9642.41</v>
      </c>
      <c r="AM28" s="430">
        <v>9269.09</v>
      </c>
      <c r="AN28" s="430">
        <v>8571.0400000000009</v>
      </c>
      <c r="AO28" s="430">
        <v>8239.19</v>
      </c>
      <c r="AP28" s="430">
        <v>9044.81</v>
      </c>
      <c r="AQ28" s="430">
        <v>8694.6200000000008</v>
      </c>
      <c r="AR28" s="430">
        <v>9642.41</v>
      </c>
      <c r="AS28" s="430">
        <v>9269.09</v>
      </c>
      <c r="AT28" s="430">
        <v>8571.0400000000009</v>
      </c>
      <c r="AU28" s="430">
        <v>8239.19</v>
      </c>
      <c r="AV28" s="430">
        <v>7713.94</v>
      </c>
      <c r="AW28" s="430">
        <v>7415.27</v>
      </c>
      <c r="AX28" s="430">
        <v>8571.0400000000009</v>
      </c>
      <c r="AY28" s="430">
        <v>8239.19</v>
      </c>
      <c r="BN28" s="8"/>
    </row>
    <row r="29" spans="1:91" x14ac:dyDescent="0.25">
      <c r="A29" s="44">
        <v>18</v>
      </c>
      <c r="B29" s="45">
        <f t="shared" si="2"/>
        <v>9750.84</v>
      </c>
      <c r="C29" s="45">
        <f t="shared" si="3"/>
        <v>9277.7099999999991</v>
      </c>
      <c r="D29" s="8"/>
      <c r="J29" s="31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K29" s="44">
        <v>18</v>
      </c>
      <c r="AL29" s="429">
        <v>9750.84</v>
      </c>
      <c r="AM29" s="429">
        <v>9277.7099999999991</v>
      </c>
      <c r="AN29" s="429">
        <v>8667.41</v>
      </c>
      <c r="AO29" s="429">
        <v>8246.86</v>
      </c>
      <c r="AP29" s="429">
        <v>9146.52</v>
      </c>
      <c r="AQ29" s="429">
        <v>8702.7099999999991</v>
      </c>
      <c r="AR29" s="429">
        <v>9750.84</v>
      </c>
      <c r="AS29" s="429">
        <v>9277.7099999999991</v>
      </c>
      <c r="AT29" s="429">
        <v>8667.41</v>
      </c>
      <c r="AU29" s="429">
        <v>8246.86</v>
      </c>
      <c r="AV29" s="429">
        <v>7800.67</v>
      </c>
      <c r="AW29" s="429">
        <v>7422.17</v>
      </c>
      <c r="AX29" s="429">
        <v>8667.41</v>
      </c>
      <c r="AY29" s="429">
        <v>8246.86</v>
      </c>
      <c r="BN29" s="8"/>
    </row>
    <row r="30" spans="1:91" ht="15.75" thickBot="1" x14ac:dyDescent="0.3">
      <c r="A30" s="44">
        <v>19</v>
      </c>
      <c r="B30" s="45">
        <f t="shared" si="2"/>
        <v>9776.7099999999991</v>
      </c>
      <c r="C30" s="45">
        <f t="shared" si="3"/>
        <v>9287.57</v>
      </c>
      <c r="D30" s="8"/>
      <c r="J30" s="31"/>
      <c r="O30" s="8"/>
      <c r="P30" s="67" t="s">
        <v>50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K30" s="44">
        <v>19</v>
      </c>
      <c r="AL30" s="429">
        <v>9776.7099999999991</v>
      </c>
      <c r="AM30" s="429">
        <v>9287.57</v>
      </c>
      <c r="AN30" s="429">
        <v>8690.41</v>
      </c>
      <c r="AO30" s="429">
        <v>8255.6200000000008</v>
      </c>
      <c r="AP30" s="429">
        <v>9170.7900000000009</v>
      </c>
      <c r="AQ30" s="429">
        <v>8711.9599999999991</v>
      </c>
      <c r="AR30" s="429">
        <v>9776.7099999999991</v>
      </c>
      <c r="AS30" s="429">
        <v>9287.57</v>
      </c>
      <c r="AT30" s="429">
        <v>8690.41</v>
      </c>
      <c r="AU30" s="429">
        <v>8255.6200000000008</v>
      </c>
      <c r="AV30" s="429">
        <v>7821.37</v>
      </c>
      <c r="AW30" s="429">
        <v>7430.06</v>
      </c>
      <c r="AX30" s="429">
        <v>8690.41</v>
      </c>
      <c r="AY30" s="429">
        <v>8255.6200000000008</v>
      </c>
      <c r="BN30" s="8"/>
    </row>
    <row r="31" spans="1:91" ht="15.75" thickBot="1" x14ac:dyDescent="0.3">
      <c r="A31" s="44">
        <v>20</v>
      </c>
      <c r="B31" s="45">
        <f t="shared" si="2"/>
        <v>9967.69</v>
      </c>
      <c r="C31" s="45">
        <f t="shared" si="3"/>
        <v>11436.35</v>
      </c>
      <c r="D31" s="8"/>
      <c r="J31" s="31"/>
      <c r="O31" s="8"/>
      <c r="P31" s="582" t="s">
        <v>73</v>
      </c>
      <c r="Q31" s="583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K31" s="44">
        <v>20</v>
      </c>
      <c r="AL31" s="429">
        <v>9967.69</v>
      </c>
      <c r="AM31" s="429">
        <v>11436.35</v>
      </c>
      <c r="AN31" s="429">
        <v>8860.17</v>
      </c>
      <c r="AO31" s="429">
        <v>10165.65</v>
      </c>
      <c r="AP31" s="429">
        <v>9349.93</v>
      </c>
      <c r="AQ31" s="429">
        <v>10727.57</v>
      </c>
      <c r="AR31" s="429">
        <v>9967.69</v>
      </c>
      <c r="AS31" s="429">
        <v>11436.35</v>
      </c>
      <c r="AT31" s="429">
        <v>8860.17</v>
      </c>
      <c r="AU31" s="429">
        <v>10165.65</v>
      </c>
      <c r="AV31" s="429">
        <v>7974.15</v>
      </c>
      <c r="AW31" s="429">
        <v>9149.09</v>
      </c>
      <c r="AX31" s="429">
        <v>8860.17</v>
      </c>
      <c r="AY31" s="429">
        <v>10165.65</v>
      </c>
      <c r="BN31" s="8"/>
      <c r="CC31" s="178"/>
      <c r="CD31" s="178"/>
      <c r="CE31" s="178"/>
      <c r="CF31" s="178"/>
      <c r="CG31" s="178"/>
      <c r="CH31" s="178"/>
      <c r="CI31" s="178"/>
      <c r="CJ31" s="178"/>
      <c r="CK31" s="178"/>
      <c r="CL31" s="178"/>
      <c r="CM31" s="178"/>
    </row>
    <row r="32" spans="1:91" ht="15.75" thickBot="1" x14ac:dyDescent="0.3">
      <c r="A32" s="44">
        <v>21</v>
      </c>
      <c r="B32" s="45">
        <f t="shared" si="2"/>
        <v>10079.81</v>
      </c>
      <c r="C32" s="45">
        <f t="shared" si="3"/>
        <v>11939.05</v>
      </c>
      <c r="D32" s="8"/>
      <c r="J32" s="31"/>
      <c r="O32" s="8"/>
      <c r="P32" s="16" t="s">
        <v>14</v>
      </c>
      <c r="Q32" s="16" t="s">
        <v>74</v>
      </c>
      <c r="R32" s="8"/>
      <c r="S32" s="8"/>
      <c r="T32" s="8"/>
      <c r="U32" s="8"/>
      <c r="V32" s="8"/>
      <c r="W32" s="8"/>
      <c r="X32" s="17" t="s">
        <v>75</v>
      </c>
      <c r="Y32" s="8"/>
      <c r="Z32" s="8"/>
      <c r="AA32" s="8"/>
      <c r="AB32" s="8"/>
      <c r="AC32" s="8"/>
      <c r="AD32" s="8"/>
      <c r="AE32" s="8"/>
      <c r="AF32" s="8"/>
      <c r="AG32" s="8"/>
      <c r="AH32" s="8"/>
      <c r="AK32" s="44">
        <v>21</v>
      </c>
      <c r="AL32" s="429">
        <v>10079.81</v>
      </c>
      <c r="AM32" s="429">
        <v>11939.05</v>
      </c>
      <c r="AN32" s="429">
        <v>8959.83</v>
      </c>
      <c r="AO32" s="429">
        <v>10612.49</v>
      </c>
      <c r="AP32" s="429">
        <v>9455.1</v>
      </c>
      <c r="AQ32" s="429">
        <v>11199.11</v>
      </c>
      <c r="AR32" s="429">
        <v>10079.81</v>
      </c>
      <c r="AS32" s="429">
        <v>11939.05</v>
      </c>
      <c r="AT32" s="429">
        <v>8959.83</v>
      </c>
      <c r="AU32" s="429">
        <v>10612.49</v>
      </c>
      <c r="AV32" s="429">
        <v>8063.85</v>
      </c>
      <c r="AW32" s="429">
        <v>9551.24</v>
      </c>
      <c r="AX32" s="429">
        <v>8959.83</v>
      </c>
      <c r="AY32" s="429">
        <v>10612.49</v>
      </c>
      <c r="BN32" s="8"/>
      <c r="CC32" s="178"/>
      <c r="CD32" s="178"/>
      <c r="CE32" s="178"/>
      <c r="CF32" s="178"/>
      <c r="CG32" s="178"/>
      <c r="CH32" s="178"/>
      <c r="CI32" s="178"/>
      <c r="CJ32" s="178"/>
      <c r="CK32" s="178"/>
      <c r="CL32" s="178"/>
      <c r="CM32" s="178"/>
    </row>
    <row r="33" spans="1:91" ht="15.75" thickBot="1" x14ac:dyDescent="0.3">
      <c r="A33" s="44">
        <v>22</v>
      </c>
      <c r="B33" s="45">
        <f t="shared" si="2"/>
        <v>10191.93</v>
      </c>
      <c r="C33" s="45">
        <f t="shared" si="3"/>
        <v>12459</v>
      </c>
      <c r="D33" s="8"/>
      <c r="J33" s="31"/>
      <c r="O33" s="8"/>
      <c r="P33" s="69" t="s">
        <v>8</v>
      </c>
      <c r="Q33" s="69">
        <v>0</v>
      </c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K33" s="44">
        <v>22</v>
      </c>
      <c r="AL33" s="429">
        <v>10191.93</v>
      </c>
      <c r="AM33" s="429">
        <v>12459</v>
      </c>
      <c r="AN33" s="429">
        <v>9059.49</v>
      </c>
      <c r="AO33" s="429">
        <v>11074.66</v>
      </c>
      <c r="AP33" s="429">
        <v>9560.27</v>
      </c>
      <c r="AQ33" s="429">
        <v>11686.83</v>
      </c>
      <c r="AR33" s="429">
        <v>10191.93</v>
      </c>
      <c r="AS33" s="429">
        <v>12459</v>
      </c>
      <c r="AT33" s="429">
        <v>9059.49</v>
      </c>
      <c r="AU33" s="429">
        <v>11074.66</v>
      </c>
      <c r="AV33" s="429">
        <v>8153.54</v>
      </c>
      <c r="AW33" s="429">
        <v>9967.19</v>
      </c>
      <c r="AX33" s="429">
        <v>9059.49</v>
      </c>
      <c r="AY33" s="429">
        <v>11074.66</v>
      </c>
      <c r="CC33" s="178"/>
      <c r="CD33" s="178"/>
      <c r="CE33" s="178"/>
      <c r="CF33" s="178"/>
      <c r="CG33" s="178"/>
      <c r="CH33" s="178"/>
      <c r="CI33" s="178"/>
      <c r="CJ33" s="178"/>
      <c r="CK33" s="178"/>
      <c r="CL33" s="178"/>
      <c r="CM33" s="178"/>
    </row>
    <row r="34" spans="1:91" ht="15.75" thickBot="1" x14ac:dyDescent="0.3">
      <c r="A34" s="44">
        <v>23</v>
      </c>
      <c r="B34" s="45">
        <f t="shared" si="2"/>
        <v>10305.280000000001</v>
      </c>
      <c r="C34" s="45">
        <f t="shared" si="3"/>
        <v>12999.89</v>
      </c>
      <c r="D34" s="8"/>
      <c r="J34" s="31"/>
      <c r="O34" s="8"/>
      <c r="P34" s="76" t="s">
        <v>76</v>
      </c>
      <c r="Q34" s="77">
        <v>214</v>
      </c>
      <c r="R34" s="8">
        <v>200</v>
      </c>
      <c r="S34" s="8"/>
      <c r="T34" s="8"/>
      <c r="U34" s="8"/>
      <c r="V34" s="8"/>
      <c r="W34" s="8"/>
      <c r="X34" s="8"/>
      <c r="Y34" s="17"/>
      <c r="Z34" s="17"/>
      <c r="AA34" s="17"/>
      <c r="AB34" s="17"/>
      <c r="AC34" s="8"/>
      <c r="AD34" s="14" t="s">
        <v>77</v>
      </c>
      <c r="AE34" s="8"/>
      <c r="AF34" s="8"/>
      <c r="AG34" s="8"/>
      <c r="AH34" s="8"/>
      <c r="AK34" s="44">
        <v>23</v>
      </c>
      <c r="AL34" s="429">
        <v>10305.280000000001</v>
      </c>
      <c r="AM34" s="429">
        <v>12999.89</v>
      </c>
      <c r="AN34" s="429">
        <v>9160.25</v>
      </c>
      <c r="AO34" s="429">
        <v>11555.46</v>
      </c>
      <c r="AP34" s="429">
        <v>9666.6</v>
      </c>
      <c r="AQ34" s="429">
        <v>12194.2</v>
      </c>
      <c r="AR34" s="429">
        <v>10305.280000000001</v>
      </c>
      <c r="AS34" s="429">
        <v>12999.89</v>
      </c>
      <c r="AT34" s="429">
        <v>9160.25</v>
      </c>
      <c r="AU34" s="429">
        <v>11555.46</v>
      </c>
      <c r="AV34" s="429">
        <v>8244.23</v>
      </c>
      <c r="AW34" s="429">
        <v>10399.91</v>
      </c>
      <c r="AX34" s="429">
        <v>9160.25</v>
      </c>
      <c r="AY34" s="429">
        <v>11555.46</v>
      </c>
      <c r="CC34" s="178"/>
      <c r="CD34" s="178"/>
      <c r="CE34" s="178"/>
      <c r="CF34" s="178"/>
      <c r="CG34" s="178"/>
      <c r="CH34" s="178"/>
      <c r="CI34" s="178"/>
      <c r="CJ34" s="178"/>
      <c r="CK34" s="178"/>
      <c r="CL34" s="178"/>
      <c r="CM34" s="178"/>
    </row>
    <row r="35" spans="1:91" ht="15.75" thickBot="1" x14ac:dyDescent="0.3">
      <c r="A35" s="44">
        <v>24</v>
      </c>
      <c r="B35" s="45">
        <f t="shared" si="2"/>
        <v>10422.33</v>
      </c>
      <c r="C35" s="45">
        <f t="shared" si="3"/>
        <v>13569.12</v>
      </c>
      <c r="D35" s="8"/>
      <c r="J35" s="31"/>
      <c r="O35" s="8"/>
      <c r="P35" s="78" t="s">
        <v>78</v>
      </c>
      <c r="Q35" s="79">
        <v>1107</v>
      </c>
      <c r="R35" s="8">
        <v>998</v>
      </c>
      <c r="S35" s="8"/>
      <c r="T35" s="8"/>
      <c r="U35" s="8"/>
      <c r="V35" s="8"/>
      <c r="W35" s="8"/>
      <c r="X35" s="8"/>
      <c r="Y35" s="17"/>
      <c r="Z35" s="17"/>
      <c r="AA35" s="17"/>
      <c r="AB35" s="17"/>
      <c r="AC35" s="8"/>
      <c r="AD35" s="80" t="s">
        <v>17</v>
      </c>
      <c r="AE35" s="8"/>
      <c r="AF35" s="8"/>
      <c r="AG35" s="8"/>
      <c r="AH35" s="8"/>
      <c r="AK35" s="44">
        <v>24</v>
      </c>
      <c r="AL35" s="429">
        <v>10422.33</v>
      </c>
      <c r="AM35" s="429">
        <v>13569.12</v>
      </c>
      <c r="AN35" s="429">
        <v>9264.2999999999993</v>
      </c>
      <c r="AO35" s="429">
        <v>12061.44</v>
      </c>
      <c r="AP35" s="429">
        <v>9776.39</v>
      </c>
      <c r="AQ35" s="429">
        <v>12728.15</v>
      </c>
      <c r="AR35" s="429">
        <v>10422.33</v>
      </c>
      <c r="AS35" s="429">
        <v>13569.12</v>
      </c>
      <c r="AT35" s="429">
        <v>9264.2999999999993</v>
      </c>
      <c r="AU35" s="429">
        <v>12061.44</v>
      </c>
      <c r="AV35" s="429">
        <v>8337.8700000000008</v>
      </c>
      <c r="AW35" s="429">
        <v>10855.3</v>
      </c>
      <c r="AX35" s="429">
        <v>9264.2999999999993</v>
      </c>
      <c r="AY35" s="429">
        <v>12061.44</v>
      </c>
      <c r="CC35" s="178"/>
      <c r="CD35" s="178"/>
      <c r="CE35" s="178"/>
      <c r="CF35" s="178"/>
      <c r="CG35" s="178"/>
      <c r="CH35" s="178"/>
      <c r="CI35" s="178"/>
      <c r="CJ35" s="178"/>
      <c r="CK35" s="178"/>
      <c r="CL35" s="178"/>
      <c r="CM35" s="178"/>
    </row>
    <row r="36" spans="1:91" ht="15.75" thickBot="1" x14ac:dyDescent="0.3">
      <c r="A36" s="44">
        <v>25</v>
      </c>
      <c r="B36" s="45">
        <f t="shared" si="2"/>
        <v>12068.42</v>
      </c>
      <c r="C36" s="45">
        <f t="shared" si="3"/>
        <v>15796.75</v>
      </c>
      <c r="D36" s="8"/>
      <c r="J36" s="31"/>
      <c r="O36" s="8"/>
      <c r="P36" s="8"/>
      <c r="Q36" s="8"/>
      <c r="R36" s="8"/>
      <c r="S36" s="8"/>
      <c r="T36" s="8"/>
      <c r="U36" s="8"/>
      <c r="V36" s="8"/>
      <c r="W36" s="8"/>
      <c r="X36" s="8"/>
      <c r="Y36" s="17"/>
      <c r="Z36" s="17"/>
      <c r="AA36" s="17"/>
      <c r="AB36" s="17"/>
      <c r="AC36" s="8"/>
      <c r="AD36" s="81" t="s">
        <v>8</v>
      </c>
      <c r="AE36" s="8"/>
      <c r="AF36" s="8"/>
      <c r="AG36" s="8"/>
      <c r="AH36" s="8"/>
      <c r="AK36" s="44">
        <v>25</v>
      </c>
      <c r="AL36" s="429">
        <v>12068.42</v>
      </c>
      <c r="AM36" s="429">
        <v>15796.75</v>
      </c>
      <c r="AN36" s="429">
        <v>10727.48</v>
      </c>
      <c r="AO36" s="429">
        <v>14041.56</v>
      </c>
      <c r="AP36" s="429">
        <v>11320.46</v>
      </c>
      <c r="AQ36" s="429">
        <v>14817.73</v>
      </c>
      <c r="AR36" s="429">
        <v>12068.42</v>
      </c>
      <c r="AS36" s="429">
        <v>15796.75</v>
      </c>
      <c r="AT36" s="429">
        <v>10727.48</v>
      </c>
      <c r="AU36" s="429">
        <v>14041.56</v>
      </c>
      <c r="AV36" s="429">
        <v>9654.73</v>
      </c>
      <c r="AW36" s="429">
        <v>12637.4</v>
      </c>
      <c r="AX36" s="429">
        <v>10727.48</v>
      </c>
      <c r="AY36" s="429">
        <v>14041.56</v>
      </c>
      <c r="CC36" s="178"/>
      <c r="CD36" s="178"/>
      <c r="CE36" s="178"/>
      <c r="CF36" s="178"/>
      <c r="CG36" s="178"/>
      <c r="CH36" s="178"/>
      <c r="CI36" s="178"/>
      <c r="CJ36" s="178"/>
      <c r="CK36" s="178"/>
      <c r="CL36" s="178"/>
      <c r="CM36" s="178"/>
    </row>
    <row r="37" spans="1:91" x14ac:dyDescent="0.25">
      <c r="A37" s="44">
        <v>26</v>
      </c>
      <c r="B37" s="45">
        <f t="shared" si="2"/>
        <v>12617.94</v>
      </c>
      <c r="C37" s="45">
        <f t="shared" si="3"/>
        <v>16596.39</v>
      </c>
      <c r="D37" s="8"/>
      <c r="J37" s="31"/>
      <c r="O37" s="8"/>
      <c r="P37" s="8"/>
      <c r="Q37" s="8"/>
      <c r="R37" s="8"/>
      <c r="S37" s="8"/>
      <c r="T37" s="8"/>
      <c r="U37" s="8"/>
      <c r="V37" s="8"/>
      <c r="W37" s="8"/>
      <c r="X37" s="8"/>
      <c r="Y37" s="17"/>
      <c r="Z37" s="17"/>
      <c r="AA37" s="17"/>
      <c r="AB37" s="17"/>
      <c r="AC37" s="8"/>
      <c r="AD37" s="82"/>
      <c r="AE37" s="8"/>
      <c r="AF37" s="8"/>
      <c r="AG37" s="8"/>
      <c r="AH37" s="8"/>
      <c r="AK37" s="44">
        <v>26</v>
      </c>
      <c r="AL37" s="429">
        <v>12617.94</v>
      </c>
      <c r="AM37" s="429">
        <v>16596.39</v>
      </c>
      <c r="AN37" s="429">
        <v>11215.94</v>
      </c>
      <c r="AO37" s="429">
        <v>14752.34</v>
      </c>
      <c r="AP37" s="429">
        <v>11835.92</v>
      </c>
      <c r="AQ37" s="429">
        <v>15567.8</v>
      </c>
      <c r="AR37" s="429">
        <v>12617.94</v>
      </c>
      <c r="AS37" s="429">
        <v>16596.39</v>
      </c>
      <c r="AT37" s="429">
        <v>11215.94</v>
      </c>
      <c r="AU37" s="429">
        <v>14752.34</v>
      </c>
      <c r="AV37" s="429">
        <v>10094.35</v>
      </c>
      <c r="AW37" s="429">
        <v>13277.11</v>
      </c>
      <c r="AX37" s="429">
        <v>11215.94</v>
      </c>
      <c r="AY37" s="429">
        <v>14752.34</v>
      </c>
      <c r="CC37" s="178"/>
      <c r="CD37" s="178"/>
      <c r="CE37" s="178"/>
      <c r="CF37" s="178"/>
      <c r="CG37" s="178"/>
      <c r="CH37" s="178"/>
      <c r="CI37" s="178"/>
      <c r="CJ37" s="178"/>
      <c r="CK37" s="178"/>
      <c r="CL37" s="178"/>
      <c r="CM37" s="178"/>
    </row>
    <row r="38" spans="1:91" x14ac:dyDescent="0.25">
      <c r="A38" s="44">
        <v>27</v>
      </c>
      <c r="B38" s="45">
        <f t="shared" si="2"/>
        <v>13190.86</v>
      </c>
      <c r="C38" s="45">
        <f t="shared" si="3"/>
        <v>17440.38</v>
      </c>
      <c r="D38" s="8"/>
      <c r="J38" s="31"/>
      <c r="O38" s="8"/>
      <c r="P38" s="8"/>
      <c r="Q38" s="8"/>
      <c r="R38" s="8"/>
      <c r="S38" s="8"/>
      <c r="T38" s="8"/>
      <c r="U38" s="8"/>
      <c r="V38" s="8"/>
      <c r="W38" s="8"/>
      <c r="X38" s="8"/>
      <c r="Y38" s="17"/>
      <c r="Z38" s="17"/>
      <c r="AA38" s="17"/>
      <c r="AB38" s="17"/>
      <c r="AC38" s="8"/>
      <c r="AD38" s="8"/>
      <c r="AE38" s="8"/>
      <c r="AF38" s="8"/>
      <c r="AG38" s="8"/>
      <c r="AH38" s="8"/>
      <c r="AK38" s="44">
        <v>27</v>
      </c>
      <c r="AL38" s="429">
        <v>13190.86</v>
      </c>
      <c r="AM38" s="429">
        <v>17440.38</v>
      </c>
      <c r="AN38" s="429">
        <v>11725.21</v>
      </c>
      <c r="AO38" s="429">
        <v>15502.56</v>
      </c>
      <c r="AP38" s="429">
        <v>12373.34</v>
      </c>
      <c r="AQ38" s="429">
        <v>16359.48</v>
      </c>
      <c r="AR38" s="429">
        <v>13190.86</v>
      </c>
      <c r="AS38" s="429">
        <v>17440.38</v>
      </c>
      <c r="AT38" s="429">
        <v>11725.21</v>
      </c>
      <c r="AU38" s="429">
        <v>15502.56</v>
      </c>
      <c r="AV38" s="429">
        <v>10552.69</v>
      </c>
      <c r="AW38" s="429">
        <v>13952.3</v>
      </c>
      <c r="AX38" s="429">
        <v>11725.21</v>
      </c>
      <c r="AY38" s="429">
        <v>15502.56</v>
      </c>
      <c r="CC38" s="178"/>
      <c r="CD38" s="178"/>
      <c r="CE38" s="178"/>
      <c r="CF38" s="178"/>
      <c r="CG38" s="178"/>
      <c r="CH38" s="178"/>
      <c r="CI38" s="178"/>
      <c r="CJ38" s="178"/>
      <c r="CK38" s="178"/>
      <c r="CL38" s="178"/>
      <c r="CM38" s="178"/>
    </row>
    <row r="39" spans="1:91" ht="15.75" thickBot="1" x14ac:dyDescent="0.3">
      <c r="A39" s="44">
        <v>28</v>
      </c>
      <c r="B39" s="45">
        <f t="shared" si="2"/>
        <v>13789.66</v>
      </c>
      <c r="C39" s="45">
        <f t="shared" si="3"/>
        <v>18320.09</v>
      </c>
      <c r="D39" s="8"/>
      <c r="J39" s="31"/>
      <c r="O39" s="8"/>
      <c r="P39" s="179" t="s">
        <v>50</v>
      </c>
      <c r="Q39" s="8"/>
      <c r="R39" s="8"/>
      <c r="S39" s="8"/>
      <c r="T39" s="8"/>
      <c r="U39" s="8"/>
      <c r="V39" s="8"/>
      <c r="W39" s="8"/>
      <c r="X39" s="8"/>
      <c r="Y39" s="17"/>
      <c r="Z39" s="17"/>
      <c r="AA39" s="17"/>
      <c r="AB39" s="17"/>
      <c r="AC39" s="8"/>
      <c r="AD39" s="8"/>
      <c r="AE39" s="8"/>
      <c r="AF39" s="8"/>
      <c r="AG39" s="8"/>
      <c r="AH39" s="8"/>
      <c r="AK39" s="44">
        <v>28</v>
      </c>
      <c r="AL39" s="429">
        <v>13789.66</v>
      </c>
      <c r="AM39" s="429">
        <v>18320.09</v>
      </c>
      <c r="AN39" s="429">
        <v>12257.48</v>
      </c>
      <c r="AO39" s="429">
        <v>16284.53</v>
      </c>
      <c r="AP39" s="429">
        <v>12935.03</v>
      </c>
      <c r="AQ39" s="429">
        <v>17184.68</v>
      </c>
      <c r="AR39" s="429">
        <v>13789.66</v>
      </c>
      <c r="AS39" s="429">
        <v>18320.09</v>
      </c>
      <c r="AT39" s="429">
        <v>12257.48</v>
      </c>
      <c r="AU39" s="429">
        <v>16284.53</v>
      </c>
      <c r="AV39" s="429">
        <v>11031.73</v>
      </c>
      <c r="AW39" s="429">
        <v>14656.08</v>
      </c>
      <c r="AX39" s="429">
        <v>12257.48</v>
      </c>
      <c r="AY39" s="429">
        <v>16284.53</v>
      </c>
      <c r="CC39" s="178"/>
      <c r="CD39" s="178"/>
      <c r="CE39" s="178"/>
      <c r="CF39" s="178"/>
      <c r="CG39" s="178"/>
      <c r="CH39" s="178"/>
      <c r="CI39" s="178"/>
      <c r="CJ39" s="178"/>
      <c r="CK39" s="178"/>
      <c r="CL39" s="178"/>
      <c r="CM39" s="178"/>
    </row>
    <row r="40" spans="1:91" ht="15.75" thickBot="1" x14ac:dyDescent="0.3">
      <c r="A40" s="44">
        <v>29</v>
      </c>
      <c r="B40" s="45">
        <f t="shared" si="2"/>
        <v>14416.8</v>
      </c>
      <c r="C40" s="45">
        <f t="shared" si="3"/>
        <v>19252.79</v>
      </c>
      <c r="D40" s="8"/>
      <c r="J40" s="31"/>
      <c r="O40" s="8"/>
      <c r="P40" s="582" t="s">
        <v>79</v>
      </c>
      <c r="Q40" s="583"/>
      <c r="R40" s="8"/>
      <c r="S40" s="8"/>
      <c r="T40" s="8"/>
      <c r="U40" s="8"/>
      <c r="V40" s="8"/>
      <c r="W40" s="8"/>
      <c r="X40" s="8"/>
      <c r="Y40" s="17"/>
      <c r="Z40" s="17"/>
      <c r="AA40" s="8"/>
      <c r="AB40" s="17"/>
      <c r="AC40" s="8"/>
      <c r="AD40" s="83"/>
      <c r="AE40" s="8"/>
      <c r="AF40" s="8"/>
      <c r="AG40" s="8"/>
      <c r="AH40" s="8"/>
      <c r="AK40" s="44">
        <v>29</v>
      </c>
      <c r="AL40" s="429">
        <v>14416.8</v>
      </c>
      <c r="AM40" s="429">
        <v>19252.79</v>
      </c>
      <c r="AN40" s="429">
        <v>12814.94</v>
      </c>
      <c r="AO40" s="429">
        <v>17113.599999999999</v>
      </c>
      <c r="AP40" s="429">
        <v>13523.3</v>
      </c>
      <c r="AQ40" s="429">
        <v>18059.57</v>
      </c>
      <c r="AR40" s="429">
        <v>14416.8</v>
      </c>
      <c r="AS40" s="429">
        <v>19252.79</v>
      </c>
      <c r="AT40" s="429">
        <v>12814.94</v>
      </c>
      <c r="AU40" s="429">
        <v>17113.599999999999</v>
      </c>
      <c r="AV40" s="429">
        <v>11533.45</v>
      </c>
      <c r="AW40" s="429">
        <v>15402.24</v>
      </c>
      <c r="AX40" s="429">
        <v>12814.94</v>
      </c>
      <c r="AY40" s="429">
        <v>17113.599999999999</v>
      </c>
      <c r="CC40" s="178"/>
      <c r="CD40" s="178"/>
      <c r="CE40" s="178"/>
      <c r="CF40" s="178"/>
      <c r="CG40" s="178"/>
      <c r="CH40" s="178"/>
      <c r="CI40" s="178"/>
      <c r="CJ40" s="178"/>
      <c r="CK40" s="178"/>
      <c r="CL40" s="178"/>
      <c r="CM40" s="178"/>
    </row>
    <row r="41" spans="1:91" ht="15.75" thickBot="1" x14ac:dyDescent="0.3">
      <c r="A41" s="44">
        <v>30</v>
      </c>
      <c r="B41" s="45">
        <f t="shared" si="2"/>
        <v>14830.79</v>
      </c>
      <c r="C41" s="45">
        <f t="shared" si="3"/>
        <v>19855.29</v>
      </c>
      <c r="D41" s="8"/>
      <c r="J41" s="31"/>
      <c r="O41" s="8"/>
      <c r="P41" s="16" t="s">
        <v>70</v>
      </c>
      <c r="Q41" s="16" t="s">
        <v>64</v>
      </c>
      <c r="R41" s="8"/>
      <c r="S41" s="8"/>
      <c r="T41" s="8"/>
      <c r="U41" s="8"/>
      <c r="V41" s="8"/>
      <c r="W41" s="8"/>
      <c r="X41" s="8"/>
      <c r="Y41" s="17"/>
      <c r="Z41" s="8"/>
      <c r="AA41" s="17"/>
      <c r="AB41" s="14" t="s">
        <v>80</v>
      </c>
      <c r="AC41" s="14" t="s">
        <v>52</v>
      </c>
      <c r="AD41" s="14" t="s">
        <v>81</v>
      </c>
      <c r="AE41" s="14" t="s">
        <v>82</v>
      </c>
      <c r="AF41" s="8"/>
      <c r="AG41" s="8"/>
      <c r="AH41" s="8"/>
      <c r="AK41" s="44">
        <v>30</v>
      </c>
      <c r="AL41" s="429">
        <v>14830.79</v>
      </c>
      <c r="AM41" s="429">
        <v>19855.29</v>
      </c>
      <c r="AN41" s="429">
        <v>13182.92</v>
      </c>
      <c r="AO41" s="429">
        <v>17649.150000000001</v>
      </c>
      <c r="AP41" s="429">
        <v>13911.63</v>
      </c>
      <c r="AQ41" s="429">
        <v>18624.73</v>
      </c>
      <c r="AR41" s="429">
        <v>14830.79</v>
      </c>
      <c r="AS41" s="429">
        <v>19855.29</v>
      </c>
      <c r="AT41" s="429">
        <v>13182.92</v>
      </c>
      <c r="AU41" s="429">
        <v>17649.150000000001</v>
      </c>
      <c r="AV41" s="429">
        <v>11864.63</v>
      </c>
      <c r="AW41" s="429">
        <v>15884.24</v>
      </c>
      <c r="AX41" s="429">
        <v>13182.92</v>
      </c>
      <c r="AY41" s="429">
        <v>17649.150000000001</v>
      </c>
      <c r="CC41" s="178"/>
      <c r="CD41" s="178"/>
      <c r="CE41" s="178"/>
      <c r="CF41" s="178"/>
      <c r="CG41" s="178"/>
      <c r="CH41" s="178"/>
      <c r="CI41" s="178"/>
      <c r="CJ41" s="178"/>
      <c r="CK41" s="178"/>
      <c r="CL41" s="178"/>
      <c r="CM41" s="178"/>
    </row>
    <row r="42" spans="1:91" x14ac:dyDescent="0.25">
      <c r="A42" s="44">
        <v>31</v>
      </c>
      <c r="B42" s="45">
        <f t="shared" si="2"/>
        <v>15257.09</v>
      </c>
      <c r="C42" s="45">
        <f t="shared" si="3"/>
        <v>20477.5</v>
      </c>
      <c r="D42" s="8"/>
      <c r="J42" s="31"/>
      <c r="O42" s="8"/>
      <c r="P42" s="69" t="s">
        <v>8</v>
      </c>
      <c r="Q42" s="69">
        <v>1</v>
      </c>
      <c r="R42" s="8"/>
      <c r="S42" s="8"/>
      <c r="T42" s="8"/>
      <c r="U42" s="8"/>
      <c r="V42" s="8"/>
      <c r="W42" s="8"/>
      <c r="X42" s="8"/>
      <c r="Y42" s="17"/>
      <c r="Z42" s="8"/>
      <c r="AA42" s="8"/>
      <c r="AB42" s="84" t="str">
        <f>IF(AND('GOLDEN SALUD IND'!G27&gt;19,'GOLDEN SALUD IND'!G27&lt;56,'GOLDEN SALUD IND'!F27="F"),'GOLDEN SALUD IND'!G27,"")</f>
        <v/>
      </c>
      <c r="AC42" s="84" t="str">
        <f>IF(AB42="","",VLOOKUP(AB42,$Y$10:$AH$19,10,TRUE))</f>
        <v/>
      </c>
      <c r="AD42" s="85">
        <v>250000</v>
      </c>
      <c r="AE42" s="86" t="str">
        <f>IF($B$125="NO","",IF($AB$42=""," ",IF(HLOOKUP(AD42,$AB$9:$AG$19,$AC$42,FALSE)&lt;3000,AD42," ")))</f>
        <v/>
      </c>
      <c r="AF42" s="8"/>
      <c r="AG42" s="8"/>
      <c r="AH42" s="8"/>
      <c r="AK42" s="44">
        <v>31</v>
      </c>
      <c r="AL42" s="429">
        <v>15257.09</v>
      </c>
      <c r="AM42" s="429">
        <v>20477.5</v>
      </c>
      <c r="AN42" s="429">
        <v>13561.86</v>
      </c>
      <c r="AO42" s="429">
        <v>18202.22</v>
      </c>
      <c r="AP42" s="429">
        <v>14311.51</v>
      </c>
      <c r="AQ42" s="429">
        <v>19208.38</v>
      </c>
      <c r="AR42" s="429">
        <v>15257.09</v>
      </c>
      <c r="AS42" s="429">
        <v>20477.5</v>
      </c>
      <c r="AT42" s="429">
        <v>13561.86</v>
      </c>
      <c r="AU42" s="429">
        <v>18202.22</v>
      </c>
      <c r="AV42" s="429">
        <v>12205.67</v>
      </c>
      <c r="AW42" s="429">
        <v>16382</v>
      </c>
      <c r="AX42" s="429">
        <v>13561.86</v>
      </c>
      <c r="AY42" s="429">
        <v>18202.22</v>
      </c>
      <c r="CC42" s="178"/>
      <c r="CD42" s="178"/>
      <c r="CE42" s="178"/>
      <c r="CF42" s="178"/>
      <c r="CG42" s="178"/>
      <c r="CH42" s="178"/>
      <c r="CI42" s="178"/>
      <c r="CJ42" s="178"/>
      <c r="CK42" s="178"/>
      <c r="CL42" s="178"/>
      <c r="CM42" s="178"/>
    </row>
    <row r="43" spans="1:91" x14ac:dyDescent="0.25">
      <c r="A43" s="44">
        <v>32</v>
      </c>
      <c r="B43" s="45">
        <f t="shared" si="2"/>
        <v>15693.26</v>
      </c>
      <c r="C43" s="45">
        <f t="shared" si="3"/>
        <v>21116.959999999999</v>
      </c>
      <c r="D43" s="8"/>
      <c r="J43" s="31"/>
      <c r="O43" s="8"/>
      <c r="P43" s="71" t="s">
        <v>83</v>
      </c>
      <c r="Q43" s="87">
        <v>2.3574000000000002</v>
      </c>
      <c r="R43" s="8"/>
      <c r="S43" s="8"/>
      <c r="T43" s="8"/>
      <c r="U43" s="8"/>
      <c r="V43" s="8"/>
      <c r="W43" s="8"/>
      <c r="X43" s="8"/>
      <c r="Y43" s="17"/>
      <c r="Z43" s="8"/>
      <c r="AA43" s="8"/>
      <c r="AB43" s="8"/>
      <c r="AC43" s="8"/>
      <c r="AD43" s="88">
        <v>300000</v>
      </c>
      <c r="AE43" s="89" t="str">
        <f t="shared" ref="AE43:AE47" si="5">IF($B$125="NO","",IF($AB$42=""," ",IF(HLOOKUP(AD43,$AB$9:$AG$19,$AC$42,FALSE)&lt;3000,AD43," ")))</f>
        <v/>
      </c>
      <c r="AF43" s="8"/>
      <c r="AG43" s="8"/>
      <c r="AH43" s="8"/>
      <c r="AK43" s="44">
        <v>32</v>
      </c>
      <c r="AL43" s="429">
        <v>15693.26</v>
      </c>
      <c r="AM43" s="429">
        <v>21116.959999999999</v>
      </c>
      <c r="AN43" s="429">
        <v>13949.56</v>
      </c>
      <c r="AO43" s="429">
        <v>18770.63</v>
      </c>
      <c r="AP43" s="429">
        <v>14720.64</v>
      </c>
      <c r="AQ43" s="429">
        <v>19808.21</v>
      </c>
      <c r="AR43" s="429">
        <v>15693.26</v>
      </c>
      <c r="AS43" s="429">
        <v>21116.959999999999</v>
      </c>
      <c r="AT43" s="429">
        <v>13949.56</v>
      </c>
      <c r="AU43" s="429">
        <v>18770.63</v>
      </c>
      <c r="AV43" s="429">
        <v>12554.6</v>
      </c>
      <c r="AW43" s="429">
        <v>16893.57</v>
      </c>
      <c r="AX43" s="429">
        <v>13949.56</v>
      </c>
      <c r="AY43" s="429">
        <v>18770.63</v>
      </c>
      <c r="CC43" s="178"/>
      <c r="CD43" s="178"/>
      <c r="CE43" s="178"/>
      <c r="CF43" s="178"/>
      <c r="CG43" s="178"/>
      <c r="CH43" s="178"/>
      <c r="CI43" s="178"/>
      <c r="CJ43" s="178"/>
      <c r="CK43" s="178"/>
      <c r="CL43" s="178"/>
      <c r="CM43" s="178"/>
    </row>
    <row r="44" spans="1:91" x14ac:dyDescent="0.25">
      <c r="A44" s="44">
        <v>33</v>
      </c>
      <c r="B44" s="45">
        <f t="shared" si="2"/>
        <v>16146.67</v>
      </c>
      <c r="C44" s="45">
        <f t="shared" si="3"/>
        <v>21781.06</v>
      </c>
      <c r="D44" s="8"/>
      <c r="J44" s="31"/>
      <c r="O44" s="8"/>
      <c r="P44" s="71" t="s">
        <v>84</v>
      </c>
      <c r="Q44" s="90">
        <v>2.0594000000000001</v>
      </c>
      <c r="R44" s="8"/>
      <c r="S44" s="8"/>
      <c r="T44" s="8"/>
      <c r="U44" s="8"/>
      <c r="V44" s="8"/>
      <c r="W44" s="8"/>
      <c r="X44" s="8"/>
      <c r="Y44" s="17"/>
      <c r="Z44" s="8"/>
      <c r="AA44" s="8"/>
      <c r="AB44" s="8"/>
      <c r="AC44" s="8"/>
      <c r="AD44" s="88">
        <v>350000</v>
      </c>
      <c r="AE44" s="89" t="str">
        <f t="shared" si="5"/>
        <v/>
      </c>
      <c r="AF44" s="8"/>
      <c r="AG44" s="8"/>
      <c r="AH44" s="8"/>
      <c r="AK44" s="44">
        <v>33</v>
      </c>
      <c r="AL44" s="429">
        <v>16146.67</v>
      </c>
      <c r="AM44" s="429">
        <v>21781.06</v>
      </c>
      <c r="AN44" s="429">
        <v>14352.6</v>
      </c>
      <c r="AO44" s="429">
        <v>19360.95</v>
      </c>
      <c r="AP44" s="429">
        <v>15145.96</v>
      </c>
      <c r="AQ44" s="429">
        <v>20431.150000000001</v>
      </c>
      <c r="AR44" s="429">
        <v>16146.67</v>
      </c>
      <c r="AS44" s="429">
        <v>21781.06</v>
      </c>
      <c r="AT44" s="429">
        <v>14352.6</v>
      </c>
      <c r="AU44" s="429">
        <v>19360.95</v>
      </c>
      <c r="AV44" s="429">
        <v>12917.34</v>
      </c>
      <c r="AW44" s="429">
        <v>17424.86</v>
      </c>
      <c r="AX44" s="429">
        <v>14352.6</v>
      </c>
      <c r="AY44" s="429">
        <v>19360.95</v>
      </c>
      <c r="CC44" s="178"/>
      <c r="CD44" s="178"/>
      <c r="CE44" s="178"/>
      <c r="CF44" s="178"/>
      <c r="CG44" s="178"/>
      <c r="CH44" s="178"/>
      <c r="CI44" s="178"/>
      <c r="CJ44" s="178"/>
      <c r="CK44" s="178"/>
      <c r="CL44" s="178"/>
      <c r="CM44" s="178"/>
    </row>
    <row r="45" spans="1:91" ht="15.75" thickBot="1" x14ac:dyDescent="0.3">
      <c r="A45" s="44">
        <v>34</v>
      </c>
      <c r="B45" s="45">
        <f t="shared" si="2"/>
        <v>16611.169999999998</v>
      </c>
      <c r="C45" s="45">
        <f t="shared" si="3"/>
        <v>22463.65</v>
      </c>
      <c r="D45" s="8"/>
      <c r="J45" s="31"/>
      <c r="O45" s="8"/>
      <c r="P45" s="73" t="s">
        <v>85</v>
      </c>
      <c r="Q45" s="91">
        <v>1.4631000000000001</v>
      </c>
      <c r="R45" s="8"/>
      <c r="S45" s="8"/>
      <c r="T45" s="8"/>
      <c r="U45" s="8"/>
      <c r="V45" s="8"/>
      <c r="W45" s="8"/>
      <c r="X45" s="8"/>
      <c r="Y45" s="17"/>
      <c r="Z45" s="8"/>
      <c r="AA45" s="8"/>
      <c r="AB45" s="8"/>
      <c r="AC45" s="8"/>
      <c r="AD45" s="88">
        <v>400000</v>
      </c>
      <c r="AE45" s="89" t="str">
        <f t="shared" si="5"/>
        <v/>
      </c>
      <c r="AF45" s="8"/>
      <c r="AG45" s="8"/>
      <c r="AH45" s="8"/>
      <c r="AK45" s="44">
        <v>34</v>
      </c>
      <c r="AL45" s="429">
        <v>16611.169999999998</v>
      </c>
      <c r="AM45" s="429">
        <v>22463.65</v>
      </c>
      <c r="AN45" s="429">
        <v>14765.49</v>
      </c>
      <c r="AO45" s="429">
        <v>19967.689999999999</v>
      </c>
      <c r="AP45" s="429">
        <v>15581.67</v>
      </c>
      <c r="AQ45" s="429">
        <v>21071.43</v>
      </c>
      <c r="AR45" s="429">
        <v>16611.169999999998</v>
      </c>
      <c r="AS45" s="429">
        <v>22463.65</v>
      </c>
      <c r="AT45" s="429">
        <v>14765.49</v>
      </c>
      <c r="AU45" s="429">
        <v>19967.689999999999</v>
      </c>
      <c r="AV45" s="429">
        <v>13288.94</v>
      </c>
      <c r="AW45" s="429">
        <v>17970.919999999998</v>
      </c>
      <c r="AX45" s="429">
        <v>14765.49</v>
      </c>
      <c r="AY45" s="429">
        <v>19967.689999999999</v>
      </c>
      <c r="CC45" s="178"/>
      <c r="CD45" s="178"/>
      <c r="CE45" s="178"/>
      <c r="CF45" s="178"/>
      <c r="CG45" s="178"/>
      <c r="CH45" s="178"/>
      <c r="CI45" s="178"/>
      <c r="CJ45" s="178"/>
      <c r="CK45" s="178"/>
      <c r="CL45" s="178"/>
      <c r="CM45" s="178"/>
    </row>
    <row r="46" spans="1:91" x14ac:dyDescent="0.25">
      <c r="A46" s="44">
        <v>35</v>
      </c>
      <c r="B46" s="45">
        <f t="shared" si="2"/>
        <v>17016.53</v>
      </c>
      <c r="C46" s="45">
        <f t="shared" si="3"/>
        <v>23110.5</v>
      </c>
      <c r="D46" s="8"/>
      <c r="J46" s="31"/>
      <c r="O46" s="8"/>
      <c r="P46" s="8"/>
      <c r="Q46" s="8"/>
      <c r="R46" s="17"/>
      <c r="S46" s="17"/>
      <c r="T46" s="8"/>
      <c r="U46" s="8"/>
      <c r="V46" s="8"/>
      <c r="W46" s="8"/>
      <c r="X46" s="8"/>
      <c r="Y46" s="17"/>
      <c r="Z46" s="8"/>
      <c r="AA46" s="8"/>
      <c r="AB46" s="8"/>
      <c r="AC46" s="8"/>
      <c r="AD46" s="88">
        <v>450000</v>
      </c>
      <c r="AE46" s="89" t="str">
        <f t="shared" si="5"/>
        <v/>
      </c>
      <c r="AF46" s="8"/>
      <c r="AG46" s="8"/>
      <c r="AH46" s="8"/>
      <c r="AK46" s="44">
        <v>35</v>
      </c>
      <c r="AL46" s="429">
        <v>17016.53</v>
      </c>
      <c r="AM46" s="429">
        <v>23110.5</v>
      </c>
      <c r="AN46" s="429">
        <v>15125.81</v>
      </c>
      <c r="AO46" s="429">
        <v>20542.669999999998</v>
      </c>
      <c r="AP46" s="429">
        <v>15961.91</v>
      </c>
      <c r="AQ46" s="429">
        <v>21678.19</v>
      </c>
      <c r="AR46" s="429">
        <v>17016.53</v>
      </c>
      <c r="AS46" s="429">
        <v>23110.5</v>
      </c>
      <c r="AT46" s="429">
        <v>15125.81</v>
      </c>
      <c r="AU46" s="429">
        <v>20542.669999999998</v>
      </c>
      <c r="AV46" s="429">
        <v>13613.23</v>
      </c>
      <c r="AW46" s="429">
        <v>18488.400000000001</v>
      </c>
      <c r="AX46" s="429">
        <v>15125.81</v>
      </c>
      <c r="AY46" s="429">
        <v>20542.669999999998</v>
      </c>
      <c r="CC46" s="178"/>
      <c r="CD46" s="178"/>
      <c r="CE46" s="178"/>
      <c r="CF46" s="178"/>
      <c r="CG46" s="178"/>
      <c r="CH46" s="178"/>
      <c r="CI46" s="178"/>
      <c r="CJ46" s="178"/>
      <c r="CK46" s="178"/>
      <c r="CL46" s="178"/>
      <c r="CM46" s="178"/>
    </row>
    <row r="47" spans="1:91" ht="15.75" thickBot="1" x14ac:dyDescent="0.3">
      <c r="A47" s="44">
        <v>36</v>
      </c>
      <c r="B47" s="45">
        <f t="shared" si="2"/>
        <v>17430.52</v>
      </c>
      <c r="C47" s="45">
        <f t="shared" si="3"/>
        <v>23774.6</v>
      </c>
      <c r="D47" s="8"/>
      <c r="J47" s="31"/>
      <c r="O47" s="8"/>
      <c r="P47" s="12" t="s">
        <v>50</v>
      </c>
      <c r="Q47" s="8"/>
      <c r="R47" s="17"/>
      <c r="S47" s="17"/>
      <c r="T47" s="8"/>
      <c r="U47" s="8"/>
      <c r="V47" s="8"/>
      <c r="W47" s="8"/>
      <c r="X47" s="8"/>
      <c r="Y47" s="17"/>
      <c r="Z47" s="8"/>
      <c r="AA47" s="8"/>
      <c r="AB47" s="8"/>
      <c r="AC47" s="8"/>
      <c r="AD47" s="92">
        <v>500000</v>
      </c>
      <c r="AE47" s="93" t="str">
        <f t="shared" si="5"/>
        <v/>
      </c>
      <c r="AF47" s="8"/>
      <c r="AG47" s="8"/>
      <c r="AH47" s="8"/>
      <c r="AK47" s="44">
        <v>36</v>
      </c>
      <c r="AL47" s="429">
        <v>17430.52</v>
      </c>
      <c r="AM47" s="429">
        <v>23774.6</v>
      </c>
      <c r="AN47" s="429">
        <v>15493.79</v>
      </c>
      <c r="AO47" s="429">
        <v>21132.98</v>
      </c>
      <c r="AP47" s="429">
        <v>16350.24</v>
      </c>
      <c r="AQ47" s="429">
        <v>22301.13</v>
      </c>
      <c r="AR47" s="429">
        <v>17430.52</v>
      </c>
      <c r="AS47" s="429">
        <v>23774.6</v>
      </c>
      <c r="AT47" s="429">
        <v>15493.79</v>
      </c>
      <c r="AU47" s="429">
        <v>21132.98</v>
      </c>
      <c r="AV47" s="429">
        <v>13944.41</v>
      </c>
      <c r="AW47" s="429">
        <v>19019.68</v>
      </c>
      <c r="AX47" s="429">
        <v>15493.79</v>
      </c>
      <c r="AY47" s="429">
        <v>21132.98</v>
      </c>
      <c r="CC47" s="178"/>
      <c r="CD47" s="178"/>
      <c r="CE47" s="178"/>
      <c r="CF47" s="178"/>
      <c r="CG47" s="178"/>
      <c r="CH47" s="178"/>
      <c r="CI47" s="178"/>
      <c r="CJ47" s="178"/>
      <c r="CK47" s="178"/>
      <c r="CL47" s="178"/>
      <c r="CM47" s="178"/>
    </row>
    <row r="48" spans="1:91" ht="15.75" thickBot="1" x14ac:dyDescent="0.3">
      <c r="A48" s="44">
        <v>37</v>
      </c>
      <c r="B48" s="45">
        <f t="shared" si="2"/>
        <v>17859.29</v>
      </c>
      <c r="C48" s="45">
        <f t="shared" si="3"/>
        <v>24457.19</v>
      </c>
      <c r="D48" s="8"/>
      <c r="J48" s="31"/>
      <c r="O48" s="8"/>
      <c r="P48" s="580" t="s">
        <v>86</v>
      </c>
      <c r="Q48" s="581"/>
      <c r="R48" s="581"/>
      <c r="S48" s="581"/>
      <c r="U48" s="8"/>
      <c r="V48" s="8"/>
      <c r="W48" s="8"/>
      <c r="X48" s="8"/>
      <c r="Y48" s="17"/>
      <c r="Z48" s="8"/>
      <c r="AA48" s="8"/>
      <c r="AB48" s="8"/>
      <c r="AC48" s="8"/>
      <c r="AD48" s="8"/>
      <c r="AE48" s="8"/>
      <c r="AF48" s="8"/>
      <c r="AG48" s="8"/>
      <c r="AH48" s="8"/>
      <c r="AK48" s="44">
        <v>37</v>
      </c>
      <c r="AL48" s="429">
        <v>17859.29</v>
      </c>
      <c r="AM48" s="429">
        <v>24457.19</v>
      </c>
      <c r="AN48" s="429">
        <v>15874.92</v>
      </c>
      <c r="AO48" s="429">
        <v>21739.72</v>
      </c>
      <c r="AP48" s="429">
        <v>16752.43</v>
      </c>
      <c r="AQ48" s="429">
        <v>22941.41</v>
      </c>
      <c r="AR48" s="429">
        <v>17859.29</v>
      </c>
      <c r="AS48" s="429">
        <v>24457.19</v>
      </c>
      <c r="AT48" s="429">
        <v>15874.92</v>
      </c>
      <c r="AU48" s="429">
        <v>21739.72</v>
      </c>
      <c r="AV48" s="429">
        <v>14287.43</v>
      </c>
      <c r="AW48" s="429">
        <v>19565.75</v>
      </c>
      <c r="AX48" s="429">
        <v>15874.92</v>
      </c>
      <c r="AY48" s="429">
        <v>21739.72</v>
      </c>
      <c r="CC48" s="178"/>
      <c r="CD48" s="178"/>
      <c r="CE48" s="178"/>
      <c r="CF48" s="178"/>
      <c r="CG48" s="178"/>
      <c r="CH48" s="178"/>
      <c r="CI48" s="178"/>
      <c r="CJ48" s="178"/>
      <c r="CK48" s="178"/>
      <c r="CL48" s="178"/>
      <c r="CM48" s="178"/>
    </row>
    <row r="49" spans="1:51" ht="15.75" thickBot="1" x14ac:dyDescent="0.3">
      <c r="A49" s="44">
        <v>38</v>
      </c>
      <c r="B49" s="45">
        <f t="shared" si="2"/>
        <v>18292.990000000002</v>
      </c>
      <c r="C49" s="45">
        <f t="shared" si="3"/>
        <v>25161.95</v>
      </c>
      <c r="D49" s="8"/>
      <c r="J49" s="31"/>
      <c r="O49" s="8"/>
      <c r="P49" s="94" t="s">
        <v>87</v>
      </c>
      <c r="Q49" s="396" t="s">
        <v>476</v>
      </c>
      <c r="R49" s="94" t="s">
        <v>87</v>
      </c>
      <c r="S49" s="94" t="s">
        <v>64</v>
      </c>
      <c r="T49" s="8"/>
      <c r="U49" s="8"/>
      <c r="V49" s="8"/>
      <c r="W49" s="8"/>
      <c r="X49" s="8"/>
      <c r="Y49" s="17"/>
      <c r="Z49" s="8"/>
      <c r="AA49" s="8"/>
      <c r="AB49" s="14" t="s">
        <v>88</v>
      </c>
      <c r="AC49" s="14" t="s">
        <v>52</v>
      </c>
      <c r="AD49" s="14" t="s">
        <v>89</v>
      </c>
      <c r="AE49" s="95" t="s">
        <v>82</v>
      </c>
      <c r="AF49" s="8"/>
      <c r="AG49" s="8"/>
      <c r="AH49" s="8"/>
      <c r="AK49" s="44">
        <v>38</v>
      </c>
      <c r="AL49" s="429">
        <v>18292.990000000002</v>
      </c>
      <c r="AM49" s="429">
        <v>25161.95</v>
      </c>
      <c r="AN49" s="429">
        <v>16260.43</v>
      </c>
      <c r="AO49" s="429">
        <v>22366.17</v>
      </c>
      <c r="AP49" s="429">
        <v>17159.25</v>
      </c>
      <c r="AQ49" s="429">
        <v>23602.5</v>
      </c>
      <c r="AR49" s="429">
        <v>18292.990000000002</v>
      </c>
      <c r="AS49" s="429">
        <v>25161.95</v>
      </c>
      <c r="AT49" s="429">
        <v>16260.43</v>
      </c>
      <c r="AU49" s="429">
        <v>22366.17</v>
      </c>
      <c r="AV49" s="429">
        <v>14634.39</v>
      </c>
      <c r="AW49" s="429">
        <v>20129.55</v>
      </c>
      <c r="AX49" s="429">
        <v>16260.43</v>
      </c>
      <c r="AY49" s="429">
        <v>22366.17</v>
      </c>
    </row>
    <row r="50" spans="1:51" x14ac:dyDescent="0.25">
      <c r="A50" s="44">
        <v>39</v>
      </c>
      <c r="B50" s="45">
        <f t="shared" si="2"/>
        <v>18740.240000000002</v>
      </c>
      <c r="C50" s="45">
        <f t="shared" si="3"/>
        <v>25885.19</v>
      </c>
      <c r="D50" s="8"/>
      <c r="J50" s="31"/>
      <c r="O50" s="17">
        <v>1</v>
      </c>
      <c r="P50" s="96" t="s">
        <v>478</v>
      </c>
      <c r="Q50" s="97">
        <v>1.25</v>
      </c>
      <c r="R50" s="98" t="str">
        <f>P50</f>
        <v>Serie 400</v>
      </c>
      <c r="S50" s="99">
        <f>Q50</f>
        <v>1.25</v>
      </c>
      <c r="T50" s="8"/>
      <c r="U50" s="8"/>
      <c r="V50" s="100"/>
      <c r="W50" s="8"/>
      <c r="X50" s="8"/>
      <c r="Y50" s="17"/>
      <c r="Z50" s="8"/>
      <c r="AA50" s="8"/>
      <c r="AB50" s="84" t="str">
        <f>IF(AND('GOLDEN SALUD IND'!G28&gt;19,'GOLDEN SALUD IND'!G28&lt;56,'GOLDEN SALUD IND'!F28="F"),'GOLDEN SALUD IND'!G28,"")</f>
        <v/>
      </c>
      <c r="AC50" s="84" t="str">
        <f>IF(AB50="","",VLOOKUP(AB50,$Y$10:$AH$19,10,TRUE))</f>
        <v/>
      </c>
      <c r="AD50" s="85">
        <v>250000</v>
      </c>
      <c r="AE50" s="86" t="str">
        <f>IF($B$125="NO","",IF($AB$50=""," ",IF(HLOOKUP(AD50,$AB$9:$AG$19,$AC$50,FALSE)&lt;3000,AD50," ")))</f>
        <v/>
      </c>
      <c r="AF50" s="8"/>
      <c r="AG50" s="8"/>
      <c r="AH50" s="8"/>
      <c r="AK50" s="44">
        <v>39</v>
      </c>
      <c r="AL50" s="429">
        <v>18740.240000000002</v>
      </c>
      <c r="AM50" s="429">
        <v>25885.19</v>
      </c>
      <c r="AN50" s="429">
        <v>16657.990000000002</v>
      </c>
      <c r="AO50" s="429">
        <v>23009.06</v>
      </c>
      <c r="AP50" s="429">
        <v>17578.79</v>
      </c>
      <c r="AQ50" s="429">
        <v>24280.91</v>
      </c>
      <c r="AR50" s="429">
        <v>18740.240000000002</v>
      </c>
      <c r="AS50" s="429">
        <v>25885.19</v>
      </c>
      <c r="AT50" s="429">
        <v>16657.990000000002</v>
      </c>
      <c r="AU50" s="429">
        <v>23009.06</v>
      </c>
      <c r="AV50" s="429">
        <v>14992.19</v>
      </c>
      <c r="AW50" s="429">
        <v>20708.150000000001</v>
      </c>
      <c r="AX50" s="429">
        <v>16657.990000000002</v>
      </c>
      <c r="AY50" s="429">
        <v>23009.06</v>
      </c>
    </row>
    <row r="51" spans="1:51" x14ac:dyDescent="0.25">
      <c r="A51" s="44">
        <v>40</v>
      </c>
      <c r="B51" s="45">
        <f t="shared" si="2"/>
        <v>19526.32</v>
      </c>
      <c r="C51" s="45">
        <f t="shared" si="3"/>
        <v>26241.27</v>
      </c>
      <c r="D51" s="8"/>
      <c r="J51" s="31"/>
      <c r="O51" s="17">
        <v>2</v>
      </c>
      <c r="P51" s="101" t="s">
        <v>479</v>
      </c>
      <c r="Q51" s="102">
        <v>1.1000000000000001</v>
      </c>
      <c r="R51" s="103" t="str">
        <f>P51</f>
        <v>Serie 300</v>
      </c>
      <c r="S51" s="104">
        <f>Q51</f>
        <v>1.1000000000000001</v>
      </c>
      <c r="T51" s="8"/>
      <c r="U51" s="8"/>
      <c r="V51" s="100"/>
      <c r="W51" s="8"/>
      <c r="X51" s="8"/>
      <c r="Y51" s="17"/>
      <c r="Z51" s="8"/>
      <c r="AA51" s="8"/>
      <c r="AB51" s="8"/>
      <c r="AC51" s="8"/>
      <c r="AD51" s="88">
        <v>300000</v>
      </c>
      <c r="AE51" s="89" t="str">
        <f t="shared" ref="AE51:AE55" si="6">IF($B$125="NO","",IF($AB$50=""," ",IF(HLOOKUP(AD51,$AB$9:$AG$19,$AC$50,FALSE)&lt;3000,AD51," ")))</f>
        <v/>
      </c>
      <c r="AF51" s="8"/>
      <c r="AG51" s="8"/>
      <c r="AH51" s="8"/>
      <c r="AK51" s="44">
        <v>40</v>
      </c>
      <c r="AL51" s="429">
        <v>19526.32</v>
      </c>
      <c r="AM51" s="429">
        <v>26241.27</v>
      </c>
      <c r="AN51" s="429">
        <v>17356.73</v>
      </c>
      <c r="AO51" s="429">
        <v>23325.57</v>
      </c>
      <c r="AP51" s="429">
        <v>18316.150000000001</v>
      </c>
      <c r="AQ51" s="429">
        <v>24614.92</v>
      </c>
      <c r="AR51" s="429">
        <v>19526.32</v>
      </c>
      <c r="AS51" s="429">
        <v>26241.27</v>
      </c>
      <c r="AT51" s="429">
        <v>17356.73</v>
      </c>
      <c r="AU51" s="429">
        <v>23325.57</v>
      </c>
      <c r="AV51" s="429">
        <v>15621.06</v>
      </c>
      <c r="AW51" s="429">
        <v>20993.01</v>
      </c>
      <c r="AX51" s="429">
        <v>17356.73</v>
      </c>
      <c r="AY51" s="429">
        <v>23325.57</v>
      </c>
    </row>
    <row r="52" spans="1:51" x14ac:dyDescent="0.25">
      <c r="A52" s="44">
        <v>41</v>
      </c>
      <c r="B52" s="45">
        <f t="shared" si="2"/>
        <v>20343.2</v>
      </c>
      <c r="C52" s="45">
        <f t="shared" si="3"/>
        <v>26603.5</v>
      </c>
      <c r="D52" s="8"/>
      <c r="J52" s="31"/>
      <c r="O52" s="17">
        <v>3</v>
      </c>
      <c r="P52" s="101" t="s">
        <v>480</v>
      </c>
      <c r="Q52" s="102">
        <v>1</v>
      </c>
      <c r="R52" s="103" t="str">
        <f>P52</f>
        <v>Serie 200</v>
      </c>
      <c r="S52" s="104">
        <f>IF(AND(OR($B$115="Nuevo León",$B$115="Coahuila",$B$115="Durango",$B$115="Tamaulipas"),B4=1),0.835,Q52)</f>
        <v>1</v>
      </c>
      <c r="T52" s="8"/>
      <c r="U52" s="105"/>
      <c r="V52" s="100"/>
      <c r="W52" s="8"/>
      <c r="X52" s="8"/>
      <c r="Y52" s="17"/>
      <c r="Z52" s="8"/>
      <c r="AA52" s="8"/>
      <c r="AB52" s="8"/>
      <c r="AC52" s="8"/>
      <c r="AD52" s="88">
        <v>350000</v>
      </c>
      <c r="AE52" s="89" t="str">
        <f t="shared" si="6"/>
        <v/>
      </c>
      <c r="AF52" s="8"/>
      <c r="AG52" s="8"/>
      <c r="AH52" s="8"/>
      <c r="AK52" s="44">
        <v>41</v>
      </c>
      <c r="AL52" s="429">
        <v>20343.2</v>
      </c>
      <c r="AM52" s="429">
        <v>26603.5</v>
      </c>
      <c r="AN52" s="429">
        <v>18082.849999999999</v>
      </c>
      <c r="AO52" s="429">
        <v>23647.56</v>
      </c>
      <c r="AP52" s="429">
        <v>19082.400000000001</v>
      </c>
      <c r="AQ52" s="429">
        <v>24954.71</v>
      </c>
      <c r="AR52" s="429">
        <v>20343.2</v>
      </c>
      <c r="AS52" s="429">
        <v>26603.5</v>
      </c>
      <c r="AT52" s="429">
        <v>18082.849999999999</v>
      </c>
      <c r="AU52" s="429">
        <v>23647.56</v>
      </c>
      <c r="AV52" s="429">
        <v>16274.57</v>
      </c>
      <c r="AW52" s="429">
        <v>21282.799999999999</v>
      </c>
      <c r="AX52" s="429">
        <v>18082.849999999999</v>
      </c>
      <c r="AY52" s="429">
        <v>23647.56</v>
      </c>
    </row>
    <row r="53" spans="1:51" x14ac:dyDescent="0.25">
      <c r="A53" s="44">
        <v>42</v>
      </c>
      <c r="B53" s="45">
        <f t="shared" si="2"/>
        <v>21194.58</v>
      </c>
      <c r="C53" s="45">
        <f t="shared" si="3"/>
        <v>26970.67</v>
      </c>
      <c r="D53" s="8"/>
      <c r="J53" s="31"/>
      <c r="O53" s="17">
        <v>4</v>
      </c>
      <c r="P53" s="101" t="s">
        <v>481</v>
      </c>
      <c r="Q53" s="102">
        <v>0.83499999999999996</v>
      </c>
      <c r="R53" s="103" t="str">
        <f>IF(OR($B$115="Nuevo León",$B$115="Coahuila",$B$115="Durango",$B$115="Tamaulipas"),"",P53)</f>
        <v>Serie 100</v>
      </c>
      <c r="S53" s="104">
        <f>IF(AND(OR($B$115="Nuevo León",$B$115="Coahuila",$B$115="Durango",$B$115="Tamaulipas"),B4=1),0,Q53)</f>
        <v>0.83499999999999996</v>
      </c>
      <c r="T53" s="8"/>
      <c r="U53" s="8"/>
      <c r="V53" s="100"/>
      <c r="W53" s="8"/>
      <c r="X53" s="8"/>
      <c r="Y53" s="17"/>
      <c r="Z53" s="8"/>
      <c r="AA53" s="8"/>
      <c r="AB53" s="8"/>
      <c r="AC53" s="8"/>
      <c r="AD53" s="88">
        <v>400000</v>
      </c>
      <c r="AE53" s="89" t="str">
        <f t="shared" si="6"/>
        <v/>
      </c>
      <c r="AF53" s="8"/>
      <c r="AG53" s="8"/>
      <c r="AH53" s="8"/>
      <c r="AK53" s="44">
        <v>42</v>
      </c>
      <c r="AL53" s="429">
        <v>21194.58</v>
      </c>
      <c r="AM53" s="429">
        <v>26970.67</v>
      </c>
      <c r="AN53" s="429">
        <v>18839.63</v>
      </c>
      <c r="AO53" s="429">
        <v>23973.93</v>
      </c>
      <c r="AP53" s="429">
        <v>19881.02</v>
      </c>
      <c r="AQ53" s="429">
        <v>25299.119999999999</v>
      </c>
      <c r="AR53" s="429">
        <v>21194.58</v>
      </c>
      <c r="AS53" s="429">
        <v>26970.67</v>
      </c>
      <c r="AT53" s="429">
        <v>18839.63</v>
      </c>
      <c r="AU53" s="429">
        <v>23973.93</v>
      </c>
      <c r="AV53" s="429">
        <v>16955.669999999998</v>
      </c>
      <c r="AW53" s="429">
        <v>21576.54</v>
      </c>
      <c r="AX53" s="429">
        <v>18839.63</v>
      </c>
      <c r="AY53" s="429">
        <v>23973.93</v>
      </c>
    </row>
    <row r="54" spans="1:51" ht="15.75" thickBot="1" x14ac:dyDescent="0.3">
      <c r="A54" s="44">
        <v>43</v>
      </c>
      <c r="B54" s="45">
        <f t="shared" si="2"/>
        <v>22080.46</v>
      </c>
      <c r="C54" s="45">
        <f t="shared" si="3"/>
        <v>27345.23</v>
      </c>
      <c r="D54" s="8"/>
      <c r="J54" s="31"/>
      <c r="O54" s="17">
        <v>5</v>
      </c>
      <c r="P54" s="106" t="s">
        <v>415</v>
      </c>
      <c r="Q54" s="107">
        <v>0.83499999999999996</v>
      </c>
      <c r="R54" s="73" t="str">
        <f>IF(B4=2,"AA MONTERREY","")</f>
        <v>AA MONTERREY</v>
      </c>
      <c r="S54" s="107">
        <f>IF(B4=2,0.835,"")</f>
        <v>0.83499999999999996</v>
      </c>
      <c r="T54" s="8"/>
      <c r="U54" s="8"/>
      <c r="V54" s="100"/>
      <c r="W54" s="8"/>
      <c r="X54" s="8"/>
      <c r="Y54" s="17"/>
      <c r="Z54" s="8"/>
      <c r="AA54" s="8"/>
      <c r="AB54" s="8"/>
      <c r="AC54" s="8"/>
      <c r="AD54" s="88">
        <v>450000</v>
      </c>
      <c r="AE54" s="89" t="str">
        <f t="shared" si="6"/>
        <v/>
      </c>
      <c r="AF54" s="8"/>
      <c r="AG54" s="8"/>
      <c r="AH54" s="8"/>
      <c r="AK54" s="44">
        <v>43</v>
      </c>
      <c r="AL54" s="429">
        <v>22080.46</v>
      </c>
      <c r="AM54" s="429">
        <v>27345.23</v>
      </c>
      <c r="AN54" s="429">
        <v>19627.080000000002</v>
      </c>
      <c r="AO54" s="429">
        <v>24306.87</v>
      </c>
      <c r="AP54" s="429">
        <v>20711.990000000002</v>
      </c>
      <c r="AQ54" s="429">
        <v>25650.46</v>
      </c>
      <c r="AR54" s="429">
        <v>22080.46</v>
      </c>
      <c r="AS54" s="429">
        <v>27345.23</v>
      </c>
      <c r="AT54" s="429">
        <v>19627.080000000002</v>
      </c>
      <c r="AU54" s="429">
        <v>24306.87</v>
      </c>
      <c r="AV54" s="429">
        <v>17664.37</v>
      </c>
      <c r="AW54" s="429">
        <v>21876.18</v>
      </c>
      <c r="AX54" s="429">
        <v>19627.080000000002</v>
      </c>
      <c r="AY54" s="429">
        <v>24306.87</v>
      </c>
    </row>
    <row r="55" spans="1:51" ht="15.75" thickBot="1" x14ac:dyDescent="0.3">
      <c r="A55" s="44">
        <v>44</v>
      </c>
      <c r="B55" s="45">
        <f t="shared" si="2"/>
        <v>23004.54</v>
      </c>
      <c r="C55" s="45">
        <f t="shared" si="3"/>
        <v>27719.79</v>
      </c>
      <c r="D55" s="8"/>
      <c r="J55" s="31"/>
      <c r="O55" s="17"/>
      <c r="U55" s="8"/>
      <c r="V55" s="8"/>
      <c r="W55" s="100"/>
      <c r="X55" s="8"/>
      <c r="Y55" s="8"/>
      <c r="Z55" s="17"/>
      <c r="AA55" s="8"/>
      <c r="AB55" s="8"/>
      <c r="AC55" s="8"/>
      <c r="AD55" s="92">
        <v>500000</v>
      </c>
      <c r="AE55" s="93" t="str">
        <f t="shared" si="6"/>
        <v/>
      </c>
      <c r="AG55" s="8"/>
      <c r="AH55" s="8"/>
      <c r="AK55" s="44">
        <v>44</v>
      </c>
      <c r="AL55" s="431">
        <v>23004.54</v>
      </c>
      <c r="AM55" s="429">
        <v>27719.79</v>
      </c>
      <c r="AN55" s="431">
        <v>20448.48</v>
      </c>
      <c r="AO55" s="429">
        <v>24639.81</v>
      </c>
      <c r="AP55" s="431">
        <v>21578.799999999999</v>
      </c>
      <c r="AQ55" s="429">
        <v>26001.81</v>
      </c>
      <c r="AR55" s="429">
        <v>23004.54</v>
      </c>
      <c r="AS55" s="429">
        <v>27719.79</v>
      </c>
      <c r="AT55" s="429">
        <v>20448.48</v>
      </c>
      <c r="AU55" s="429">
        <v>24639.81</v>
      </c>
      <c r="AV55" s="429">
        <v>18403.63</v>
      </c>
      <c r="AW55" s="429">
        <v>22175.83</v>
      </c>
      <c r="AX55" s="429">
        <v>20448.48</v>
      </c>
      <c r="AY55" s="429">
        <v>24639.81</v>
      </c>
    </row>
    <row r="56" spans="1:51" ht="15.75" thickBot="1" x14ac:dyDescent="0.3">
      <c r="A56" s="44">
        <v>45</v>
      </c>
      <c r="B56" s="45">
        <f t="shared" si="2"/>
        <v>23916.29</v>
      </c>
      <c r="C56" s="45">
        <f t="shared" si="3"/>
        <v>28248.36</v>
      </c>
      <c r="D56" s="8"/>
      <c r="J56" s="31"/>
      <c r="O56" s="8"/>
      <c r="P56" s="8"/>
      <c r="Q56" s="8"/>
      <c r="R56" s="8"/>
      <c r="S56" s="8"/>
      <c r="T56" s="8"/>
      <c r="U56" s="8"/>
      <c r="V56" s="8"/>
      <c r="W56" s="8"/>
      <c r="X56" s="8"/>
      <c r="Y56" s="17"/>
      <c r="Z56" s="8"/>
      <c r="AA56" s="8"/>
      <c r="AB56" s="8"/>
      <c r="AC56" s="8"/>
      <c r="AD56" s="8"/>
      <c r="AE56" s="8"/>
      <c r="AF56" s="8"/>
      <c r="AG56" s="8"/>
      <c r="AH56" s="8"/>
      <c r="AK56" s="44">
        <v>45</v>
      </c>
      <c r="AL56" s="429">
        <v>23916.29</v>
      </c>
      <c r="AM56" s="429">
        <v>28248.36</v>
      </c>
      <c r="AN56" s="429">
        <v>21258.93</v>
      </c>
      <c r="AO56" s="429">
        <v>25109.65</v>
      </c>
      <c r="AP56" s="429">
        <v>22434.04</v>
      </c>
      <c r="AQ56" s="429">
        <v>26497.62</v>
      </c>
      <c r="AR56" s="429">
        <v>23916.29</v>
      </c>
      <c r="AS56" s="429">
        <v>28248.36</v>
      </c>
      <c r="AT56" s="429">
        <v>21258.93</v>
      </c>
      <c r="AU56" s="429">
        <v>25109.65</v>
      </c>
      <c r="AV56" s="429">
        <v>19133.04</v>
      </c>
      <c r="AW56" s="429">
        <v>22598.69</v>
      </c>
      <c r="AX56" s="429">
        <v>21258.93</v>
      </c>
      <c r="AY56" s="429">
        <v>25109.65</v>
      </c>
    </row>
    <row r="57" spans="1:51" ht="15.75" thickBot="1" x14ac:dyDescent="0.3">
      <c r="A57" s="44">
        <v>46</v>
      </c>
      <c r="B57" s="45">
        <f t="shared" si="2"/>
        <v>24863.78</v>
      </c>
      <c r="C57" s="45">
        <f t="shared" si="3"/>
        <v>28785.55</v>
      </c>
      <c r="D57" s="8"/>
      <c r="J57" s="31"/>
      <c r="O57" s="8"/>
      <c r="P57" s="12" t="s">
        <v>50</v>
      </c>
      <c r="Q57" s="8"/>
      <c r="R57" s="169"/>
      <c r="S57" s="8"/>
      <c r="T57" s="8"/>
      <c r="U57" s="8"/>
      <c r="V57" s="8"/>
      <c r="W57" s="8"/>
      <c r="X57" s="8"/>
      <c r="Y57" s="17"/>
      <c r="Z57" s="8"/>
      <c r="AA57" s="8"/>
      <c r="AB57" s="14" t="s">
        <v>90</v>
      </c>
      <c r="AC57" s="14" t="s">
        <v>52</v>
      </c>
      <c r="AD57" s="14" t="s">
        <v>91</v>
      </c>
      <c r="AE57" s="95" t="s">
        <v>82</v>
      </c>
      <c r="AF57" s="8"/>
      <c r="AG57" s="8"/>
      <c r="AH57" s="8"/>
      <c r="AK57" s="44">
        <v>46</v>
      </c>
      <c r="AL57" s="429">
        <v>24863.78</v>
      </c>
      <c r="AM57" s="429">
        <v>28785.55</v>
      </c>
      <c r="AN57" s="429">
        <v>22101.14</v>
      </c>
      <c r="AO57" s="429">
        <v>25587.16</v>
      </c>
      <c r="AP57" s="429">
        <v>23322.81</v>
      </c>
      <c r="AQ57" s="429">
        <v>27001.52</v>
      </c>
      <c r="AR57" s="429">
        <v>24863.78</v>
      </c>
      <c r="AS57" s="429">
        <v>28785.55</v>
      </c>
      <c r="AT57" s="429">
        <v>22101.14</v>
      </c>
      <c r="AU57" s="429">
        <v>25587.16</v>
      </c>
      <c r="AV57" s="429">
        <v>19891.03</v>
      </c>
      <c r="AW57" s="429">
        <v>23028.44</v>
      </c>
      <c r="AX57" s="429">
        <v>22101.14</v>
      </c>
      <c r="AY57" s="429">
        <v>25587.16</v>
      </c>
    </row>
    <row r="58" spans="1:51" ht="15.75" thickBot="1" x14ac:dyDescent="0.3">
      <c r="A58" s="44">
        <v>47</v>
      </c>
      <c r="B58" s="45">
        <f t="shared" si="2"/>
        <v>25851.919999999998</v>
      </c>
      <c r="C58" s="45">
        <f t="shared" si="3"/>
        <v>29332.6</v>
      </c>
      <c r="D58" s="8"/>
      <c r="J58" s="31"/>
      <c r="O58" s="8"/>
      <c r="P58" s="576" t="s">
        <v>92</v>
      </c>
      <c r="Q58" s="584"/>
      <c r="R58" s="577"/>
      <c r="S58" s="110"/>
      <c r="T58" s="8"/>
      <c r="U58" s="8"/>
      <c r="V58" s="8"/>
      <c r="W58" s="8"/>
      <c r="X58" s="8"/>
      <c r="Y58" s="17"/>
      <c r="Z58" s="8"/>
      <c r="AA58" s="8"/>
      <c r="AB58" s="84" t="str">
        <f>IF(AND('GOLDEN SALUD IND'!G29&gt;19,'GOLDEN SALUD IND'!G28&lt;56,'GOLDEN SALUD IND'!F29="F"),'GOLDEN SALUD IND'!G29,"")</f>
        <v/>
      </c>
      <c r="AC58" s="84" t="str">
        <f>IF(AB58="","",VLOOKUP(AB58,$Y$10:$AH$19,10,TRUE))</f>
        <v/>
      </c>
      <c r="AD58" s="85">
        <v>250000</v>
      </c>
      <c r="AE58" s="86" t="str">
        <f t="shared" ref="AE58:AE63" si="7">IF($B$125="NO","",IF($AB$58=""," ",IF(HLOOKUP(AD58,$AB$9:$AG$19,$AC$58,FALSE)&lt;3000,AD58," ")))</f>
        <v/>
      </c>
      <c r="AF58" s="8"/>
      <c r="AG58" s="8"/>
      <c r="AH58" s="8"/>
      <c r="AK58" s="44">
        <v>47</v>
      </c>
      <c r="AL58" s="429">
        <v>25851.919999999998</v>
      </c>
      <c r="AM58" s="429">
        <v>29332.6</v>
      </c>
      <c r="AN58" s="429">
        <v>22979.49</v>
      </c>
      <c r="AO58" s="429">
        <v>26073.43</v>
      </c>
      <c r="AP58" s="429">
        <v>24249.71</v>
      </c>
      <c r="AQ58" s="429">
        <v>27514.67</v>
      </c>
      <c r="AR58" s="429">
        <v>25851.919999999998</v>
      </c>
      <c r="AS58" s="429">
        <v>29332.6</v>
      </c>
      <c r="AT58" s="429">
        <v>22979.49</v>
      </c>
      <c r="AU58" s="429">
        <v>26073.43</v>
      </c>
      <c r="AV58" s="429">
        <v>20681.54</v>
      </c>
      <c r="AW58" s="429">
        <v>23466.09</v>
      </c>
      <c r="AX58" s="429">
        <v>22979.49</v>
      </c>
      <c r="AY58" s="429">
        <v>26073.43</v>
      </c>
    </row>
    <row r="59" spans="1:51" ht="15.75" thickBot="1" x14ac:dyDescent="0.3">
      <c r="A59" s="44">
        <v>48</v>
      </c>
      <c r="B59" s="45">
        <f t="shared" si="2"/>
        <v>26878.26</v>
      </c>
      <c r="C59" s="45">
        <f t="shared" si="3"/>
        <v>29889.51</v>
      </c>
      <c r="D59" s="8"/>
      <c r="J59" s="31"/>
      <c r="O59" s="8"/>
      <c r="P59" s="16" t="s">
        <v>189</v>
      </c>
      <c r="Q59" s="16" t="s">
        <v>64</v>
      </c>
      <c r="R59" s="16" t="s">
        <v>189</v>
      </c>
      <c r="S59" s="16" t="s">
        <v>64</v>
      </c>
      <c r="T59" s="8"/>
      <c r="U59" s="8"/>
      <c r="V59" s="8"/>
      <c r="W59" s="8"/>
      <c r="X59" s="8"/>
      <c r="Y59" s="17"/>
      <c r="Z59" s="8"/>
      <c r="AA59" s="8"/>
      <c r="AB59" s="8"/>
      <c r="AC59" s="8"/>
      <c r="AD59" s="88">
        <v>300000</v>
      </c>
      <c r="AE59" s="89" t="str">
        <f t="shared" si="7"/>
        <v/>
      </c>
      <c r="AF59" s="8"/>
      <c r="AG59" s="8"/>
      <c r="AH59" s="8"/>
      <c r="AK59" s="44">
        <v>48</v>
      </c>
      <c r="AL59" s="429">
        <v>26878.26</v>
      </c>
      <c r="AM59" s="429">
        <v>29889.51</v>
      </c>
      <c r="AN59" s="429">
        <v>23891.79</v>
      </c>
      <c r="AO59" s="429">
        <v>26568.46</v>
      </c>
      <c r="AP59" s="429">
        <v>25212.44</v>
      </c>
      <c r="AQ59" s="429">
        <v>28037.06</v>
      </c>
      <c r="AR59" s="429">
        <v>26878.26</v>
      </c>
      <c r="AS59" s="429">
        <v>29889.51</v>
      </c>
      <c r="AT59" s="429">
        <v>23891.79</v>
      </c>
      <c r="AU59" s="429">
        <v>26568.46</v>
      </c>
      <c r="AV59" s="429">
        <v>21502.61</v>
      </c>
      <c r="AW59" s="429">
        <v>23911.61</v>
      </c>
      <c r="AX59" s="429">
        <v>23891.79</v>
      </c>
      <c r="AY59" s="429">
        <v>26568.46</v>
      </c>
    </row>
    <row r="60" spans="1:51" x14ac:dyDescent="0.25">
      <c r="A60" s="44">
        <v>49</v>
      </c>
      <c r="B60" s="45">
        <f t="shared" si="2"/>
        <v>27944.03</v>
      </c>
      <c r="C60" s="45">
        <f t="shared" si="3"/>
        <v>30457.51</v>
      </c>
      <c r="D60" s="8"/>
      <c r="J60" s="31"/>
      <c r="P60" s="69">
        <v>15</v>
      </c>
      <c r="Q60" s="29">
        <v>0.85709999999999997</v>
      </c>
      <c r="R60" s="113"/>
      <c r="S60" s="114">
        <f>IF(ISERROR(VLOOKUP(R60,$P$60:$Q$71,2,FALSE))=TRUE,0,VLOOKUP(R60,$P$60:$Q$71,2,FALSE))</f>
        <v>0</v>
      </c>
      <c r="T60" s="8"/>
      <c r="W60" s="8"/>
      <c r="X60" s="8"/>
      <c r="Y60" s="17"/>
      <c r="Z60" s="8"/>
      <c r="AA60" s="8"/>
      <c r="AB60" s="8"/>
      <c r="AC60" s="8"/>
      <c r="AD60" s="88">
        <v>350000</v>
      </c>
      <c r="AE60" s="89" t="str">
        <f t="shared" si="7"/>
        <v/>
      </c>
      <c r="AF60" s="8"/>
      <c r="AG60" s="8"/>
      <c r="AH60" s="8"/>
      <c r="AK60" s="44">
        <v>49</v>
      </c>
      <c r="AL60" s="429">
        <v>27944.03</v>
      </c>
      <c r="AM60" s="429">
        <v>30457.51</v>
      </c>
      <c r="AN60" s="429">
        <v>24839.14</v>
      </c>
      <c r="AO60" s="429">
        <v>27073.34</v>
      </c>
      <c r="AP60" s="429">
        <v>26212.15</v>
      </c>
      <c r="AQ60" s="429">
        <v>28569.86</v>
      </c>
      <c r="AR60" s="429">
        <v>27944.03</v>
      </c>
      <c r="AS60" s="429">
        <v>30457.51</v>
      </c>
      <c r="AT60" s="429">
        <v>24839.14</v>
      </c>
      <c r="AU60" s="429">
        <v>27073.34</v>
      </c>
      <c r="AV60" s="429">
        <v>22355.23</v>
      </c>
      <c r="AW60" s="429">
        <v>24366.01</v>
      </c>
      <c r="AX60" s="429">
        <v>24839.14</v>
      </c>
      <c r="AY60" s="429">
        <v>27073.34</v>
      </c>
    </row>
    <row r="61" spans="1:51" x14ac:dyDescent="0.25">
      <c r="A61" s="44">
        <v>50</v>
      </c>
      <c r="B61" s="45">
        <f t="shared" si="2"/>
        <v>29098.51</v>
      </c>
      <c r="C61" s="45">
        <f t="shared" si="3"/>
        <v>31312.59</v>
      </c>
      <c r="D61" s="8"/>
      <c r="J61" s="31"/>
      <c r="P61" s="71">
        <v>18</v>
      </c>
      <c r="Q61" s="33">
        <v>0.9</v>
      </c>
      <c r="R61" s="115"/>
      <c r="S61" s="34">
        <f t="shared" ref="S61:S71" si="8">IF(ISERROR(VLOOKUP(R61,$P$60:$Q$71,2,FALSE))=TRUE,0,VLOOKUP(R61,$P$60:$Q$71,2,FALSE))</f>
        <v>0</v>
      </c>
      <c r="T61" s="8"/>
      <c r="W61" s="8"/>
      <c r="X61" s="8"/>
      <c r="Y61" s="17"/>
      <c r="Z61" s="8"/>
      <c r="AA61" s="8"/>
      <c r="AB61" s="8"/>
      <c r="AC61" s="8"/>
      <c r="AD61" s="88">
        <v>400000</v>
      </c>
      <c r="AE61" s="89" t="str">
        <f t="shared" si="7"/>
        <v/>
      </c>
      <c r="AF61" s="8"/>
      <c r="AG61" s="8"/>
      <c r="AH61" s="8"/>
      <c r="AK61" s="44">
        <v>50</v>
      </c>
      <c r="AL61" s="429">
        <v>29098.51</v>
      </c>
      <c r="AM61" s="429">
        <v>31312.59</v>
      </c>
      <c r="AN61" s="429">
        <v>25865.34</v>
      </c>
      <c r="AO61" s="429">
        <v>27833.41</v>
      </c>
      <c r="AP61" s="429">
        <v>27295.08</v>
      </c>
      <c r="AQ61" s="429">
        <v>29371.94</v>
      </c>
      <c r="AR61" s="429">
        <v>29098.51</v>
      </c>
      <c r="AS61" s="429">
        <v>31312.59</v>
      </c>
      <c r="AT61" s="429">
        <v>25865.34</v>
      </c>
      <c r="AU61" s="429">
        <v>27833.41</v>
      </c>
      <c r="AV61" s="429">
        <v>23278.81</v>
      </c>
      <c r="AW61" s="429">
        <v>25050.07</v>
      </c>
      <c r="AX61" s="429">
        <v>25865.34</v>
      </c>
      <c r="AY61" s="429">
        <v>27833.41</v>
      </c>
    </row>
    <row r="62" spans="1:51" x14ac:dyDescent="0.25">
      <c r="A62" s="44">
        <v>51</v>
      </c>
      <c r="B62" s="45">
        <f t="shared" si="2"/>
        <v>30301.040000000001</v>
      </c>
      <c r="C62" s="45">
        <f t="shared" si="3"/>
        <v>32191.08</v>
      </c>
      <c r="D62" s="8"/>
      <c r="J62" s="31"/>
      <c r="P62" s="71">
        <v>21</v>
      </c>
      <c r="Q62" s="33">
        <v>1</v>
      </c>
      <c r="R62" s="115">
        <f>IF(OR($B$119="Serie 400",$B$119="Serie 300"),"",21)</f>
        <v>21</v>
      </c>
      <c r="S62" s="34">
        <f t="shared" si="8"/>
        <v>1</v>
      </c>
      <c r="T62" s="8"/>
      <c r="W62" s="8"/>
      <c r="X62" s="8"/>
      <c r="Y62" s="17"/>
      <c r="Z62" s="8"/>
      <c r="AA62" s="8"/>
      <c r="AB62" s="8"/>
      <c r="AC62" s="8"/>
      <c r="AD62" s="88">
        <v>450000</v>
      </c>
      <c r="AE62" s="89" t="str">
        <f t="shared" si="7"/>
        <v/>
      </c>
      <c r="AF62" s="8"/>
      <c r="AG62" s="8"/>
      <c r="AH62" s="8"/>
      <c r="AK62" s="44">
        <v>51</v>
      </c>
      <c r="AL62" s="429">
        <v>30301.040000000001</v>
      </c>
      <c r="AM62" s="429">
        <v>32191.08</v>
      </c>
      <c r="AN62" s="429">
        <v>26934.25</v>
      </c>
      <c r="AO62" s="429">
        <v>28614.29</v>
      </c>
      <c r="AP62" s="429">
        <v>28423.08</v>
      </c>
      <c r="AQ62" s="429">
        <v>30195.98</v>
      </c>
      <c r="AR62" s="429">
        <v>30301.040000000001</v>
      </c>
      <c r="AS62" s="429">
        <v>32191.08</v>
      </c>
      <c r="AT62" s="429">
        <v>26934.25</v>
      </c>
      <c r="AU62" s="429">
        <v>28614.29</v>
      </c>
      <c r="AV62" s="429">
        <v>24240.83</v>
      </c>
      <c r="AW62" s="429">
        <v>25752.86</v>
      </c>
      <c r="AX62" s="429">
        <v>26934.25</v>
      </c>
      <c r="AY62" s="429">
        <v>28614.29</v>
      </c>
    </row>
    <row r="63" spans="1:51" ht="15.75" thickBot="1" x14ac:dyDescent="0.3">
      <c r="A63" s="44">
        <v>52</v>
      </c>
      <c r="B63" s="45">
        <f t="shared" si="2"/>
        <v>31554.080000000002</v>
      </c>
      <c r="C63" s="45">
        <f t="shared" si="3"/>
        <v>33092.97</v>
      </c>
      <c r="D63" s="8"/>
      <c r="J63" s="31"/>
      <c r="P63" s="71">
        <v>24</v>
      </c>
      <c r="Q63" s="33">
        <v>1.0549999999999999</v>
      </c>
      <c r="R63" s="115">
        <f>IF($B$119="Serie 400","",24)</f>
        <v>24</v>
      </c>
      <c r="S63" s="34">
        <f t="shared" si="8"/>
        <v>1.0549999999999999</v>
      </c>
      <c r="T63" s="8"/>
      <c r="W63" s="8"/>
      <c r="X63" s="8"/>
      <c r="Y63" s="17"/>
      <c r="Z63" s="8"/>
      <c r="AA63" s="8"/>
      <c r="AB63" s="8"/>
      <c r="AC63" s="8"/>
      <c r="AD63" s="92">
        <v>500000</v>
      </c>
      <c r="AE63" s="93" t="str">
        <f t="shared" si="7"/>
        <v/>
      </c>
      <c r="AF63" s="8"/>
      <c r="AG63" s="8"/>
      <c r="AH63" s="8"/>
      <c r="AK63" s="44">
        <v>52</v>
      </c>
      <c r="AL63" s="429">
        <v>31554.080000000002</v>
      </c>
      <c r="AM63" s="429">
        <v>33092.97</v>
      </c>
      <c r="AN63" s="429">
        <v>28048.07</v>
      </c>
      <c r="AO63" s="429">
        <v>29415.98</v>
      </c>
      <c r="AP63" s="429">
        <v>29598.47</v>
      </c>
      <c r="AQ63" s="429">
        <v>31041.99</v>
      </c>
      <c r="AR63" s="429">
        <v>31554.080000000002</v>
      </c>
      <c r="AS63" s="429">
        <v>33092.97</v>
      </c>
      <c r="AT63" s="429">
        <v>28048.07</v>
      </c>
      <c r="AU63" s="429">
        <v>29415.98</v>
      </c>
      <c r="AV63" s="429">
        <v>25243.26</v>
      </c>
      <c r="AW63" s="429">
        <v>26474.38</v>
      </c>
      <c r="AX63" s="429">
        <v>28048.07</v>
      </c>
      <c r="AY63" s="429">
        <v>29415.98</v>
      </c>
    </row>
    <row r="64" spans="1:51" ht="15.75" thickBot="1" x14ac:dyDescent="0.3">
      <c r="A64" s="44">
        <v>53</v>
      </c>
      <c r="B64" s="45">
        <f t="shared" si="2"/>
        <v>32861.339999999997</v>
      </c>
      <c r="C64" s="45">
        <f t="shared" si="3"/>
        <v>34020.75</v>
      </c>
      <c r="D64" s="8"/>
      <c r="J64" s="31"/>
      <c r="P64" s="71">
        <v>27</v>
      </c>
      <c r="Q64" s="33">
        <v>1.1175999999999999</v>
      </c>
      <c r="R64" s="115">
        <v>27</v>
      </c>
      <c r="S64" s="34">
        <f t="shared" si="8"/>
        <v>1.1175999999999999</v>
      </c>
      <c r="T64" s="8"/>
      <c r="W64" s="8"/>
      <c r="X64" s="8"/>
      <c r="Y64" s="17"/>
      <c r="Z64" s="8"/>
      <c r="AA64" s="8"/>
      <c r="AB64" s="8"/>
      <c r="AC64" s="8"/>
      <c r="AD64" s="8"/>
      <c r="AE64" s="8"/>
      <c r="AF64" s="8"/>
      <c r="AG64" s="8"/>
      <c r="AH64" s="8"/>
      <c r="AK64" s="44">
        <v>53</v>
      </c>
      <c r="AL64" s="429">
        <v>32861.339999999997</v>
      </c>
      <c r="AM64" s="429">
        <v>34020.75</v>
      </c>
      <c r="AN64" s="429">
        <v>29210.080000000002</v>
      </c>
      <c r="AO64" s="429">
        <v>30240.66</v>
      </c>
      <c r="AP64" s="429">
        <v>30824.71</v>
      </c>
      <c r="AQ64" s="429">
        <v>31912.26</v>
      </c>
      <c r="AR64" s="429">
        <v>32861.339999999997</v>
      </c>
      <c r="AS64" s="429">
        <v>34020.75</v>
      </c>
      <c r="AT64" s="429">
        <v>29210.080000000002</v>
      </c>
      <c r="AU64" s="429">
        <v>30240.66</v>
      </c>
      <c r="AV64" s="429">
        <v>26289.07</v>
      </c>
      <c r="AW64" s="429">
        <v>27216.59</v>
      </c>
      <c r="AX64" s="429">
        <v>29210.080000000002</v>
      </c>
      <c r="AY64" s="429">
        <v>30240.66</v>
      </c>
    </row>
    <row r="65" spans="1:51" ht="15.75" thickBot="1" x14ac:dyDescent="0.3">
      <c r="A65" s="44">
        <v>54</v>
      </c>
      <c r="B65" s="45">
        <f t="shared" si="2"/>
        <v>34219.11</v>
      </c>
      <c r="C65" s="45">
        <f t="shared" si="3"/>
        <v>34979.32</v>
      </c>
      <c r="D65" s="8"/>
      <c r="J65" s="31"/>
      <c r="P65" s="71">
        <v>30</v>
      </c>
      <c r="Q65" s="33">
        <v>1.1648000000000001</v>
      </c>
      <c r="R65" s="115">
        <v>30</v>
      </c>
      <c r="S65" s="34">
        <f t="shared" si="8"/>
        <v>1.1648000000000001</v>
      </c>
      <c r="T65" s="8"/>
      <c r="W65" s="8"/>
      <c r="X65" s="8"/>
      <c r="Y65" s="17"/>
      <c r="Z65" s="8"/>
      <c r="AA65" s="8"/>
      <c r="AB65" s="14" t="s">
        <v>98</v>
      </c>
      <c r="AC65" s="14" t="s">
        <v>52</v>
      </c>
      <c r="AD65" s="14" t="s">
        <v>99</v>
      </c>
      <c r="AE65" s="95" t="s">
        <v>82</v>
      </c>
      <c r="AF65" s="8"/>
      <c r="AG65" s="8"/>
      <c r="AH65" s="8"/>
      <c r="AK65" s="44">
        <v>54</v>
      </c>
      <c r="AL65" s="429">
        <v>34219.11</v>
      </c>
      <c r="AM65" s="429">
        <v>34979.32</v>
      </c>
      <c r="AN65" s="429">
        <v>30416.99</v>
      </c>
      <c r="AO65" s="429">
        <v>31092.73</v>
      </c>
      <c r="AP65" s="429">
        <v>32098.33</v>
      </c>
      <c r="AQ65" s="429">
        <v>32811.42</v>
      </c>
      <c r="AR65" s="429">
        <v>34219.11</v>
      </c>
      <c r="AS65" s="429">
        <v>34979.32</v>
      </c>
      <c r="AT65" s="429">
        <v>30416.99</v>
      </c>
      <c r="AU65" s="429">
        <v>31092.73</v>
      </c>
      <c r="AV65" s="429">
        <v>27375.29</v>
      </c>
      <c r="AW65" s="429">
        <v>27983.46</v>
      </c>
      <c r="AX65" s="429">
        <v>30416.99</v>
      </c>
      <c r="AY65" s="429">
        <v>31092.73</v>
      </c>
    </row>
    <row r="66" spans="1:51" x14ac:dyDescent="0.25">
      <c r="A66" s="44">
        <v>55</v>
      </c>
      <c r="B66" s="45">
        <f t="shared" si="2"/>
        <v>35881.22</v>
      </c>
      <c r="C66" s="45">
        <f t="shared" si="3"/>
        <v>36158.44</v>
      </c>
      <c r="D66" s="8"/>
      <c r="J66" s="31"/>
      <c r="P66" s="71">
        <v>33</v>
      </c>
      <c r="Q66" s="33">
        <v>1.2088000000000001</v>
      </c>
      <c r="R66" s="115">
        <v>33</v>
      </c>
      <c r="S66" s="34">
        <f t="shared" si="8"/>
        <v>1.2088000000000001</v>
      </c>
      <c r="T66" s="8"/>
      <c r="W66" s="8"/>
      <c r="X66" s="8"/>
      <c r="Y66" s="17"/>
      <c r="Z66" s="8"/>
      <c r="AA66" s="8"/>
      <c r="AB66" s="84" t="str">
        <f>IF(AND('GOLDEN SALUD IND'!G30&gt;19,'GOLDEN SALUD IND'!G30&lt;56,'GOLDEN SALUD IND'!F30="F"),'GOLDEN SALUD IND'!G30,"")</f>
        <v/>
      </c>
      <c r="AC66" s="84" t="str">
        <f>IF(AB66="","",VLOOKUP(AB66,$Y$10:$AH$19,10,TRUE))</f>
        <v/>
      </c>
      <c r="AD66" s="85">
        <v>250000</v>
      </c>
      <c r="AE66" s="86" t="str">
        <f t="shared" ref="AE66:AE71" si="9">IF($B$125="NO","",IF($AB$66=""," ",IF(HLOOKUP(AD66,$AB$9:$AG$19,$AC$66,FALSE)&lt;3000,AD66," ")))</f>
        <v/>
      </c>
      <c r="AF66" s="8"/>
      <c r="AG66" s="8"/>
      <c r="AH66" s="8"/>
      <c r="AK66" s="44">
        <v>55</v>
      </c>
      <c r="AL66" s="429">
        <v>35881.22</v>
      </c>
      <c r="AM66" s="429">
        <v>36158.44</v>
      </c>
      <c r="AN66" s="429">
        <v>31894.41</v>
      </c>
      <c r="AO66" s="429">
        <v>32140.83</v>
      </c>
      <c r="AP66" s="429">
        <v>33657.42</v>
      </c>
      <c r="AQ66" s="429">
        <v>33917.46</v>
      </c>
      <c r="AR66" s="429">
        <v>35881.22</v>
      </c>
      <c r="AS66" s="429">
        <v>36158.44</v>
      </c>
      <c r="AT66" s="429">
        <v>31894.41</v>
      </c>
      <c r="AU66" s="429">
        <v>32140.83</v>
      </c>
      <c r="AV66" s="429">
        <v>28704.97</v>
      </c>
      <c r="AW66" s="429">
        <v>28926.75</v>
      </c>
      <c r="AX66" s="429">
        <v>31894.41</v>
      </c>
      <c r="AY66" s="429">
        <v>32140.83</v>
      </c>
    </row>
    <row r="67" spans="1:51" x14ac:dyDescent="0.25">
      <c r="A67" s="44">
        <v>56</v>
      </c>
      <c r="B67" s="45">
        <f t="shared" si="2"/>
        <v>37623.410000000003</v>
      </c>
      <c r="C67" s="45">
        <f t="shared" si="3"/>
        <v>37376.99</v>
      </c>
      <c r="D67" s="8"/>
      <c r="J67" s="31"/>
      <c r="P67" s="71">
        <v>36</v>
      </c>
      <c r="Q67" s="33">
        <v>1.3319000000000001</v>
      </c>
      <c r="R67" s="115">
        <v>36</v>
      </c>
      <c r="S67" s="34">
        <f t="shared" si="8"/>
        <v>1.3319000000000001</v>
      </c>
      <c r="T67" s="8"/>
      <c r="W67" s="8"/>
      <c r="X67" s="8"/>
      <c r="Y67" s="17"/>
      <c r="Z67" s="8"/>
      <c r="AA67" s="8"/>
      <c r="AB67" s="8"/>
      <c r="AC67" s="8"/>
      <c r="AD67" s="88">
        <v>300000</v>
      </c>
      <c r="AE67" s="89" t="str">
        <f t="shared" si="9"/>
        <v/>
      </c>
      <c r="AF67" s="8"/>
      <c r="AG67" s="8"/>
      <c r="AH67" s="8"/>
      <c r="AK67" s="44">
        <v>56</v>
      </c>
      <c r="AL67" s="429">
        <v>37623.410000000003</v>
      </c>
      <c r="AM67" s="429">
        <v>37376.99</v>
      </c>
      <c r="AN67" s="429">
        <v>33443.03</v>
      </c>
      <c r="AO67" s="429">
        <v>33223.99</v>
      </c>
      <c r="AP67" s="429">
        <v>35291.64</v>
      </c>
      <c r="AQ67" s="429">
        <v>35060.49</v>
      </c>
      <c r="AR67" s="429">
        <v>37623.410000000003</v>
      </c>
      <c r="AS67" s="429">
        <v>37376.99</v>
      </c>
      <c r="AT67" s="429">
        <v>33443.03</v>
      </c>
      <c r="AU67" s="429">
        <v>33223.99</v>
      </c>
      <c r="AV67" s="429">
        <v>30098.73</v>
      </c>
      <c r="AW67" s="429">
        <v>29901.59</v>
      </c>
      <c r="AX67" s="429">
        <v>33443.03</v>
      </c>
      <c r="AY67" s="429">
        <v>33223.99</v>
      </c>
    </row>
    <row r="68" spans="1:51" x14ac:dyDescent="0.25">
      <c r="A68" s="44">
        <v>57</v>
      </c>
      <c r="B68" s="45">
        <f t="shared" si="2"/>
        <v>39449.379999999997</v>
      </c>
      <c r="C68" s="45">
        <f t="shared" si="3"/>
        <v>38638.660000000003</v>
      </c>
      <c r="D68" s="8"/>
      <c r="J68" s="31"/>
      <c r="P68" s="71">
        <v>40</v>
      </c>
      <c r="Q68" s="33">
        <v>1.3919999999999999</v>
      </c>
      <c r="R68" s="115">
        <v>40</v>
      </c>
      <c r="S68" s="34">
        <f t="shared" si="8"/>
        <v>1.3919999999999999</v>
      </c>
      <c r="T68" s="8"/>
      <c r="W68" s="8"/>
      <c r="X68" s="8"/>
      <c r="Y68" s="17"/>
      <c r="Z68" s="8"/>
      <c r="AA68" s="8"/>
      <c r="AB68" s="8"/>
      <c r="AC68" s="8"/>
      <c r="AD68" s="88">
        <v>350000</v>
      </c>
      <c r="AE68" s="89" t="str">
        <f t="shared" si="9"/>
        <v/>
      </c>
      <c r="AF68" s="8"/>
      <c r="AG68" s="8"/>
      <c r="AH68" s="8"/>
      <c r="AK68" s="44">
        <v>57</v>
      </c>
      <c r="AL68" s="429">
        <v>39449.379999999997</v>
      </c>
      <c r="AM68" s="429">
        <v>38638.660000000003</v>
      </c>
      <c r="AN68" s="429">
        <v>35066.11</v>
      </c>
      <c r="AO68" s="429">
        <v>34345.47</v>
      </c>
      <c r="AP68" s="429">
        <v>37004.44</v>
      </c>
      <c r="AQ68" s="429">
        <v>36243.97</v>
      </c>
      <c r="AR68" s="429">
        <v>39449.379999999997</v>
      </c>
      <c r="AS68" s="429">
        <v>38638.660000000003</v>
      </c>
      <c r="AT68" s="429">
        <v>35066.11</v>
      </c>
      <c r="AU68" s="429">
        <v>34345.47</v>
      </c>
      <c r="AV68" s="429">
        <v>31559.5</v>
      </c>
      <c r="AW68" s="429">
        <v>30910.92</v>
      </c>
      <c r="AX68" s="429">
        <v>35066.11</v>
      </c>
      <c r="AY68" s="429">
        <v>34345.47</v>
      </c>
    </row>
    <row r="69" spans="1:51" x14ac:dyDescent="0.25">
      <c r="A69" s="44">
        <v>58</v>
      </c>
      <c r="B69" s="45">
        <f t="shared" si="2"/>
        <v>41365.29</v>
      </c>
      <c r="C69" s="45">
        <f t="shared" si="3"/>
        <v>39940.99</v>
      </c>
      <c r="D69" s="8"/>
      <c r="J69" s="31"/>
      <c r="P69" s="71">
        <v>50</v>
      </c>
      <c r="Q69" s="33">
        <v>1.4652000000000001</v>
      </c>
      <c r="R69" s="115">
        <v>50</v>
      </c>
      <c r="S69" s="34">
        <f t="shared" si="8"/>
        <v>1.4652000000000001</v>
      </c>
      <c r="T69" s="8"/>
      <c r="W69" s="8"/>
      <c r="X69" s="8"/>
      <c r="Y69" s="17"/>
      <c r="Z69" s="8"/>
      <c r="AA69" s="8"/>
      <c r="AB69" s="8"/>
      <c r="AC69" s="8"/>
      <c r="AD69" s="88">
        <v>400000</v>
      </c>
      <c r="AE69" s="89" t="str">
        <f t="shared" si="9"/>
        <v/>
      </c>
      <c r="AF69" s="8"/>
      <c r="AG69" s="8"/>
      <c r="AH69" s="8"/>
      <c r="AK69" s="44">
        <v>58</v>
      </c>
      <c r="AL69" s="429">
        <v>41365.29</v>
      </c>
      <c r="AM69" s="429">
        <v>39940.99</v>
      </c>
      <c r="AN69" s="429">
        <v>36769.15</v>
      </c>
      <c r="AO69" s="429">
        <v>35503.1</v>
      </c>
      <c r="AP69" s="429">
        <v>38801.620000000003</v>
      </c>
      <c r="AQ69" s="429">
        <v>37465.58</v>
      </c>
      <c r="AR69" s="429">
        <v>41365.29</v>
      </c>
      <c r="AS69" s="429">
        <v>39940.99</v>
      </c>
      <c r="AT69" s="429">
        <v>36769.15</v>
      </c>
      <c r="AU69" s="429">
        <v>35503.1</v>
      </c>
      <c r="AV69" s="429">
        <v>33092.239999999998</v>
      </c>
      <c r="AW69" s="429">
        <v>31952.79</v>
      </c>
      <c r="AX69" s="429">
        <v>36769.15</v>
      </c>
      <c r="AY69" s="429">
        <v>35503.1</v>
      </c>
    </row>
    <row r="70" spans="1:51" x14ac:dyDescent="0.25">
      <c r="A70" s="44">
        <v>59</v>
      </c>
      <c r="B70" s="45">
        <f t="shared" si="2"/>
        <v>43376.08</v>
      </c>
      <c r="C70" s="45">
        <f t="shared" si="3"/>
        <v>41290.14</v>
      </c>
      <c r="D70" s="8"/>
      <c r="J70" s="31"/>
      <c r="P70" s="71">
        <v>60</v>
      </c>
      <c r="Q70" s="33">
        <v>1.6484000000000001</v>
      </c>
      <c r="R70" s="115">
        <v>60</v>
      </c>
      <c r="S70" s="34">
        <f t="shared" si="8"/>
        <v>1.6484000000000001</v>
      </c>
      <c r="T70" s="8"/>
      <c r="W70" s="8"/>
      <c r="X70" s="8"/>
      <c r="Y70" s="17"/>
      <c r="Z70" s="8"/>
      <c r="AA70" s="8"/>
      <c r="AB70" s="8"/>
      <c r="AC70" s="8"/>
      <c r="AD70" s="88">
        <v>450000</v>
      </c>
      <c r="AE70" s="89" t="str">
        <f t="shared" si="9"/>
        <v/>
      </c>
      <c r="AF70" s="8"/>
      <c r="AG70" s="8"/>
      <c r="AH70" s="8"/>
      <c r="AK70" s="44">
        <v>59</v>
      </c>
      <c r="AL70" s="429">
        <v>43376.08</v>
      </c>
      <c r="AM70" s="429">
        <v>41290.14</v>
      </c>
      <c r="AN70" s="429">
        <v>38556.519999999997</v>
      </c>
      <c r="AO70" s="429">
        <v>36702.339999999997</v>
      </c>
      <c r="AP70" s="429">
        <v>40687.78</v>
      </c>
      <c r="AQ70" s="429">
        <v>38731.120000000003</v>
      </c>
      <c r="AR70" s="429">
        <v>43376.08</v>
      </c>
      <c r="AS70" s="429">
        <v>41290.14</v>
      </c>
      <c r="AT70" s="429">
        <v>38556.519999999997</v>
      </c>
      <c r="AU70" s="429">
        <v>36702.339999999997</v>
      </c>
      <c r="AV70" s="429">
        <v>34700.870000000003</v>
      </c>
      <c r="AW70" s="429">
        <v>33032.11</v>
      </c>
      <c r="AX70" s="429">
        <v>38556.519999999997</v>
      </c>
      <c r="AY70" s="429">
        <v>36702.339999999997</v>
      </c>
    </row>
    <row r="71" spans="1:51" ht="15.75" thickBot="1" x14ac:dyDescent="0.3">
      <c r="A71" s="44">
        <v>60</v>
      </c>
      <c r="B71" s="45">
        <f t="shared" si="2"/>
        <v>44722.77</v>
      </c>
      <c r="C71" s="45">
        <f t="shared" si="3"/>
        <v>42560.43</v>
      </c>
      <c r="D71" s="8"/>
      <c r="J71" s="31"/>
      <c r="P71" s="73" t="s">
        <v>100</v>
      </c>
      <c r="Q71" s="66">
        <v>1.4286000000000001</v>
      </c>
      <c r="R71" s="120" t="s">
        <v>100</v>
      </c>
      <c r="S71" s="109">
        <f t="shared" si="8"/>
        <v>1.4286000000000001</v>
      </c>
      <c r="T71" s="8"/>
      <c r="W71" s="8"/>
      <c r="X71" s="8"/>
      <c r="Y71" s="17"/>
      <c r="Z71" s="8"/>
      <c r="AA71" s="8"/>
      <c r="AB71" s="8"/>
      <c r="AC71" s="8"/>
      <c r="AD71" s="92">
        <v>500000</v>
      </c>
      <c r="AE71" s="93" t="str">
        <f t="shared" si="9"/>
        <v/>
      </c>
      <c r="AF71" s="8"/>
      <c r="AG71" s="8"/>
      <c r="AH71" s="8"/>
      <c r="AK71" s="44">
        <v>60</v>
      </c>
      <c r="AL71" s="429">
        <v>44722.77</v>
      </c>
      <c r="AM71" s="429">
        <v>42560.43</v>
      </c>
      <c r="AN71" s="429">
        <v>39753.57</v>
      </c>
      <c r="AO71" s="429">
        <v>37831.49</v>
      </c>
      <c r="AP71" s="429">
        <v>41951</v>
      </c>
      <c r="AQ71" s="429">
        <v>39922.68</v>
      </c>
      <c r="AR71" s="429">
        <v>44722.77</v>
      </c>
      <c r="AS71" s="429">
        <v>42560.43</v>
      </c>
      <c r="AT71" s="429">
        <v>39753.57</v>
      </c>
      <c r="AU71" s="429">
        <v>37831.49</v>
      </c>
      <c r="AV71" s="429">
        <v>35778.21</v>
      </c>
      <c r="AW71" s="429">
        <v>34048.339999999997</v>
      </c>
      <c r="AX71" s="429">
        <v>39753.57</v>
      </c>
      <c r="AY71" s="429">
        <v>37831.49</v>
      </c>
    </row>
    <row r="72" spans="1:51" ht="15.75" thickBot="1" x14ac:dyDescent="0.3">
      <c r="A72" s="44">
        <v>61</v>
      </c>
      <c r="B72" s="45">
        <f t="shared" si="2"/>
        <v>46117.5</v>
      </c>
      <c r="C72" s="45">
        <f t="shared" si="3"/>
        <v>43870.15</v>
      </c>
      <c r="D72" s="8"/>
      <c r="J72" s="31"/>
      <c r="O72" s="8"/>
      <c r="P72" s="8"/>
      <c r="Q72" s="8"/>
      <c r="R72" s="17"/>
      <c r="S72" s="17"/>
      <c r="T72" s="8"/>
      <c r="V72" s="8"/>
      <c r="W72" s="8"/>
      <c r="X72" s="8"/>
      <c r="Y72" s="17"/>
      <c r="Z72" s="8"/>
      <c r="AA72" s="8"/>
      <c r="AB72" s="8"/>
      <c r="AC72" s="8"/>
      <c r="AD72" s="8"/>
      <c r="AE72" s="8"/>
      <c r="AF72" s="8"/>
      <c r="AG72" s="8"/>
      <c r="AH72" s="8"/>
      <c r="AK72" s="44">
        <v>61</v>
      </c>
      <c r="AL72" s="429">
        <v>46117.5</v>
      </c>
      <c r="AM72" s="429">
        <v>43870.15</v>
      </c>
      <c r="AN72" s="429">
        <v>40993.339999999997</v>
      </c>
      <c r="AO72" s="429">
        <v>38995.69</v>
      </c>
      <c r="AP72" s="429">
        <v>43259.3</v>
      </c>
      <c r="AQ72" s="429">
        <v>41151.230000000003</v>
      </c>
      <c r="AR72" s="429">
        <v>46117.5</v>
      </c>
      <c r="AS72" s="429">
        <v>43870.15</v>
      </c>
      <c r="AT72" s="429">
        <v>40993.339999999997</v>
      </c>
      <c r="AU72" s="429">
        <v>38995.69</v>
      </c>
      <c r="AV72" s="429">
        <v>36894.01</v>
      </c>
      <c r="AW72" s="429">
        <v>35096.120000000003</v>
      </c>
      <c r="AX72" s="429">
        <v>40993.339999999997</v>
      </c>
      <c r="AY72" s="429">
        <v>38995.69</v>
      </c>
    </row>
    <row r="73" spans="1:51" ht="15.75" thickBot="1" x14ac:dyDescent="0.3">
      <c r="A73" s="44">
        <v>62</v>
      </c>
      <c r="B73" s="45">
        <f t="shared" si="2"/>
        <v>47554.13</v>
      </c>
      <c r="C73" s="45">
        <f t="shared" si="3"/>
        <v>45223</v>
      </c>
      <c r="D73" s="8"/>
      <c r="J73" s="31"/>
      <c r="O73" s="8"/>
      <c r="P73" s="12" t="s">
        <v>50</v>
      </c>
      <c r="Q73" s="8"/>
      <c r="R73" s="17"/>
      <c r="S73" s="17"/>
      <c r="T73" s="8"/>
      <c r="U73" s="8"/>
      <c r="V73" s="8"/>
      <c r="W73" s="8"/>
      <c r="X73" s="8"/>
      <c r="Y73" s="17"/>
      <c r="Z73" s="8"/>
      <c r="AA73" s="8"/>
      <c r="AB73" s="14" t="s">
        <v>102</v>
      </c>
      <c r="AC73" s="14" t="s">
        <v>52</v>
      </c>
      <c r="AD73" s="14" t="s">
        <v>103</v>
      </c>
      <c r="AE73" s="95" t="s">
        <v>82</v>
      </c>
      <c r="AF73" s="8"/>
      <c r="AG73" s="8"/>
      <c r="AH73" s="8"/>
      <c r="AK73" s="44">
        <v>62</v>
      </c>
      <c r="AL73" s="429">
        <v>47554.13</v>
      </c>
      <c r="AM73" s="429">
        <v>45223</v>
      </c>
      <c r="AN73" s="429">
        <v>42270.34</v>
      </c>
      <c r="AO73" s="429">
        <v>40198.22</v>
      </c>
      <c r="AP73" s="429">
        <v>44606.89</v>
      </c>
      <c r="AQ73" s="429">
        <v>42420.23</v>
      </c>
      <c r="AR73" s="429">
        <v>47554.13</v>
      </c>
      <c r="AS73" s="429">
        <v>45223</v>
      </c>
      <c r="AT73" s="429">
        <v>42270.34</v>
      </c>
      <c r="AU73" s="429">
        <v>40198.22</v>
      </c>
      <c r="AV73" s="429">
        <v>38043.31</v>
      </c>
      <c r="AW73" s="429">
        <v>36178.400000000001</v>
      </c>
      <c r="AX73" s="429">
        <v>42270.34</v>
      </c>
      <c r="AY73" s="429">
        <v>40198.22</v>
      </c>
    </row>
    <row r="74" spans="1:51" ht="15.75" thickBot="1" x14ac:dyDescent="0.3">
      <c r="A74" s="44">
        <v>63</v>
      </c>
      <c r="B74" s="45">
        <f t="shared" si="2"/>
        <v>49035.12</v>
      </c>
      <c r="C74" s="45">
        <f t="shared" si="3"/>
        <v>46612.81</v>
      </c>
      <c r="D74" s="8"/>
      <c r="J74" s="31"/>
      <c r="O74" s="8"/>
      <c r="P74" s="582" t="s">
        <v>104</v>
      </c>
      <c r="Q74" s="583"/>
      <c r="R74" s="17"/>
      <c r="S74" s="17"/>
      <c r="T74" s="8"/>
      <c r="U74" s="8"/>
      <c r="V74" s="8"/>
      <c r="W74" s="8"/>
      <c r="X74" s="8"/>
      <c r="Y74" s="17"/>
      <c r="Z74" s="8"/>
      <c r="AA74" s="8"/>
      <c r="AB74" s="84" t="str">
        <f>IF(AND('GOLDEN SALUD IND'!G31&gt;19,'GOLDEN SALUD IND'!G31&lt;56,'GOLDEN SALUD IND'!F31="F"),'GOLDEN SALUD IND'!G31,"")</f>
        <v/>
      </c>
      <c r="AC74" s="84" t="str">
        <f>IF(AB74="","",VLOOKUP(AB74,$Y$10:$AH$19,10,TRUE))</f>
        <v/>
      </c>
      <c r="AD74" s="85">
        <v>250000</v>
      </c>
      <c r="AE74" s="86" t="str">
        <f t="shared" ref="AE74:AE79" si="10">IF($B$125="NO","",IF($AB$74=""," ",IF(HLOOKUP(AD74,$AB$9:$AG$19,$AC$74,FALSE)&lt;3000,AD74," ")))</f>
        <v/>
      </c>
      <c r="AF74" s="8"/>
      <c r="AG74" s="8"/>
      <c r="AH74" s="8"/>
      <c r="AK74" s="44">
        <v>63</v>
      </c>
      <c r="AL74" s="429">
        <v>49035.12</v>
      </c>
      <c r="AM74" s="429">
        <v>46612.81</v>
      </c>
      <c r="AN74" s="429">
        <v>43586.77</v>
      </c>
      <c r="AO74" s="429">
        <v>41433.61</v>
      </c>
      <c r="AP74" s="429">
        <v>45996.09</v>
      </c>
      <c r="AQ74" s="429">
        <v>43723.91</v>
      </c>
      <c r="AR74" s="429">
        <v>49035.12</v>
      </c>
      <c r="AS74" s="429">
        <v>46612.81</v>
      </c>
      <c r="AT74" s="429">
        <v>43586.77</v>
      </c>
      <c r="AU74" s="429">
        <v>41433.61</v>
      </c>
      <c r="AV74" s="429">
        <v>39228.089999999997</v>
      </c>
      <c r="AW74" s="429">
        <v>37290.25</v>
      </c>
      <c r="AX74" s="429">
        <v>43586.77</v>
      </c>
      <c r="AY74" s="429">
        <v>41433.61</v>
      </c>
    </row>
    <row r="75" spans="1:51" ht="15.75" thickBot="1" x14ac:dyDescent="0.3">
      <c r="A75" s="44">
        <v>64</v>
      </c>
      <c r="B75" s="45">
        <f t="shared" si="2"/>
        <v>50561.69</v>
      </c>
      <c r="C75" s="45">
        <f t="shared" si="3"/>
        <v>48048.2</v>
      </c>
      <c r="D75" s="8"/>
      <c r="O75" s="8"/>
      <c r="P75" s="16" t="s">
        <v>105</v>
      </c>
      <c r="Q75" s="16" t="s">
        <v>74</v>
      </c>
      <c r="R75" s="17"/>
      <c r="S75" s="17"/>
      <c r="T75" s="8"/>
      <c r="U75" s="8"/>
      <c r="V75" s="8"/>
      <c r="W75" s="8"/>
      <c r="X75" s="8"/>
      <c r="Y75" s="17"/>
      <c r="Z75" s="8"/>
      <c r="AA75" s="8"/>
      <c r="AB75" s="8"/>
      <c r="AC75" s="8"/>
      <c r="AD75" s="88">
        <v>300000</v>
      </c>
      <c r="AE75" s="89" t="str">
        <f t="shared" si="10"/>
        <v/>
      </c>
      <c r="AF75" s="8"/>
      <c r="AG75" s="8"/>
      <c r="AH75" s="8"/>
      <c r="AK75" s="44">
        <v>64</v>
      </c>
      <c r="AL75" s="429">
        <v>50561.69</v>
      </c>
      <c r="AM75" s="429">
        <v>48048.2</v>
      </c>
      <c r="AN75" s="429">
        <v>44943.72</v>
      </c>
      <c r="AO75" s="429">
        <v>42709.51</v>
      </c>
      <c r="AP75" s="429">
        <v>47428.05</v>
      </c>
      <c r="AQ75" s="429">
        <v>45070.34</v>
      </c>
      <c r="AR75" s="429">
        <v>50561.69</v>
      </c>
      <c r="AS75" s="429">
        <v>48048.2</v>
      </c>
      <c r="AT75" s="429">
        <v>44943.72</v>
      </c>
      <c r="AU75" s="429">
        <v>42709.51</v>
      </c>
      <c r="AV75" s="429">
        <v>40449.35</v>
      </c>
      <c r="AW75" s="429">
        <v>38438.559999999998</v>
      </c>
      <c r="AX75" s="429">
        <v>44943.72</v>
      </c>
      <c r="AY75" s="429">
        <v>42709.51</v>
      </c>
    </row>
    <row r="76" spans="1:51" x14ac:dyDescent="0.25">
      <c r="A76" s="44">
        <v>65</v>
      </c>
      <c r="B76" s="45">
        <f t="shared" ref="B76:B111" si="11">ROUND(IF($B$7=1,AL76,IF($B$7=2,AN76,IF($B$7=4,AP76,IF($B$7=5,AR76,IF($B$7=6,AT76,IF($B$7=7,AV76,IF($B$7=8,AX76)))))))*$B$6*$B$8,2)</f>
        <v>54553.69</v>
      </c>
      <c r="C76" s="45">
        <f t="shared" ref="C76:C111" si="12">ROUND(IF($B$7=1,AM76,IF($B$7=2,AO76,IF($B$7=4,AQ76,IF($B$7=5,AS76,IF($B$7=6,AU76,IF($B$7=7,AW76,IF($B$7=8,AY76)))))))*$B$8*$B$6,2)</f>
        <v>52359.32</v>
      </c>
      <c r="D76" s="8"/>
      <c r="O76" s="8"/>
      <c r="P76" s="125" t="s">
        <v>8</v>
      </c>
      <c r="Q76" s="69">
        <v>0</v>
      </c>
      <c r="R76" s="17"/>
      <c r="S76" s="17"/>
      <c r="T76" s="8"/>
      <c r="U76" s="8"/>
      <c r="V76" s="8"/>
      <c r="W76" s="8"/>
      <c r="X76" s="8"/>
      <c r="Y76" s="17"/>
      <c r="Z76" s="8"/>
      <c r="AA76" s="8"/>
      <c r="AB76" s="8"/>
      <c r="AC76" s="8"/>
      <c r="AD76" s="88">
        <v>350000</v>
      </c>
      <c r="AE76" s="89" t="str">
        <f t="shared" si="10"/>
        <v/>
      </c>
      <c r="AF76" s="8"/>
      <c r="AG76" s="8"/>
      <c r="AH76" s="8"/>
      <c r="AK76" s="44">
        <v>65</v>
      </c>
      <c r="AL76" s="429">
        <v>54553.69</v>
      </c>
      <c r="AM76" s="429">
        <v>52359.32</v>
      </c>
      <c r="AN76" s="429">
        <v>48492.17</v>
      </c>
      <c r="AO76" s="429">
        <v>46541.62</v>
      </c>
      <c r="AP76" s="429">
        <v>51172.639999999999</v>
      </c>
      <c r="AQ76" s="429">
        <v>49114.27</v>
      </c>
      <c r="AR76" s="429">
        <v>54553.69</v>
      </c>
      <c r="AS76" s="429">
        <v>52359.32</v>
      </c>
      <c r="AT76" s="429">
        <v>48492.17</v>
      </c>
      <c r="AU76" s="429">
        <v>46541.62</v>
      </c>
      <c r="AV76" s="429">
        <v>43642.95</v>
      </c>
      <c r="AW76" s="429">
        <v>41887.46</v>
      </c>
      <c r="AX76" s="429">
        <v>48492.17</v>
      </c>
      <c r="AY76" s="429">
        <v>46541.62</v>
      </c>
    </row>
    <row r="77" spans="1:51" x14ac:dyDescent="0.25">
      <c r="A77" s="44">
        <v>66</v>
      </c>
      <c r="B77" s="45">
        <f t="shared" si="11"/>
        <v>58864.81</v>
      </c>
      <c r="C77" s="45">
        <f t="shared" si="12"/>
        <v>57053.62</v>
      </c>
      <c r="D77" s="8"/>
      <c r="O77" s="8"/>
      <c r="P77" s="90" t="s">
        <v>106</v>
      </c>
      <c r="Q77" s="126">
        <v>50</v>
      </c>
      <c r="R77" s="17"/>
      <c r="S77" s="8"/>
      <c r="T77" s="8"/>
      <c r="U77" s="8"/>
      <c r="V77" s="8"/>
      <c r="W77" s="8"/>
      <c r="X77" s="8"/>
      <c r="Y77" s="17"/>
      <c r="Z77" s="8"/>
      <c r="AA77" s="8"/>
      <c r="AB77" s="8"/>
      <c r="AC77" s="8"/>
      <c r="AD77" s="88">
        <v>400000</v>
      </c>
      <c r="AE77" s="89" t="str">
        <f t="shared" si="10"/>
        <v/>
      </c>
      <c r="AF77" s="8"/>
      <c r="AG77" s="8"/>
      <c r="AH77" s="8"/>
      <c r="AK77" s="44">
        <v>66</v>
      </c>
      <c r="AL77" s="429">
        <v>58864.81</v>
      </c>
      <c r="AM77" s="429">
        <v>57053.62</v>
      </c>
      <c r="AN77" s="429">
        <v>52324.28</v>
      </c>
      <c r="AO77" s="429">
        <v>50714.33</v>
      </c>
      <c r="AP77" s="429">
        <v>55216.57</v>
      </c>
      <c r="AQ77" s="429">
        <v>53517.64</v>
      </c>
      <c r="AR77" s="429">
        <v>58864.81</v>
      </c>
      <c r="AS77" s="429">
        <v>57053.62</v>
      </c>
      <c r="AT77" s="429">
        <v>52324.28</v>
      </c>
      <c r="AU77" s="429">
        <v>50714.33</v>
      </c>
      <c r="AV77" s="429">
        <v>47091.85</v>
      </c>
      <c r="AW77" s="429">
        <v>45642.9</v>
      </c>
      <c r="AX77" s="429">
        <v>52324.28</v>
      </c>
      <c r="AY77" s="429">
        <v>50714.33</v>
      </c>
    </row>
    <row r="78" spans="1:51" x14ac:dyDescent="0.25">
      <c r="A78" s="44">
        <v>67</v>
      </c>
      <c r="B78" s="45">
        <f t="shared" si="11"/>
        <v>63512.29</v>
      </c>
      <c r="C78" s="45">
        <f t="shared" si="12"/>
        <v>62169.3</v>
      </c>
      <c r="D78" s="8"/>
      <c r="O78" s="8"/>
      <c r="P78" s="90" t="s">
        <v>107</v>
      </c>
      <c r="Q78" s="126">
        <v>100</v>
      </c>
      <c r="R78" s="17"/>
      <c r="S78" s="8"/>
      <c r="T78" s="8"/>
      <c r="U78" s="8"/>
      <c r="V78" s="8"/>
      <c r="W78" s="8"/>
      <c r="X78" s="8"/>
      <c r="Y78" s="17"/>
      <c r="Z78" s="8"/>
      <c r="AA78" s="8"/>
      <c r="AB78" s="8"/>
      <c r="AC78" s="8"/>
      <c r="AD78" s="88">
        <v>450000</v>
      </c>
      <c r="AE78" s="89" t="str">
        <f t="shared" si="10"/>
        <v/>
      </c>
      <c r="AF78" s="8"/>
      <c r="AG78" s="8"/>
      <c r="AH78" s="8"/>
      <c r="AK78" s="44">
        <v>67</v>
      </c>
      <c r="AL78" s="429">
        <v>63512.29</v>
      </c>
      <c r="AM78" s="429">
        <v>62169.3</v>
      </c>
      <c r="AN78" s="429">
        <v>56455.37</v>
      </c>
      <c r="AO78" s="429">
        <v>55261.599999999999</v>
      </c>
      <c r="AP78" s="429">
        <v>59576.02</v>
      </c>
      <c r="AQ78" s="429">
        <v>58316.26</v>
      </c>
      <c r="AR78" s="429">
        <v>63512.29</v>
      </c>
      <c r="AS78" s="429">
        <v>62169.3</v>
      </c>
      <c r="AT78" s="429">
        <v>56455.37</v>
      </c>
      <c r="AU78" s="429">
        <v>55261.599999999999</v>
      </c>
      <c r="AV78" s="429">
        <v>50809.83</v>
      </c>
      <c r="AW78" s="429">
        <v>49735.44</v>
      </c>
      <c r="AX78" s="429">
        <v>56455.37</v>
      </c>
      <c r="AY78" s="429">
        <v>55261.599999999999</v>
      </c>
    </row>
    <row r="79" spans="1:51" ht="15.75" thickBot="1" x14ac:dyDescent="0.3">
      <c r="A79" s="44">
        <v>68</v>
      </c>
      <c r="B79" s="45">
        <f t="shared" si="11"/>
        <v>68526.94</v>
      </c>
      <c r="C79" s="45">
        <f t="shared" si="12"/>
        <v>67743.320000000007</v>
      </c>
      <c r="D79" s="8"/>
      <c r="O79" s="8"/>
      <c r="P79" s="90" t="s">
        <v>108</v>
      </c>
      <c r="Q79" s="126">
        <v>150</v>
      </c>
      <c r="R79" s="17"/>
      <c r="S79" s="8"/>
      <c r="T79" s="8"/>
      <c r="U79" s="8"/>
      <c r="V79" s="8"/>
      <c r="W79" s="8"/>
      <c r="X79" s="8"/>
      <c r="Y79" s="17"/>
      <c r="Z79" s="8"/>
      <c r="AA79" s="8"/>
      <c r="AB79" s="8"/>
      <c r="AC79" s="8"/>
      <c r="AD79" s="92">
        <v>500000</v>
      </c>
      <c r="AE79" s="93" t="str">
        <f t="shared" si="10"/>
        <v/>
      </c>
      <c r="AF79" s="8"/>
      <c r="AG79" s="8"/>
      <c r="AH79" s="8"/>
      <c r="AK79" s="44">
        <v>68</v>
      </c>
      <c r="AL79" s="429">
        <v>68526.94</v>
      </c>
      <c r="AM79" s="429">
        <v>67743.320000000007</v>
      </c>
      <c r="AN79" s="429">
        <v>60912.83</v>
      </c>
      <c r="AO79" s="429">
        <v>60216.29</v>
      </c>
      <c r="AP79" s="429">
        <v>64279.87</v>
      </c>
      <c r="AQ79" s="429">
        <v>63544.82</v>
      </c>
      <c r="AR79" s="429">
        <v>68526.94</v>
      </c>
      <c r="AS79" s="429">
        <v>67743.320000000007</v>
      </c>
      <c r="AT79" s="429">
        <v>60912.83</v>
      </c>
      <c r="AU79" s="429">
        <v>60216.29</v>
      </c>
      <c r="AV79" s="429">
        <v>54821.55</v>
      </c>
      <c r="AW79" s="429">
        <v>54194.66</v>
      </c>
      <c r="AX79" s="429">
        <v>60912.83</v>
      </c>
      <c r="AY79" s="429">
        <v>60216.29</v>
      </c>
    </row>
    <row r="80" spans="1:51" ht="15.75" thickBot="1" x14ac:dyDescent="0.3">
      <c r="A80" s="44">
        <v>69</v>
      </c>
      <c r="B80" s="45">
        <f t="shared" si="11"/>
        <v>73940.789999999994</v>
      </c>
      <c r="C80" s="45">
        <f t="shared" si="12"/>
        <v>73817.58</v>
      </c>
      <c r="D80" s="8"/>
      <c r="O80" s="8"/>
      <c r="P80" s="73" t="s">
        <v>110</v>
      </c>
      <c r="Q80" s="127">
        <v>200</v>
      </c>
      <c r="R80" s="17"/>
      <c r="S80" s="17"/>
      <c r="T80" s="8"/>
      <c r="U80" s="8"/>
      <c r="V80" s="8"/>
      <c r="W80" s="8"/>
      <c r="X80" s="8"/>
      <c r="Y80" s="17"/>
      <c r="Z80" s="8"/>
      <c r="AA80" s="8"/>
      <c r="AB80" s="8"/>
      <c r="AC80" s="8"/>
      <c r="AD80" s="8"/>
      <c r="AE80" s="8"/>
      <c r="AF80" s="8"/>
      <c r="AG80" s="8"/>
      <c r="AH80" s="8"/>
      <c r="AK80" s="44">
        <v>69</v>
      </c>
      <c r="AL80" s="429">
        <v>73940.789999999994</v>
      </c>
      <c r="AM80" s="429">
        <v>73817.58</v>
      </c>
      <c r="AN80" s="429">
        <v>65725.14</v>
      </c>
      <c r="AO80" s="429">
        <v>65615.62</v>
      </c>
      <c r="AP80" s="429">
        <v>69358.19</v>
      </c>
      <c r="AQ80" s="429">
        <v>69242.62</v>
      </c>
      <c r="AR80" s="429">
        <v>73940.789999999994</v>
      </c>
      <c r="AS80" s="429">
        <v>73817.58</v>
      </c>
      <c r="AT80" s="429">
        <v>65725.14</v>
      </c>
      <c r="AU80" s="429">
        <v>65615.62</v>
      </c>
      <c r="AV80" s="429">
        <v>59152.63</v>
      </c>
      <c r="AW80" s="429">
        <v>59054.06</v>
      </c>
      <c r="AX80" s="429">
        <v>65725.14</v>
      </c>
      <c r="AY80" s="429">
        <v>65615.62</v>
      </c>
    </row>
    <row r="81" spans="1:51" ht="15.75" thickBot="1" x14ac:dyDescent="0.3">
      <c r="A81" s="44">
        <v>70</v>
      </c>
      <c r="B81" s="45">
        <f t="shared" si="11"/>
        <v>80251.600000000006</v>
      </c>
      <c r="C81" s="45">
        <f t="shared" si="12"/>
        <v>80001.490000000005</v>
      </c>
      <c r="D81" s="8"/>
      <c r="O81" s="8"/>
      <c r="P81" s="8"/>
      <c r="Q81" s="8"/>
      <c r="R81" s="17"/>
      <c r="S81" s="17"/>
      <c r="T81" s="8"/>
      <c r="U81" s="8"/>
      <c r="V81" s="8"/>
      <c r="W81" s="8"/>
      <c r="X81" s="8"/>
      <c r="Y81" s="17"/>
      <c r="Z81" s="8"/>
      <c r="AA81" s="8"/>
      <c r="AB81" s="14" t="s">
        <v>112</v>
      </c>
      <c r="AC81" s="14" t="s">
        <v>52</v>
      </c>
      <c r="AD81" s="14" t="s">
        <v>113</v>
      </c>
      <c r="AE81" s="95" t="s">
        <v>82</v>
      </c>
      <c r="AF81" s="8"/>
      <c r="AG81" s="8"/>
      <c r="AH81" s="8"/>
      <c r="AK81" s="44">
        <v>70</v>
      </c>
      <c r="AL81" s="429">
        <v>80251.600000000006</v>
      </c>
      <c r="AM81" s="429">
        <v>80001.490000000005</v>
      </c>
      <c r="AN81" s="429">
        <v>71334.759999999995</v>
      </c>
      <c r="AO81" s="429">
        <v>71112.429999999993</v>
      </c>
      <c r="AP81" s="429">
        <v>75277.88</v>
      </c>
      <c r="AQ81" s="429">
        <v>75043.27</v>
      </c>
      <c r="AR81" s="429">
        <v>80251.600000000006</v>
      </c>
      <c r="AS81" s="429">
        <v>80001.490000000005</v>
      </c>
      <c r="AT81" s="429">
        <v>71334.759999999995</v>
      </c>
      <c r="AU81" s="429">
        <v>71112.429999999993</v>
      </c>
      <c r="AV81" s="429">
        <v>64201.279999999999</v>
      </c>
      <c r="AW81" s="429">
        <v>64001.19</v>
      </c>
      <c r="AX81" s="429">
        <v>71334.759999999995</v>
      </c>
      <c r="AY81" s="429">
        <v>71112.429999999993</v>
      </c>
    </row>
    <row r="82" spans="1:51" ht="15.75" thickBot="1" x14ac:dyDescent="0.3">
      <c r="A82" s="44">
        <v>71</v>
      </c>
      <c r="B82" s="45">
        <f t="shared" si="11"/>
        <v>87100.85</v>
      </c>
      <c r="C82" s="45">
        <f t="shared" si="12"/>
        <v>86701.64</v>
      </c>
      <c r="D82" s="8"/>
      <c r="O82" s="8"/>
      <c r="P82" s="8"/>
      <c r="Q82" s="8"/>
      <c r="R82" s="17"/>
      <c r="S82" s="17"/>
      <c r="T82" s="8"/>
      <c r="U82" s="8"/>
      <c r="V82" s="8"/>
      <c r="W82" s="8"/>
      <c r="X82" s="8"/>
      <c r="Y82" s="17"/>
      <c r="Z82" s="8"/>
      <c r="AA82" s="8"/>
      <c r="AB82" s="84" t="str">
        <f>IF(AND('GOLDEN SALUD IND'!G32&gt;19,'GOLDEN SALUD IND'!G32&lt;56,'GOLDEN SALUD IND'!F32="F"),'GOLDEN SALUD IND'!G32,"")</f>
        <v/>
      </c>
      <c r="AC82" s="84" t="str">
        <f>IF(AB82="","",VLOOKUP(AB82,$Y$10:$AH$19,10,TRUE))</f>
        <v/>
      </c>
      <c r="AD82" s="85">
        <v>250000</v>
      </c>
      <c r="AE82" s="86" t="str">
        <f t="shared" ref="AE82:AE87" si="13">IF($B$125="NO","",IF($AB$82=""," ",IF(HLOOKUP(AD82,$AB$9:$AG$19,$AC$82,FALSE)&lt;3000,AD82," ")))</f>
        <v/>
      </c>
      <c r="AF82" s="8"/>
      <c r="AG82" s="8"/>
      <c r="AH82" s="8"/>
      <c r="AK82" s="44">
        <v>71</v>
      </c>
      <c r="AL82" s="429">
        <v>87100.85</v>
      </c>
      <c r="AM82" s="429">
        <v>86701.64</v>
      </c>
      <c r="AN82" s="429">
        <v>77422.97</v>
      </c>
      <c r="AO82" s="429">
        <v>77068.13</v>
      </c>
      <c r="AP82" s="429">
        <v>81702.64</v>
      </c>
      <c r="AQ82" s="429">
        <v>81328.179999999993</v>
      </c>
      <c r="AR82" s="429">
        <v>87100.85</v>
      </c>
      <c r="AS82" s="429">
        <v>86701.64</v>
      </c>
      <c r="AT82" s="429">
        <v>77422.97</v>
      </c>
      <c r="AU82" s="429">
        <v>77068.13</v>
      </c>
      <c r="AV82" s="429">
        <v>69680.67</v>
      </c>
      <c r="AW82" s="429">
        <v>69361.320000000007</v>
      </c>
      <c r="AX82" s="429">
        <v>77422.97</v>
      </c>
      <c r="AY82" s="429">
        <v>77068.13</v>
      </c>
    </row>
    <row r="83" spans="1:51" ht="15.75" thickBot="1" x14ac:dyDescent="0.3">
      <c r="A83" s="44">
        <v>72</v>
      </c>
      <c r="B83" s="45">
        <f t="shared" si="11"/>
        <v>94534.1</v>
      </c>
      <c r="C83" s="45">
        <f t="shared" si="12"/>
        <v>93963.64</v>
      </c>
      <c r="D83" s="8"/>
      <c r="O83" s="8"/>
      <c r="P83" s="14" t="s">
        <v>114</v>
      </c>
      <c r="Q83" s="14" t="s">
        <v>115</v>
      </c>
      <c r="R83" s="14" t="s">
        <v>116</v>
      </c>
      <c r="S83" s="17"/>
      <c r="T83" s="8"/>
      <c r="U83" s="8"/>
      <c r="V83" s="8"/>
      <c r="W83" s="8"/>
      <c r="X83" s="8"/>
      <c r="Y83" s="17"/>
      <c r="Z83" s="8"/>
      <c r="AA83" s="8"/>
      <c r="AB83" s="8"/>
      <c r="AC83" s="8"/>
      <c r="AD83" s="88">
        <v>300000</v>
      </c>
      <c r="AE83" s="89" t="str">
        <f t="shared" si="13"/>
        <v/>
      </c>
      <c r="AF83" s="8"/>
      <c r="AG83" s="8"/>
      <c r="AH83" s="8"/>
      <c r="AK83" s="44">
        <v>72</v>
      </c>
      <c r="AL83" s="429">
        <v>94534.1</v>
      </c>
      <c r="AM83" s="429">
        <v>93963.64</v>
      </c>
      <c r="AN83" s="429">
        <v>84030.32</v>
      </c>
      <c r="AO83" s="429">
        <v>83523.240000000005</v>
      </c>
      <c r="AP83" s="429">
        <v>88675.21</v>
      </c>
      <c r="AQ83" s="429">
        <v>88140.1</v>
      </c>
      <c r="AR83" s="429">
        <v>94534.1</v>
      </c>
      <c r="AS83" s="429">
        <v>93963.64</v>
      </c>
      <c r="AT83" s="429">
        <v>84030.32</v>
      </c>
      <c r="AU83" s="429">
        <v>83523.240000000005</v>
      </c>
      <c r="AV83" s="429">
        <v>75627.289999999994</v>
      </c>
      <c r="AW83" s="429">
        <v>75170.92</v>
      </c>
      <c r="AX83" s="429">
        <v>84030.32</v>
      </c>
      <c r="AY83" s="429">
        <v>83523.240000000005</v>
      </c>
    </row>
    <row r="84" spans="1:51" x14ac:dyDescent="0.25">
      <c r="A84" s="44">
        <v>73</v>
      </c>
      <c r="B84" s="45">
        <f t="shared" si="11"/>
        <v>102603.13</v>
      </c>
      <c r="C84" s="45">
        <f t="shared" si="12"/>
        <v>101836.76</v>
      </c>
      <c r="D84" s="8"/>
      <c r="O84" s="8"/>
      <c r="P84" s="80" t="s">
        <v>7</v>
      </c>
      <c r="Q84" s="80" t="s">
        <v>4</v>
      </c>
      <c r="R84" s="80" t="str">
        <f>+IF(C6=0,"","SI")</f>
        <v>SI</v>
      </c>
      <c r="S84" s="17"/>
      <c r="T84" s="8"/>
      <c r="U84" s="8"/>
      <c r="V84" s="8"/>
      <c r="W84" s="8"/>
      <c r="X84" s="8"/>
      <c r="Y84" s="8"/>
      <c r="Z84" s="8"/>
      <c r="AA84" s="8"/>
      <c r="AB84" s="8"/>
      <c r="AC84" s="8"/>
      <c r="AD84" s="88">
        <v>350000</v>
      </c>
      <c r="AE84" s="89" t="str">
        <f t="shared" si="13"/>
        <v/>
      </c>
      <c r="AF84" s="8"/>
      <c r="AG84" s="8"/>
      <c r="AH84" s="8"/>
      <c r="AK84" s="44">
        <v>73</v>
      </c>
      <c r="AL84" s="429">
        <v>102603.13</v>
      </c>
      <c r="AM84" s="429">
        <v>101836.76</v>
      </c>
      <c r="AN84" s="429">
        <v>91202.78</v>
      </c>
      <c r="AO84" s="429">
        <v>90521.57</v>
      </c>
      <c r="AP84" s="429">
        <v>96244.14</v>
      </c>
      <c r="AQ84" s="429">
        <v>95525.27</v>
      </c>
      <c r="AR84" s="429">
        <v>102603.13</v>
      </c>
      <c r="AS84" s="429">
        <v>101836.76</v>
      </c>
      <c r="AT84" s="429">
        <v>91202.78</v>
      </c>
      <c r="AU84" s="429">
        <v>90521.57</v>
      </c>
      <c r="AV84" s="429">
        <v>82082.5</v>
      </c>
      <c r="AW84" s="429">
        <v>81469.41</v>
      </c>
      <c r="AX84" s="429">
        <v>91202.78</v>
      </c>
      <c r="AY84" s="429">
        <v>90521.57</v>
      </c>
    </row>
    <row r="85" spans="1:51" ht="15.75" thickBot="1" x14ac:dyDescent="0.3">
      <c r="A85" s="44">
        <v>74</v>
      </c>
      <c r="B85" s="45">
        <f t="shared" si="11"/>
        <v>111365.82</v>
      </c>
      <c r="C85" s="45">
        <f t="shared" si="12"/>
        <v>110376.45</v>
      </c>
      <c r="D85" s="8"/>
      <c r="O85" s="8"/>
      <c r="P85" s="128"/>
      <c r="Q85" s="128" t="s">
        <v>117</v>
      </c>
      <c r="R85" s="128" t="str">
        <f>+IF(C6=0,"","NO")</f>
        <v>NO</v>
      </c>
      <c r="S85" s="17"/>
      <c r="T85" s="8"/>
      <c r="U85" s="8"/>
      <c r="V85" s="8"/>
      <c r="W85" s="8"/>
      <c r="X85" s="8"/>
      <c r="Y85" s="8"/>
      <c r="Z85" s="8"/>
      <c r="AA85" s="8"/>
      <c r="AB85" s="8"/>
      <c r="AC85" s="8"/>
      <c r="AD85" s="88">
        <v>400000</v>
      </c>
      <c r="AE85" s="89" t="str">
        <f t="shared" si="13"/>
        <v/>
      </c>
      <c r="AF85" s="8"/>
      <c r="AG85" s="8"/>
      <c r="AH85" s="8"/>
      <c r="AK85" s="44">
        <v>74</v>
      </c>
      <c r="AL85" s="429">
        <v>111365.82</v>
      </c>
      <c r="AM85" s="429">
        <v>110376.45</v>
      </c>
      <c r="AN85" s="429">
        <v>98991.84</v>
      </c>
      <c r="AO85" s="429">
        <v>98112.4</v>
      </c>
      <c r="AP85" s="429">
        <v>104463.75</v>
      </c>
      <c r="AQ85" s="429">
        <v>103535.7</v>
      </c>
      <c r="AR85" s="429">
        <v>111365.82</v>
      </c>
      <c r="AS85" s="429">
        <v>110376.45</v>
      </c>
      <c r="AT85" s="429">
        <v>98991.84</v>
      </c>
      <c r="AU85" s="429">
        <v>98112.4</v>
      </c>
      <c r="AV85" s="429">
        <v>89092.66</v>
      </c>
      <c r="AW85" s="429">
        <v>88301.16</v>
      </c>
      <c r="AX85" s="429">
        <v>98991.84</v>
      </c>
      <c r="AY85" s="429">
        <v>98112.4</v>
      </c>
    </row>
    <row r="86" spans="1:51" x14ac:dyDescent="0.25">
      <c r="A86" s="44">
        <v>75</v>
      </c>
      <c r="B86" s="45">
        <f t="shared" si="11"/>
        <v>118746.1</v>
      </c>
      <c r="C86" s="45">
        <f t="shared" si="12"/>
        <v>116401.42</v>
      </c>
      <c r="D86" s="8"/>
      <c r="O86" s="8"/>
      <c r="P86" s="8"/>
      <c r="Q86" s="8"/>
      <c r="R86" s="17"/>
      <c r="S86" s="17"/>
      <c r="T86" s="8"/>
      <c r="U86" s="8"/>
      <c r="V86" s="8"/>
      <c r="W86" s="8"/>
      <c r="X86" s="8"/>
      <c r="Y86" s="8"/>
      <c r="Z86" s="8"/>
      <c r="AA86" s="8"/>
      <c r="AB86" s="8"/>
      <c r="AC86" s="8"/>
      <c r="AD86" s="88">
        <v>450000</v>
      </c>
      <c r="AE86" s="89" t="str">
        <f t="shared" si="13"/>
        <v/>
      </c>
      <c r="AF86" s="8"/>
      <c r="AG86" s="8"/>
      <c r="AH86" s="8"/>
      <c r="AK86" s="44">
        <v>75</v>
      </c>
      <c r="AL86" s="429">
        <v>118746.1</v>
      </c>
      <c r="AM86" s="429">
        <v>116401.42</v>
      </c>
      <c r="AN86" s="429">
        <v>105552.09</v>
      </c>
      <c r="AO86" s="429">
        <v>103467.92</v>
      </c>
      <c r="AP86" s="429">
        <v>111386.63</v>
      </c>
      <c r="AQ86" s="429">
        <v>109187.26</v>
      </c>
      <c r="AR86" s="429">
        <v>118746.1</v>
      </c>
      <c r="AS86" s="429">
        <v>116401.42</v>
      </c>
      <c r="AT86" s="429">
        <v>105552.09</v>
      </c>
      <c r="AU86" s="429">
        <v>103467.92</v>
      </c>
      <c r="AV86" s="429">
        <v>94996.88</v>
      </c>
      <c r="AW86" s="429">
        <v>93121.13</v>
      </c>
      <c r="AX86" s="429">
        <v>105552.09</v>
      </c>
      <c r="AY86" s="429">
        <v>103467.92</v>
      </c>
    </row>
    <row r="87" spans="1:51" ht="15.75" thickBot="1" x14ac:dyDescent="0.3">
      <c r="A87" s="44">
        <v>76</v>
      </c>
      <c r="B87" s="45">
        <f t="shared" si="11"/>
        <v>126617.99</v>
      </c>
      <c r="C87" s="45">
        <f t="shared" si="12"/>
        <v>122754.12</v>
      </c>
      <c r="D87" s="8"/>
      <c r="O87" s="8"/>
      <c r="P87" s="8"/>
      <c r="Q87" s="8"/>
      <c r="R87" s="17"/>
      <c r="S87" s="17"/>
      <c r="T87" s="8"/>
      <c r="U87" s="8"/>
      <c r="V87" s="8"/>
      <c r="W87" s="8"/>
      <c r="X87" s="8"/>
      <c r="Y87" s="8"/>
      <c r="Z87" s="8"/>
      <c r="AA87" s="8"/>
      <c r="AB87" s="8"/>
      <c r="AC87" s="8"/>
      <c r="AD87" s="92">
        <v>500000</v>
      </c>
      <c r="AE87" s="93" t="str">
        <f t="shared" si="13"/>
        <v/>
      </c>
      <c r="AF87" s="8"/>
      <c r="AG87" s="8"/>
      <c r="AH87" s="8"/>
      <c r="AK87" s="44">
        <v>76</v>
      </c>
      <c r="AL87" s="429">
        <v>126617.99</v>
      </c>
      <c r="AM87" s="429">
        <v>122754.12</v>
      </c>
      <c r="AN87" s="429">
        <v>112549.32</v>
      </c>
      <c r="AO87" s="429">
        <v>109114.78</v>
      </c>
      <c r="AP87" s="429">
        <v>118770.64</v>
      </c>
      <c r="AQ87" s="429">
        <v>115146.25</v>
      </c>
      <c r="AR87" s="429">
        <v>126617.99</v>
      </c>
      <c r="AS87" s="429">
        <v>122754.12</v>
      </c>
      <c r="AT87" s="429">
        <v>112549.32</v>
      </c>
      <c r="AU87" s="429">
        <v>109114.78</v>
      </c>
      <c r="AV87" s="429">
        <v>101294.39</v>
      </c>
      <c r="AW87" s="429">
        <v>98203.3</v>
      </c>
      <c r="AX87" s="429">
        <v>112549.32</v>
      </c>
      <c r="AY87" s="429">
        <v>109114.78</v>
      </c>
    </row>
    <row r="88" spans="1:51" ht="15.75" thickBot="1" x14ac:dyDescent="0.3">
      <c r="A88" s="44">
        <v>77</v>
      </c>
      <c r="B88" s="45">
        <f t="shared" si="11"/>
        <v>135019.68</v>
      </c>
      <c r="C88" s="45">
        <f t="shared" si="12"/>
        <v>129446.89</v>
      </c>
      <c r="D88" s="8"/>
      <c r="O88" s="8"/>
      <c r="P88" s="8"/>
      <c r="Q88" s="8"/>
      <c r="R88" s="17"/>
      <c r="S88" s="17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K88" s="44">
        <v>77</v>
      </c>
      <c r="AL88" s="429">
        <v>135019.68</v>
      </c>
      <c r="AM88" s="429">
        <v>129446.89</v>
      </c>
      <c r="AN88" s="429">
        <v>120017.49</v>
      </c>
      <c r="AO88" s="429">
        <v>115063.9</v>
      </c>
      <c r="AP88" s="429">
        <v>126651.62</v>
      </c>
      <c r="AQ88" s="429">
        <v>121424.22</v>
      </c>
      <c r="AR88" s="429">
        <v>135019.68</v>
      </c>
      <c r="AS88" s="429">
        <v>129446.89</v>
      </c>
      <c r="AT88" s="429">
        <v>120017.49</v>
      </c>
      <c r="AU88" s="429">
        <v>115063.9</v>
      </c>
      <c r="AV88" s="429">
        <v>108015.74</v>
      </c>
      <c r="AW88" s="429">
        <v>103557.51</v>
      </c>
      <c r="AX88" s="429">
        <v>120017.49</v>
      </c>
      <c r="AY88" s="429">
        <v>115063.9</v>
      </c>
    </row>
    <row r="89" spans="1:51" ht="15.75" thickBot="1" x14ac:dyDescent="0.3">
      <c r="A89" s="44">
        <v>78</v>
      </c>
      <c r="B89" s="45">
        <f t="shared" si="11"/>
        <v>143968.42000000001</v>
      </c>
      <c r="C89" s="45">
        <f t="shared" si="12"/>
        <v>136515.45000000001</v>
      </c>
      <c r="D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14" t="s">
        <v>119</v>
      </c>
      <c r="AC89" s="14" t="s">
        <v>52</v>
      </c>
      <c r="AD89" s="14" t="s">
        <v>120</v>
      </c>
      <c r="AE89" s="95" t="s">
        <v>82</v>
      </c>
      <c r="AF89" s="8"/>
      <c r="AG89" s="8"/>
      <c r="AH89" s="8"/>
      <c r="AK89" s="44">
        <v>78</v>
      </c>
      <c r="AL89" s="429">
        <v>143968.42000000001</v>
      </c>
      <c r="AM89" s="429">
        <v>136515.45000000001</v>
      </c>
      <c r="AN89" s="429">
        <v>127971.93</v>
      </c>
      <c r="AO89" s="429">
        <v>121347.06</v>
      </c>
      <c r="AP89" s="429">
        <v>135045.75</v>
      </c>
      <c r="AQ89" s="429">
        <v>128054.69</v>
      </c>
      <c r="AR89" s="429">
        <v>143968.42000000001</v>
      </c>
      <c r="AS89" s="429">
        <v>136515.45000000001</v>
      </c>
      <c r="AT89" s="429">
        <v>127971.93</v>
      </c>
      <c r="AU89" s="429">
        <v>121347.06</v>
      </c>
      <c r="AV89" s="429">
        <v>115174.74</v>
      </c>
      <c r="AW89" s="429">
        <v>109212.35</v>
      </c>
      <c r="AX89" s="429">
        <v>127971.93</v>
      </c>
      <c r="AY89" s="429">
        <v>121347.06</v>
      </c>
    </row>
    <row r="90" spans="1:51" ht="15.75" thickBot="1" x14ac:dyDescent="0.3">
      <c r="A90" s="44">
        <v>79</v>
      </c>
      <c r="B90" s="45">
        <f t="shared" si="11"/>
        <v>153520.89000000001</v>
      </c>
      <c r="C90" s="45">
        <f t="shared" si="12"/>
        <v>143956.1</v>
      </c>
      <c r="D90" s="8"/>
      <c r="O90" s="8"/>
      <c r="P90" s="179" t="s">
        <v>50</v>
      </c>
      <c r="Q90" s="8"/>
      <c r="R90" s="17"/>
      <c r="S90" s="17"/>
      <c r="T90" s="8"/>
      <c r="U90" s="8"/>
      <c r="V90" s="8"/>
      <c r="W90" s="8"/>
      <c r="X90" s="8"/>
      <c r="Y90" s="8"/>
      <c r="Z90" s="8"/>
      <c r="AA90" s="8"/>
      <c r="AB90" s="84" t="str">
        <f>IF(AND('GOLDEN SALUD IND'!G33&gt;19,'GOLDEN SALUD IND'!G33&lt;56,'GOLDEN SALUD IND'!F33="F"),'GOLDEN SALUD IND'!G33,"")</f>
        <v/>
      </c>
      <c r="AC90" s="84" t="str">
        <f>IF(AB90="","",VLOOKUP(AB90,$Y$10:$AH$19,10,TRUE))</f>
        <v/>
      </c>
      <c r="AD90" s="85">
        <v>250000</v>
      </c>
      <c r="AE90" s="86" t="str">
        <f t="shared" ref="AE90:AE95" si="14">IF($B$125="NO","",IF($AB$90=""," ",IF(HLOOKUP(AD90,$AB$9:$AG$19,$AC$90,FALSE)&lt;3000,AD90," ")))</f>
        <v/>
      </c>
      <c r="AF90" s="8"/>
      <c r="AG90" s="8"/>
      <c r="AH90" s="8"/>
      <c r="AK90" s="44">
        <v>79</v>
      </c>
      <c r="AL90" s="429">
        <v>153520.89000000001</v>
      </c>
      <c r="AM90" s="429">
        <v>143956.1</v>
      </c>
      <c r="AN90" s="429">
        <v>136463.01999999999</v>
      </c>
      <c r="AO90" s="429">
        <v>127960.98</v>
      </c>
      <c r="AP90" s="429">
        <v>144006.20000000001</v>
      </c>
      <c r="AQ90" s="429">
        <v>135034.20000000001</v>
      </c>
      <c r="AR90" s="429">
        <v>153520.89000000001</v>
      </c>
      <c r="AS90" s="429">
        <v>143956.1</v>
      </c>
      <c r="AT90" s="429">
        <v>136463.01999999999</v>
      </c>
      <c r="AU90" s="429">
        <v>127960.98</v>
      </c>
      <c r="AV90" s="429">
        <v>122816.72</v>
      </c>
      <c r="AW90" s="429">
        <v>115164.88</v>
      </c>
      <c r="AX90" s="429">
        <v>136463.01999999999</v>
      </c>
      <c r="AY90" s="429">
        <v>127960.98</v>
      </c>
    </row>
    <row r="91" spans="1:51" ht="15.75" thickBot="1" x14ac:dyDescent="0.3">
      <c r="A91" s="44">
        <v>80</v>
      </c>
      <c r="B91" s="45">
        <f t="shared" si="11"/>
        <v>159694.95000000001</v>
      </c>
      <c r="C91" s="45">
        <f t="shared" si="12"/>
        <v>149372.41</v>
      </c>
      <c r="D91" s="8"/>
      <c r="O91" s="8"/>
      <c r="P91" s="576" t="s">
        <v>121</v>
      </c>
      <c r="Q91" s="584"/>
      <c r="R91" s="577"/>
      <c r="S91" s="17"/>
      <c r="T91" s="8"/>
      <c r="U91" s="8"/>
      <c r="V91" s="8"/>
      <c r="W91" s="8"/>
      <c r="X91" s="8"/>
      <c r="Y91" s="8"/>
      <c r="Z91" s="8"/>
      <c r="AA91" s="8"/>
      <c r="AB91" s="8"/>
      <c r="AC91" s="8"/>
      <c r="AD91" s="88">
        <v>300000</v>
      </c>
      <c r="AE91" s="89" t="str">
        <f t="shared" si="14"/>
        <v/>
      </c>
      <c r="AF91" s="8"/>
      <c r="AG91" s="8"/>
      <c r="AH91" s="8"/>
      <c r="AK91" s="44">
        <v>80</v>
      </c>
      <c r="AL91" s="429">
        <v>159694.95000000001</v>
      </c>
      <c r="AM91" s="429">
        <v>149372.41</v>
      </c>
      <c r="AN91" s="429">
        <v>141951.06</v>
      </c>
      <c r="AO91" s="429">
        <v>132775.48000000001</v>
      </c>
      <c r="AP91" s="429">
        <v>149797.6</v>
      </c>
      <c r="AQ91" s="429">
        <v>140114.82</v>
      </c>
      <c r="AR91" s="429">
        <v>159694.95000000001</v>
      </c>
      <c r="AS91" s="429">
        <v>149372.41</v>
      </c>
      <c r="AT91" s="429">
        <v>141951.06</v>
      </c>
      <c r="AU91" s="429">
        <v>132775.48000000001</v>
      </c>
      <c r="AV91" s="429">
        <v>127755.95</v>
      </c>
      <c r="AW91" s="429">
        <v>119497.93</v>
      </c>
      <c r="AX91" s="429">
        <v>141951.06</v>
      </c>
      <c r="AY91" s="429">
        <v>132775.48000000001</v>
      </c>
    </row>
    <row r="92" spans="1:51" ht="15.75" thickBot="1" x14ac:dyDescent="0.3">
      <c r="A92" s="44">
        <v>81</v>
      </c>
      <c r="B92" s="45">
        <f t="shared" si="11"/>
        <v>166125.28</v>
      </c>
      <c r="C92" s="45">
        <f t="shared" si="12"/>
        <v>154987.09</v>
      </c>
      <c r="D92" s="8"/>
      <c r="O92" s="8"/>
      <c r="P92" s="588" t="s">
        <v>193</v>
      </c>
      <c r="Q92" s="589"/>
      <c r="R92" s="16" t="s">
        <v>74</v>
      </c>
      <c r="S92" s="17"/>
      <c r="T92" s="8"/>
      <c r="U92" s="8"/>
      <c r="V92" s="8"/>
      <c r="W92" s="8"/>
      <c r="X92" s="8"/>
      <c r="Y92" s="8"/>
      <c r="Z92" s="8"/>
      <c r="AA92" s="8"/>
      <c r="AB92" s="8"/>
      <c r="AC92" s="8"/>
      <c r="AD92" s="88">
        <v>350000</v>
      </c>
      <c r="AE92" s="89" t="str">
        <f t="shared" si="14"/>
        <v/>
      </c>
      <c r="AF92" s="8"/>
      <c r="AG92" s="8"/>
      <c r="AH92" s="8"/>
      <c r="AK92" s="44">
        <v>81</v>
      </c>
      <c r="AL92" s="429">
        <v>166125.28</v>
      </c>
      <c r="AM92" s="429">
        <v>154987.09</v>
      </c>
      <c r="AN92" s="429">
        <v>147666.91</v>
      </c>
      <c r="AO92" s="429">
        <v>137766.29999999999</v>
      </c>
      <c r="AP92" s="429">
        <v>155829.4</v>
      </c>
      <c r="AQ92" s="429">
        <v>145381.53</v>
      </c>
      <c r="AR92" s="429">
        <v>166125.28</v>
      </c>
      <c r="AS92" s="429">
        <v>154987.09</v>
      </c>
      <c r="AT92" s="429">
        <v>147666.91</v>
      </c>
      <c r="AU92" s="429">
        <v>137766.29999999999</v>
      </c>
      <c r="AV92" s="429">
        <v>132900.22</v>
      </c>
      <c r="AW92" s="429">
        <v>123989.67</v>
      </c>
      <c r="AX92" s="429">
        <v>147666.91</v>
      </c>
      <c r="AY92" s="429">
        <v>137766.29999999999</v>
      </c>
    </row>
    <row r="93" spans="1:51" ht="15.75" thickBot="1" x14ac:dyDescent="0.3">
      <c r="A93" s="44">
        <v>82</v>
      </c>
      <c r="B93" s="45">
        <f t="shared" si="11"/>
        <v>172831.6</v>
      </c>
      <c r="C93" s="45">
        <f t="shared" si="12"/>
        <v>160817.39000000001</v>
      </c>
      <c r="D93" s="8"/>
      <c r="G93" s="8"/>
      <c r="H93" s="8"/>
      <c r="J93" s="8"/>
      <c r="O93" s="8"/>
      <c r="P93" s="131">
        <v>0</v>
      </c>
      <c r="Q93" s="132">
        <v>4</v>
      </c>
      <c r="R93" s="315">
        <v>1112.22</v>
      </c>
      <c r="S93" s="17">
        <v>883</v>
      </c>
      <c r="T93" s="321">
        <f>+R93/S93-1</f>
        <v>0.25959229898074754</v>
      </c>
      <c r="U93" s="8"/>
      <c r="V93" s="321">
        <f>1.135*1.11-1</f>
        <v>0.25985000000000014</v>
      </c>
      <c r="W93" s="8"/>
      <c r="X93" s="8"/>
      <c r="Y93" s="8"/>
      <c r="Z93" s="8"/>
      <c r="AA93" s="8"/>
      <c r="AB93" s="8"/>
      <c r="AC93" s="8"/>
      <c r="AD93" s="88">
        <v>400000</v>
      </c>
      <c r="AE93" s="89" t="str">
        <f t="shared" si="14"/>
        <v/>
      </c>
      <c r="AF93" s="8"/>
      <c r="AG93" s="8"/>
      <c r="AH93" s="8"/>
      <c r="AK93" s="44">
        <v>82</v>
      </c>
      <c r="AL93" s="429">
        <v>172831.6</v>
      </c>
      <c r="AM93" s="429">
        <v>160817.39000000001</v>
      </c>
      <c r="AN93" s="429">
        <v>153628.07999999999</v>
      </c>
      <c r="AO93" s="429">
        <v>142948.79</v>
      </c>
      <c r="AP93" s="429">
        <v>162120.09</v>
      </c>
      <c r="AQ93" s="429">
        <v>150850.48000000001</v>
      </c>
      <c r="AR93" s="429">
        <v>172831.6</v>
      </c>
      <c r="AS93" s="429">
        <v>160817.39000000001</v>
      </c>
      <c r="AT93" s="429">
        <v>153628.07999999999</v>
      </c>
      <c r="AU93" s="429">
        <v>142948.79</v>
      </c>
      <c r="AV93" s="429">
        <v>138265.26999999999</v>
      </c>
      <c r="AW93" s="429">
        <v>128653.91</v>
      </c>
      <c r="AX93" s="429">
        <v>153628.07999999999</v>
      </c>
      <c r="AY93" s="429">
        <v>142948.79</v>
      </c>
    </row>
    <row r="94" spans="1:51" ht="15.75" thickBot="1" x14ac:dyDescent="0.3">
      <c r="A94" s="44">
        <v>83</v>
      </c>
      <c r="B94" s="45">
        <f t="shared" si="11"/>
        <v>179792.96</v>
      </c>
      <c r="C94" s="45">
        <f t="shared" si="12"/>
        <v>166865.76999999999</v>
      </c>
      <c r="D94" s="8"/>
      <c r="E94" s="444" t="s">
        <v>122</v>
      </c>
      <c r="F94" s="444" t="s">
        <v>123</v>
      </c>
      <c r="G94" s="14" t="s">
        <v>64</v>
      </c>
      <c r="H94" s="14" t="s">
        <v>74</v>
      </c>
      <c r="I94" s="14" t="s">
        <v>124</v>
      </c>
      <c r="J94" s="8"/>
      <c r="O94" s="8"/>
      <c r="P94" s="131">
        <v>4.0999999999999996</v>
      </c>
      <c r="Q94" s="132">
        <v>5</v>
      </c>
      <c r="R94" s="315">
        <v>1330.89</v>
      </c>
      <c r="S94" s="17">
        <v>1055.22</v>
      </c>
      <c r="T94" s="321">
        <f>+R94/S94-1</f>
        <v>0.26124410075624049</v>
      </c>
      <c r="U94" s="8"/>
      <c r="V94" s="321">
        <f t="shared" ref="V94:V97" si="15">1.135*1.11-1</f>
        <v>0.25985000000000014</v>
      </c>
      <c r="W94" s="8"/>
      <c r="X94" s="8"/>
      <c r="Y94" s="137"/>
      <c r="Z94" s="137"/>
      <c r="AA94" s="137"/>
      <c r="AB94" s="138"/>
      <c r="AC94" s="138"/>
      <c r="AD94" s="88">
        <v>450000</v>
      </c>
      <c r="AE94" s="89" t="str">
        <f t="shared" si="14"/>
        <v/>
      </c>
      <c r="AF94" s="137"/>
      <c r="AG94" s="137"/>
      <c r="AH94" s="137"/>
      <c r="AK94" s="44">
        <v>83</v>
      </c>
      <c r="AL94" s="429">
        <v>179792.96</v>
      </c>
      <c r="AM94" s="429">
        <v>166865.76999999999</v>
      </c>
      <c r="AN94" s="429">
        <v>159815.96</v>
      </c>
      <c r="AO94" s="429">
        <v>148325.13</v>
      </c>
      <c r="AP94" s="429">
        <v>168650.01</v>
      </c>
      <c r="AQ94" s="429">
        <v>156524</v>
      </c>
      <c r="AR94" s="429">
        <v>179792.96</v>
      </c>
      <c r="AS94" s="429">
        <v>166865.76999999999</v>
      </c>
      <c r="AT94" s="429">
        <v>159815.96</v>
      </c>
      <c r="AU94" s="429">
        <v>148325.13</v>
      </c>
      <c r="AV94" s="429">
        <v>143834.35999999999</v>
      </c>
      <c r="AW94" s="429">
        <v>133492.62</v>
      </c>
      <c r="AX94" s="429">
        <v>159815.96</v>
      </c>
      <c r="AY94" s="429">
        <v>148325.13</v>
      </c>
    </row>
    <row r="95" spans="1:51" ht="15.75" thickBot="1" x14ac:dyDescent="0.3">
      <c r="A95" s="44">
        <v>84</v>
      </c>
      <c r="B95" s="45">
        <f t="shared" si="11"/>
        <v>187031.55</v>
      </c>
      <c r="C95" s="45">
        <f t="shared" si="12"/>
        <v>173139.62</v>
      </c>
      <c r="D95" s="8"/>
      <c r="E95" s="436" t="s">
        <v>125</v>
      </c>
      <c r="F95" s="436" t="s">
        <v>126</v>
      </c>
      <c r="G95" s="437">
        <v>0.60819999999999996</v>
      </c>
      <c r="H95" s="437">
        <v>2</v>
      </c>
      <c r="I95" s="437"/>
      <c r="J95" s="8"/>
      <c r="N95" s="111"/>
      <c r="O95" s="8"/>
      <c r="P95" s="131">
        <v>5.0999999999999996</v>
      </c>
      <c r="Q95" s="132">
        <v>6</v>
      </c>
      <c r="R95" s="315">
        <v>1547.3400000000001</v>
      </c>
      <c r="S95" s="17">
        <v>1227.44</v>
      </c>
      <c r="T95" s="321">
        <f>+R95/S95-1</f>
        <v>0.26062373720915089</v>
      </c>
      <c r="U95" s="8"/>
      <c r="V95" s="321">
        <f t="shared" si="15"/>
        <v>0.25985000000000014</v>
      </c>
      <c r="W95" s="8"/>
      <c r="X95" s="8"/>
      <c r="Y95" s="8"/>
      <c r="Z95" s="8"/>
      <c r="AA95" s="8"/>
      <c r="AB95" s="8"/>
      <c r="AC95" s="8"/>
      <c r="AD95" s="92">
        <v>500000</v>
      </c>
      <c r="AE95" s="93" t="str">
        <f t="shared" si="14"/>
        <v/>
      </c>
      <c r="AF95" s="8"/>
      <c r="AG95" s="8"/>
      <c r="AH95" s="8"/>
      <c r="AK95" s="44">
        <v>84</v>
      </c>
      <c r="AL95" s="429">
        <v>187031.55</v>
      </c>
      <c r="AM95" s="429">
        <v>173139.62</v>
      </c>
      <c r="AN95" s="429">
        <v>166250.26</v>
      </c>
      <c r="AO95" s="429">
        <v>153901.88</v>
      </c>
      <c r="AP95" s="429">
        <v>175439.98</v>
      </c>
      <c r="AQ95" s="429">
        <v>162409.01999999999</v>
      </c>
      <c r="AR95" s="429">
        <v>187031.55</v>
      </c>
      <c r="AS95" s="429">
        <v>173139.62</v>
      </c>
      <c r="AT95" s="429">
        <v>166250.26</v>
      </c>
      <c r="AU95" s="429">
        <v>153901.88</v>
      </c>
      <c r="AV95" s="429">
        <v>149625.23000000001</v>
      </c>
      <c r="AW95" s="429">
        <v>138511.69</v>
      </c>
      <c r="AX95" s="429">
        <v>166250.26</v>
      </c>
      <c r="AY95" s="429">
        <v>153901.88</v>
      </c>
    </row>
    <row r="96" spans="1:51" ht="15.75" thickBot="1" x14ac:dyDescent="0.3">
      <c r="A96" s="44">
        <v>85</v>
      </c>
      <c r="B96" s="45">
        <f t="shared" si="11"/>
        <v>198042.83</v>
      </c>
      <c r="C96" s="45">
        <f t="shared" si="12"/>
        <v>182830.09</v>
      </c>
      <c r="D96" s="8"/>
      <c r="E96" s="438" t="s">
        <v>200</v>
      </c>
      <c r="F96" s="438" t="s">
        <v>204</v>
      </c>
      <c r="G96" s="402">
        <v>0.49159999999999998</v>
      </c>
      <c r="H96" s="438">
        <v>1</v>
      </c>
      <c r="I96" s="439"/>
      <c r="J96" s="8"/>
      <c r="N96" s="111"/>
      <c r="O96" s="8"/>
      <c r="P96" s="131">
        <v>6.1</v>
      </c>
      <c r="Q96" s="132">
        <v>7</v>
      </c>
      <c r="R96" s="315">
        <v>1763.7900000000002</v>
      </c>
      <c r="S96" s="17">
        <v>1399.67</v>
      </c>
      <c r="T96" s="321">
        <f>+R96/S96-1</f>
        <v>0.26014703465816957</v>
      </c>
      <c r="U96" s="8"/>
      <c r="V96" s="321">
        <f t="shared" si="15"/>
        <v>0.25985000000000014</v>
      </c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K96" s="44">
        <v>85</v>
      </c>
      <c r="AL96" s="429">
        <v>198042.83</v>
      </c>
      <c r="AM96" s="429">
        <v>182830.09</v>
      </c>
      <c r="AN96" s="429">
        <v>278179.7</v>
      </c>
      <c r="AO96" s="429">
        <v>250737.28</v>
      </c>
      <c r="AP96" s="429">
        <v>185768.81</v>
      </c>
      <c r="AQ96" s="429">
        <v>171498.91</v>
      </c>
      <c r="AR96" s="429">
        <v>198042.83</v>
      </c>
      <c r="AS96" s="429">
        <v>182830.09</v>
      </c>
      <c r="AT96" s="429">
        <v>278179.7</v>
      </c>
      <c r="AU96" s="429">
        <v>250737.28</v>
      </c>
      <c r="AV96" s="429">
        <v>250361.73</v>
      </c>
      <c r="AW96" s="429">
        <v>225663.55</v>
      </c>
      <c r="AX96" s="429">
        <v>278179.7</v>
      </c>
      <c r="AY96" s="429">
        <v>250737.28</v>
      </c>
    </row>
    <row r="97" spans="1:52" ht="15.75" thickBot="1" x14ac:dyDescent="0.3">
      <c r="A97" s="44">
        <v>86</v>
      </c>
      <c r="B97" s="45">
        <f t="shared" si="11"/>
        <v>209689.87</v>
      </c>
      <c r="C97" s="45">
        <f t="shared" si="12"/>
        <v>193054.05</v>
      </c>
      <c r="D97" s="8"/>
      <c r="E97" s="438" t="s">
        <v>129</v>
      </c>
      <c r="F97" s="440" t="s">
        <v>204</v>
      </c>
      <c r="G97" s="402">
        <v>0.49159999999999998</v>
      </c>
      <c r="H97" s="438">
        <v>1</v>
      </c>
      <c r="I97" s="439"/>
      <c r="J97" s="8"/>
      <c r="N97" s="111"/>
      <c r="O97" s="8"/>
      <c r="P97" s="131">
        <v>7.1</v>
      </c>
      <c r="Q97" s="132">
        <v>8</v>
      </c>
      <c r="R97" s="315">
        <v>1980.2400000000002</v>
      </c>
      <c r="S97" s="17">
        <v>1571.89</v>
      </c>
      <c r="T97" s="321">
        <f>+R97/S97-1</f>
        <v>0.25978280922965347</v>
      </c>
      <c r="U97" s="8"/>
      <c r="V97" s="321">
        <f t="shared" si="15"/>
        <v>0.25985000000000014</v>
      </c>
      <c r="W97" s="8"/>
      <c r="X97" s="8"/>
      <c r="Y97" s="8"/>
      <c r="Z97" s="8"/>
      <c r="AA97" s="8"/>
      <c r="AB97" s="14" t="s">
        <v>134</v>
      </c>
      <c r="AC97" s="14" t="s">
        <v>52</v>
      </c>
      <c r="AD97" s="14" t="s">
        <v>135</v>
      </c>
      <c r="AE97" s="95" t="s">
        <v>82</v>
      </c>
      <c r="AF97" s="8"/>
      <c r="AG97" s="8"/>
      <c r="AH97" s="8"/>
      <c r="AK97" s="44">
        <v>86</v>
      </c>
      <c r="AL97" s="429">
        <v>209689.87</v>
      </c>
      <c r="AM97" s="429">
        <v>193054.05</v>
      </c>
      <c r="AN97" s="429">
        <v>330336.40999999997</v>
      </c>
      <c r="AO97" s="429">
        <v>294464.23</v>
      </c>
      <c r="AP97" s="429">
        <v>196694.01</v>
      </c>
      <c r="AQ97" s="429">
        <v>181089.23</v>
      </c>
      <c r="AR97" s="429">
        <v>209689.87</v>
      </c>
      <c r="AS97" s="429">
        <v>193054.05</v>
      </c>
      <c r="AT97" s="429">
        <v>330336.40999999997</v>
      </c>
      <c r="AU97" s="429">
        <v>294464.23</v>
      </c>
      <c r="AV97" s="429">
        <v>297302.77</v>
      </c>
      <c r="AW97" s="429">
        <v>265017.81</v>
      </c>
      <c r="AX97" s="429">
        <v>330336.40999999997</v>
      </c>
      <c r="AY97" s="429">
        <v>294464.23</v>
      </c>
    </row>
    <row r="98" spans="1:52" x14ac:dyDescent="0.25">
      <c r="A98" s="44">
        <v>87</v>
      </c>
      <c r="B98" s="45">
        <f t="shared" si="11"/>
        <v>222031.81</v>
      </c>
      <c r="C98" s="45">
        <f t="shared" si="12"/>
        <v>203843.55</v>
      </c>
      <c r="D98" s="8"/>
      <c r="E98" s="438" t="s">
        <v>130</v>
      </c>
      <c r="F98" s="147" t="s">
        <v>131</v>
      </c>
      <c r="G98" s="438">
        <v>0.43109999999999998</v>
      </c>
      <c r="H98" s="438">
        <v>1</v>
      </c>
      <c r="I98" s="439">
        <v>0.1</v>
      </c>
      <c r="J98" s="8"/>
      <c r="N98" s="111"/>
      <c r="O98" s="8"/>
      <c r="P98" s="131">
        <v>8.1</v>
      </c>
      <c r="Q98" s="132">
        <v>10</v>
      </c>
      <c r="R98" s="315">
        <v>2089.02</v>
      </c>
      <c r="S98" s="17"/>
      <c r="T98" s="8"/>
      <c r="U98" s="8"/>
      <c r="V98" s="8"/>
      <c r="W98" s="8"/>
      <c r="X98" s="8"/>
      <c r="Y98" s="8"/>
      <c r="Z98" s="8"/>
      <c r="AA98" s="8"/>
      <c r="AB98" s="84" t="str">
        <f>IF(AND('GOLDEN SALUD IND'!G34&gt;19,'GOLDEN SALUD IND'!G34&lt;56,'GOLDEN SALUD IND'!F34="F"),'GOLDEN SALUD IND'!G34,"")</f>
        <v/>
      </c>
      <c r="AC98" s="84" t="str">
        <f>IF(AB98="","",VLOOKUP(AB98,$Y$10:$AH$19,10,TRUE))</f>
        <v/>
      </c>
      <c r="AD98" s="85">
        <v>250000</v>
      </c>
      <c r="AE98" s="86" t="str">
        <f t="shared" ref="AE98:AE103" si="16">IF($B$125="NO","",IF($AB$98=""," ",IF(HLOOKUP(AD98,$AB$9:$AG$19,$AC$98,FALSE)&lt;3000,AD98," ")))</f>
        <v/>
      </c>
      <c r="AF98" s="8"/>
      <c r="AG98" s="8"/>
      <c r="AH98" s="8"/>
      <c r="AK98" s="44">
        <v>87</v>
      </c>
      <c r="AL98" s="429">
        <v>222031.81</v>
      </c>
      <c r="AM98" s="429">
        <v>203843.55</v>
      </c>
      <c r="AN98" s="429">
        <v>370465.64</v>
      </c>
      <c r="AO98" s="429">
        <v>327646.59999999998</v>
      </c>
      <c r="AP98" s="429">
        <v>208271.05</v>
      </c>
      <c r="AQ98" s="429">
        <v>191210.03</v>
      </c>
      <c r="AR98" s="429">
        <v>222031.81</v>
      </c>
      <c r="AS98" s="429">
        <v>203843.55</v>
      </c>
      <c r="AT98" s="429">
        <v>370465.64</v>
      </c>
      <c r="AU98" s="429">
        <v>327646.59999999998</v>
      </c>
      <c r="AV98" s="429">
        <v>333419.08</v>
      </c>
      <c r="AW98" s="429">
        <v>294881.94</v>
      </c>
      <c r="AX98" s="429">
        <v>370465.64</v>
      </c>
      <c r="AY98" s="429">
        <v>327646.59999999998</v>
      </c>
    </row>
    <row r="99" spans="1:52" ht="15.75" thickBot="1" x14ac:dyDescent="0.3">
      <c r="A99" s="44">
        <v>88</v>
      </c>
      <c r="B99" s="45">
        <f t="shared" si="11"/>
        <v>235103.16</v>
      </c>
      <c r="C99" s="45">
        <f t="shared" si="12"/>
        <v>215240.48</v>
      </c>
      <c r="D99" s="8"/>
      <c r="E99" s="438" t="s">
        <v>132</v>
      </c>
      <c r="F99" s="440" t="s">
        <v>133</v>
      </c>
      <c r="G99" s="438">
        <v>0.59830000000000005</v>
      </c>
      <c r="H99" s="438">
        <v>1</v>
      </c>
      <c r="I99" s="439">
        <v>0.1</v>
      </c>
      <c r="J99" s="8"/>
      <c r="N99" s="111"/>
      <c r="O99" s="8"/>
      <c r="P99" s="145"/>
      <c r="Q99" s="146"/>
      <c r="R99" s="173"/>
      <c r="S99" s="17"/>
      <c r="T99" s="8"/>
      <c r="U99" s="8"/>
      <c r="V99" s="8"/>
      <c r="W99" s="8"/>
      <c r="X99" s="8"/>
      <c r="Y99" s="8"/>
      <c r="Z99" s="8"/>
      <c r="AA99" s="8"/>
      <c r="AB99" s="8"/>
      <c r="AC99" s="8"/>
      <c r="AD99" s="88">
        <v>300000</v>
      </c>
      <c r="AE99" s="89" t="str">
        <f t="shared" si="16"/>
        <v/>
      </c>
      <c r="AF99" s="8"/>
      <c r="AG99" s="8"/>
      <c r="AH99" s="8"/>
      <c r="AK99" s="44">
        <v>88</v>
      </c>
      <c r="AL99" s="429">
        <v>235103.16</v>
      </c>
      <c r="AM99" s="429">
        <v>215240.48</v>
      </c>
      <c r="AN99" s="429">
        <v>370465.64</v>
      </c>
      <c r="AO99" s="429">
        <v>327646.59999999998</v>
      </c>
      <c r="AP99" s="429">
        <v>220532.28</v>
      </c>
      <c r="AQ99" s="429">
        <v>201900.62</v>
      </c>
      <c r="AR99" s="429">
        <v>235103.16</v>
      </c>
      <c r="AS99" s="429">
        <v>215240.48</v>
      </c>
      <c r="AT99" s="429">
        <v>370465.64</v>
      </c>
      <c r="AU99" s="429">
        <v>327646.59999999998</v>
      </c>
      <c r="AV99" s="429">
        <v>333419.08</v>
      </c>
      <c r="AW99" s="429">
        <v>294881.94</v>
      </c>
      <c r="AX99" s="429">
        <v>370465.64</v>
      </c>
      <c r="AY99" s="429">
        <v>327646.59999999998</v>
      </c>
    </row>
    <row r="100" spans="1:52" x14ac:dyDescent="0.25">
      <c r="A100" s="44">
        <v>89</v>
      </c>
      <c r="B100" s="45">
        <f t="shared" si="11"/>
        <v>248928.56</v>
      </c>
      <c r="C100" s="45">
        <f t="shared" si="12"/>
        <v>227273.17</v>
      </c>
      <c r="D100" s="8"/>
      <c r="E100" s="438" t="s">
        <v>136</v>
      </c>
      <c r="F100" s="438" t="s">
        <v>204</v>
      </c>
      <c r="G100" s="402">
        <v>0.49159999999999998</v>
      </c>
      <c r="H100" s="438">
        <v>1</v>
      </c>
      <c r="I100" s="439"/>
      <c r="J100" s="8"/>
      <c r="N100" s="111"/>
      <c r="O100" s="8"/>
      <c r="P100" s="8"/>
      <c r="Q100" s="8"/>
      <c r="R100" s="8"/>
      <c r="S100" s="17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8">
        <v>350000</v>
      </c>
      <c r="AE100" s="89" t="str">
        <f t="shared" si="16"/>
        <v/>
      </c>
      <c r="AF100" s="8"/>
      <c r="AG100" s="8"/>
      <c r="AH100" s="8"/>
      <c r="AK100" s="44">
        <v>89</v>
      </c>
      <c r="AL100" s="429">
        <v>248928.56</v>
      </c>
      <c r="AM100" s="429">
        <v>227273.17</v>
      </c>
      <c r="AN100" s="429">
        <v>221269.82720000009</v>
      </c>
      <c r="AO100" s="429">
        <v>202020.59200000003</v>
      </c>
      <c r="AP100" s="429">
        <v>233500.82</v>
      </c>
      <c r="AQ100" s="429">
        <v>213187.56</v>
      </c>
      <c r="AR100" s="429">
        <v>248928.56</v>
      </c>
      <c r="AS100" s="429">
        <v>227273.17</v>
      </c>
      <c r="AT100" s="429">
        <v>221269.83</v>
      </c>
      <c r="AU100" s="429">
        <v>202020.59</v>
      </c>
      <c r="AV100" s="429">
        <v>199142.85</v>
      </c>
      <c r="AW100" s="429">
        <v>181818.53</v>
      </c>
      <c r="AX100" s="429">
        <v>221269.82720000009</v>
      </c>
      <c r="AY100" s="429">
        <v>202020.59200000003</v>
      </c>
    </row>
    <row r="101" spans="1:52" x14ac:dyDescent="0.25">
      <c r="A101" s="44">
        <v>90</v>
      </c>
      <c r="B101" s="45">
        <f t="shared" si="11"/>
        <v>263583.15000000002</v>
      </c>
      <c r="C101" s="45">
        <f t="shared" si="12"/>
        <v>239891.1</v>
      </c>
      <c r="D101" s="8"/>
      <c r="E101" s="438" t="s">
        <v>201</v>
      </c>
      <c r="F101" s="147" t="s">
        <v>1</v>
      </c>
      <c r="G101" s="438">
        <v>1</v>
      </c>
      <c r="H101" s="402">
        <v>1</v>
      </c>
      <c r="I101" s="439">
        <v>0.1</v>
      </c>
      <c r="J101" s="8"/>
      <c r="N101" s="111"/>
      <c r="O101" s="8"/>
      <c r="P101" s="8"/>
      <c r="Q101" s="8"/>
      <c r="R101" s="8"/>
      <c r="S101" s="17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8">
        <v>400000</v>
      </c>
      <c r="AE101" s="89" t="str">
        <f t="shared" si="16"/>
        <v/>
      </c>
      <c r="AF101" s="8"/>
      <c r="AG101" s="8"/>
      <c r="AH101" s="8"/>
      <c r="AK101" s="44">
        <v>90</v>
      </c>
      <c r="AL101" s="429">
        <v>263583.15000000002</v>
      </c>
      <c r="AM101" s="429">
        <v>239891.1</v>
      </c>
      <c r="AN101" s="429">
        <v>234296.13600000006</v>
      </c>
      <c r="AO101" s="429">
        <v>213236.53520000007</v>
      </c>
      <c r="AP101" s="429">
        <v>247247.18</v>
      </c>
      <c r="AQ101" s="429">
        <v>225023.48</v>
      </c>
      <c r="AR101" s="429">
        <v>263583.15000000002</v>
      </c>
      <c r="AS101" s="429">
        <v>239891.1</v>
      </c>
      <c r="AT101" s="429">
        <v>234296.14</v>
      </c>
      <c r="AU101" s="429">
        <v>213236.54</v>
      </c>
      <c r="AV101" s="429">
        <v>210866.53</v>
      </c>
      <c r="AW101" s="429">
        <v>191912.89</v>
      </c>
      <c r="AX101" s="429">
        <v>234296.13600000006</v>
      </c>
      <c r="AY101" s="429">
        <v>213236.53520000007</v>
      </c>
    </row>
    <row r="102" spans="1:52" x14ac:dyDescent="0.25">
      <c r="A102" s="44">
        <v>91</v>
      </c>
      <c r="B102" s="45">
        <f t="shared" si="11"/>
        <v>279119.93</v>
      </c>
      <c r="C102" s="45">
        <f t="shared" si="12"/>
        <v>253197.78</v>
      </c>
      <c r="D102" s="8"/>
      <c r="E102" s="438" t="s">
        <v>137</v>
      </c>
      <c r="F102" s="147" t="s">
        <v>59</v>
      </c>
      <c r="G102" s="402">
        <v>0.64490000000000003</v>
      </c>
      <c r="H102" s="402">
        <v>4</v>
      </c>
      <c r="I102" s="402"/>
      <c r="J102" s="8"/>
      <c r="K102" s="417"/>
      <c r="L102" s="111"/>
      <c r="N102" s="111"/>
      <c r="O102" s="8"/>
      <c r="P102" s="8"/>
      <c r="Q102" s="8"/>
      <c r="R102" s="17"/>
      <c r="S102" s="17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8">
        <v>450000</v>
      </c>
      <c r="AE102" s="89" t="str">
        <f t="shared" si="16"/>
        <v/>
      </c>
      <c r="AF102" s="8"/>
      <c r="AG102" s="8"/>
      <c r="AH102" s="8"/>
      <c r="AK102" s="44">
        <v>91</v>
      </c>
      <c r="AL102" s="429">
        <v>279119.93</v>
      </c>
      <c r="AM102" s="429">
        <v>253197.78</v>
      </c>
      <c r="AN102" s="429">
        <v>248106.60800000007</v>
      </c>
      <c r="AO102" s="429">
        <v>225064.69520000005</v>
      </c>
      <c r="AP102" s="429">
        <v>261821.04</v>
      </c>
      <c r="AQ102" s="429">
        <v>237505.46</v>
      </c>
      <c r="AR102" s="429">
        <v>279119.93</v>
      </c>
      <c r="AS102" s="429">
        <v>253197.78</v>
      </c>
      <c r="AT102" s="429">
        <v>248106.61</v>
      </c>
      <c r="AU102" s="429">
        <v>225064.7</v>
      </c>
      <c r="AV102" s="429">
        <v>223295.95</v>
      </c>
      <c r="AW102" s="429">
        <v>202558.23</v>
      </c>
      <c r="AX102" s="429">
        <v>248106.60800000007</v>
      </c>
      <c r="AY102" s="429">
        <v>225064.69520000005</v>
      </c>
    </row>
    <row r="103" spans="1:52" ht="15.75" thickBot="1" x14ac:dyDescent="0.3">
      <c r="A103" s="44">
        <v>92</v>
      </c>
      <c r="B103" s="45">
        <f t="shared" si="11"/>
        <v>295553.68</v>
      </c>
      <c r="C103" s="45">
        <f t="shared" si="12"/>
        <v>267257.28000000003</v>
      </c>
      <c r="D103" s="8"/>
      <c r="E103" s="438" t="str">
        <f>IF('GOLDEN SALUD IND'!$D$8="PÓLIZA NUEVA","","Colima")</f>
        <v>Colima</v>
      </c>
      <c r="F103" s="438" t="s">
        <v>139</v>
      </c>
      <c r="G103" s="438">
        <v>0.62270000000000003</v>
      </c>
      <c r="H103" s="438">
        <v>8</v>
      </c>
      <c r="I103" s="438"/>
      <c r="J103" s="8"/>
      <c r="K103" s="111"/>
      <c r="L103" s="111"/>
      <c r="M103" s="111"/>
      <c r="N103" s="111"/>
      <c r="O103" s="8"/>
      <c r="P103" s="8"/>
      <c r="Q103" s="8"/>
      <c r="R103" s="17"/>
      <c r="S103" s="17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92">
        <v>500000</v>
      </c>
      <c r="AE103" s="93" t="str">
        <f t="shared" si="16"/>
        <v/>
      </c>
      <c r="AF103" s="8"/>
      <c r="AG103" s="8"/>
      <c r="AH103" s="8"/>
      <c r="AK103" s="44">
        <v>92</v>
      </c>
      <c r="AL103" s="429">
        <v>295553.68</v>
      </c>
      <c r="AM103" s="429">
        <v>267257.28000000003</v>
      </c>
      <c r="AN103" s="429">
        <v>262714.3856000001</v>
      </c>
      <c r="AO103" s="429">
        <v>237562.02240000005</v>
      </c>
      <c r="AP103" s="429">
        <v>277236.28999999998</v>
      </c>
      <c r="AQ103" s="429">
        <v>250693.59</v>
      </c>
      <c r="AR103" s="429">
        <v>295553.68</v>
      </c>
      <c r="AS103" s="429">
        <v>267257.28000000003</v>
      </c>
      <c r="AT103" s="429">
        <v>262714.39</v>
      </c>
      <c r="AU103" s="429">
        <v>237562.02</v>
      </c>
      <c r="AV103" s="429">
        <v>236442.95</v>
      </c>
      <c r="AW103" s="429">
        <v>213805.82</v>
      </c>
      <c r="AX103" s="429">
        <v>262714.3856000001</v>
      </c>
      <c r="AY103" s="429">
        <v>237562.02240000005</v>
      </c>
    </row>
    <row r="104" spans="1:52" ht="15.75" thickBot="1" x14ac:dyDescent="0.3">
      <c r="A104" s="44">
        <v>93</v>
      </c>
      <c r="B104" s="45">
        <f t="shared" si="11"/>
        <v>312952.17</v>
      </c>
      <c r="C104" s="45">
        <f t="shared" si="12"/>
        <v>282079.44</v>
      </c>
      <c r="D104" s="8"/>
      <c r="E104" s="438" t="s">
        <v>141</v>
      </c>
      <c r="F104" s="147" t="s">
        <v>59</v>
      </c>
      <c r="G104" s="402">
        <v>0.64490000000000003</v>
      </c>
      <c r="H104" s="402">
        <v>4</v>
      </c>
      <c r="I104" s="402"/>
      <c r="J104" s="8"/>
      <c r="K104" s="8"/>
      <c r="L104" s="112"/>
      <c r="M104" s="111"/>
      <c r="N104" s="111"/>
      <c r="O104" s="8"/>
      <c r="P104" s="8"/>
      <c r="Q104" s="14" t="s">
        <v>145</v>
      </c>
      <c r="R104" s="17"/>
      <c r="S104" s="17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K104" s="44">
        <v>93</v>
      </c>
      <c r="AL104" s="429">
        <v>312952.17</v>
      </c>
      <c r="AM104" s="429">
        <v>282079.44</v>
      </c>
      <c r="AN104" s="429">
        <v>278179.70480000007</v>
      </c>
      <c r="AO104" s="429">
        <v>250737.27840000004</v>
      </c>
      <c r="AP104" s="429">
        <v>293556.46999999997</v>
      </c>
      <c r="AQ104" s="429">
        <v>264597.13</v>
      </c>
      <c r="AR104" s="429">
        <v>312952.17</v>
      </c>
      <c r="AS104" s="429">
        <v>282079.44</v>
      </c>
      <c r="AT104" s="429">
        <v>278179.7</v>
      </c>
      <c r="AU104" s="429">
        <v>250737.28</v>
      </c>
      <c r="AV104" s="429">
        <v>250361.73</v>
      </c>
      <c r="AW104" s="429">
        <v>225663.55</v>
      </c>
      <c r="AX104" s="429">
        <v>278179.70480000007</v>
      </c>
      <c r="AY104" s="429">
        <v>250737.27840000004</v>
      </c>
    </row>
    <row r="105" spans="1:52" ht="15.75" thickBot="1" x14ac:dyDescent="0.3">
      <c r="A105" s="44">
        <v>94</v>
      </c>
      <c r="B105" s="45">
        <f t="shared" si="11"/>
        <v>331401.63</v>
      </c>
      <c r="C105" s="45">
        <f t="shared" si="12"/>
        <v>297723.40999999997</v>
      </c>
      <c r="D105" s="8"/>
      <c r="E105" s="438" t="s">
        <v>142</v>
      </c>
      <c r="F105" s="147" t="s">
        <v>143</v>
      </c>
      <c r="G105" s="401">
        <v>0.86</v>
      </c>
      <c r="H105" s="402">
        <v>1</v>
      </c>
      <c r="I105" s="439">
        <v>0.1</v>
      </c>
      <c r="J105" s="8"/>
      <c r="K105" s="576" t="s">
        <v>94</v>
      </c>
      <c r="L105" s="584"/>
      <c r="M105" s="577"/>
      <c r="N105" s="111"/>
      <c r="O105" s="8"/>
      <c r="P105" s="8"/>
      <c r="Q105" s="80" t="str">
        <f>IF('GOLDEN SALUD IND'!I21="NO","","SI")</f>
        <v>SI</v>
      </c>
      <c r="R105" s="17"/>
      <c r="S105" s="17"/>
      <c r="T105" s="8"/>
      <c r="U105" s="8"/>
      <c r="V105" s="8"/>
      <c r="W105" s="8"/>
      <c r="X105" s="8"/>
      <c r="Y105" s="8"/>
      <c r="Z105" s="8"/>
      <c r="AA105" s="8"/>
      <c r="AB105" s="14" t="s">
        <v>147</v>
      </c>
      <c r="AC105" s="14" t="s">
        <v>52</v>
      </c>
      <c r="AD105" s="14" t="s">
        <v>148</v>
      </c>
      <c r="AE105" s="95" t="s">
        <v>82</v>
      </c>
      <c r="AF105" s="8"/>
      <c r="AG105" s="8"/>
      <c r="AH105" s="8"/>
      <c r="AK105" s="44">
        <v>94</v>
      </c>
      <c r="AL105" s="429">
        <v>331401.63</v>
      </c>
      <c r="AM105" s="429">
        <v>297723.40999999997</v>
      </c>
      <c r="AN105" s="429">
        <v>294579.22960000008</v>
      </c>
      <c r="AO105" s="429">
        <v>264643.0328000001</v>
      </c>
      <c r="AP105" s="429">
        <v>310862.5</v>
      </c>
      <c r="AQ105" s="429">
        <v>279271.53999999998</v>
      </c>
      <c r="AR105" s="429">
        <v>331401.63</v>
      </c>
      <c r="AS105" s="429">
        <v>297723.40999999997</v>
      </c>
      <c r="AT105" s="429">
        <v>294579.23</v>
      </c>
      <c r="AU105" s="429">
        <v>264643.03000000003</v>
      </c>
      <c r="AV105" s="429">
        <v>265121.31</v>
      </c>
      <c r="AW105" s="429">
        <v>238178.73</v>
      </c>
      <c r="AX105" s="429">
        <v>294579.22960000008</v>
      </c>
      <c r="AY105" s="429">
        <v>264643.0328000001</v>
      </c>
    </row>
    <row r="106" spans="1:52" ht="15.75" thickBot="1" x14ac:dyDescent="0.3">
      <c r="A106" s="44">
        <v>95</v>
      </c>
      <c r="B106" s="45">
        <f t="shared" si="11"/>
        <v>350935.35</v>
      </c>
      <c r="C106" s="45">
        <f t="shared" si="12"/>
        <v>314052.43</v>
      </c>
      <c r="D106" s="8"/>
      <c r="E106" s="438" t="s">
        <v>144</v>
      </c>
      <c r="F106" s="147" t="s">
        <v>126</v>
      </c>
      <c r="G106" s="402">
        <v>0.60819999999999996</v>
      </c>
      <c r="H106" s="402">
        <v>2</v>
      </c>
      <c r="I106" s="441"/>
      <c r="J106" s="8"/>
      <c r="K106" s="16" t="s">
        <v>95</v>
      </c>
      <c r="L106" s="16" t="s">
        <v>96</v>
      </c>
      <c r="M106" s="16" t="s">
        <v>97</v>
      </c>
      <c r="N106" s="57"/>
      <c r="O106" s="8"/>
      <c r="P106" s="8"/>
      <c r="Q106" s="128" t="str">
        <f>IF('GOLDEN SALUD IND'!I21="NO","","NO")</f>
        <v>NO</v>
      </c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4" t="str">
        <f>IF(AND('GOLDEN SALUD IND'!G35&gt;19,'GOLDEN SALUD IND'!G35&lt;56,'GOLDEN SALUD IND'!F35="F"),'GOLDEN SALUD IND'!G35,"")</f>
        <v/>
      </c>
      <c r="AC106" s="84" t="str">
        <f>IF(AB106="","",VLOOKUP(AB106,$Y$10:$AH$19,10,TRUE))</f>
        <v/>
      </c>
      <c r="AD106" s="85">
        <v>250000</v>
      </c>
      <c r="AE106" s="86" t="str">
        <f t="shared" ref="AE106:AE111" si="17">IF($B$125="NO","",IF($AB$106=""," ",IF(HLOOKUP(AD106,$AB$9:$AG$19,$AC$106,FALSE)&lt;3000,AD106," ")))</f>
        <v/>
      </c>
      <c r="AF106" s="8"/>
      <c r="AG106" s="8"/>
      <c r="AH106" s="8"/>
      <c r="AK106" s="44">
        <v>95</v>
      </c>
      <c r="AL106" s="429">
        <v>350935.35</v>
      </c>
      <c r="AM106" s="429">
        <v>314052.43</v>
      </c>
      <c r="AN106" s="429">
        <v>311942.53040000005</v>
      </c>
      <c r="AO106" s="429">
        <v>279157.71840000013</v>
      </c>
      <c r="AP106" s="429">
        <v>329185.58</v>
      </c>
      <c r="AQ106" s="429">
        <v>294588.55</v>
      </c>
      <c r="AR106" s="429">
        <v>350935.35</v>
      </c>
      <c r="AS106" s="429">
        <v>314052.43</v>
      </c>
      <c r="AT106" s="429">
        <v>311942.53000000003</v>
      </c>
      <c r="AU106" s="429">
        <v>279157.71999999997</v>
      </c>
      <c r="AV106" s="429">
        <v>280748.28000000003</v>
      </c>
      <c r="AW106" s="429">
        <v>251241.95</v>
      </c>
      <c r="AX106" s="429">
        <v>311942.53040000005</v>
      </c>
      <c r="AY106" s="429">
        <v>279157.71840000013</v>
      </c>
    </row>
    <row r="107" spans="1:52" x14ac:dyDescent="0.25">
      <c r="A107" s="44">
        <v>96</v>
      </c>
      <c r="B107" s="45">
        <f t="shared" si="11"/>
        <v>371628.47</v>
      </c>
      <c r="C107" s="45">
        <f t="shared" si="12"/>
        <v>331272.26</v>
      </c>
      <c r="D107" s="8"/>
      <c r="E107" s="438" t="s">
        <v>146</v>
      </c>
      <c r="F107" s="438" t="s">
        <v>133</v>
      </c>
      <c r="G107" s="438">
        <v>0.59830000000000005</v>
      </c>
      <c r="H107" s="438">
        <v>1</v>
      </c>
      <c r="I107" s="439">
        <v>0.1</v>
      </c>
      <c r="J107" s="8" t="s">
        <v>484</v>
      </c>
      <c r="K107" s="116">
        <v>19</v>
      </c>
      <c r="L107" s="116">
        <v>53</v>
      </c>
      <c r="M107" s="117">
        <v>1</v>
      </c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8">
        <v>300000</v>
      </c>
      <c r="AE107" s="89" t="str">
        <f t="shared" si="17"/>
        <v/>
      </c>
      <c r="AF107" s="8"/>
      <c r="AG107" s="8"/>
      <c r="AH107" s="8"/>
      <c r="AK107" s="44">
        <v>96</v>
      </c>
      <c r="AL107" s="429">
        <v>371628.47</v>
      </c>
      <c r="AM107" s="429">
        <v>331272.26</v>
      </c>
      <c r="AN107" s="429">
        <v>330336.41440000013</v>
      </c>
      <c r="AO107" s="429">
        <v>294464.23360000009</v>
      </c>
      <c r="AP107" s="429">
        <v>348596.22</v>
      </c>
      <c r="AQ107" s="429">
        <v>310741.15000000002</v>
      </c>
      <c r="AR107" s="429">
        <v>371628.47</v>
      </c>
      <c r="AS107" s="429">
        <v>331272.26</v>
      </c>
      <c r="AT107" s="429">
        <v>330336.40999999997</v>
      </c>
      <c r="AU107" s="429">
        <v>294464.23</v>
      </c>
      <c r="AV107" s="429">
        <v>297302.77</v>
      </c>
      <c r="AW107" s="429">
        <v>265017.81</v>
      </c>
      <c r="AX107" s="429">
        <v>330336.41440000013</v>
      </c>
      <c r="AY107" s="429">
        <v>294464.23360000009</v>
      </c>
    </row>
    <row r="108" spans="1:52" x14ac:dyDescent="0.25">
      <c r="A108" s="44">
        <v>97</v>
      </c>
      <c r="B108" s="45">
        <f t="shared" si="11"/>
        <v>393551.22</v>
      </c>
      <c r="C108" s="45">
        <f t="shared" si="12"/>
        <v>349439.58</v>
      </c>
      <c r="D108" s="8"/>
      <c r="E108" s="438" t="s">
        <v>149</v>
      </c>
      <c r="F108" s="147" t="s">
        <v>143</v>
      </c>
      <c r="G108" s="402">
        <v>0.86</v>
      </c>
      <c r="H108" s="402">
        <v>1</v>
      </c>
      <c r="I108" s="439"/>
      <c r="J108" s="8"/>
      <c r="K108" s="118">
        <v>54</v>
      </c>
      <c r="L108" s="118">
        <v>61</v>
      </c>
      <c r="M108" s="32">
        <v>5</v>
      </c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8">
        <v>350000</v>
      </c>
      <c r="AE108" s="89" t="str">
        <f t="shared" si="17"/>
        <v/>
      </c>
      <c r="AF108" s="8"/>
      <c r="AG108" s="8"/>
      <c r="AH108" s="8"/>
      <c r="AK108" s="44">
        <v>97</v>
      </c>
      <c r="AL108" s="429">
        <v>393551.22</v>
      </c>
      <c r="AM108" s="429">
        <v>349439.58</v>
      </c>
      <c r="AN108" s="429">
        <v>349823.30800000008</v>
      </c>
      <c r="AO108" s="429">
        <v>310612.95760000008</v>
      </c>
      <c r="AP108" s="429">
        <v>369160.27</v>
      </c>
      <c r="AQ108" s="429">
        <v>327782.52</v>
      </c>
      <c r="AR108" s="429">
        <v>393551.22</v>
      </c>
      <c r="AS108" s="429">
        <v>349439.58</v>
      </c>
      <c r="AT108" s="429">
        <v>349823.31</v>
      </c>
      <c r="AU108" s="429">
        <v>310612.96000000002</v>
      </c>
      <c r="AV108" s="429">
        <v>314840.98</v>
      </c>
      <c r="AW108" s="429">
        <v>279551.65999999997</v>
      </c>
      <c r="AX108" s="429">
        <v>349823.30800000008</v>
      </c>
      <c r="AY108" s="429">
        <v>310612.95760000008</v>
      </c>
    </row>
    <row r="109" spans="1:52" ht="15.75" thickBot="1" x14ac:dyDescent="0.3">
      <c r="A109" s="44">
        <v>98</v>
      </c>
      <c r="B109" s="45">
        <f t="shared" si="11"/>
        <v>416773.84</v>
      </c>
      <c r="C109" s="45">
        <f t="shared" si="12"/>
        <v>368602.43</v>
      </c>
      <c r="D109" s="8"/>
      <c r="E109" s="438" t="str">
        <f>IF('GOLDEN SALUD IND'!$D$8="PÓLIZA NUEVA","","Jalisco")</f>
        <v>Jalisco</v>
      </c>
      <c r="F109" s="440" t="s">
        <v>139</v>
      </c>
      <c r="G109" s="438">
        <v>0.62270000000000003</v>
      </c>
      <c r="H109" s="438">
        <v>8</v>
      </c>
      <c r="I109" s="438"/>
      <c r="J109" s="8"/>
      <c r="K109" s="118">
        <v>62</v>
      </c>
      <c r="L109" s="118">
        <v>69</v>
      </c>
      <c r="M109" s="32">
        <v>13</v>
      </c>
      <c r="N109" s="177"/>
      <c r="O109" s="8"/>
      <c r="P109" s="67" t="s">
        <v>50</v>
      </c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8">
        <v>400000</v>
      </c>
      <c r="AE109" s="89" t="str">
        <f t="shared" si="17"/>
        <v/>
      </c>
      <c r="AF109" s="8"/>
      <c r="AG109" s="8"/>
      <c r="AH109" s="8"/>
      <c r="AK109" s="44">
        <v>98</v>
      </c>
      <c r="AL109" s="429">
        <v>416773.84</v>
      </c>
      <c r="AM109" s="429">
        <v>368602.43</v>
      </c>
      <c r="AN109" s="429">
        <v>370465.63760000007</v>
      </c>
      <c r="AO109" s="429">
        <v>327646.60320000007</v>
      </c>
      <c r="AP109" s="429">
        <v>390943.64</v>
      </c>
      <c r="AQ109" s="429">
        <v>345757.72</v>
      </c>
      <c r="AR109" s="429">
        <v>416773.84</v>
      </c>
      <c r="AS109" s="429">
        <v>368602.43</v>
      </c>
      <c r="AT109" s="429">
        <v>370465.64</v>
      </c>
      <c r="AU109" s="429">
        <v>327646.59999999998</v>
      </c>
      <c r="AV109" s="429">
        <v>333419.08</v>
      </c>
      <c r="AW109" s="429">
        <v>294881.94</v>
      </c>
      <c r="AX109" s="429">
        <v>370465.63760000007</v>
      </c>
      <c r="AY109" s="429">
        <v>327646.60320000007</v>
      </c>
    </row>
    <row r="110" spans="1:52" ht="15.75" thickBot="1" x14ac:dyDescent="0.3">
      <c r="A110" s="44">
        <v>99</v>
      </c>
      <c r="B110" s="45">
        <f t="shared" si="11"/>
        <v>416773.84</v>
      </c>
      <c r="C110" s="45">
        <f t="shared" si="12"/>
        <v>368602.43</v>
      </c>
      <c r="D110" s="8"/>
      <c r="E110" s="438" t="s">
        <v>151</v>
      </c>
      <c r="F110" s="440" t="s">
        <v>198</v>
      </c>
      <c r="G110" s="438">
        <v>0.56869999999999998</v>
      </c>
      <c r="H110" s="438">
        <v>2</v>
      </c>
      <c r="I110" s="438"/>
      <c r="J110" s="8"/>
      <c r="K110" s="118">
        <v>70</v>
      </c>
      <c r="L110" s="118">
        <v>100</v>
      </c>
      <c r="M110" s="32">
        <v>19.100000000000001</v>
      </c>
      <c r="N110" s="8"/>
      <c r="O110" s="8"/>
      <c r="P110" s="576" t="s">
        <v>154</v>
      </c>
      <c r="Q110" s="577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8">
        <v>450000</v>
      </c>
      <c r="AE110" s="89" t="str">
        <f t="shared" si="17"/>
        <v/>
      </c>
      <c r="AF110" s="8"/>
      <c r="AG110" s="8"/>
      <c r="AH110" s="8"/>
      <c r="AK110" s="44">
        <v>99</v>
      </c>
      <c r="AL110" s="429">
        <v>416773.84</v>
      </c>
      <c r="AM110" s="429">
        <v>368602.43</v>
      </c>
      <c r="AN110" s="429">
        <v>370465.63760000007</v>
      </c>
      <c r="AO110" s="429">
        <v>327646.60320000007</v>
      </c>
      <c r="AP110" s="429">
        <v>390943.64</v>
      </c>
      <c r="AQ110" s="429">
        <v>345757.72</v>
      </c>
      <c r="AR110" s="429">
        <v>416773.84</v>
      </c>
      <c r="AS110" s="429">
        <v>368602.43</v>
      </c>
      <c r="AT110" s="429">
        <v>370465.64</v>
      </c>
      <c r="AU110" s="429">
        <v>327646.59999999998</v>
      </c>
      <c r="AV110" s="429">
        <v>333419.08</v>
      </c>
      <c r="AW110" s="429">
        <v>294881.94</v>
      </c>
      <c r="AX110" s="429">
        <v>370465.63760000007</v>
      </c>
      <c r="AY110" s="429">
        <v>327646.60320000007</v>
      </c>
    </row>
    <row r="111" spans="1:52" ht="15.75" thickBot="1" x14ac:dyDescent="0.3">
      <c r="A111" s="151">
        <v>100</v>
      </c>
      <c r="B111" s="152">
        <f t="shared" si="11"/>
        <v>416773.84</v>
      </c>
      <c r="C111" s="152">
        <f t="shared" si="12"/>
        <v>368602.43</v>
      </c>
      <c r="D111" s="8"/>
      <c r="E111" s="438" t="s">
        <v>152</v>
      </c>
      <c r="F111" s="438" t="s">
        <v>143</v>
      </c>
      <c r="G111" s="402">
        <v>0.86</v>
      </c>
      <c r="H111" s="402">
        <v>1</v>
      </c>
      <c r="I111" s="439">
        <v>0.1</v>
      </c>
      <c r="J111" s="8"/>
      <c r="K111" s="119">
        <v>101</v>
      </c>
      <c r="L111" s="119">
        <v>999999999</v>
      </c>
      <c r="M111" s="108">
        <v>35.4</v>
      </c>
      <c r="N111" s="8"/>
      <c r="O111" s="8"/>
      <c r="P111" s="16" t="s">
        <v>14</v>
      </c>
      <c r="Q111" s="16" t="s">
        <v>74</v>
      </c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92">
        <v>500000</v>
      </c>
      <c r="AE111" s="93" t="str">
        <f t="shared" si="17"/>
        <v/>
      </c>
      <c r="AF111" s="8"/>
      <c r="AG111" s="8"/>
      <c r="AH111" s="8"/>
      <c r="AK111" s="151">
        <v>100</v>
      </c>
      <c r="AL111" s="432">
        <v>416773.84</v>
      </c>
      <c r="AM111" s="432">
        <v>368602.43</v>
      </c>
      <c r="AN111" s="432">
        <v>370465.63760000007</v>
      </c>
      <c r="AO111" s="432">
        <v>327646.60320000007</v>
      </c>
      <c r="AP111" s="432">
        <v>390943.64</v>
      </c>
      <c r="AQ111" s="432">
        <v>345757.72</v>
      </c>
      <c r="AR111" s="432">
        <v>416773.84</v>
      </c>
      <c r="AS111" s="432">
        <v>368602.43</v>
      </c>
      <c r="AT111" s="432">
        <v>370465.64</v>
      </c>
      <c r="AU111" s="432">
        <v>327646.59999999998</v>
      </c>
      <c r="AV111" s="432">
        <v>333419.08</v>
      </c>
      <c r="AW111" s="432">
        <v>294881.94</v>
      </c>
      <c r="AX111" s="432">
        <v>370465.63760000007</v>
      </c>
      <c r="AY111" s="432">
        <v>327646.60320000007</v>
      </c>
    </row>
    <row r="112" spans="1:52" ht="15.75" thickBot="1" x14ac:dyDescent="0.3">
      <c r="A112" s="8"/>
      <c r="B112" s="8"/>
      <c r="C112" s="8"/>
      <c r="D112" s="8"/>
      <c r="E112" s="438" t="str">
        <f>IF('GOLDEN SALUD IND'!$D$8="PÓLIZA NUEVA","","Nayarit")</f>
        <v>Nayarit</v>
      </c>
      <c r="F112" s="147" t="s">
        <v>139</v>
      </c>
      <c r="G112" s="438">
        <v>0.62270000000000003</v>
      </c>
      <c r="H112" s="438">
        <v>8</v>
      </c>
      <c r="I112" s="438"/>
      <c r="J112" s="8"/>
      <c r="K112" s="112"/>
      <c r="L112" s="111"/>
      <c r="M112" s="111"/>
      <c r="N112" s="8"/>
      <c r="O112" s="8"/>
      <c r="P112" s="153" t="s">
        <v>8</v>
      </c>
      <c r="Q112" s="153">
        <v>1</v>
      </c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</row>
    <row r="113" spans="1:31" ht="15.75" thickBot="1" x14ac:dyDescent="0.3">
      <c r="A113" s="8" t="s">
        <v>187</v>
      </c>
      <c r="B113" s="8" t="str">
        <f>'GOLDEN SALUD IND'!D8</f>
        <v>PÓLIZA RENOVADA</v>
      </c>
      <c r="C113" s="8"/>
      <c r="D113" s="8"/>
      <c r="E113" s="438" t="s">
        <v>155</v>
      </c>
      <c r="F113" s="440" t="s">
        <v>59</v>
      </c>
      <c r="G113" s="402">
        <v>0.64490000000000003</v>
      </c>
      <c r="H113" s="402">
        <v>4</v>
      </c>
      <c r="I113" s="402"/>
      <c r="J113" s="8"/>
      <c r="K113" s="112"/>
      <c r="L113" s="111"/>
      <c r="M113" s="111"/>
      <c r="N113" s="8"/>
      <c r="O113" s="8"/>
      <c r="P113" s="154" t="s">
        <v>191</v>
      </c>
      <c r="Q113" s="154">
        <v>1.1499999999999999</v>
      </c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14" t="s">
        <v>158</v>
      </c>
      <c r="AC113" s="14" t="s">
        <v>52</v>
      </c>
      <c r="AD113" s="14" t="s">
        <v>159</v>
      </c>
      <c r="AE113" s="95" t="s">
        <v>82</v>
      </c>
    </row>
    <row r="114" spans="1:31" ht="15.75" thickBot="1" x14ac:dyDescent="0.3">
      <c r="C114" s="8"/>
      <c r="D114" s="8"/>
      <c r="E114" s="438" t="s">
        <v>156</v>
      </c>
      <c r="F114" s="440" t="s">
        <v>133</v>
      </c>
      <c r="G114" s="438">
        <v>0.59830000000000005</v>
      </c>
      <c r="H114" s="438">
        <v>1</v>
      </c>
      <c r="I114" s="439">
        <v>0.1</v>
      </c>
      <c r="J114" s="8"/>
      <c r="K114" s="112"/>
      <c r="L114" s="111"/>
      <c r="M114" s="111"/>
      <c r="N114" s="8"/>
      <c r="O114" s="8"/>
      <c r="P114" s="155" t="s">
        <v>192</v>
      </c>
      <c r="Q114" s="174">
        <v>1.3</v>
      </c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4" t="str">
        <f>IF(AND('GOLDEN SALUD IND'!G36&gt;19,'GOLDEN SALUD IND'!G36&lt;56,'GOLDEN SALUD IND'!F36="F"),'GOLDEN SALUD IND'!G36,"")</f>
        <v/>
      </c>
      <c r="AC114" s="84" t="str">
        <f>IF(AB114="","",VLOOKUP(AB114,$Y$10:$AH$19,10,TRUE))</f>
        <v/>
      </c>
      <c r="AD114" s="85">
        <v>250000</v>
      </c>
      <c r="AE114" s="86" t="str">
        <f t="shared" ref="AE114:AE119" si="18">IF($B$125="NO","",IF($AB$114=""," ",IF(HLOOKUP(AD114,$AB$9:$AG$19,$AC$114,FALSE)&lt;3000,AD114," ")))</f>
        <v/>
      </c>
    </row>
    <row r="115" spans="1:31" ht="15.75" thickBot="1" x14ac:dyDescent="0.3">
      <c r="A115" s="156" t="s">
        <v>122</v>
      </c>
      <c r="B115" s="16" t="str">
        <f>+'GOLDEN SALUD IND'!D12</f>
        <v>Ciudad de México y Zona Metropolitana</v>
      </c>
      <c r="C115" s="8"/>
      <c r="D115" s="8"/>
      <c r="E115" s="438" t="s">
        <v>157</v>
      </c>
      <c r="F115" s="147" t="s">
        <v>133</v>
      </c>
      <c r="G115" s="438">
        <v>0.59830000000000005</v>
      </c>
      <c r="H115" s="438">
        <v>1</v>
      </c>
      <c r="I115" s="439">
        <v>0.1</v>
      </c>
      <c r="J115" s="8"/>
      <c r="K115" s="121" t="s">
        <v>101</v>
      </c>
      <c r="L115" s="121" t="s">
        <v>97</v>
      </c>
      <c r="M115" s="57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8">
        <v>300000</v>
      </c>
      <c r="AE115" s="89" t="str">
        <f t="shared" si="18"/>
        <v/>
      </c>
    </row>
    <row r="116" spans="1:31" ht="15.75" thickBot="1" x14ac:dyDescent="0.3">
      <c r="A116" s="156" t="s">
        <v>162</v>
      </c>
      <c r="B116" s="157">
        <f>+'GOLDEN SALUD IND'!E15</f>
        <v>1000</v>
      </c>
      <c r="C116" s="158">
        <f>+VLOOKUP(B116,$E$11:$F$22,2,FALSE)</f>
        <v>1.1254</v>
      </c>
      <c r="D116" s="8"/>
      <c r="E116" s="438" t="s">
        <v>160</v>
      </c>
      <c r="F116" s="438" t="s">
        <v>126</v>
      </c>
      <c r="G116" s="402">
        <v>0.60819999999999996</v>
      </c>
      <c r="H116" s="402">
        <v>2</v>
      </c>
      <c r="I116" s="402"/>
      <c r="J116" s="176" t="s">
        <v>190</v>
      </c>
      <c r="K116" s="122">
        <f>B116</f>
        <v>1000</v>
      </c>
      <c r="L116" s="123">
        <f>VLOOKUP(IF(K116="Sin Límite",999999999,K116),$K$107:$M$111,3,TRUE)</f>
        <v>35.4</v>
      </c>
      <c r="M116" s="8"/>
      <c r="N116" s="8"/>
      <c r="O116" s="8"/>
      <c r="P116" s="67" t="s">
        <v>50</v>
      </c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8">
        <v>350000</v>
      </c>
      <c r="AE116" s="89" t="str">
        <f t="shared" si="18"/>
        <v/>
      </c>
    </row>
    <row r="117" spans="1:31" ht="15.75" thickBot="1" x14ac:dyDescent="0.3">
      <c r="A117" s="156" t="s">
        <v>164</v>
      </c>
      <c r="B117" s="157">
        <f>'GOLDEN SALUD IND'!E16</f>
        <v>4</v>
      </c>
      <c r="C117" s="158">
        <f>+VLOOKUP(B117,$K$11:$L$26,2,FALSE)</f>
        <v>0.88119999999999998</v>
      </c>
      <c r="D117" s="8"/>
      <c r="E117" s="438" t="s">
        <v>161</v>
      </c>
      <c r="F117" s="147" t="s">
        <v>131</v>
      </c>
      <c r="G117" s="438">
        <v>0.43109999999999998</v>
      </c>
      <c r="H117" s="438">
        <v>1</v>
      </c>
      <c r="I117" s="439">
        <v>0.1</v>
      </c>
      <c r="J117" s="159"/>
      <c r="K117" s="8"/>
      <c r="L117" s="8"/>
      <c r="M117" s="8"/>
      <c r="N117" s="8"/>
      <c r="O117" s="8"/>
      <c r="P117" s="576" t="s">
        <v>166</v>
      </c>
      <c r="Q117" s="577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8">
        <v>400000</v>
      </c>
      <c r="AE117" s="89" t="str">
        <f t="shared" si="18"/>
        <v/>
      </c>
    </row>
    <row r="118" spans="1:31" ht="15.75" thickBot="1" x14ac:dyDescent="0.3">
      <c r="A118" s="156" t="s">
        <v>167</v>
      </c>
      <c r="B118" s="161">
        <f>'GOLDEN SALUD IND'!E17</f>
        <v>0.1</v>
      </c>
      <c r="C118" s="180">
        <f>VLOOKUP(B118,$P$11:$Q$21,2,FALSE)</f>
        <v>1</v>
      </c>
      <c r="E118" s="438" t="s">
        <v>163</v>
      </c>
      <c r="F118" s="440" t="s">
        <v>126</v>
      </c>
      <c r="G118" s="402">
        <v>0.60819999999999996</v>
      </c>
      <c r="H118" s="402">
        <f>IF(B4=2,2,7)</f>
        <v>2</v>
      </c>
      <c r="I118" s="441"/>
      <c r="J118" s="8"/>
      <c r="K118" s="177" t="s">
        <v>473</v>
      </c>
      <c r="L118" s="177"/>
      <c r="M118" s="177"/>
      <c r="N118" s="8"/>
      <c r="O118" s="8"/>
      <c r="P118" s="16" t="s">
        <v>169</v>
      </c>
      <c r="Q118" s="16" t="s">
        <v>74</v>
      </c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8">
        <v>450000</v>
      </c>
      <c r="AE118" s="89" t="str">
        <f t="shared" si="18"/>
        <v/>
      </c>
    </row>
    <row r="119" spans="1:31" ht="15.75" thickBot="1" x14ac:dyDescent="0.3">
      <c r="A119" s="156" t="s">
        <v>170</v>
      </c>
      <c r="B119" s="161" t="str">
        <f>'GOLDEN SALUD IND'!E18</f>
        <v>Serie 100</v>
      </c>
      <c r="C119" s="158">
        <f>IF(ISERROR(VLOOKUP(B119,$R$50:$S$54,2,FALSE)),0,VLOOKUP(B119,$R$50:$S$54,2,FALSE))</f>
        <v>0.83499999999999996</v>
      </c>
      <c r="D119" s="8"/>
      <c r="E119" s="438" t="s">
        <v>165</v>
      </c>
      <c r="F119" s="147" t="s">
        <v>198</v>
      </c>
      <c r="G119" s="438">
        <v>0.56869999999999998</v>
      </c>
      <c r="H119" s="438">
        <v>2</v>
      </c>
      <c r="I119" s="438"/>
      <c r="J119" s="8"/>
      <c r="K119" s="124" t="s">
        <v>194</v>
      </c>
      <c r="L119" s="313">
        <v>2641.15</v>
      </c>
      <c r="M119" s="8"/>
      <c r="N119" s="8"/>
      <c r="O119" s="8"/>
      <c r="P119" s="153" t="s">
        <v>8</v>
      </c>
      <c r="Q119" s="153">
        <v>1</v>
      </c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92">
        <v>500000</v>
      </c>
      <c r="AE119" s="93" t="str">
        <f t="shared" si="18"/>
        <v/>
      </c>
    </row>
    <row r="120" spans="1:31" ht="15.75" thickBot="1" x14ac:dyDescent="0.3">
      <c r="A120" s="156" t="s">
        <v>172</v>
      </c>
      <c r="B120" s="16">
        <f>+'GOLDEN SALUD IND'!E19</f>
        <v>21</v>
      </c>
      <c r="C120" s="158">
        <f>IF(ISERROR(VLOOKUP(B120,$R$60:$S$71,2,FALSE))=TRUE,0,VLOOKUP(B120,$R$60:$S$71,2,FALSE))</f>
        <v>1</v>
      </c>
      <c r="D120" s="8"/>
      <c r="E120" s="438" t="s">
        <v>168</v>
      </c>
      <c r="F120" s="147" t="s">
        <v>204</v>
      </c>
      <c r="G120" s="402">
        <v>0.49159999999999998</v>
      </c>
      <c r="H120" s="438">
        <v>1</v>
      </c>
      <c r="I120" s="439"/>
      <c r="J120" s="8"/>
      <c r="K120" s="8"/>
      <c r="L120" s="8"/>
      <c r="M120" s="8"/>
      <c r="N120" s="8"/>
      <c r="O120" s="8"/>
      <c r="P120" s="155" t="s">
        <v>17</v>
      </c>
      <c r="Q120" s="155">
        <v>1.04</v>
      </c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</row>
    <row r="121" spans="1:31" ht="15.75" thickBot="1" x14ac:dyDescent="0.3">
      <c r="A121" s="156" t="s">
        <v>174</v>
      </c>
      <c r="B121" s="16" t="str">
        <f>'GOLDEN SALUD IND'!L15</f>
        <v>NO</v>
      </c>
      <c r="C121" s="158">
        <f>VLOOKUP(B121,$P$25:$Q$28,2,FALSE)</f>
        <v>1</v>
      </c>
      <c r="D121" s="8"/>
      <c r="E121" s="438" t="s">
        <v>171</v>
      </c>
      <c r="F121" s="440" t="s">
        <v>131</v>
      </c>
      <c r="G121" s="438">
        <v>0.43109999999999998</v>
      </c>
      <c r="H121" s="438">
        <v>1</v>
      </c>
      <c r="I121" s="439">
        <v>0.1</v>
      </c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</row>
    <row r="122" spans="1:31" ht="15.75" thickBot="1" x14ac:dyDescent="0.3">
      <c r="A122" s="156" t="s">
        <v>176</v>
      </c>
      <c r="B122" s="16" t="str">
        <f>'GOLDEN SALUD IND'!L16</f>
        <v>NO</v>
      </c>
      <c r="C122" s="158">
        <f>VLOOKUP(B122,P41:Q45,2,FALSE)</f>
        <v>1</v>
      </c>
      <c r="D122" s="8"/>
      <c r="E122" s="438" t="s">
        <v>173</v>
      </c>
      <c r="F122" s="438" t="s">
        <v>59</v>
      </c>
      <c r="G122" s="402">
        <v>0.64490000000000003</v>
      </c>
      <c r="H122" s="402">
        <v>4</v>
      </c>
      <c r="I122" s="402"/>
      <c r="J122" s="8"/>
      <c r="K122" s="14" t="s">
        <v>28</v>
      </c>
      <c r="L122" s="14" t="s">
        <v>52</v>
      </c>
      <c r="M122" s="14" t="s">
        <v>28</v>
      </c>
      <c r="N122" s="8"/>
      <c r="O122" s="8"/>
      <c r="P122" s="590" t="s">
        <v>197</v>
      </c>
      <c r="Q122" s="591"/>
      <c r="R122" s="591"/>
      <c r="S122" s="591"/>
      <c r="T122" s="591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</row>
    <row r="123" spans="1:31" ht="15.75" thickBot="1" x14ac:dyDescent="0.3">
      <c r="A123" s="156" t="s">
        <v>178</v>
      </c>
      <c r="B123" s="161" t="str">
        <f>'GOLDEN SALUD IND'!L17</f>
        <v>NO</v>
      </c>
      <c r="C123" s="162">
        <f>VLOOKUP(B123,$P$32:$Q$35,2,FALSE)</f>
        <v>0</v>
      </c>
      <c r="D123" s="8"/>
      <c r="E123" s="438" t="s">
        <v>175</v>
      </c>
      <c r="F123" s="147" t="s">
        <v>133</v>
      </c>
      <c r="G123" s="438">
        <v>0.59830000000000005</v>
      </c>
      <c r="H123" s="438">
        <v>1</v>
      </c>
      <c r="I123" s="439">
        <v>0.1</v>
      </c>
      <c r="J123" s="8"/>
      <c r="K123" s="80" t="s">
        <v>109</v>
      </c>
      <c r="L123" s="80">
        <v>3</v>
      </c>
      <c r="M123" s="80" t="s">
        <v>109</v>
      </c>
      <c r="O123" s="8"/>
      <c r="P123" s="16" t="s">
        <v>61</v>
      </c>
      <c r="Q123" s="16" t="s">
        <v>62</v>
      </c>
      <c r="R123" s="16" t="s">
        <v>63</v>
      </c>
      <c r="S123" s="16" t="s">
        <v>202</v>
      </c>
      <c r="T123" s="16" t="s">
        <v>203</v>
      </c>
      <c r="U123" s="8"/>
      <c r="V123" s="8"/>
      <c r="W123" s="8"/>
    </row>
    <row r="124" spans="1:31" ht="15.75" thickBot="1" x14ac:dyDescent="0.3">
      <c r="A124" s="156" t="s">
        <v>22</v>
      </c>
      <c r="B124" s="161" t="str">
        <f>'GOLDEN SALUD IND'!L18</f>
        <v>NO</v>
      </c>
      <c r="C124" s="162">
        <f>VLOOKUP(B124,$P$75:$Q$80,2,FALSE)</f>
        <v>0</v>
      </c>
      <c r="D124" s="8"/>
      <c r="E124" s="438" t="s">
        <v>177</v>
      </c>
      <c r="F124" s="147" t="s">
        <v>133</v>
      </c>
      <c r="G124" s="438">
        <v>0.59830000000000005</v>
      </c>
      <c r="H124" s="438">
        <v>1</v>
      </c>
      <c r="I124" s="439">
        <v>0.1</v>
      </c>
      <c r="J124" s="8"/>
      <c r="K124" s="128" t="s">
        <v>111</v>
      </c>
      <c r="L124" s="128">
        <v>2</v>
      </c>
      <c r="M124" s="128" t="s">
        <v>111</v>
      </c>
      <c r="O124" s="8"/>
      <c r="P124" s="26">
        <v>0</v>
      </c>
      <c r="Q124" s="183">
        <v>1</v>
      </c>
      <c r="R124" s="183">
        <v>1</v>
      </c>
      <c r="S124" s="188">
        <f>IF($B$4=1,Q124,1)</f>
        <v>1</v>
      </c>
      <c r="T124" s="189">
        <f>IF($B$4=1,R124,1)</f>
        <v>1</v>
      </c>
      <c r="U124" s="8"/>
      <c r="V124" s="8"/>
      <c r="W124" s="8"/>
    </row>
    <row r="125" spans="1:31" ht="15.75" thickBot="1" x14ac:dyDescent="0.3">
      <c r="A125" s="156" t="s">
        <v>181</v>
      </c>
      <c r="B125" s="161" t="str">
        <f>'GOLDEN SALUD IND'!L19</f>
        <v>NO</v>
      </c>
      <c r="C125" s="8"/>
      <c r="D125" s="8"/>
      <c r="E125" s="438" t="s">
        <v>179</v>
      </c>
      <c r="F125" s="147" t="s">
        <v>131</v>
      </c>
      <c r="G125" s="438">
        <v>0.43109999999999998</v>
      </c>
      <c r="H125" s="438">
        <v>1</v>
      </c>
      <c r="I125" s="439">
        <v>0.1</v>
      </c>
      <c r="J125" s="8"/>
      <c r="K125" s="8"/>
      <c r="L125" s="8"/>
      <c r="M125" s="8"/>
      <c r="O125" s="8"/>
      <c r="P125" s="44">
        <v>1</v>
      </c>
      <c r="Q125" s="184">
        <v>1</v>
      </c>
      <c r="R125" s="184">
        <v>1</v>
      </c>
      <c r="S125" s="188">
        <f t="shared" ref="S125:S188" si="19">IF($B$4=1,Q125,1)</f>
        <v>1</v>
      </c>
      <c r="T125" s="189">
        <f t="shared" ref="T125:T188" si="20">IF($B$4=1,R125,1)</f>
        <v>1</v>
      </c>
      <c r="U125" s="8"/>
      <c r="V125" s="8"/>
      <c r="W125" s="8"/>
    </row>
    <row r="126" spans="1:31" ht="15.75" thickBot="1" x14ac:dyDescent="0.3">
      <c r="A126" s="156" t="s">
        <v>182</v>
      </c>
      <c r="B126" s="161" t="str">
        <f>'GOLDEN SALUD IND'!L20</f>
        <v>NO</v>
      </c>
      <c r="C126" s="162">
        <f>VLOOKUP(B126,$P$112:$Q$114,2,FALSE)</f>
        <v>1</v>
      </c>
      <c r="D126" s="8"/>
      <c r="E126" s="442" t="s">
        <v>180</v>
      </c>
      <c r="F126" s="442" t="s">
        <v>126</v>
      </c>
      <c r="G126" s="443">
        <v>0.60819999999999996</v>
      </c>
      <c r="H126" s="443">
        <v>2</v>
      </c>
      <c r="I126" s="443"/>
      <c r="J126" s="8"/>
      <c r="K126" s="8"/>
      <c r="L126" s="8"/>
      <c r="M126" s="8"/>
      <c r="O126" s="8"/>
      <c r="P126" s="44">
        <v>2</v>
      </c>
      <c r="Q126" s="184">
        <v>1</v>
      </c>
      <c r="R126" s="184">
        <v>1</v>
      </c>
      <c r="S126" s="188">
        <f t="shared" si="19"/>
        <v>1</v>
      </c>
      <c r="T126" s="189">
        <f t="shared" si="20"/>
        <v>1</v>
      </c>
      <c r="U126" s="8"/>
      <c r="V126" s="8"/>
      <c r="W126" s="8"/>
    </row>
    <row r="127" spans="1:31" ht="15.75" thickBot="1" x14ac:dyDescent="0.3">
      <c r="A127" s="156" t="s">
        <v>183</v>
      </c>
      <c r="B127" s="161" t="str">
        <f>'GOLDEN SALUD IND'!L21</f>
        <v>NO</v>
      </c>
      <c r="C127" s="162">
        <f>VLOOKUP(B127,$P$119:$Q$120,2,FALSE)</f>
        <v>1</v>
      </c>
      <c r="D127" s="8"/>
      <c r="E127" s="57"/>
      <c r="F127" s="57"/>
      <c r="G127" s="57"/>
      <c r="H127" s="57"/>
      <c r="I127" s="8"/>
      <c r="J127" s="8"/>
      <c r="K127" s="8"/>
      <c r="L127" s="8"/>
      <c r="M127" s="8"/>
      <c r="O127" s="8"/>
      <c r="P127" s="44">
        <v>3</v>
      </c>
      <c r="Q127" s="184">
        <v>1</v>
      </c>
      <c r="R127" s="184">
        <v>1</v>
      </c>
      <c r="S127" s="188">
        <f t="shared" si="19"/>
        <v>1</v>
      </c>
      <c r="T127" s="189">
        <f t="shared" si="20"/>
        <v>1</v>
      </c>
      <c r="U127" s="8"/>
      <c r="V127" s="8"/>
      <c r="W127" s="8"/>
    </row>
    <row r="128" spans="1:31" ht="15.75" thickBot="1" x14ac:dyDescent="0.3">
      <c r="A128" s="156" t="s">
        <v>118</v>
      </c>
      <c r="B128" s="314">
        <f>IF(B118=0.1,'GOLDEN SALUD IND'!E23,"")</f>
        <v>30000</v>
      </c>
      <c r="C128" s="162" t="str">
        <f>IF(B118=0.1,VLOOKUP(B128,$K$131:$L$134,2,FALSE),1)</f>
        <v>1.0700</v>
      </c>
      <c r="D128" s="8"/>
      <c r="E128" s="57"/>
      <c r="F128" s="57"/>
      <c r="G128" s="57"/>
      <c r="H128" s="57"/>
      <c r="J128" s="8"/>
      <c r="K128" s="8"/>
      <c r="L128" s="8"/>
      <c r="M128" s="8"/>
      <c r="N128" s="8"/>
      <c r="O128" s="8"/>
      <c r="P128" s="44">
        <v>4</v>
      </c>
      <c r="Q128" s="184">
        <v>1</v>
      </c>
      <c r="R128" s="184">
        <v>1</v>
      </c>
      <c r="S128" s="188">
        <f t="shared" si="19"/>
        <v>1</v>
      </c>
      <c r="T128" s="189">
        <f t="shared" si="20"/>
        <v>1</v>
      </c>
      <c r="U128" s="8"/>
      <c r="V128" s="8"/>
      <c r="W128" s="8"/>
    </row>
    <row r="129" spans="1:20" ht="15.75" thickBot="1" x14ac:dyDescent="0.3">
      <c r="A129" s="156" t="s">
        <v>145</v>
      </c>
      <c r="B129" s="161" t="str">
        <f>'GOLDEN SALUD IND'!L22</f>
        <v>NO</v>
      </c>
      <c r="C129" s="162">
        <f>'GOLDEN SALUD IND'!I23</f>
        <v>4</v>
      </c>
      <c r="D129" s="162">
        <f>IF(AND(B4=1,C129&gt;=4,C129&lt;=10,B129="SI"),VLOOKUP(C129,$P$93:$R$99,3,TRUE),IF(AND(B4=2,C129&gt;=4,C129&lt;=10,B129="SI"),VLOOKUP(C129,$P$93:$R$99,3,TRUE),0))</f>
        <v>0</v>
      </c>
      <c r="E129" s="8"/>
      <c r="G129" s="8"/>
      <c r="H129" s="8"/>
      <c r="K129" s="8"/>
      <c r="L129" s="8"/>
      <c r="M129" s="8"/>
      <c r="N129" s="8"/>
      <c r="P129" s="44">
        <v>5</v>
      </c>
      <c r="Q129" s="184">
        <v>1</v>
      </c>
      <c r="R129" s="184">
        <v>1</v>
      </c>
      <c r="S129" s="188">
        <f t="shared" si="19"/>
        <v>1</v>
      </c>
      <c r="T129" s="189">
        <f t="shared" si="20"/>
        <v>1</v>
      </c>
    </row>
    <row r="130" spans="1:20" ht="15.75" thickBot="1" x14ac:dyDescent="0.3">
      <c r="A130" s="8"/>
      <c r="B130" s="8"/>
      <c r="C130" s="8"/>
      <c r="D130" s="8"/>
      <c r="F130" s="190"/>
      <c r="K130" s="14" t="s">
        <v>118</v>
      </c>
      <c r="L130" s="182"/>
      <c r="N130" s="8"/>
      <c r="P130" s="44">
        <v>6</v>
      </c>
      <c r="Q130" s="184">
        <v>1</v>
      </c>
      <c r="R130" s="184">
        <v>1</v>
      </c>
      <c r="S130" s="188">
        <f t="shared" si="19"/>
        <v>1</v>
      </c>
      <c r="T130" s="189">
        <f t="shared" si="20"/>
        <v>1</v>
      </c>
    </row>
    <row r="131" spans="1:20" ht="15.75" thickBot="1" x14ac:dyDescent="0.3">
      <c r="A131" s="576" t="s">
        <v>184</v>
      </c>
      <c r="B131" s="577"/>
      <c r="C131" s="16">
        <f>IF(AND(B4=1,B5=1),0,PRODUCT(C116:C122,C127)*C128)</f>
        <v>0.886036580756</v>
      </c>
      <c r="D131" s="8"/>
      <c r="E131" s="191"/>
      <c r="K131" s="181">
        <v>50000</v>
      </c>
      <c r="L131" s="423" t="str">
        <f>IF(AND($B$118=0.1,OR(VLOOKUP($B$115,$E$95:$F$126,2,FALSE)="BAJIO",VLOOKUP($B$115,$E$95:$F$126,2,FALSE)="OCCIDENTE",VLOOKUP($B$115,$E$95:$F$126,2,FALSE)="OCCIDENTE_2",VLOOKUP($B$115,$E$95:$F$126,2,FALSE)="NORESTE",VLOOKUP($B$115,$E$95:$F$126,2,FALSE)="NUEVO LEÓN")),"1.1000","1.0000")</f>
        <v>1.0000</v>
      </c>
      <c r="M131" s="421">
        <v>1</v>
      </c>
      <c r="N131" s="8"/>
      <c r="P131" s="44">
        <v>7</v>
      </c>
      <c r="Q131" s="184">
        <v>1</v>
      </c>
      <c r="R131" s="184">
        <v>1</v>
      </c>
      <c r="S131" s="188">
        <f t="shared" si="19"/>
        <v>1</v>
      </c>
      <c r="T131" s="189">
        <f t="shared" si="20"/>
        <v>1</v>
      </c>
    </row>
    <row r="132" spans="1:20" ht="15.75" thickBot="1" x14ac:dyDescent="0.3">
      <c r="A132" s="576" t="s">
        <v>185</v>
      </c>
      <c r="B132" s="577"/>
      <c r="C132" s="16">
        <f>IF(AND(B4=1,B5=1),0,PRODUCT(C116:C122,C127,C126)*C128)</f>
        <v>0.886036580756</v>
      </c>
      <c r="D132" s="8"/>
      <c r="K132" s="181">
        <v>40000</v>
      </c>
      <c r="L132" s="423" t="str">
        <f>IF(AND($B$118=0.1,OR(VLOOKUP($B$115,$E$95:$F$126,2,FALSE)="BAJIO",VLOOKUP($B$115,$E$95:$F$126,2,FALSE)="OCCIDENTE",VLOOKUP($B$115,$E$95:$F$126,2,FALSE)="OCCIDENTE_2",VLOOKUP($B$115,$E$95:$F$126,2,FALSE)="NORESTE",VLOOKUP($B$115,$E$95:$F$126,2,FALSE)="NUEVO LEÓN")),"1.1550","1.0500")</f>
        <v>1.0500</v>
      </c>
      <c r="M132" s="421">
        <v>1.05</v>
      </c>
      <c r="N132" s="8"/>
      <c r="P132" s="44">
        <v>8</v>
      </c>
      <c r="Q132" s="184">
        <v>1</v>
      </c>
      <c r="R132" s="184">
        <v>1</v>
      </c>
      <c r="S132" s="188">
        <f t="shared" si="19"/>
        <v>1</v>
      </c>
      <c r="T132" s="189">
        <f t="shared" si="20"/>
        <v>1</v>
      </c>
    </row>
    <row r="133" spans="1:20" ht="15" customHeight="1" thickBot="1" x14ac:dyDescent="0.3">
      <c r="A133" s="8"/>
      <c r="B133" s="8"/>
      <c r="C133" s="8"/>
      <c r="D133" s="8"/>
      <c r="E133" s="408" t="s">
        <v>486</v>
      </c>
      <c r="F133" s="414" t="s">
        <v>614</v>
      </c>
      <c r="K133" s="181">
        <v>30000</v>
      </c>
      <c r="L133" s="423" t="str">
        <f>IF(AND($B$118=0.1,OR(VLOOKUP($B$115,$E$95:$F$126,2,FALSE)="BAJIO",VLOOKUP($B$115,$E$95:$F$126,2,FALSE)="OCCIDENTE",VLOOKUP($B$115,$E$95:$F$126,2,FALSE)="OCCIDENTE_2",VLOOKUP($B$115,$E$95:$F$126,2,FALSE)="NORESTE",VLOOKUP($B$115,$E$95:$F$126,2,FALSE)="NUEVO LEÓN")),"1.1770","1.0700")</f>
        <v>1.0700</v>
      </c>
      <c r="M133" s="421">
        <v>1.07</v>
      </c>
      <c r="N133" s="8"/>
      <c r="P133" s="44">
        <v>9</v>
      </c>
      <c r="Q133" s="184">
        <v>1</v>
      </c>
      <c r="R133" s="184">
        <v>1</v>
      </c>
      <c r="S133" s="188">
        <f t="shared" si="19"/>
        <v>1</v>
      </c>
      <c r="T133" s="189">
        <f t="shared" si="20"/>
        <v>1</v>
      </c>
    </row>
    <row r="134" spans="1:20" ht="15" customHeight="1" thickBot="1" x14ac:dyDescent="0.3">
      <c r="A134" s="585" t="s">
        <v>186</v>
      </c>
      <c r="B134" s="586"/>
      <c r="C134" s="587"/>
      <c r="D134" s="8"/>
      <c r="E134" s="411" t="s">
        <v>487</v>
      </c>
      <c r="F134" s="415" t="s">
        <v>143</v>
      </c>
      <c r="K134" s="80" t="s">
        <v>8</v>
      </c>
      <c r="L134" s="423" t="str">
        <f>IF($B$118=0.1,"1.0","")</f>
        <v>1.0</v>
      </c>
      <c r="M134" s="421">
        <v>1</v>
      </c>
      <c r="N134" s="8"/>
      <c r="P134" s="44">
        <v>10</v>
      </c>
      <c r="Q134" s="184">
        <v>1</v>
      </c>
      <c r="R134" s="184">
        <v>1</v>
      </c>
      <c r="S134" s="188">
        <f t="shared" si="19"/>
        <v>1</v>
      </c>
      <c r="T134" s="189">
        <f t="shared" si="20"/>
        <v>1</v>
      </c>
    </row>
    <row r="135" spans="1:20" ht="15" customHeight="1" thickBot="1" x14ac:dyDescent="0.3">
      <c r="A135" s="16" t="s">
        <v>61</v>
      </c>
      <c r="B135" s="16" t="s">
        <v>62</v>
      </c>
      <c r="C135" s="16" t="s">
        <v>63</v>
      </c>
      <c r="D135" s="8"/>
      <c r="E135" s="412" t="s">
        <v>488</v>
      </c>
      <c r="F135" s="415" t="s">
        <v>143</v>
      </c>
      <c r="L135" s="424"/>
      <c r="M135" s="421"/>
      <c r="N135" s="8"/>
      <c r="P135" s="44">
        <v>11</v>
      </c>
      <c r="Q135" s="184">
        <v>1</v>
      </c>
      <c r="R135" s="184">
        <v>1</v>
      </c>
      <c r="S135" s="188">
        <f t="shared" si="19"/>
        <v>1</v>
      </c>
      <c r="T135" s="189">
        <f t="shared" si="20"/>
        <v>1</v>
      </c>
    </row>
    <row r="136" spans="1:20" ht="15" customHeight="1" x14ac:dyDescent="0.25">
      <c r="A136" s="26">
        <v>0</v>
      </c>
      <c r="B136" s="163">
        <f t="shared" ref="B136:B155" si="21">+IF($C$131=0,0,ROUND((B11*$C$131*S124)+$C$123+$D$129,2))</f>
        <v>8222.58</v>
      </c>
      <c r="C136" s="163">
        <f t="shared" ref="C136:C155" si="22">+IF($C$131=0,0,ROUND((C11*$C$131*T124)+$C$123+$D$129,2))</f>
        <v>7809.92</v>
      </c>
      <c r="D136" s="8"/>
      <c r="E136" s="412" t="s">
        <v>489</v>
      </c>
      <c r="F136" s="415" t="s">
        <v>143</v>
      </c>
      <c r="L136" s="425"/>
      <c r="M136" s="421"/>
      <c r="N136" s="8"/>
      <c r="P136" s="44">
        <v>12</v>
      </c>
      <c r="Q136" s="184">
        <v>1</v>
      </c>
      <c r="R136" s="184">
        <v>1</v>
      </c>
      <c r="S136" s="188">
        <f t="shared" si="19"/>
        <v>1</v>
      </c>
      <c r="T136" s="189">
        <f t="shared" si="20"/>
        <v>1</v>
      </c>
    </row>
    <row r="137" spans="1:20" ht="15" customHeight="1" x14ac:dyDescent="0.25">
      <c r="A137" s="44">
        <v>1</v>
      </c>
      <c r="B137" s="164">
        <f t="shared" si="21"/>
        <v>8224.76</v>
      </c>
      <c r="C137" s="164">
        <f t="shared" si="22"/>
        <v>7812.1</v>
      </c>
      <c r="D137" s="8"/>
      <c r="E137" s="412" t="s">
        <v>490</v>
      </c>
      <c r="F137" s="415" t="s">
        <v>143</v>
      </c>
      <c r="L137" s="426" t="s">
        <v>126</v>
      </c>
      <c r="M137" s="422" t="s">
        <v>131</v>
      </c>
      <c r="N137" s="8"/>
      <c r="P137" s="44">
        <v>13</v>
      </c>
      <c r="Q137" s="184">
        <v>1</v>
      </c>
      <c r="R137" s="184">
        <v>1</v>
      </c>
      <c r="S137" s="188">
        <f t="shared" si="19"/>
        <v>1</v>
      </c>
      <c r="T137" s="189">
        <f t="shared" si="20"/>
        <v>1</v>
      </c>
    </row>
    <row r="138" spans="1:20" ht="15" customHeight="1" x14ac:dyDescent="0.25">
      <c r="A138" s="44">
        <v>2</v>
      </c>
      <c r="B138" s="164">
        <f t="shared" si="21"/>
        <v>8229.1299999999992</v>
      </c>
      <c r="C138" s="164">
        <f t="shared" si="22"/>
        <v>7814.28</v>
      </c>
      <c r="D138" s="8"/>
      <c r="E138" s="412" t="s">
        <v>491</v>
      </c>
      <c r="F138" s="415" t="s">
        <v>143</v>
      </c>
      <c r="L138" s="426" t="s">
        <v>139</v>
      </c>
      <c r="M138" s="422" t="s">
        <v>133</v>
      </c>
      <c r="N138" s="8"/>
      <c r="P138" s="44">
        <v>14</v>
      </c>
      <c r="Q138" s="184">
        <v>1</v>
      </c>
      <c r="R138" s="184">
        <v>1</v>
      </c>
      <c r="S138" s="188">
        <f t="shared" si="19"/>
        <v>1</v>
      </c>
      <c r="T138" s="189">
        <f t="shared" si="20"/>
        <v>1</v>
      </c>
    </row>
    <row r="139" spans="1:20" ht="15" customHeight="1" x14ac:dyDescent="0.25">
      <c r="A139" s="44">
        <v>3</v>
      </c>
      <c r="B139" s="164">
        <f t="shared" si="21"/>
        <v>8232.41</v>
      </c>
      <c r="C139" s="164">
        <f t="shared" si="22"/>
        <v>7818.65</v>
      </c>
      <c r="D139" s="8"/>
      <c r="E139" s="412" t="s">
        <v>492</v>
      </c>
      <c r="F139" s="415" t="s">
        <v>143</v>
      </c>
      <c r="L139" s="426" t="s">
        <v>198</v>
      </c>
      <c r="M139" s="422" t="s">
        <v>1</v>
      </c>
      <c r="N139" s="8"/>
      <c r="P139" s="44">
        <v>15</v>
      </c>
      <c r="Q139" s="185">
        <v>1</v>
      </c>
      <c r="R139" s="185">
        <v>1</v>
      </c>
      <c r="S139" s="188">
        <f t="shared" si="19"/>
        <v>1</v>
      </c>
      <c r="T139" s="189">
        <f t="shared" si="20"/>
        <v>1</v>
      </c>
    </row>
    <row r="140" spans="1:20" ht="15" customHeight="1" x14ac:dyDescent="0.25">
      <c r="A140" s="44">
        <v>4</v>
      </c>
      <c r="B140" s="164">
        <f t="shared" si="21"/>
        <v>8234.58</v>
      </c>
      <c r="C140" s="164">
        <f t="shared" si="22"/>
        <v>7819.74</v>
      </c>
      <c r="D140" s="8"/>
      <c r="E140" s="412" t="s">
        <v>493</v>
      </c>
      <c r="F140" s="415" t="s">
        <v>143</v>
      </c>
      <c r="L140" s="426" t="s">
        <v>616</v>
      </c>
      <c r="M140" s="422" t="s">
        <v>617</v>
      </c>
      <c r="N140" s="8"/>
      <c r="P140" s="44">
        <v>16</v>
      </c>
      <c r="Q140" s="185">
        <v>1</v>
      </c>
      <c r="R140" s="185">
        <v>1</v>
      </c>
      <c r="S140" s="188">
        <f t="shared" si="19"/>
        <v>1</v>
      </c>
      <c r="T140" s="189">
        <f t="shared" si="20"/>
        <v>1</v>
      </c>
    </row>
    <row r="141" spans="1:20" ht="15" customHeight="1" x14ac:dyDescent="0.25">
      <c r="A141" s="44">
        <v>5</v>
      </c>
      <c r="B141" s="164">
        <f t="shared" si="21"/>
        <v>8236.76</v>
      </c>
      <c r="C141" s="164">
        <f t="shared" si="22"/>
        <v>7821.93</v>
      </c>
      <c r="D141" s="8"/>
      <c r="E141" s="412" t="s">
        <v>494</v>
      </c>
      <c r="F141" s="415" t="s">
        <v>143</v>
      </c>
      <c r="L141" s="426" t="s">
        <v>60</v>
      </c>
      <c r="M141" s="422" t="s">
        <v>204</v>
      </c>
      <c r="N141" s="8"/>
      <c r="P141" s="44">
        <v>17</v>
      </c>
      <c r="Q141" s="185">
        <v>1</v>
      </c>
      <c r="R141" s="185">
        <v>1</v>
      </c>
      <c r="S141" s="188">
        <f t="shared" si="19"/>
        <v>1</v>
      </c>
      <c r="T141" s="189">
        <f t="shared" si="20"/>
        <v>1</v>
      </c>
    </row>
    <row r="142" spans="1:20" ht="15" customHeight="1" x14ac:dyDescent="0.25">
      <c r="A142" s="44">
        <v>6</v>
      </c>
      <c r="B142" s="164">
        <f t="shared" si="21"/>
        <v>8240.0400000000009</v>
      </c>
      <c r="C142" s="164">
        <f t="shared" si="22"/>
        <v>7826.29</v>
      </c>
      <c r="D142" s="8"/>
      <c r="E142" s="412" t="s">
        <v>495</v>
      </c>
      <c r="F142" s="415" t="s">
        <v>143</v>
      </c>
      <c r="M142" s="8"/>
      <c r="N142" s="8"/>
      <c r="P142" s="44">
        <v>18</v>
      </c>
      <c r="Q142" s="184">
        <v>1</v>
      </c>
      <c r="R142" s="184">
        <v>1</v>
      </c>
      <c r="S142" s="188">
        <f t="shared" si="19"/>
        <v>1</v>
      </c>
      <c r="T142" s="189">
        <f t="shared" si="20"/>
        <v>1</v>
      </c>
    </row>
    <row r="143" spans="1:20" x14ac:dyDescent="0.25">
      <c r="A143" s="44">
        <v>7</v>
      </c>
      <c r="B143" s="164">
        <f t="shared" si="21"/>
        <v>8243.32</v>
      </c>
      <c r="C143" s="164">
        <f t="shared" si="22"/>
        <v>7828.48</v>
      </c>
      <c r="D143" s="8"/>
      <c r="E143" s="412" t="s">
        <v>496</v>
      </c>
      <c r="F143" s="415" t="s">
        <v>143</v>
      </c>
      <c r="M143" s="8"/>
      <c r="N143" s="8"/>
      <c r="P143" s="44">
        <v>19</v>
      </c>
      <c r="Q143" s="184">
        <v>1</v>
      </c>
      <c r="R143" s="184">
        <v>1</v>
      </c>
      <c r="S143" s="188">
        <f t="shared" si="19"/>
        <v>1</v>
      </c>
      <c r="T143" s="189">
        <f t="shared" si="20"/>
        <v>1</v>
      </c>
    </row>
    <row r="144" spans="1:20" x14ac:dyDescent="0.25">
      <c r="A144" s="44">
        <v>8</v>
      </c>
      <c r="B144" s="164">
        <f t="shared" si="21"/>
        <v>8244.41</v>
      </c>
      <c r="C144" s="164">
        <f t="shared" si="22"/>
        <v>7829.57</v>
      </c>
      <c r="D144" s="8"/>
      <c r="E144" s="412" t="s">
        <v>497</v>
      </c>
      <c r="F144" s="415" t="s">
        <v>143</v>
      </c>
      <c r="M144" s="8"/>
      <c r="N144" s="8"/>
      <c r="P144" s="44">
        <v>20</v>
      </c>
      <c r="Q144" s="184">
        <v>1</v>
      </c>
      <c r="R144" s="184">
        <v>1</v>
      </c>
      <c r="S144" s="188">
        <f t="shared" si="19"/>
        <v>1</v>
      </c>
      <c r="T144" s="189">
        <f t="shared" si="20"/>
        <v>1</v>
      </c>
    </row>
    <row r="145" spans="1:20" x14ac:dyDescent="0.25">
      <c r="A145" s="44">
        <v>9</v>
      </c>
      <c r="B145" s="164">
        <f t="shared" si="21"/>
        <v>8250.9599999999991</v>
      </c>
      <c r="C145" s="164">
        <f t="shared" si="22"/>
        <v>7831.76</v>
      </c>
      <c r="E145" s="412" t="s">
        <v>498</v>
      </c>
      <c r="F145" s="415" t="s">
        <v>143</v>
      </c>
      <c r="H145" s="194"/>
      <c r="M145" s="8"/>
      <c r="N145" s="8"/>
      <c r="P145" s="44">
        <v>21</v>
      </c>
      <c r="Q145" s="184">
        <v>1</v>
      </c>
      <c r="R145" s="184">
        <v>1</v>
      </c>
      <c r="S145" s="188">
        <f t="shared" si="19"/>
        <v>1</v>
      </c>
      <c r="T145" s="189">
        <f t="shared" si="20"/>
        <v>1</v>
      </c>
    </row>
    <row r="146" spans="1:20" ht="28.5" x14ac:dyDescent="0.25">
      <c r="A146" s="44">
        <v>10</v>
      </c>
      <c r="B146" s="164">
        <f t="shared" si="21"/>
        <v>8253.15</v>
      </c>
      <c r="C146" s="164">
        <f t="shared" si="22"/>
        <v>7835.03</v>
      </c>
      <c r="E146" s="412" t="s">
        <v>499</v>
      </c>
      <c r="F146" s="415" t="s">
        <v>1</v>
      </c>
      <c r="H146" s="194"/>
      <c r="M146" s="8"/>
      <c r="N146" s="8"/>
      <c r="P146" s="44">
        <v>22</v>
      </c>
      <c r="Q146" s="184">
        <v>1</v>
      </c>
      <c r="R146" s="184">
        <v>1</v>
      </c>
      <c r="S146" s="188">
        <f t="shared" si="19"/>
        <v>1</v>
      </c>
      <c r="T146" s="189">
        <f t="shared" si="20"/>
        <v>1</v>
      </c>
    </row>
    <row r="147" spans="1:20" x14ac:dyDescent="0.25">
      <c r="A147" s="44">
        <v>11</v>
      </c>
      <c r="B147" s="164">
        <f t="shared" si="21"/>
        <v>8256.42</v>
      </c>
      <c r="C147" s="164">
        <f t="shared" si="22"/>
        <v>7838.3</v>
      </c>
      <c r="E147" s="412" t="s">
        <v>500</v>
      </c>
      <c r="F147" s="415" t="s">
        <v>143</v>
      </c>
      <c r="H147" s="194"/>
      <c r="M147" s="8"/>
      <c r="N147" s="8"/>
      <c r="P147" s="44">
        <v>23</v>
      </c>
      <c r="Q147" s="184">
        <v>1</v>
      </c>
      <c r="R147" s="184">
        <v>1</v>
      </c>
      <c r="S147" s="188">
        <f t="shared" si="19"/>
        <v>1</v>
      </c>
      <c r="T147" s="189">
        <f t="shared" si="20"/>
        <v>1</v>
      </c>
    </row>
    <row r="148" spans="1:20" x14ac:dyDescent="0.25">
      <c r="A148" s="44">
        <v>12</v>
      </c>
      <c r="B148" s="164">
        <f t="shared" si="21"/>
        <v>8259.7000000000007</v>
      </c>
      <c r="C148" s="164">
        <f t="shared" si="22"/>
        <v>7839.39</v>
      </c>
      <c r="E148" s="412" t="s">
        <v>501</v>
      </c>
      <c r="F148" s="415" t="s">
        <v>143</v>
      </c>
      <c r="H148" s="194"/>
      <c r="M148" s="8"/>
      <c r="N148" s="8"/>
      <c r="P148" s="44">
        <v>24</v>
      </c>
      <c r="Q148" s="184">
        <v>1</v>
      </c>
      <c r="R148" s="184">
        <v>1</v>
      </c>
      <c r="S148" s="188">
        <f t="shared" si="19"/>
        <v>1</v>
      </c>
      <c r="T148" s="189">
        <f t="shared" si="20"/>
        <v>1</v>
      </c>
    </row>
    <row r="149" spans="1:20" x14ac:dyDescent="0.25">
      <c r="A149" s="44">
        <v>13</v>
      </c>
      <c r="B149" s="164">
        <f t="shared" si="21"/>
        <v>8260.7800000000007</v>
      </c>
      <c r="C149" s="164">
        <f t="shared" si="22"/>
        <v>7840.48</v>
      </c>
      <c r="E149" s="412" t="s">
        <v>502</v>
      </c>
      <c r="F149" s="415" t="s">
        <v>143</v>
      </c>
      <c r="H149" s="194"/>
      <c r="M149" s="8"/>
      <c r="N149" s="8"/>
      <c r="P149" s="44">
        <v>25</v>
      </c>
      <c r="Q149" s="184">
        <v>1</v>
      </c>
      <c r="R149" s="184">
        <v>1</v>
      </c>
      <c r="S149" s="188">
        <f t="shared" si="19"/>
        <v>1</v>
      </c>
      <c r="T149" s="189">
        <f t="shared" si="20"/>
        <v>1</v>
      </c>
    </row>
    <row r="150" spans="1:20" x14ac:dyDescent="0.25">
      <c r="A150" s="44">
        <v>14</v>
      </c>
      <c r="B150" s="164">
        <f t="shared" si="21"/>
        <v>8262.9599999999991</v>
      </c>
      <c r="C150" s="164">
        <f t="shared" si="22"/>
        <v>7843.76</v>
      </c>
      <c r="E150" s="412" t="s">
        <v>503</v>
      </c>
      <c r="F150" s="415" t="s">
        <v>143</v>
      </c>
      <c r="H150" s="194"/>
      <c r="M150" s="8"/>
      <c r="N150" s="8"/>
      <c r="P150" s="44">
        <v>26</v>
      </c>
      <c r="Q150" s="184">
        <v>1</v>
      </c>
      <c r="R150" s="184">
        <v>1</v>
      </c>
      <c r="S150" s="188">
        <f t="shared" si="19"/>
        <v>1</v>
      </c>
      <c r="T150" s="189">
        <f t="shared" si="20"/>
        <v>1</v>
      </c>
    </row>
    <row r="151" spans="1:20" x14ac:dyDescent="0.25">
      <c r="A151" s="44">
        <v>15</v>
      </c>
      <c r="B151" s="165">
        <f t="shared" si="21"/>
        <v>8355.76</v>
      </c>
      <c r="C151" s="165">
        <f t="shared" si="22"/>
        <v>8185.46</v>
      </c>
      <c r="E151" s="412" t="s">
        <v>504</v>
      </c>
      <c r="F151" s="415" t="s">
        <v>143</v>
      </c>
      <c r="H151" s="194"/>
      <c r="M151" s="8"/>
      <c r="N151" s="8"/>
      <c r="P151" s="44">
        <v>27</v>
      </c>
      <c r="Q151" s="184">
        <v>1</v>
      </c>
      <c r="R151" s="184">
        <v>1</v>
      </c>
      <c r="S151" s="188">
        <f t="shared" si="19"/>
        <v>1</v>
      </c>
      <c r="T151" s="189">
        <f t="shared" si="20"/>
        <v>1</v>
      </c>
    </row>
    <row r="152" spans="1:20" x14ac:dyDescent="0.25">
      <c r="A152" s="44">
        <v>16</v>
      </c>
      <c r="B152" s="165">
        <f t="shared" si="21"/>
        <v>8451.83</v>
      </c>
      <c r="C152" s="165">
        <f t="shared" si="22"/>
        <v>8195.2800000000007</v>
      </c>
      <c r="E152" s="412" t="s">
        <v>505</v>
      </c>
      <c r="F152" s="415" t="s">
        <v>143</v>
      </c>
      <c r="H152" s="194"/>
      <c r="M152" s="8"/>
      <c r="N152" s="8"/>
      <c r="P152" s="44">
        <v>28</v>
      </c>
      <c r="Q152" s="184">
        <v>1</v>
      </c>
      <c r="R152" s="184">
        <v>1</v>
      </c>
      <c r="S152" s="188">
        <f t="shared" si="19"/>
        <v>1</v>
      </c>
      <c r="T152" s="189">
        <f t="shared" si="20"/>
        <v>1</v>
      </c>
    </row>
    <row r="153" spans="1:20" ht="28.5" x14ac:dyDescent="0.25">
      <c r="A153" s="44">
        <v>17</v>
      </c>
      <c r="B153" s="165">
        <f t="shared" si="21"/>
        <v>8543.5300000000007</v>
      </c>
      <c r="C153" s="165">
        <f t="shared" si="22"/>
        <v>8212.75</v>
      </c>
      <c r="E153" s="412" t="s">
        <v>506</v>
      </c>
      <c r="F153" s="415" t="s">
        <v>1</v>
      </c>
      <c r="H153" s="194"/>
      <c r="M153" s="8"/>
      <c r="N153" s="8"/>
      <c r="P153" s="44">
        <v>29</v>
      </c>
      <c r="Q153" s="184">
        <v>1</v>
      </c>
      <c r="R153" s="184">
        <v>1</v>
      </c>
      <c r="S153" s="188">
        <f t="shared" si="19"/>
        <v>1</v>
      </c>
      <c r="T153" s="189">
        <f t="shared" si="20"/>
        <v>1</v>
      </c>
    </row>
    <row r="154" spans="1:20" x14ac:dyDescent="0.25">
      <c r="A154" s="44">
        <v>18</v>
      </c>
      <c r="B154" s="164">
        <f t="shared" si="21"/>
        <v>8639.6</v>
      </c>
      <c r="C154" s="164">
        <f t="shared" si="22"/>
        <v>8220.39</v>
      </c>
      <c r="E154" s="412" t="s">
        <v>507</v>
      </c>
      <c r="F154" s="415" t="s">
        <v>143</v>
      </c>
      <c r="H154" s="194"/>
      <c r="M154" s="8"/>
      <c r="N154" s="8"/>
      <c r="P154" s="44">
        <v>30</v>
      </c>
      <c r="Q154" s="184">
        <v>1</v>
      </c>
      <c r="R154" s="184">
        <v>1</v>
      </c>
      <c r="S154" s="188">
        <f t="shared" si="19"/>
        <v>1</v>
      </c>
      <c r="T154" s="189">
        <f t="shared" si="20"/>
        <v>1</v>
      </c>
    </row>
    <row r="155" spans="1:20" x14ac:dyDescent="0.25">
      <c r="A155" s="44">
        <v>19</v>
      </c>
      <c r="B155" s="164">
        <f t="shared" si="21"/>
        <v>8662.52</v>
      </c>
      <c r="C155" s="164">
        <f t="shared" si="22"/>
        <v>8229.1299999999992</v>
      </c>
      <c r="E155" s="412" t="s">
        <v>508</v>
      </c>
      <c r="F155" s="415" t="s">
        <v>143</v>
      </c>
      <c r="H155" s="194"/>
      <c r="K155" s="136"/>
      <c r="L155" s="8"/>
      <c r="M155" s="8"/>
      <c r="N155" s="8"/>
      <c r="P155" s="44">
        <v>31</v>
      </c>
      <c r="Q155" s="184">
        <v>1</v>
      </c>
      <c r="R155" s="184">
        <v>1</v>
      </c>
      <c r="S155" s="188">
        <f t="shared" si="19"/>
        <v>1</v>
      </c>
      <c r="T155" s="189">
        <f t="shared" si="20"/>
        <v>1</v>
      </c>
    </row>
    <row r="156" spans="1:20" x14ac:dyDescent="0.25">
      <c r="A156" s="44">
        <v>20</v>
      </c>
      <c r="B156" s="45">
        <f t="shared" ref="B156:B201" si="23">+IF($C$131=0,0,ROUND((B31*$C$131*S144)+$C$123+$C$124+$D$129,2))</f>
        <v>8831.74</v>
      </c>
      <c r="C156" s="166">
        <f t="shared" ref="C156:C173" si="24">+IF($C$131=0,0,ROUND((C31*$C$132*T144)+$C$123+$C$124+$D$129,2))</f>
        <v>10133.02</v>
      </c>
      <c r="E156" s="412" t="s">
        <v>509</v>
      </c>
      <c r="F156" s="415" t="s">
        <v>143</v>
      </c>
      <c r="H156" s="194"/>
      <c r="K156" s="136"/>
      <c r="L156" s="8"/>
      <c r="M156" s="8"/>
      <c r="N156" s="8"/>
      <c r="P156" s="44">
        <v>32</v>
      </c>
      <c r="Q156" s="184">
        <v>1</v>
      </c>
      <c r="R156" s="184">
        <v>1</v>
      </c>
      <c r="S156" s="188">
        <f t="shared" si="19"/>
        <v>1</v>
      </c>
      <c r="T156" s="189">
        <f t="shared" si="20"/>
        <v>1</v>
      </c>
    </row>
    <row r="157" spans="1:20" x14ac:dyDescent="0.25">
      <c r="A157" s="44">
        <v>21</v>
      </c>
      <c r="B157" s="45">
        <f t="shared" si="23"/>
        <v>8931.08</v>
      </c>
      <c r="C157" s="166">
        <f t="shared" si="24"/>
        <v>10578.44</v>
      </c>
      <c r="E157" s="412" t="s">
        <v>510</v>
      </c>
      <c r="F157" s="415" t="s">
        <v>1</v>
      </c>
      <c r="H157" s="194"/>
      <c r="K157" s="130"/>
      <c r="L157" s="8"/>
      <c r="M157" s="8"/>
      <c r="N157" s="8"/>
      <c r="P157" s="44">
        <v>33</v>
      </c>
      <c r="Q157" s="184">
        <v>1</v>
      </c>
      <c r="R157" s="184">
        <v>1</v>
      </c>
      <c r="S157" s="188">
        <f t="shared" si="19"/>
        <v>1</v>
      </c>
      <c r="T157" s="189">
        <f t="shared" si="20"/>
        <v>1</v>
      </c>
    </row>
    <row r="158" spans="1:20" x14ac:dyDescent="0.25">
      <c r="A158" s="44">
        <v>22</v>
      </c>
      <c r="B158" s="45">
        <f t="shared" si="23"/>
        <v>9030.42</v>
      </c>
      <c r="C158" s="166">
        <f t="shared" si="24"/>
        <v>11039.13</v>
      </c>
      <c r="E158" s="413" t="s">
        <v>511</v>
      </c>
      <c r="F158" s="415" t="s">
        <v>1</v>
      </c>
      <c r="H158" s="194"/>
      <c r="K158" s="136"/>
      <c r="L158" s="8"/>
      <c r="M158" s="8"/>
      <c r="N158" s="8"/>
      <c r="P158" s="44">
        <v>34</v>
      </c>
      <c r="Q158" s="184">
        <v>1</v>
      </c>
      <c r="R158" s="184">
        <v>1</v>
      </c>
      <c r="S158" s="188">
        <f t="shared" si="19"/>
        <v>1</v>
      </c>
      <c r="T158" s="189">
        <f t="shared" si="20"/>
        <v>1</v>
      </c>
    </row>
    <row r="159" spans="1:20" x14ac:dyDescent="0.25">
      <c r="A159" s="44">
        <v>23</v>
      </c>
      <c r="B159" s="45">
        <f t="shared" si="23"/>
        <v>9130.86</v>
      </c>
      <c r="C159" s="166">
        <f t="shared" si="24"/>
        <v>11518.38</v>
      </c>
      <c r="E159" s="412" t="s">
        <v>512</v>
      </c>
      <c r="F159" s="415" t="s">
        <v>143</v>
      </c>
      <c r="H159" s="194"/>
      <c r="K159" s="130"/>
      <c r="L159" s="8"/>
      <c r="M159" s="8"/>
      <c r="N159" s="8"/>
      <c r="P159" s="44">
        <v>35</v>
      </c>
      <c r="Q159" s="184">
        <v>1</v>
      </c>
      <c r="R159" s="184">
        <v>1</v>
      </c>
      <c r="S159" s="188">
        <f t="shared" si="19"/>
        <v>1</v>
      </c>
      <c r="T159" s="189">
        <f t="shared" si="20"/>
        <v>1</v>
      </c>
    </row>
    <row r="160" spans="1:20" x14ac:dyDescent="0.25">
      <c r="A160" s="44">
        <v>24</v>
      </c>
      <c r="B160" s="45">
        <f t="shared" si="23"/>
        <v>9234.57</v>
      </c>
      <c r="C160" s="166">
        <f t="shared" si="24"/>
        <v>12022.74</v>
      </c>
      <c r="E160" s="412" t="s">
        <v>513</v>
      </c>
      <c r="F160" s="415" t="s">
        <v>143</v>
      </c>
      <c r="H160" s="194"/>
      <c r="K160" s="130"/>
      <c r="L160" s="8"/>
      <c r="M160" s="8"/>
      <c r="N160" s="8"/>
      <c r="P160" s="44">
        <v>36</v>
      </c>
      <c r="Q160" s="184">
        <v>1</v>
      </c>
      <c r="R160" s="184">
        <v>1</v>
      </c>
      <c r="S160" s="188">
        <f t="shared" si="19"/>
        <v>1</v>
      </c>
      <c r="T160" s="189">
        <f t="shared" si="20"/>
        <v>1</v>
      </c>
    </row>
    <row r="161" spans="1:20" x14ac:dyDescent="0.25">
      <c r="A161" s="44">
        <v>25</v>
      </c>
      <c r="B161" s="45">
        <f t="shared" si="23"/>
        <v>10693.06</v>
      </c>
      <c r="C161" s="166">
        <f t="shared" si="24"/>
        <v>13996.5</v>
      </c>
      <c r="D161" s="8"/>
      <c r="E161" s="412" t="s">
        <v>514</v>
      </c>
      <c r="F161" s="415" t="s">
        <v>143</v>
      </c>
      <c r="H161" s="194"/>
      <c r="K161" s="130"/>
      <c r="L161" s="8"/>
      <c r="M161" s="8"/>
      <c r="N161" s="8"/>
      <c r="P161" s="44">
        <v>37</v>
      </c>
      <c r="Q161" s="184">
        <v>1</v>
      </c>
      <c r="R161" s="184">
        <v>1</v>
      </c>
      <c r="S161" s="188">
        <f t="shared" si="19"/>
        <v>1</v>
      </c>
      <c r="T161" s="189">
        <f t="shared" si="20"/>
        <v>1</v>
      </c>
    </row>
    <row r="162" spans="1:20" x14ac:dyDescent="0.25">
      <c r="A162" s="44">
        <v>26</v>
      </c>
      <c r="B162" s="45">
        <f t="shared" si="23"/>
        <v>11179.96</v>
      </c>
      <c r="C162" s="166">
        <f t="shared" si="24"/>
        <v>14705.01</v>
      </c>
      <c r="D162" s="8"/>
      <c r="E162" s="412" t="s">
        <v>515</v>
      </c>
      <c r="F162" s="415" t="s">
        <v>143</v>
      </c>
      <c r="H162" s="194"/>
      <c r="K162" s="130"/>
      <c r="L162" s="8"/>
      <c r="M162" s="8"/>
      <c r="N162" s="8"/>
      <c r="P162" s="44">
        <v>38</v>
      </c>
      <c r="Q162" s="184">
        <v>1</v>
      </c>
      <c r="R162" s="184">
        <v>1</v>
      </c>
      <c r="S162" s="188">
        <f t="shared" si="19"/>
        <v>1</v>
      </c>
      <c r="T162" s="189">
        <f t="shared" si="20"/>
        <v>1</v>
      </c>
    </row>
    <row r="163" spans="1:20" x14ac:dyDescent="0.25">
      <c r="A163" s="44">
        <v>27</v>
      </c>
      <c r="B163" s="45">
        <f t="shared" si="23"/>
        <v>11687.58</v>
      </c>
      <c r="C163" s="166">
        <f t="shared" si="24"/>
        <v>15452.81</v>
      </c>
      <c r="D163" s="8"/>
      <c r="E163" s="412" t="s">
        <v>516</v>
      </c>
      <c r="F163" s="415" t="s">
        <v>143</v>
      </c>
      <c r="H163" s="194"/>
      <c r="K163" s="130"/>
      <c r="L163" s="8"/>
      <c r="M163" s="8"/>
      <c r="P163" s="44">
        <v>39</v>
      </c>
      <c r="Q163" s="184">
        <v>1</v>
      </c>
      <c r="R163" s="184">
        <v>1</v>
      </c>
      <c r="S163" s="188">
        <f t="shared" si="19"/>
        <v>1</v>
      </c>
      <c r="T163" s="189">
        <f t="shared" si="20"/>
        <v>1</v>
      </c>
    </row>
    <row r="164" spans="1:20" x14ac:dyDescent="0.25">
      <c r="A164" s="44">
        <v>28</v>
      </c>
      <c r="B164" s="45">
        <f t="shared" si="23"/>
        <v>12218.14</v>
      </c>
      <c r="C164" s="166">
        <f t="shared" si="24"/>
        <v>16232.27</v>
      </c>
      <c r="D164" s="8"/>
      <c r="E164" s="412" t="s">
        <v>517</v>
      </c>
      <c r="F164" s="415" t="s">
        <v>143</v>
      </c>
      <c r="H164" s="194"/>
      <c r="K164" s="136"/>
      <c r="L164" s="8"/>
      <c r="M164" s="8"/>
      <c r="P164" s="44">
        <v>40</v>
      </c>
      <c r="Q164" s="184">
        <v>1</v>
      </c>
      <c r="R164" s="184">
        <v>1</v>
      </c>
      <c r="S164" s="188">
        <f t="shared" si="19"/>
        <v>1</v>
      </c>
      <c r="T164" s="189">
        <f t="shared" si="20"/>
        <v>1</v>
      </c>
    </row>
    <row r="165" spans="1:20" x14ac:dyDescent="0.25">
      <c r="A165" s="44">
        <v>29</v>
      </c>
      <c r="B165" s="45">
        <f t="shared" si="23"/>
        <v>12773.81</v>
      </c>
      <c r="C165" s="166">
        <f t="shared" si="24"/>
        <v>17058.68</v>
      </c>
      <c r="D165" s="8"/>
      <c r="E165" s="412" t="s">
        <v>518</v>
      </c>
      <c r="F165" s="415" t="s">
        <v>1</v>
      </c>
      <c r="H165" s="194"/>
      <c r="K165" s="136"/>
      <c r="L165" s="8"/>
      <c r="M165" s="8"/>
      <c r="P165" s="44">
        <v>41</v>
      </c>
      <c r="Q165" s="184">
        <v>1</v>
      </c>
      <c r="R165" s="184">
        <v>1</v>
      </c>
      <c r="S165" s="188">
        <f t="shared" si="19"/>
        <v>1</v>
      </c>
      <c r="T165" s="189">
        <f t="shared" si="20"/>
        <v>1</v>
      </c>
    </row>
    <row r="166" spans="1:20" x14ac:dyDescent="0.25">
      <c r="A166" s="44">
        <v>30</v>
      </c>
      <c r="B166" s="45">
        <f t="shared" si="23"/>
        <v>13140.62</v>
      </c>
      <c r="C166" s="166">
        <f t="shared" si="24"/>
        <v>17592.509999999998</v>
      </c>
      <c r="D166" s="8"/>
      <c r="E166" s="412" t="s">
        <v>519</v>
      </c>
      <c r="F166" s="415" t="s">
        <v>143</v>
      </c>
      <c r="H166" s="194"/>
      <c r="K166" s="136"/>
      <c r="L166" s="8"/>
      <c r="M166" s="8"/>
      <c r="P166" s="44">
        <v>42</v>
      </c>
      <c r="Q166" s="184">
        <v>1</v>
      </c>
      <c r="R166" s="184">
        <v>1</v>
      </c>
      <c r="S166" s="188">
        <f t="shared" si="19"/>
        <v>1</v>
      </c>
      <c r="T166" s="189">
        <f t="shared" si="20"/>
        <v>1</v>
      </c>
    </row>
    <row r="167" spans="1:20" x14ac:dyDescent="0.25">
      <c r="A167" s="44">
        <v>31</v>
      </c>
      <c r="B167" s="45">
        <f t="shared" si="23"/>
        <v>13518.34</v>
      </c>
      <c r="C167" s="166">
        <f t="shared" si="24"/>
        <v>18143.810000000001</v>
      </c>
      <c r="D167" s="8"/>
      <c r="E167" s="412" t="s">
        <v>520</v>
      </c>
      <c r="F167" s="415" t="s">
        <v>1</v>
      </c>
      <c r="H167" s="194"/>
      <c r="K167" s="130"/>
      <c r="L167" s="8"/>
      <c r="M167" s="8"/>
      <c r="P167" s="44">
        <v>43</v>
      </c>
      <c r="Q167" s="184">
        <v>1</v>
      </c>
      <c r="R167" s="184">
        <v>1</v>
      </c>
      <c r="S167" s="188">
        <f t="shared" si="19"/>
        <v>1</v>
      </c>
      <c r="T167" s="189">
        <f t="shared" si="20"/>
        <v>1</v>
      </c>
    </row>
    <row r="168" spans="1:20" x14ac:dyDescent="0.25">
      <c r="A168" s="44">
        <v>32</v>
      </c>
      <c r="B168" s="45">
        <f t="shared" si="23"/>
        <v>13904.8</v>
      </c>
      <c r="C168" s="166">
        <f t="shared" si="24"/>
        <v>18710.400000000001</v>
      </c>
      <c r="D168" s="8"/>
      <c r="E168" s="412" t="s">
        <v>521</v>
      </c>
      <c r="F168" s="415" t="s">
        <v>143</v>
      </c>
      <c r="G168" s="195"/>
      <c r="K168" s="147"/>
      <c r="L168" s="8"/>
      <c r="M168" s="8"/>
      <c r="P168" s="44">
        <v>44</v>
      </c>
      <c r="Q168" s="184">
        <v>1</v>
      </c>
      <c r="R168" s="184">
        <v>1</v>
      </c>
      <c r="S168" s="188">
        <f t="shared" si="19"/>
        <v>1</v>
      </c>
      <c r="T168" s="189">
        <f t="shared" si="20"/>
        <v>1</v>
      </c>
    </row>
    <row r="169" spans="1:20" x14ac:dyDescent="0.25">
      <c r="A169" s="44">
        <v>33</v>
      </c>
      <c r="B169" s="45">
        <f t="shared" si="23"/>
        <v>14306.54</v>
      </c>
      <c r="C169" s="166">
        <f t="shared" si="24"/>
        <v>19298.82</v>
      </c>
      <c r="D169" s="8"/>
      <c r="E169" s="412" t="s">
        <v>522</v>
      </c>
      <c r="F169" s="415" t="s">
        <v>143</v>
      </c>
      <c r="G169" s="8"/>
      <c r="K169" s="147"/>
      <c r="L169" s="8"/>
      <c r="M169" s="8"/>
      <c r="P169" s="44">
        <v>45</v>
      </c>
      <c r="Q169" s="184">
        <v>1</v>
      </c>
      <c r="R169" s="184">
        <v>1</v>
      </c>
      <c r="S169" s="188">
        <f t="shared" si="19"/>
        <v>1</v>
      </c>
      <c r="T169" s="189">
        <f t="shared" si="20"/>
        <v>1</v>
      </c>
    </row>
    <row r="170" spans="1:20" x14ac:dyDescent="0.25">
      <c r="A170" s="44">
        <v>34</v>
      </c>
      <c r="B170" s="45">
        <f t="shared" si="23"/>
        <v>14718.1</v>
      </c>
      <c r="C170" s="166">
        <f t="shared" si="24"/>
        <v>19903.62</v>
      </c>
      <c r="D170" s="8"/>
      <c r="E170" s="412" t="s">
        <v>523</v>
      </c>
      <c r="F170" s="415" t="s">
        <v>143</v>
      </c>
      <c r="G170" s="196"/>
      <c r="K170" s="147"/>
      <c r="L170" s="8"/>
      <c r="M170" s="8"/>
      <c r="P170" s="44">
        <v>46</v>
      </c>
      <c r="Q170" s="184">
        <v>1</v>
      </c>
      <c r="R170" s="184">
        <v>1</v>
      </c>
      <c r="S170" s="188">
        <f t="shared" si="19"/>
        <v>1</v>
      </c>
      <c r="T170" s="189">
        <f t="shared" si="20"/>
        <v>1</v>
      </c>
    </row>
    <row r="171" spans="1:20" x14ac:dyDescent="0.25">
      <c r="A171" s="44">
        <v>35</v>
      </c>
      <c r="B171" s="45">
        <f t="shared" si="23"/>
        <v>15077.27</v>
      </c>
      <c r="C171" s="166">
        <f t="shared" si="24"/>
        <v>20476.75</v>
      </c>
      <c r="D171" s="8"/>
      <c r="E171" s="412" t="s">
        <v>524</v>
      </c>
      <c r="F171" s="415" t="s">
        <v>1</v>
      </c>
      <c r="G171" s="8"/>
      <c r="K171" s="8"/>
      <c r="L171" s="8"/>
      <c r="M171" s="8"/>
      <c r="P171" s="44">
        <v>47</v>
      </c>
      <c r="Q171" s="184">
        <v>1</v>
      </c>
      <c r="R171" s="184">
        <v>1</v>
      </c>
      <c r="S171" s="188">
        <f t="shared" si="19"/>
        <v>1</v>
      </c>
      <c r="T171" s="189">
        <f t="shared" si="20"/>
        <v>1</v>
      </c>
    </row>
    <row r="172" spans="1:20" ht="15" customHeight="1" x14ac:dyDescent="0.25">
      <c r="A172" s="44">
        <v>36</v>
      </c>
      <c r="B172" s="45">
        <f t="shared" si="23"/>
        <v>15444.08</v>
      </c>
      <c r="C172" s="166">
        <f t="shared" si="24"/>
        <v>21065.17</v>
      </c>
      <c r="D172" s="8"/>
      <c r="E172" s="412" t="s">
        <v>525</v>
      </c>
      <c r="F172" s="415" t="s">
        <v>143</v>
      </c>
      <c r="G172" s="8"/>
      <c r="P172" s="44">
        <v>48</v>
      </c>
      <c r="Q172" s="184">
        <v>1</v>
      </c>
      <c r="R172" s="184">
        <v>1</v>
      </c>
      <c r="S172" s="188">
        <f t="shared" si="19"/>
        <v>1</v>
      </c>
      <c r="T172" s="189">
        <f t="shared" si="20"/>
        <v>1</v>
      </c>
    </row>
    <row r="173" spans="1:20" x14ac:dyDescent="0.25">
      <c r="A173" s="44">
        <v>37</v>
      </c>
      <c r="B173" s="45">
        <f t="shared" si="23"/>
        <v>15823.98</v>
      </c>
      <c r="C173" s="166">
        <f t="shared" si="24"/>
        <v>21669.97</v>
      </c>
      <c r="D173" s="8"/>
      <c r="E173" s="412" t="s">
        <v>526</v>
      </c>
      <c r="F173" s="415" t="s">
        <v>143</v>
      </c>
      <c r="G173" s="8"/>
      <c r="P173" s="44">
        <v>49</v>
      </c>
      <c r="Q173" s="184">
        <v>1</v>
      </c>
      <c r="R173" s="184">
        <v>1</v>
      </c>
      <c r="S173" s="188">
        <f t="shared" si="19"/>
        <v>1</v>
      </c>
      <c r="T173" s="189">
        <f t="shared" si="20"/>
        <v>1</v>
      </c>
    </row>
    <row r="174" spans="1:20" x14ac:dyDescent="0.25">
      <c r="A174" s="44">
        <v>38</v>
      </c>
      <c r="B174" s="45">
        <f t="shared" si="23"/>
        <v>16208.26</v>
      </c>
      <c r="C174" s="45">
        <f t="shared" ref="C174:C201" si="25">+IF($C$131=0,0,ROUND((C49*$C$131*T162)+$C$123+$C$124+$D$129,2))</f>
        <v>22294.41</v>
      </c>
      <c r="D174" s="8"/>
      <c r="E174" s="412" t="s">
        <v>527</v>
      </c>
      <c r="F174" s="415" t="s">
        <v>143</v>
      </c>
      <c r="G174" s="8"/>
      <c r="P174" s="44">
        <v>50</v>
      </c>
      <c r="Q174" s="184">
        <v>1</v>
      </c>
      <c r="R174" s="184">
        <v>1</v>
      </c>
      <c r="S174" s="188">
        <f t="shared" si="19"/>
        <v>1</v>
      </c>
      <c r="T174" s="189">
        <f t="shared" si="20"/>
        <v>1</v>
      </c>
    </row>
    <row r="175" spans="1:20" x14ac:dyDescent="0.25">
      <c r="A175" s="44">
        <v>39</v>
      </c>
      <c r="B175" s="45">
        <f t="shared" si="23"/>
        <v>16604.54</v>
      </c>
      <c r="C175" s="45">
        <f t="shared" si="25"/>
        <v>22935.23</v>
      </c>
      <c r="D175" s="8"/>
      <c r="E175" s="412" t="s">
        <v>528</v>
      </c>
      <c r="F175" s="415" t="s">
        <v>143</v>
      </c>
      <c r="G175" s="8"/>
      <c r="P175" s="44">
        <v>51</v>
      </c>
      <c r="Q175" s="184">
        <v>1</v>
      </c>
      <c r="R175" s="184">
        <v>1</v>
      </c>
      <c r="S175" s="188">
        <f t="shared" si="19"/>
        <v>1</v>
      </c>
      <c r="T175" s="189">
        <f t="shared" si="20"/>
        <v>1</v>
      </c>
    </row>
    <row r="176" spans="1:20" x14ac:dyDescent="0.25">
      <c r="A176" s="44">
        <v>40</v>
      </c>
      <c r="B176" s="45">
        <f t="shared" si="23"/>
        <v>17301.03</v>
      </c>
      <c r="C176" s="45">
        <f t="shared" si="25"/>
        <v>23250.73</v>
      </c>
      <c r="D176" s="8"/>
      <c r="E176" s="412" t="s">
        <v>529</v>
      </c>
      <c r="F176" s="415" t="s">
        <v>143</v>
      </c>
      <c r="G176" s="8"/>
      <c r="P176" s="44">
        <v>52</v>
      </c>
      <c r="Q176" s="184">
        <v>1</v>
      </c>
      <c r="R176" s="184">
        <v>1</v>
      </c>
      <c r="S176" s="188">
        <f t="shared" si="19"/>
        <v>1</v>
      </c>
      <c r="T176" s="189">
        <f t="shared" si="20"/>
        <v>1</v>
      </c>
    </row>
    <row r="177" spans="1:20" x14ac:dyDescent="0.25">
      <c r="A177" s="44">
        <v>41</v>
      </c>
      <c r="B177" s="45">
        <f t="shared" si="23"/>
        <v>18024.82</v>
      </c>
      <c r="C177" s="45">
        <f t="shared" si="25"/>
        <v>23571.67</v>
      </c>
      <c r="E177" s="412" t="s">
        <v>530</v>
      </c>
      <c r="F177" s="415" t="s">
        <v>143</v>
      </c>
      <c r="G177" s="8"/>
      <c r="P177" s="44">
        <v>53</v>
      </c>
      <c r="Q177" s="184">
        <v>1</v>
      </c>
      <c r="R177" s="184">
        <v>1</v>
      </c>
      <c r="S177" s="188">
        <f t="shared" si="19"/>
        <v>1</v>
      </c>
      <c r="T177" s="189">
        <f t="shared" si="20"/>
        <v>1</v>
      </c>
    </row>
    <row r="178" spans="1:20" x14ac:dyDescent="0.25">
      <c r="A178" s="44">
        <v>42</v>
      </c>
      <c r="B178" s="45">
        <f t="shared" si="23"/>
        <v>18779.169999999998</v>
      </c>
      <c r="C178" s="45">
        <f t="shared" si="25"/>
        <v>23897</v>
      </c>
      <c r="E178" s="412" t="s">
        <v>531</v>
      </c>
      <c r="F178" s="415" t="s">
        <v>143</v>
      </c>
      <c r="P178" s="44">
        <v>54</v>
      </c>
      <c r="Q178" s="184">
        <v>1</v>
      </c>
      <c r="R178" s="184">
        <v>1</v>
      </c>
      <c r="S178" s="188">
        <f t="shared" si="19"/>
        <v>1</v>
      </c>
      <c r="T178" s="189">
        <f t="shared" si="20"/>
        <v>1</v>
      </c>
    </row>
    <row r="179" spans="1:20" x14ac:dyDescent="0.25">
      <c r="A179" s="44">
        <v>43</v>
      </c>
      <c r="B179" s="45">
        <f t="shared" si="23"/>
        <v>19564.099999999999</v>
      </c>
      <c r="C179" s="45">
        <f t="shared" si="25"/>
        <v>24228.87</v>
      </c>
      <c r="E179" s="412" t="s">
        <v>532</v>
      </c>
      <c r="F179" s="415" t="s">
        <v>143</v>
      </c>
      <c r="P179" s="44">
        <v>55</v>
      </c>
      <c r="Q179" s="184">
        <v>1</v>
      </c>
      <c r="R179" s="184">
        <v>1</v>
      </c>
      <c r="S179" s="188">
        <f t="shared" si="19"/>
        <v>1</v>
      </c>
      <c r="T179" s="189">
        <f t="shared" si="20"/>
        <v>1</v>
      </c>
    </row>
    <row r="180" spans="1:20" x14ac:dyDescent="0.25">
      <c r="A180" s="44">
        <v>44</v>
      </c>
      <c r="B180" s="45">
        <f t="shared" si="23"/>
        <v>20382.86</v>
      </c>
      <c r="C180" s="45">
        <f t="shared" si="25"/>
        <v>24560.75</v>
      </c>
      <c r="E180" s="412" t="s">
        <v>533</v>
      </c>
      <c r="F180" s="415" t="s">
        <v>143</v>
      </c>
      <c r="P180" s="44">
        <v>56</v>
      </c>
      <c r="Q180" s="184">
        <v>1</v>
      </c>
      <c r="R180" s="184">
        <v>1</v>
      </c>
      <c r="S180" s="188">
        <f t="shared" si="19"/>
        <v>1</v>
      </c>
      <c r="T180" s="189">
        <f t="shared" si="20"/>
        <v>1</v>
      </c>
    </row>
    <row r="181" spans="1:20" x14ac:dyDescent="0.25">
      <c r="A181" s="44">
        <v>45</v>
      </c>
      <c r="B181" s="45">
        <f t="shared" si="23"/>
        <v>21190.71</v>
      </c>
      <c r="C181" s="45">
        <f t="shared" si="25"/>
        <v>25029.08</v>
      </c>
      <c r="E181" s="412" t="s">
        <v>534</v>
      </c>
      <c r="F181" s="415" t="s">
        <v>143</v>
      </c>
      <c r="P181" s="44">
        <v>57</v>
      </c>
      <c r="Q181" s="184">
        <v>1</v>
      </c>
      <c r="R181" s="184">
        <v>1</v>
      </c>
      <c r="S181" s="188">
        <f t="shared" si="19"/>
        <v>1</v>
      </c>
      <c r="T181" s="189">
        <f t="shared" si="20"/>
        <v>1</v>
      </c>
    </row>
    <row r="182" spans="1:20" x14ac:dyDescent="0.25">
      <c r="A182" s="44">
        <v>46</v>
      </c>
      <c r="B182" s="45">
        <f t="shared" si="23"/>
        <v>22030.22</v>
      </c>
      <c r="C182" s="45">
        <f t="shared" si="25"/>
        <v>25505.05</v>
      </c>
      <c r="E182" s="412" t="s">
        <v>535</v>
      </c>
      <c r="F182" s="415" t="s">
        <v>143</v>
      </c>
      <c r="P182" s="44">
        <v>58</v>
      </c>
      <c r="Q182" s="184">
        <v>1</v>
      </c>
      <c r="R182" s="184">
        <v>1</v>
      </c>
      <c r="S182" s="188">
        <f t="shared" si="19"/>
        <v>1</v>
      </c>
      <c r="T182" s="189">
        <f t="shared" si="20"/>
        <v>1</v>
      </c>
    </row>
    <row r="183" spans="1:20" x14ac:dyDescent="0.25">
      <c r="A183" s="44">
        <v>47</v>
      </c>
      <c r="B183" s="45">
        <f t="shared" si="23"/>
        <v>22905.75</v>
      </c>
      <c r="C183" s="45">
        <f t="shared" si="25"/>
        <v>25989.759999999998</v>
      </c>
      <c r="E183" s="412" t="s">
        <v>536</v>
      </c>
      <c r="F183" s="415" t="s">
        <v>143</v>
      </c>
      <c r="P183" s="44">
        <v>59</v>
      </c>
      <c r="Q183" s="184">
        <v>1</v>
      </c>
      <c r="R183" s="184">
        <v>1</v>
      </c>
      <c r="S183" s="188">
        <f t="shared" si="19"/>
        <v>1</v>
      </c>
      <c r="T183" s="189">
        <f t="shared" si="20"/>
        <v>1</v>
      </c>
    </row>
    <row r="184" spans="1:20" x14ac:dyDescent="0.25">
      <c r="A184" s="44">
        <v>48</v>
      </c>
      <c r="B184" s="45">
        <f t="shared" si="23"/>
        <v>23815.119999999999</v>
      </c>
      <c r="C184" s="45">
        <f t="shared" si="25"/>
        <v>26483.200000000001</v>
      </c>
      <c r="E184" s="412" t="s">
        <v>537</v>
      </c>
      <c r="F184" s="415" t="s">
        <v>143</v>
      </c>
      <c r="P184" s="44">
        <v>60</v>
      </c>
      <c r="Q184" s="184">
        <v>1.1000000000000001</v>
      </c>
      <c r="R184" s="184">
        <v>1.1000000000000001</v>
      </c>
      <c r="S184" s="188">
        <f t="shared" si="19"/>
        <v>1</v>
      </c>
      <c r="T184" s="189">
        <f t="shared" si="20"/>
        <v>1</v>
      </c>
    </row>
    <row r="185" spans="1:20" x14ac:dyDescent="0.25">
      <c r="A185" s="44">
        <v>49</v>
      </c>
      <c r="B185" s="45">
        <f t="shared" si="23"/>
        <v>24759.43</v>
      </c>
      <c r="C185" s="45">
        <f t="shared" si="25"/>
        <v>26986.47</v>
      </c>
      <c r="E185" s="412" t="s">
        <v>538</v>
      </c>
      <c r="F185" s="415" t="s">
        <v>143</v>
      </c>
      <c r="P185" s="44">
        <v>61</v>
      </c>
      <c r="Q185" s="184">
        <v>1.1000000000000001</v>
      </c>
      <c r="R185" s="184">
        <v>1.1000000000000001</v>
      </c>
      <c r="S185" s="188">
        <f t="shared" si="19"/>
        <v>1</v>
      </c>
      <c r="T185" s="189">
        <f t="shared" si="20"/>
        <v>1</v>
      </c>
    </row>
    <row r="186" spans="1:20" x14ac:dyDescent="0.25">
      <c r="A186" s="44">
        <v>50</v>
      </c>
      <c r="B186" s="45">
        <f t="shared" si="23"/>
        <v>25782.34</v>
      </c>
      <c r="C186" s="45">
        <f t="shared" si="25"/>
        <v>27744.1</v>
      </c>
      <c r="E186" s="412" t="s">
        <v>539</v>
      </c>
      <c r="F186" s="415" t="s">
        <v>143</v>
      </c>
      <c r="P186" s="44">
        <v>62</v>
      </c>
      <c r="Q186" s="184">
        <v>1.1000000000000001</v>
      </c>
      <c r="R186" s="184">
        <v>1.1000000000000001</v>
      </c>
      <c r="S186" s="188">
        <f t="shared" si="19"/>
        <v>1</v>
      </c>
      <c r="T186" s="189">
        <f t="shared" si="20"/>
        <v>1</v>
      </c>
    </row>
    <row r="187" spans="1:20" x14ac:dyDescent="0.25">
      <c r="A187" s="44">
        <v>51</v>
      </c>
      <c r="B187" s="45">
        <f t="shared" si="23"/>
        <v>26847.83</v>
      </c>
      <c r="C187" s="45">
        <f t="shared" si="25"/>
        <v>28522.47</v>
      </c>
      <c r="E187" s="412" t="s">
        <v>540</v>
      </c>
      <c r="F187" s="415" t="s">
        <v>143</v>
      </c>
      <c r="P187" s="44">
        <v>63</v>
      </c>
      <c r="Q187" s="184">
        <v>1.1000000000000001</v>
      </c>
      <c r="R187" s="184">
        <v>1.1000000000000001</v>
      </c>
      <c r="S187" s="188">
        <f t="shared" si="19"/>
        <v>1</v>
      </c>
      <c r="T187" s="189">
        <f t="shared" si="20"/>
        <v>1</v>
      </c>
    </row>
    <row r="188" spans="1:20" x14ac:dyDescent="0.25">
      <c r="A188" s="44">
        <v>52</v>
      </c>
      <c r="B188" s="45">
        <f t="shared" si="23"/>
        <v>27958.07</v>
      </c>
      <c r="C188" s="45">
        <f t="shared" si="25"/>
        <v>29321.58</v>
      </c>
      <c r="E188" s="412" t="s">
        <v>541</v>
      </c>
      <c r="F188" s="415" t="s">
        <v>143</v>
      </c>
      <c r="P188" s="44">
        <v>64</v>
      </c>
      <c r="Q188" s="184">
        <v>1.1000000000000001</v>
      </c>
      <c r="R188" s="184">
        <v>1.1000000000000001</v>
      </c>
      <c r="S188" s="188">
        <f t="shared" si="19"/>
        <v>1</v>
      </c>
      <c r="T188" s="189">
        <f t="shared" si="20"/>
        <v>1</v>
      </c>
    </row>
    <row r="189" spans="1:20" x14ac:dyDescent="0.25">
      <c r="A189" s="44">
        <v>53</v>
      </c>
      <c r="B189" s="45">
        <f t="shared" si="23"/>
        <v>29116.35</v>
      </c>
      <c r="C189" s="45">
        <f t="shared" si="25"/>
        <v>30143.63</v>
      </c>
      <c r="E189" s="412" t="s">
        <v>542</v>
      </c>
      <c r="F189" s="415" t="s">
        <v>143</v>
      </c>
      <c r="P189" s="44">
        <v>65</v>
      </c>
      <c r="Q189" s="184">
        <v>1.1000000000000001</v>
      </c>
      <c r="R189" s="184">
        <v>1.1000000000000001</v>
      </c>
      <c r="S189" s="188">
        <f t="shared" ref="S189:S224" si="26">IF($B$4=1,Q189,1)</f>
        <v>1</v>
      </c>
      <c r="T189" s="189">
        <f t="shared" ref="T189:T224" si="27">IF($B$4=1,R189,1)</f>
        <v>1</v>
      </c>
    </row>
    <row r="190" spans="1:20" x14ac:dyDescent="0.25">
      <c r="A190" s="44">
        <v>54</v>
      </c>
      <c r="B190" s="45">
        <f t="shared" si="23"/>
        <v>30319.38</v>
      </c>
      <c r="C190" s="45">
        <f t="shared" si="25"/>
        <v>30992.959999999999</v>
      </c>
      <c r="E190" s="412" t="s">
        <v>152</v>
      </c>
      <c r="F190" s="415" t="s">
        <v>143</v>
      </c>
      <c r="P190" s="44">
        <v>66</v>
      </c>
      <c r="Q190" s="184">
        <v>1.1000000000000001</v>
      </c>
      <c r="R190" s="184">
        <v>1.1000000000000001</v>
      </c>
      <c r="S190" s="188">
        <f t="shared" si="26"/>
        <v>1</v>
      </c>
      <c r="T190" s="189">
        <f t="shared" si="27"/>
        <v>1</v>
      </c>
    </row>
    <row r="191" spans="1:20" x14ac:dyDescent="0.25">
      <c r="A191" s="44">
        <v>55</v>
      </c>
      <c r="B191" s="45">
        <f t="shared" si="23"/>
        <v>31792.07</v>
      </c>
      <c r="C191" s="45">
        <f t="shared" si="25"/>
        <v>32037.7</v>
      </c>
      <c r="E191" s="412" t="s">
        <v>543</v>
      </c>
      <c r="F191" s="415" t="s">
        <v>1</v>
      </c>
      <c r="P191" s="44">
        <v>67</v>
      </c>
      <c r="Q191" s="184">
        <v>1.1000000000000001</v>
      </c>
      <c r="R191" s="184">
        <v>1.1000000000000001</v>
      </c>
      <c r="S191" s="188">
        <f t="shared" si="26"/>
        <v>1</v>
      </c>
      <c r="T191" s="189">
        <f t="shared" si="27"/>
        <v>1</v>
      </c>
    </row>
    <row r="192" spans="1:20" x14ac:dyDescent="0.25">
      <c r="A192" s="44">
        <v>56</v>
      </c>
      <c r="B192" s="45">
        <f t="shared" si="23"/>
        <v>33335.72</v>
      </c>
      <c r="C192" s="45">
        <f t="shared" si="25"/>
        <v>33117.379999999997</v>
      </c>
      <c r="E192" s="412" t="s">
        <v>544</v>
      </c>
      <c r="F192" s="415" t="s">
        <v>1</v>
      </c>
      <c r="P192" s="44">
        <v>68</v>
      </c>
      <c r="Q192" s="184">
        <v>1.1000000000000001</v>
      </c>
      <c r="R192" s="184">
        <v>1.1000000000000001</v>
      </c>
      <c r="S192" s="188">
        <f t="shared" si="26"/>
        <v>1</v>
      </c>
      <c r="T192" s="189">
        <f t="shared" si="27"/>
        <v>1</v>
      </c>
    </row>
    <row r="193" spans="1:20" x14ac:dyDescent="0.25">
      <c r="A193" s="44">
        <v>57</v>
      </c>
      <c r="B193" s="45">
        <f t="shared" si="23"/>
        <v>34953.589999999997</v>
      </c>
      <c r="C193" s="45">
        <f t="shared" si="25"/>
        <v>34235.269999999997</v>
      </c>
      <c r="E193" s="412" t="s">
        <v>545</v>
      </c>
      <c r="F193" s="415" t="s">
        <v>143</v>
      </c>
      <c r="P193" s="44">
        <v>69</v>
      </c>
      <c r="Q193" s="184">
        <v>1.1000000000000001</v>
      </c>
      <c r="R193" s="184">
        <v>1.1000000000000001</v>
      </c>
      <c r="S193" s="188">
        <f t="shared" si="26"/>
        <v>1</v>
      </c>
      <c r="T193" s="189">
        <f t="shared" si="27"/>
        <v>1</v>
      </c>
    </row>
    <row r="194" spans="1:20" x14ac:dyDescent="0.25">
      <c r="A194" s="44">
        <v>58</v>
      </c>
      <c r="B194" s="45">
        <f t="shared" si="23"/>
        <v>36651.160000000003</v>
      </c>
      <c r="C194" s="45">
        <f t="shared" si="25"/>
        <v>35389.18</v>
      </c>
      <c r="E194" s="412" t="s">
        <v>546</v>
      </c>
      <c r="F194" s="415" t="s">
        <v>1</v>
      </c>
      <c r="P194" s="44">
        <v>70</v>
      </c>
      <c r="Q194" s="184">
        <v>1.1499999999999999</v>
      </c>
      <c r="R194" s="184">
        <v>1.1499999999999999</v>
      </c>
      <c r="S194" s="188">
        <f t="shared" si="26"/>
        <v>1</v>
      </c>
      <c r="T194" s="189">
        <f t="shared" si="27"/>
        <v>1</v>
      </c>
    </row>
    <row r="195" spans="1:20" x14ac:dyDescent="0.25">
      <c r="A195" s="44">
        <v>59</v>
      </c>
      <c r="B195" s="45">
        <f t="shared" si="23"/>
        <v>38432.79</v>
      </c>
      <c r="C195" s="45">
        <f t="shared" si="25"/>
        <v>36584.57</v>
      </c>
      <c r="E195" s="412" t="s">
        <v>547</v>
      </c>
      <c r="F195" s="415" t="s">
        <v>143</v>
      </c>
      <c r="P195" s="44">
        <v>71</v>
      </c>
      <c r="Q195" s="184">
        <v>1.1499999999999999</v>
      </c>
      <c r="R195" s="184">
        <v>1.1499999999999999</v>
      </c>
      <c r="S195" s="188">
        <f t="shared" si="26"/>
        <v>1</v>
      </c>
      <c r="T195" s="189">
        <f t="shared" si="27"/>
        <v>1</v>
      </c>
    </row>
    <row r="196" spans="1:20" x14ac:dyDescent="0.25">
      <c r="A196" s="44">
        <v>60</v>
      </c>
      <c r="B196" s="45">
        <f t="shared" si="23"/>
        <v>39626.01</v>
      </c>
      <c r="C196" s="45">
        <f t="shared" si="25"/>
        <v>37710.1</v>
      </c>
      <c r="E196" s="412" t="s">
        <v>548</v>
      </c>
      <c r="F196" s="415" t="s">
        <v>143</v>
      </c>
      <c r="P196" s="44">
        <v>72</v>
      </c>
      <c r="Q196" s="184">
        <v>1.1499999999999999</v>
      </c>
      <c r="R196" s="184">
        <v>1.1499999999999999</v>
      </c>
      <c r="S196" s="188">
        <f t="shared" si="26"/>
        <v>1</v>
      </c>
      <c r="T196" s="189">
        <f t="shared" si="27"/>
        <v>1</v>
      </c>
    </row>
    <row r="197" spans="1:20" x14ac:dyDescent="0.25">
      <c r="A197" s="44">
        <v>61</v>
      </c>
      <c r="B197" s="45">
        <f t="shared" si="23"/>
        <v>40861.79</v>
      </c>
      <c r="C197" s="45">
        <f t="shared" si="25"/>
        <v>38870.559999999998</v>
      </c>
      <c r="E197" s="412" t="s">
        <v>549</v>
      </c>
      <c r="F197" s="415" t="s">
        <v>143</v>
      </c>
      <c r="P197" s="44">
        <v>73</v>
      </c>
      <c r="Q197" s="184">
        <v>1.1499999999999999</v>
      </c>
      <c r="R197" s="184">
        <v>1.1499999999999999</v>
      </c>
      <c r="S197" s="188">
        <f t="shared" si="26"/>
        <v>1</v>
      </c>
      <c r="T197" s="189">
        <f t="shared" si="27"/>
        <v>1</v>
      </c>
    </row>
    <row r="198" spans="1:20" x14ac:dyDescent="0.25">
      <c r="A198" s="44">
        <v>62</v>
      </c>
      <c r="B198" s="45">
        <f t="shared" si="23"/>
        <v>42134.7</v>
      </c>
      <c r="C198" s="45">
        <f t="shared" si="25"/>
        <v>40069.230000000003</v>
      </c>
      <c r="E198" s="412" t="s">
        <v>550</v>
      </c>
      <c r="F198" s="415" t="s">
        <v>143</v>
      </c>
      <c r="P198" s="44">
        <v>74</v>
      </c>
      <c r="Q198" s="184">
        <v>1.1499999999999999</v>
      </c>
      <c r="R198" s="184">
        <v>1.1499999999999999</v>
      </c>
      <c r="S198" s="188">
        <f t="shared" si="26"/>
        <v>1</v>
      </c>
      <c r="T198" s="189">
        <f t="shared" si="27"/>
        <v>1</v>
      </c>
    </row>
    <row r="199" spans="1:20" x14ac:dyDescent="0.25">
      <c r="A199" s="44">
        <v>63</v>
      </c>
      <c r="B199" s="45">
        <f t="shared" si="23"/>
        <v>43446.91</v>
      </c>
      <c r="C199" s="45">
        <f t="shared" si="25"/>
        <v>41300.65</v>
      </c>
      <c r="E199" s="412" t="s">
        <v>551</v>
      </c>
      <c r="F199" s="415" t="s">
        <v>143</v>
      </c>
      <c r="P199" s="44">
        <v>75</v>
      </c>
      <c r="Q199" s="184">
        <v>1.1499999999999999</v>
      </c>
      <c r="R199" s="184">
        <v>1.1499999999999999</v>
      </c>
      <c r="S199" s="188">
        <f t="shared" si="26"/>
        <v>1</v>
      </c>
      <c r="T199" s="189">
        <f t="shared" si="27"/>
        <v>1</v>
      </c>
    </row>
    <row r="200" spans="1:20" x14ac:dyDescent="0.25">
      <c r="A200" s="44">
        <v>64</v>
      </c>
      <c r="B200" s="45">
        <f t="shared" si="23"/>
        <v>44799.51</v>
      </c>
      <c r="C200" s="45">
        <f t="shared" si="25"/>
        <v>42572.46</v>
      </c>
      <c r="E200" s="412" t="s">
        <v>552</v>
      </c>
      <c r="F200" s="415" t="s">
        <v>143</v>
      </c>
      <c r="P200" s="44">
        <v>76</v>
      </c>
      <c r="Q200" s="184">
        <v>1.1499999999999999</v>
      </c>
      <c r="R200" s="184">
        <v>1.1499999999999999</v>
      </c>
      <c r="S200" s="188">
        <f t="shared" si="26"/>
        <v>1</v>
      </c>
      <c r="T200" s="189">
        <f t="shared" si="27"/>
        <v>1</v>
      </c>
    </row>
    <row r="201" spans="1:20" x14ac:dyDescent="0.25">
      <c r="A201" s="44">
        <v>65</v>
      </c>
      <c r="B201" s="45">
        <f t="shared" si="23"/>
        <v>48336.56</v>
      </c>
      <c r="C201" s="45">
        <f t="shared" si="25"/>
        <v>46392.27</v>
      </c>
      <c r="E201" s="412" t="s">
        <v>553</v>
      </c>
      <c r="F201" s="415" t="s">
        <v>143</v>
      </c>
      <c r="P201" s="44">
        <v>77</v>
      </c>
      <c r="Q201" s="184">
        <v>1.1499999999999999</v>
      </c>
      <c r="R201" s="184">
        <v>1.1499999999999999</v>
      </c>
      <c r="S201" s="188">
        <f t="shared" si="26"/>
        <v>1</v>
      </c>
      <c r="T201" s="189">
        <f t="shared" si="27"/>
        <v>1</v>
      </c>
    </row>
    <row r="202" spans="1:20" x14ac:dyDescent="0.25">
      <c r="A202" s="44">
        <v>66</v>
      </c>
      <c r="B202" s="164">
        <f t="shared" ref="B202:B236" si="28">+IF($C$131=0,0,ROUND((B77*$C$131*S190)+$C$123+$D$129,2))</f>
        <v>52156.37</v>
      </c>
      <c r="C202" s="164">
        <f t="shared" ref="C202:C236" si="29">+IF($C$131=0,0,ROUND((C77*$C$131*T190)+$C$123+$D$129,2))</f>
        <v>50551.59</v>
      </c>
      <c r="E202" s="412" t="s">
        <v>554</v>
      </c>
      <c r="F202" s="415" t="s">
        <v>143</v>
      </c>
      <c r="P202" s="44">
        <v>78</v>
      </c>
      <c r="Q202" s="184">
        <v>1.1499999999999999</v>
      </c>
      <c r="R202" s="184">
        <v>1.1499999999999999</v>
      </c>
      <c r="S202" s="188">
        <f t="shared" si="26"/>
        <v>1</v>
      </c>
      <c r="T202" s="189">
        <f t="shared" si="27"/>
        <v>1</v>
      </c>
    </row>
    <row r="203" spans="1:20" x14ac:dyDescent="0.25">
      <c r="A203" s="44">
        <v>67</v>
      </c>
      <c r="B203" s="164">
        <f t="shared" si="28"/>
        <v>56274.21</v>
      </c>
      <c r="C203" s="164">
        <f t="shared" si="29"/>
        <v>55084.27</v>
      </c>
      <c r="E203" s="412" t="s">
        <v>555</v>
      </c>
      <c r="F203" s="415" t="s">
        <v>143</v>
      </c>
      <c r="P203" s="44">
        <v>79</v>
      </c>
      <c r="Q203" s="184">
        <v>1.1499999999999999</v>
      </c>
      <c r="R203" s="184">
        <v>1.1499999999999999</v>
      </c>
      <c r="S203" s="188">
        <f t="shared" si="26"/>
        <v>1</v>
      </c>
      <c r="T203" s="189">
        <f t="shared" si="27"/>
        <v>1</v>
      </c>
    </row>
    <row r="204" spans="1:20" x14ac:dyDescent="0.25">
      <c r="A204" s="44">
        <v>68</v>
      </c>
      <c r="B204" s="164">
        <f t="shared" si="28"/>
        <v>60717.38</v>
      </c>
      <c r="C204" s="164">
        <f t="shared" si="29"/>
        <v>60023.06</v>
      </c>
      <c r="E204" s="412" t="s">
        <v>556</v>
      </c>
      <c r="F204" s="415" t="s">
        <v>1</v>
      </c>
      <c r="P204" s="44">
        <v>80</v>
      </c>
      <c r="Q204" s="184">
        <v>1.2</v>
      </c>
      <c r="R204" s="184">
        <v>1.2</v>
      </c>
      <c r="S204" s="188">
        <f t="shared" si="26"/>
        <v>1</v>
      </c>
      <c r="T204" s="189">
        <f t="shared" si="27"/>
        <v>1</v>
      </c>
    </row>
    <row r="205" spans="1:20" x14ac:dyDescent="0.25">
      <c r="A205" s="44">
        <v>69</v>
      </c>
      <c r="B205" s="164">
        <f t="shared" si="28"/>
        <v>65514.239999999998</v>
      </c>
      <c r="C205" s="164">
        <f t="shared" si="29"/>
        <v>65405.08</v>
      </c>
      <c r="E205" s="412" t="s">
        <v>557</v>
      </c>
      <c r="F205" s="415" t="s">
        <v>143</v>
      </c>
      <c r="P205" s="44">
        <v>81</v>
      </c>
      <c r="Q205" s="184">
        <v>1.2</v>
      </c>
      <c r="R205" s="184">
        <v>1.2</v>
      </c>
      <c r="S205" s="188">
        <f t="shared" si="26"/>
        <v>1</v>
      </c>
      <c r="T205" s="189">
        <f t="shared" si="27"/>
        <v>1</v>
      </c>
    </row>
    <row r="206" spans="1:20" x14ac:dyDescent="0.25">
      <c r="A206" s="44">
        <v>70</v>
      </c>
      <c r="B206" s="164">
        <f t="shared" si="28"/>
        <v>71105.850000000006</v>
      </c>
      <c r="C206" s="164">
        <f t="shared" si="29"/>
        <v>70884.25</v>
      </c>
      <c r="E206" s="412" t="s">
        <v>558</v>
      </c>
      <c r="F206" s="415" t="s">
        <v>143</v>
      </c>
      <c r="P206" s="44">
        <v>82</v>
      </c>
      <c r="Q206" s="184">
        <v>1.2</v>
      </c>
      <c r="R206" s="184">
        <v>1.2</v>
      </c>
      <c r="S206" s="188">
        <f t="shared" si="26"/>
        <v>1</v>
      </c>
      <c r="T206" s="189">
        <f t="shared" si="27"/>
        <v>1</v>
      </c>
    </row>
    <row r="207" spans="1:20" x14ac:dyDescent="0.25">
      <c r="A207" s="44">
        <v>71</v>
      </c>
      <c r="B207" s="164">
        <f t="shared" si="28"/>
        <v>77174.539999999994</v>
      </c>
      <c r="C207" s="164">
        <f t="shared" si="29"/>
        <v>76820.820000000007</v>
      </c>
      <c r="E207" s="412" t="s">
        <v>559</v>
      </c>
      <c r="F207" s="415" t="s">
        <v>143</v>
      </c>
      <c r="P207" s="44">
        <v>83</v>
      </c>
      <c r="Q207" s="184">
        <v>1.2</v>
      </c>
      <c r="R207" s="184">
        <v>1.2</v>
      </c>
      <c r="S207" s="188">
        <f t="shared" si="26"/>
        <v>1</v>
      </c>
      <c r="T207" s="189">
        <f t="shared" si="27"/>
        <v>1</v>
      </c>
    </row>
    <row r="208" spans="1:20" ht="28.5" x14ac:dyDescent="0.25">
      <c r="A208" s="44">
        <v>72</v>
      </c>
      <c r="B208" s="164">
        <f t="shared" si="28"/>
        <v>83760.67</v>
      </c>
      <c r="C208" s="164">
        <f t="shared" si="29"/>
        <v>83255.22</v>
      </c>
      <c r="E208" s="412" t="s">
        <v>560</v>
      </c>
      <c r="F208" s="415" t="s">
        <v>143</v>
      </c>
      <c r="P208" s="44">
        <v>84</v>
      </c>
      <c r="Q208" s="184">
        <v>1.2</v>
      </c>
      <c r="R208" s="184">
        <v>1.2</v>
      </c>
      <c r="S208" s="188">
        <f t="shared" si="26"/>
        <v>1</v>
      </c>
      <c r="T208" s="189">
        <f t="shared" si="27"/>
        <v>1</v>
      </c>
    </row>
    <row r="209" spans="1:20" ht="28.5" x14ac:dyDescent="0.25">
      <c r="A209" s="44">
        <v>73</v>
      </c>
      <c r="B209" s="164">
        <f t="shared" si="28"/>
        <v>90910.13</v>
      </c>
      <c r="C209" s="164">
        <f t="shared" si="29"/>
        <v>90231.09</v>
      </c>
      <c r="E209" s="412" t="s">
        <v>561</v>
      </c>
      <c r="F209" s="415" t="s">
        <v>143</v>
      </c>
      <c r="P209" s="44">
        <v>85</v>
      </c>
      <c r="Q209" s="184">
        <v>1.2</v>
      </c>
      <c r="R209" s="184">
        <v>1.2</v>
      </c>
      <c r="S209" s="188">
        <f t="shared" si="26"/>
        <v>1</v>
      </c>
      <c r="T209" s="189">
        <f t="shared" si="27"/>
        <v>1</v>
      </c>
    </row>
    <row r="210" spans="1:20" x14ac:dyDescent="0.25">
      <c r="A210" s="44">
        <v>74</v>
      </c>
      <c r="B210" s="164">
        <f t="shared" si="28"/>
        <v>98674.19</v>
      </c>
      <c r="C210" s="164">
        <f t="shared" si="29"/>
        <v>97797.57</v>
      </c>
      <c r="E210" s="412" t="s">
        <v>562</v>
      </c>
      <c r="F210" s="415" t="s">
        <v>143</v>
      </c>
      <c r="P210" s="44">
        <v>86</v>
      </c>
      <c r="Q210" s="184">
        <v>1.2</v>
      </c>
      <c r="R210" s="184">
        <v>1.2</v>
      </c>
      <c r="S210" s="188">
        <f t="shared" si="26"/>
        <v>1</v>
      </c>
      <c r="T210" s="189">
        <f t="shared" si="27"/>
        <v>1</v>
      </c>
    </row>
    <row r="211" spans="1:20" ht="28.5" x14ac:dyDescent="0.25">
      <c r="A211" s="44">
        <v>75</v>
      </c>
      <c r="B211" s="164">
        <f t="shared" si="28"/>
        <v>105213.39</v>
      </c>
      <c r="C211" s="164">
        <f t="shared" si="29"/>
        <v>103135.92</v>
      </c>
      <c r="E211" s="412" t="s">
        <v>563</v>
      </c>
      <c r="F211" s="415" t="s">
        <v>143</v>
      </c>
      <c r="P211" s="44">
        <v>87</v>
      </c>
      <c r="Q211" s="184">
        <v>1.2</v>
      </c>
      <c r="R211" s="184">
        <v>1.2</v>
      </c>
      <c r="S211" s="188">
        <f t="shared" si="26"/>
        <v>1</v>
      </c>
      <c r="T211" s="189">
        <f t="shared" si="27"/>
        <v>1</v>
      </c>
    </row>
    <row r="212" spans="1:20" x14ac:dyDescent="0.25">
      <c r="A212" s="44">
        <v>76</v>
      </c>
      <c r="B212" s="164">
        <f t="shared" si="28"/>
        <v>112188.17</v>
      </c>
      <c r="C212" s="164">
        <f t="shared" si="29"/>
        <v>108764.64</v>
      </c>
      <c r="E212" s="412" t="s">
        <v>564</v>
      </c>
      <c r="F212" s="415" t="s">
        <v>143</v>
      </c>
      <c r="P212" s="44">
        <v>88</v>
      </c>
      <c r="Q212" s="184">
        <v>1.2</v>
      </c>
      <c r="R212" s="184">
        <v>1.2</v>
      </c>
      <c r="S212" s="188">
        <f t="shared" si="26"/>
        <v>1</v>
      </c>
      <c r="T212" s="189">
        <f t="shared" si="27"/>
        <v>1</v>
      </c>
    </row>
    <row r="213" spans="1:20" ht="28.5" x14ac:dyDescent="0.25">
      <c r="A213" s="44">
        <v>77</v>
      </c>
      <c r="B213" s="164">
        <f t="shared" si="28"/>
        <v>119632.38</v>
      </c>
      <c r="C213" s="164">
        <f t="shared" si="29"/>
        <v>114694.68</v>
      </c>
      <c r="E213" s="412" t="s">
        <v>565</v>
      </c>
      <c r="F213" s="415" t="s">
        <v>143</v>
      </c>
      <c r="P213" s="44">
        <v>89</v>
      </c>
      <c r="Q213" s="184">
        <v>1.2</v>
      </c>
      <c r="R213" s="184">
        <v>1.2</v>
      </c>
      <c r="S213" s="188">
        <f t="shared" si="26"/>
        <v>1</v>
      </c>
      <c r="T213" s="189">
        <f t="shared" si="27"/>
        <v>1</v>
      </c>
    </row>
    <row r="214" spans="1:20" x14ac:dyDescent="0.25">
      <c r="A214" s="44">
        <v>78</v>
      </c>
      <c r="B214" s="164">
        <f t="shared" si="28"/>
        <v>127561.29</v>
      </c>
      <c r="C214" s="164">
        <f t="shared" si="29"/>
        <v>120957.68</v>
      </c>
      <c r="E214" s="412" t="s">
        <v>566</v>
      </c>
      <c r="F214" s="415" t="s">
        <v>143</v>
      </c>
      <c r="P214" s="44">
        <v>90</v>
      </c>
      <c r="Q214" s="184">
        <v>1.2</v>
      </c>
      <c r="R214" s="184">
        <v>1.2</v>
      </c>
      <c r="S214" s="188">
        <f t="shared" si="26"/>
        <v>1</v>
      </c>
      <c r="T214" s="189">
        <f t="shared" si="27"/>
        <v>1</v>
      </c>
    </row>
    <row r="215" spans="1:20" x14ac:dyDescent="0.25">
      <c r="A215" s="44">
        <v>79</v>
      </c>
      <c r="B215" s="164">
        <f t="shared" si="28"/>
        <v>136025.12</v>
      </c>
      <c r="C215" s="164">
        <f t="shared" si="29"/>
        <v>127550.37</v>
      </c>
      <c r="E215" s="412" t="s">
        <v>567</v>
      </c>
      <c r="F215" s="415" t="s">
        <v>1</v>
      </c>
      <c r="P215" s="44">
        <v>91</v>
      </c>
      <c r="Q215" s="184">
        <v>1.2</v>
      </c>
      <c r="R215" s="184">
        <v>1.2</v>
      </c>
      <c r="S215" s="188">
        <f t="shared" si="26"/>
        <v>1</v>
      </c>
      <c r="T215" s="189">
        <f t="shared" si="27"/>
        <v>1</v>
      </c>
    </row>
    <row r="216" spans="1:20" x14ac:dyDescent="0.25">
      <c r="A216" s="44">
        <v>80</v>
      </c>
      <c r="B216" s="164">
        <f t="shared" si="28"/>
        <v>141495.57</v>
      </c>
      <c r="C216" s="164">
        <f t="shared" si="29"/>
        <v>132349.42000000001</v>
      </c>
      <c r="E216" s="412" t="s">
        <v>568</v>
      </c>
      <c r="F216" s="415" t="s">
        <v>143</v>
      </c>
      <c r="P216" s="44">
        <v>92</v>
      </c>
      <c r="Q216" s="184">
        <v>1.2</v>
      </c>
      <c r="R216" s="184">
        <v>1.2</v>
      </c>
      <c r="S216" s="188">
        <f t="shared" si="26"/>
        <v>1</v>
      </c>
      <c r="T216" s="189">
        <f t="shared" si="27"/>
        <v>1</v>
      </c>
    </row>
    <row r="217" spans="1:20" x14ac:dyDescent="0.25">
      <c r="A217" s="44">
        <v>81</v>
      </c>
      <c r="B217" s="164">
        <f t="shared" si="28"/>
        <v>147193.07999999999</v>
      </c>
      <c r="C217" s="164">
        <f t="shared" si="29"/>
        <v>137324.23000000001</v>
      </c>
      <c r="E217" s="412" t="s">
        <v>569</v>
      </c>
      <c r="F217" s="415" t="s">
        <v>143</v>
      </c>
      <c r="P217" s="44">
        <v>93</v>
      </c>
      <c r="Q217" s="184">
        <v>1.2</v>
      </c>
      <c r="R217" s="184">
        <v>1.2</v>
      </c>
      <c r="S217" s="188">
        <f t="shared" si="26"/>
        <v>1</v>
      </c>
      <c r="T217" s="189">
        <f t="shared" si="27"/>
        <v>1</v>
      </c>
    </row>
    <row r="218" spans="1:20" x14ac:dyDescent="0.25">
      <c r="A218" s="44">
        <v>82</v>
      </c>
      <c r="B218" s="164">
        <f t="shared" si="28"/>
        <v>153135.12</v>
      </c>
      <c r="C218" s="164">
        <f t="shared" si="29"/>
        <v>142490.09</v>
      </c>
      <c r="E218" s="412" t="s">
        <v>570</v>
      </c>
      <c r="F218" s="415" t="s">
        <v>143</v>
      </c>
      <c r="P218" s="44">
        <v>94</v>
      </c>
      <c r="Q218" s="184">
        <v>1.2</v>
      </c>
      <c r="R218" s="184">
        <v>1.2</v>
      </c>
      <c r="S218" s="188">
        <f t="shared" si="26"/>
        <v>1</v>
      </c>
      <c r="T218" s="189">
        <f t="shared" si="27"/>
        <v>1</v>
      </c>
    </row>
    <row r="219" spans="1:20" x14ac:dyDescent="0.25">
      <c r="A219" s="44">
        <v>83</v>
      </c>
      <c r="B219" s="164">
        <f t="shared" si="28"/>
        <v>159303.14000000001</v>
      </c>
      <c r="C219" s="164">
        <f t="shared" si="29"/>
        <v>147849.18</v>
      </c>
      <c r="E219" s="412" t="s">
        <v>571</v>
      </c>
      <c r="F219" s="415" t="s">
        <v>143</v>
      </c>
      <c r="P219" s="44">
        <v>95</v>
      </c>
      <c r="Q219" s="184">
        <v>1.2</v>
      </c>
      <c r="R219" s="184">
        <v>1.2</v>
      </c>
      <c r="S219" s="188">
        <f t="shared" si="26"/>
        <v>1</v>
      </c>
      <c r="T219" s="189">
        <f t="shared" si="27"/>
        <v>1</v>
      </c>
    </row>
    <row r="220" spans="1:20" x14ac:dyDescent="0.25">
      <c r="A220" s="44">
        <v>84</v>
      </c>
      <c r="B220" s="164">
        <f t="shared" si="28"/>
        <v>165716.79999999999</v>
      </c>
      <c r="C220" s="164">
        <f t="shared" si="29"/>
        <v>153408.04</v>
      </c>
      <c r="E220" s="412" t="s">
        <v>572</v>
      </c>
      <c r="F220" s="415" t="s">
        <v>143</v>
      </c>
      <c r="P220" s="44">
        <v>96</v>
      </c>
      <c r="Q220" s="184">
        <v>1.2</v>
      </c>
      <c r="R220" s="184">
        <v>1.2</v>
      </c>
      <c r="S220" s="188">
        <f t="shared" si="26"/>
        <v>1</v>
      </c>
      <c r="T220" s="189">
        <f t="shared" si="27"/>
        <v>1</v>
      </c>
    </row>
    <row r="221" spans="1:20" x14ac:dyDescent="0.25">
      <c r="A221" s="44">
        <v>85</v>
      </c>
      <c r="B221" s="164">
        <f t="shared" si="28"/>
        <v>175473.19</v>
      </c>
      <c r="C221" s="164">
        <f t="shared" si="29"/>
        <v>161994.15</v>
      </c>
      <c r="E221" s="412" t="s">
        <v>573</v>
      </c>
      <c r="F221" s="415" t="s">
        <v>143</v>
      </c>
      <c r="P221" s="44">
        <v>97</v>
      </c>
      <c r="Q221" s="184">
        <v>1.2</v>
      </c>
      <c r="R221" s="184">
        <v>1.2</v>
      </c>
      <c r="S221" s="188">
        <f t="shared" si="26"/>
        <v>1</v>
      </c>
      <c r="T221" s="189">
        <f t="shared" si="27"/>
        <v>1</v>
      </c>
    </row>
    <row r="222" spans="1:20" x14ac:dyDescent="0.25">
      <c r="A222" s="44">
        <v>86</v>
      </c>
      <c r="B222" s="164">
        <f t="shared" si="28"/>
        <v>185792.9</v>
      </c>
      <c r="C222" s="164">
        <f t="shared" si="29"/>
        <v>171052.95</v>
      </c>
      <c r="E222" s="412" t="s">
        <v>574</v>
      </c>
      <c r="F222" s="415" t="s">
        <v>143</v>
      </c>
      <c r="P222" s="44">
        <v>98</v>
      </c>
      <c r="Q222" s="184">
        <v>1.2</v>
      </c>
      <c r="R222" s="184">
        <v>1.2</v>
      </c>
      <c r="S222" s="188">
        <f t="shared" si="26"/>
        <v>1</v>
      </c>
      <c r="T222" s="189">
        <f t="shared" si="27"/>
        <v>1</v>
      </c>
    </row>
    <row r="223" spans="1:20" x14ac:dyDescent="0.25">
      <c r="A223" s="44">
        <v>87</v>
      </c>
      <c r="B223" s="164">
        <f t="shared" si="28"/>
        <v>196728.31</v>
      </c>
      <c r="C223" s="164">
        <f t="shared" si="29"/>
        <v>180612.84</v>
      </c>
      <c r="E223" s="412" t="s">
        <v>575</v>
      </c>
      <c r="F223" s="415" t="s">
        <v>143</v>
      </c>
      <c r="P223" s="44">
        <v>99</v>
      </c>
      <c r="Q223" s="184">
        <v>1.2</v>
      </c>
      <c r="R223" s="184">
        <v>1.2</v>
      </c>
      <c r="S223" s="188">
        <f t="shared" si="26"/>
        <v>1</v>
      </c>
      <c r="T223" s="189">
        <f t="shared" si="27"/>
        <v>1</v>
      </c>
    </row>
    <row r="224" spans="1:20" ht="15.75" thickBot="1" x14ac:dyDescent="0.3">
      <c r="A224" s="44">
        <v>88</v>
      </c>
      <c r="B224" s="164">
        <f t="shared" si="28"/>
        <v>208310</v>
      </c>
      <c r="C224" s="164">
        <f t="shared" si="29"/>
        <v>190710.94</v>
      </c>
      <c r="E224" s="412" t="s">
        <v>576</v>
      </c>
      <c r="F224" s="415" t="s">
        <v>143</v>
      </c>
      <c r="P224" s="151">
        <v>100</v>
      </c>
      <c r="Q224" s="186">
        <v>1.2</v>
      </c>
      <c r="R224" s="186">
        <v>1.2</v>
      </c>
      <c r="S224" s="316">
        <f t="shared" si="26"/>
        <v>1</v>
      </c>
      <c r="T224" s="317">
        <f t="shared" si="27"/>
        <v>1</v>
      </c>
    </row>
    <row r="225" spans="1:6" x14ac:dyDescent="0.25">
      <c r="A225" s="44">
        <v>89</v>
      </c>
      <c r="B225" s="164">
        <f t="shared" si="28"/>
        <v>220559.81</v>
      </c>
      <c r="C225" s="164">
        <f t="shared" si="29"/>
        <v>201372.34</v>
      </c>
      <c r="E225" s="412" t="s">
        <v>577</v>
      </c>
      <c r="F225" s="415" t="s">
        <v>143</v>
      </c>
    </row>
    <row r="226" spans="1:6" x14ac:dyDescent="0.25">
      <c r="A226" s="44">
        <v>90</v>
      </c>
      <c r="B226" s="164">
        <f t="shared" si="28"/>
        <v>233544.31</v>
      </c>
      <c r="C226" s="164">
        <f t="shared" si="29"/>
        <v>212552.29</v>
      </c>
      <c r="E226" s="412" t="s">
        <v>578</v>
      </c>
      <c r="F226" s="415" t="s">
        <v>143</v>
      </c>
    </row>
    <row r="227" spans="1:6" x14ac:dyDescent="0.25">
      <c r="A227" s="44">
        <v>91</v>
      </c>
      <c r="B227" s="164">
        <f t="shared" si="28"/>
        <v>247310.47</v>
      </c>
      <c r="C227" s="164">
        <f t="shared" si="29"/>
        <v>224342.5</v>
      </c>
      <c r="E227" s="412" t="s">
        <v>579</v>
      </c>
      <c r="F227" s="415" t="s">
        <v>143</v>
      </c>
    </row>
    <row r="228" spans="1:6" x14ac:dyDescent="0.25">
      <c r="A228" s="44">
        <v>92</v>
      </c>
      <c r="B228" s="164">
        <f t="shared" si="28"/>
        <v>261871.37</v>
      </c>
      <c r="C228" s="164">
        <f t="shared" si="29"/>
        <v>236799.73</v>
      </c>
      <c r="E228" s="412" t="s">
        <v>580</v>
      </c>
      <c r="F228" s="415" t="s">
        <v>143</v>
      </c>
    </row>
    <row r="229" spans="1:6" x14ac:dyDescent="0.25">
      <c r="A229" s="44">
        <v>93</v>
      </c>
      <c r="B229" s="164">
        <f t="shared" si="28"/>
        <v>277287.07</v>
      </c>
      <c r="C229" s="164">
        <f t="shared" si="29"/>
        <v>249932.7</v>
      </c>
      <c r="E229" s="412" t="s">
        <v>581</v>
      </c>
      <c r="F229" s="415" t="s">
        <v>143</v>
      </c>
    </row>
    <row r="230" spans="1:6" x14ac:dyDescent="0.25">
      <c r="A230" s="44">
        <v>94</v>
      </c>
      <c r="B230" s="164">
        <f t="shared" si="28"/>
        <v>293633.96999999997</v>
      </c>
      <c r="C230" s="164">
        <f t="shared" si="29"/>
        <v>263793.83</v>
      </c>
      <c r="E230" s="412" t="s">
        <v>582</v>
      </c>
      <c r="F230" s="415" t="s">
        <v>143</v>
      </c>
    </row>
    <row r="231" spans="1:6" x14ac:dyDescent="0.25">
      <c r="A231" s="44">
        <v>95</v>
      </c>
      <c r="B231" s="164">
        <f t="shared" si="28"/>
        <v>310941.56</v>
      </c>
      <c r="C231" s="164">
        <f t="shared" si="29"/>
        <v>278261.94</v>
      </c>
      <c r="E231" s="412" t="s">
        <v>583</v>
      </c>
      <c r="F231" s="415" t="s">
        <v>143</v>
      </c>
    </row>
    <row r="232" spans="1:6" x14ac:dyDescent="0.25">
      <c r="A232" s="44">
        <v>96</v>
      </c>
      <c r="B232" s="164">
        <f t="shared" si="28"/>
        <v>329276.42</v>
      </c>
      <c r="C232" s="164">
        <f t="shared" si="29"/>
        <v>293519.34000000003</v>
      </c>
      <c r="E232" s="412" t="s">
        <v>584</v>
      </c>
      <c r="F232" s="415" t="s">
        <v>143</v>
      </c>
    </row>
    <row r="233" spans="1:6" x14ac:dyDescent="0.25">
      <c r="A233" s="44">
        <v>97</v>
      </c>
      <c r="B233" s="164">
        <f t="shared" si="28"/>
        <v>348700.78</v>
      </c>
      <c r="C233" s="164">
        <f t="shared" si="29"/>
        <v>309616.25</v>
      </c>
      <c r="E233" s="412" t="s">
        <v>585</v>
      </c>
      <c r="F233" s="415" t="s">
        <v>1</v>
      </c>
    </row>
    <row r="234" spans="1:6" x14ac:dyDescent="0.25">
      <c r="A234" s="44">
        <v>98</v>
      </c>
      <c r="B234" s="164">
        <f t="shared" si="28"/>
        <v>369276.87</v>
      </c>
      <c r="C234" s="164">
        <f t="shared" si="29"/>
        <v>326595.24</v>
      </c>
      <c r="E234" s="412" t="s">
        <v>586</v>
      </c>
      <c r="F234" s="415" t="s">
        <v>143</v>
      </c>
    </row>
    <row r="235" spans="1:6" x14ac:dyDescent="0.25">
      <c r="A235" s="44">
        <v>99</v>
      </c>
      <c r="B235" s="164">
        <f t="shared" si="28"/>
        <v>369276.87</v>
      </c>
      <c r="C235" s="164">
        <f t="shared" si="29"/>
        <v>326595.24</v>
      </c>
      <c r="E235" s="412" t="s">
        <v>587</v>
      </c>
      <c r="F235" s="415" t="s">
        <v>143</v>
      </c>
    </row>
    <row r="236" spans="1:6" ht="15.75" thickBot="1" x14ac:dyDescent="0.3">
      <c r="A236" s="151">
        <v>100</v>
      </c>
      <c r="B236" s="167">
        <f t="shared" si="28"/>
        <v>369276.87</v>
      </c>
      <c r="C236" s="167">
        <f t="shared" si="29"/>
        <v>326595.24</v>
      </c>
      <c r="E236" s="412" t="s">
        <v>588</v>
      </c>
      <c r="F236" s="415" t="s">
        <v>143</v>
      </c>
    </row>
    <row r="237" spans="1:6" x14ac:dyDescent="0.25">
      <c r="E237" s="412" t="s">
        <v>589</v>
      </c>
      <c r="F237" s="415" t="s">
        <v>143</v>
      </c>
    </row>
    <row r="238" spans="1:6" x14ac:dyDescent="0.25">
      <c r="E238" s="412" t="s">
        <v>590</v>
      </c>
      <c r="F238" s="415" t="s">
        <v>1</v>
      </c>
    </row>
    <row r="239" spans="1:6" x14ac:dyDescent="0.25">
      <c r="E239" s="412" t="s">
        <v>591</v>
      </c>
      <c r="F239" s="415" t="s">
        <v>143</v>
      </c>
    </row>
    <row r="240" spans="1:6" x14ac:dyDescent="0.25">
      <c r="E240" s="412" t="s">
        <v>592</v>
      </c>
      <c r="F240" s="415" t="s">
        <v>143</v>
      </c>
    </row>
    <row r="241" spans="5:6" x14ac:dyDescent="0.25">
      <c r="E241" s="412" t="s">
        <v>593</v>
      </c>
      <c r="F241" s="415" t="s">
        <v>143</v>
      </c>
    </row>
    <row r="242" spans="5:6" x14ac:dyDescent="0.25">
      <c r="E242" s="412" t="s">
        <v>594</v>
      </c>
      <c r="F242" s="415" t="s">
        <v>143</v>
      </c>
    </row>
    <row r="243" spans="5:6" x14ac:dyDescent="0.25">
      <c r="E243" s="412" t="s">
        <v>595</v>
      </c>
      <c r="F243" s="415" t="s">
        <v>1</v>
      </c>
    </row>
    <row r="244" spans="5:6" x14ac:dyDescent="0.25">
      <c r="E244" s="412" t="s">
        <v>596</v>
      </c>
      <c r="F244" s="415" t="s">
        <v>143</v>
      </c>
    </row>
    <row r="245" spans="5:6" x14ac:dyDescent="0.25">
      <c r="E245" s="412" t="s">
        <v>597</v>
      </c>
      <c r="F245" s="415" t="s">
        <v>143</v>
      </c>
    </row>
    <row r="246" spans="5:6" x14ac:dyDescent="0.25">
      <c r="E246" s="412" t="s">
        <v>598</v>
      </c>
      <c r="F246" s="415" t="s">
        <v>143</v>
      </c>
    </row>
    <row r="247" spans="5:6" x14ac:dyDescent="0.25">
      <c r="E247" s="412" t="s">
        <v>599</v>
      </c>
      <c r="F247" s="415" t="s">
        <v>143</v>
      </c>
    </row>
    <row r="248" spans="5:6" x14ac:dyDescent="0.25">
      <c r="E248" s="412" t="s">
        <v>600</v>
      </c>
      <c r="F248" s="415" t="s">
        <v>143</v>
      </c>
    </row>
    <row r="249" spans="5:6" x14ac:dyDescent="0.25">
      <c r="E249" s="412" t="s">
        <v>601</v>
      </c>
      <c r="F249" s="415" t="s">
        <v>143</v>
      </c>
    </row>
    <row r="250" spans="5:6" x14ac:dyDescent="0.25">
      <c r="E250" s="412" t="s">
        <v>602</v>
      </c>
      <c r="F250" s="415" t="s">
        <v>143</v>
      </c>
    </row>
    <row r="251" spans="5:6" x14ac:dyDescent="0.25">
      <c r="E251" s="412" t="s">
        <v>603</v>
      </c>
      <c r="F251" s="415" t="s">
        <v>143</v>
      </c>
    </row>
    <row r="252" spans="5:6" x14ac:dyDescent="0.25">
      <c r="E252" s="412" t="s">
        <v>604</v>
      </c>
      <c r="F252" s="415" t="s">
        <v>143</v>
      </c>
    </row>
    <row r="253" spans="5:6" x14ac:dyDescent="0.25">
      <c r="E253" s="412" t="s">
        <v>605</v>
      </c>
      <c r="F253" s="415" t="s">
        <v>143</v>
      </c>
    </row>
    <row r="254" spans="5:6" x14ac:dyDescent="0.25">
      <c r="E254" s="412" t="s">
        <v>606</v>
      </c>
      <c r="F254" s="415" t="s">
        <v>143</v>
      </c>
    </row>
    <row r="255" spans="5:6" ht="28.5" x14ac:dyDescent="0.25">
      <c r="E255" s="412" t="s">
        <v>607</v>
      </c>
      <c r="F255" s="415" t="s">
        <v>143</v>
      </c>
    </row>
    <row r="256" spans="5:6" x14ac:dyDescent="0.25">
      <c r="E256" s="412" t="s">
        <v>608</v>
      </c>
      <c r="F256" s="415" t="s">
        <v>143</v>
      </c>
    </row>
    <row r="257" spans="4:6" x14ac:dyDescent="0.25">
      <c r="E257" s="412" t="s">
        <v>609</v>
      </c>
      <c r="F257" s="415" t="s">
        <v>143</v>
      </c>
    </row>
    <row r="258" spans="4:6" x14ac:dyDescent="0.25">
      <c r="E258" s="412" t="s">
        <v>610</v>
      </c>
      <c r="F258" s="415" t="s">
        <v>143</v>
      </c>
    </row>
    <row r="260" spans="4:6" x14ac:dyDescent="0.25">
      <c r="E260" t="str">
        <f>IF(B115="Estado de México","MUNICIPIOS_EDOMEX","")</f>
        <v/>
      </c>
    </row>
    <row r="261" spans="4:6" x14ac:dyDescent="0.25">
      <c r="D261" t="s">
        <v>612</v>
      </c>
      <c r="E261" s="409"/>
    </row>
  </sheetData>
  <autoFilter ref="E94:I258"/>
  <sortState ref="E95:I127">
    <sortCondition ref="E95:E127"/>
  </sortState>
  <mergeCells count="32">
    <mergeCell ref="A9:C9"/>
    <mergeCell ref="U9:V9"/>
    <mergeCell ref="AX9:AY9"/>
    <mergeCell ref="P24:Q24"/>
    <mergeCell ref="A134:C134"/>
    <mergeCell ref="P40:Q40"/>
    <mergeCell ref="P58:R58"/>
    <mergeCell ref="K105:M105"/>
    <mergeCell ref="P74:Q74"/>
    <mergeCell ref="P91:R91"/>
    <mergeCell ref="P92:Q92"/>
    <mergeCell ref="P110:Q110"/>
    <mergeCell ref="P117:Q117"/>
    <mergeCell ref="A131:B131"/>
    <mergeCell ref="A132:B132"/>
    <mergeCell ref="P122:T122"/>
    <mergeCell ref="P48:S48"/>
    <mergeCell ref="P31:Q31"/>
    <mergeCell ref="E9:H9"/>
    <mergeCell ref="P9:Q9"/>
    <mergeCell ref="K9:L9"/>
    <mergeCell ref="AT7:AW7"/>
    <mergeCell ref="Y9:AA9"/>
    <mergeCell ref="AL9:AM9"/>
    <mergeCell ref="AN9:AO9"/>
    <mergeCell ref="AP9:AQ9"/>
    <mergeCell ref="AR9:AS9"/>
    <mergeCell ref="AT9:AU9"/>
    <mergeCell ref="AV9:AW9"/>
    <mergeCell ref="AB7:AG7"/>
    <mergeCell ref="AK7:AS7"/>
    <mergeCell ref="AB8:AG8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37"/>
  <sheetViews>
    <sheetView workbookViewId="0">
      <selection activeCell="F205" sqref="F205"/>
    </sheetView>
  </sheetViews>
  <sheetFormatPr baseColWidth="10" defaultRowHeight="15" x14ac:dyDescent="0.25"/>
  <cols>
    <col min="2" max="2" width="17.7109375" bestFit="1" customWidth="1"/>
    <col min="7" max="7" width="26" bestFit="1" customWidth="1"/>
    <col min="8" max="8" width="24" bestFit="1" customWidth="1"/>
  </cols>
  <sheetData>
    <row r="1" spans="1:8" ht="15.75" thickBot="1" x14ac:dyDescent="0.3">
      <c r="A1" s="14" t="s">
        <v>122</v>
      </c>
      <c r="B1" s="14" t="s">
        <v>123</v>
      </c>
      <c r="C1" s="14" t="s">
        <v>64</v>
      </c>
      <c r="D1" s="14" t="s">
        <v>74</v>
      </c>
      <c r="E1" s="14" t="s">
        <v>124</v>
      </c>
    </row>
    <row r="2" spans="1:8" x14ac:dyDescent="0.25">
      <c r="A2" s="43" t="s">
        <v>125</v>
      </c>
      <c r="B2" s="43" t="s">
        <v>126</v>
      </c>
      <c r="C2" s="129">
        <v>1</v>
      </c>
      <c r="D2" s="129">
        <v>2</v>
      </c>
      <c r="E2" s="129"/>
    </row>
    <row r="3" spans="1:8" x14ac:dyDescent="0.25">
      <c r="A3" s="133" t="s">
        <v>127</v>
      </c>
      <c r="B3" s="133" t="s">
        <v>128</v>
      </c>
      <c r="C3" s="134">
        <v>0.49159999999999998</v>
      </c>
      <c r="D3" s="133">
        <v>1</v>
      </c>
      <c r="E3" s="135"/>
      <c r="G3" s="175" t="s">
        <v>123</v>
      </c>
      <c r="H3" s="175" t="s">
        <v>122</v>
      </c>
    </row>
    <row r="4" spans="1:8" x14ac:dyDescent="0.25">
      <c r="A4" s="133" t="s">
        <v>129</v>
      </c>
      <c r="B4" s="139" t="s">
        <v>128</v>
      </c>
      <c r="C4" s="134">
        <v>0.49159999999999998</v>
      </c>
      <c r="D4" s="133">
        <v>1</v>
      </c>
      <c r="E4" s="135"/>
      <c r="G4" t="s">
        <v>126</v>
      </c>
      <c r="H4" t="s">
        <v>125</v>
      </c>
    </row>
    <row r="5" spans="1:8" x14ac:dyDescent="0.25">
      <c r="A5" s="140" t="s">
        <v>130</v>
      </c>
      <c r="B5" s="141" t="s">
        <v>131</v>
      </c>
      <c r="C5" s="140">
        <v>0.4274</v>
      </c>
      <c r="D5" s="140">
        <v>1</v>
      </c>
      <c r="E5" s="142">
        <v>0.1</v>
      </c>
      <c r="H5" t="s">
        <v>144</v>
      </c>
    </row>
    <row r="6" spans="1:8" x14ac:dyDescent="0.25">
      <c r="A6" s="49" t="s">
        <v>132</v>
      </c>
      <c r="B6" s="17" t="s">
        <v>133</v>
      </c>
      <c r="C6" s="49">
        <v>0.56979999999999997</v>
      </c>
      <c r="D6" s="49">
        <v>1</v>
      </c>
      <c r="E6" s="143">
        <v>0.1</v>
      </c>
      <c r="H6" t="s">
        <v>160</v>
      </c>
    </row>
    <row r="7" spans="1:8" x14ac:dyDescent="0.25">
      <c r="A7" s="133" t="s">
        <v>136</v>
      </c>
      <c r="B7" s="139" t="s">
        <v>128</v>
      </c>
      <c r="C7" s="134">
        <v>0.49159999999999998</v>
      </c>
      <c r="D7" s="133">
        <v>1</v>
      </c>
      <c r="E7" s="135"/>
      <c r="H7" t="s">
        <v>163</v>
      </c>
    </row>
    <row r="8" spans="1:8" x14ac:dyDescent="0.25">
      <c r="A8" s="49" t="s">
        <v>137</v>
      </c>
      <c r="B8" s="49" t="s">
        <v>59</v>
      </c>
      <c r="C8" s="144">
        <v>1</v>
      </c>
      <c r="D8" s="144">
        <v>4</v>
      </c>
      <c r="E8" s="144"/>
      <c r="H8" t="s">
        <v>180</v>
      </c>
    </row>
    <row r="9" spans="1:8" x14ac:dyDescent="0.25">
      <c r="A9" s="49" t="s">
        <v>138</v>
      </c>
      <c r="B9" s="17" t="s">
        <v>139</v>
      </c>
      <c r="C9" s="49">
        <v>1</v>
      </c>
      <c r="D9" s="49">
        <v>8</v>
      </c>
      <c r="E9" s="49"/>
      <c r="G9" t="s">
        <v>58</v>
      </c>
      <c r="H9" t="s">
        <v>58</v>
      </c>
    </row>
    <row r="10" spans="1:8" x14ac:dyDescent="0.25">
      <c r="A10" s="49" t="s">
        <v>140</v>
      </c>
      <c r="B10" s="57" t="s">
        <v>1</v>
      </c>
      <c r="C10" s="49">
        <v>1</v>
      </c>
      <c r="D10" s="144">
        <v>1</v>
      </c>
      <c r="E10" s="143">
        <v>0.1</v>
      </c>
      <c r="G10" t="s">
        <v>143</v>
      </c>
      <c r="H10" t="s">
        <v>142</v>
      </c>
    </row>
    <row r="11" spans="1:8" x14ac:dyDescent="0.25">
      <c r="A11" s="49" t="s">
        <v>141</v>
      </c>
      <c r="B11" s="49" t="s">
        <v>59</v>
      </c>
      <c r="C11" s="144">
        <v>1</v>
      </c>
      <c r="D11" s="144">
        <v>4</v>
      </c>
      <c r="E11" s="144"/>
      <c r="H11" t="s">
        <v>149</v>
      </c>
    </row>
    <row r="12" spans="1:8" x14ac:dyDescent="0.25">
      <c r="A12" s="133" t="s">
        <v>142</v>
      </c>
      <c r="B12" s="148" t="s">
        <v>143</v>
      </c>
      <c r="C12" s="149">
        <f>IF(OR('GOLDEN SALUD IND'!$E$18="AA",'GOLDEN SALUD IND'!$E$18="A",'GOLDEN SALUD IND'!$E$18="B"),0.682,1)</f>
        <v>1</v>
      </c>
      <c r="D12" s="134">
        <v>1</v>
      </c>
      <c r="E12" s="135"/>
      <c r="H12" t="s">
        <v>152</v>
      </c>
    </row>
    <row r="13" spans="1:8" x14ac:dyDescent="0.25">
      <c r="A13" s="49" t="s">
        <v>144</v>
      </c>
      <c r="B13" s="17" t="s">
        <v>126</v>
      </c>
      <c r="C13" s="144">
        <v>1</v>
      </c>
      <c r="D13" s="144">
        <v>2</v>
      </c>
      <c r="E13" s="150"/>
      <c r="G13" t="s">
        <v>1</v>
      </c>
      <c r="H13" t="s">
        <v>140</v>
      </c>
    </row>
    <row r="14" spans="1:8" x14ac:dyDescent="0.25">
      <c r="A14" s="49" t="s">
        <v>146</v>
      </c>
      <c r="B14" s="17" t="s">
        <v>133</v>
      </c>
      <c r="C14" s="49">
        <v>0.56979999999999997</v>
      </c>
      <c r="D14" s="49">
        <v>1</v>
      </c>
      <c r="E14" s="143">
        <v>0.1</v>
      </c>
      <c r="G14" t="s">
        <v>59</v>
      </c>
      <c r="H14" t="s">
        <v>137</v>
      </c>
    </row>
    <row r="15" spans="1:8" x14ac:dyDescent="0.25">
      <c r="A15" s="133" t="s">
        <v>149</v>
      </c>
      <c r="B15" s="133" t="s">
        <v>143</v>
      </c>
      <c r="C15" s="149">
        <f>IF(OR('GOLDEN SALUD IND'!$E$18="AA",'GOLDEN SALUD IND'!$E$18="A",'GOLDEN SALUD IND'!$E$18="B"),0.682,1)</f>
        <v>1</v>
      </c>
      <c r="D15" s="134">
        <v>1</v>
      </c>
      <c r="E15" s="135"/>
      <c r="H15" t="s">
        <v>141</v>
      </c>
    </row>
    <row r="16" spans="1:8" x14ac:dyDescent="0.25">
      <c r="A16" s="49" t="s">
        <v>150</v>
      </c>
      <c r="B16" s="17" t="s">
        <v>139</v>
      </c>
      <c r="C16" s="49">
        <v>1</v>
      </c>
      <c r="D16" s="49">
        <v>8</v>
      </c>
      <c r="E16" s="49"/>
      <c r="H16" t="s">
        <v>155</v>
      </c>
    </row>
    <row r="17" spans="1:8" x14ac:dyDescent="0.25">
      <c r="A17" s="49" t="s">
        <v>151</v>
      </c>
      <c r="B17" s="17" t="s">
        <v>198</v>
      </c>
      <c r="C17" s="49">
        <v>1</v>
      </c>
      <c r="D17" s="49">
        <v>2</v>
      </c>
      <c r="E17" s="49"/>
      <c r="H17" t="s">
        <v>173</v>
      </c>
    </row>
    <row r="18" spans="1:8" x14ac:dyDescent="0.25">
      <c r="A18" s="133" t="s">
        <v>152</v>
      </c>
      <c r="B18" s="139" t="s">
        <v>143</v>
      </c>
      <c r="C18" s="149">
        <f>IF(OR('GOLDEN SALUD IND'!$E$18="AA",'GOLDEN SALUD IND'!$E$18="A",'GOLDEN SALUD IND'!$E$18="B"),0.682,1)</f>
        <v>1</v>
      </c>
      <c r="D18" s="134">
        <v>1</v>
      </c>
      <c r="E18" s="135"/>
      <c r="G18" t="s">
        <v>128</v>
      </c>
      <c r="H18" t="s">
        <v>127</v>
      </c>
    </row>
    <row r="19" spans="1:8" x14ac:dyDescent="0.25">
      <c r="A19" s="49" t="s">
        <v>153</v>
      </c>
      <c r="B19" s="49" t="s">
        <v>139</v>
      </c>
      <c r="C19" s="49">
        <v>1</v>
      </c>
      <c r="D19" s="49">
        <v>8</v>
      </c>
      <c r="E19" s="49"/>
      <c r="H19" t="s">
        <v>129</v>
      </c>
    </row>
    <row r="20" spans="1:8" x14ac:dyDescent="0.25">
      <c r="A20" s="49" t="s">
        <v>155</v>
      </c>
      <c r="B20" s="17" t="s">
        <v>59</v>
      </c>
      <c r="C20" s="144">
        <v>1</v>
      </c>
      <c r="D20" s="144">
        <v>5</v>
      </c>
      <c r="E20" s="144"/>
      <c r="H20" t="s">
        <v>136</v>
      </c>
    </row>
    <row r="21" spans="1:8" x14ac:dyDescent="0.25">
      <c r="A21" s="49" t="s">
        <v>156</v>
      </c>
      <c r="B21" s="17" t="s">
        <v>133</v>
      </c>
      <c r="C21" s="49">
        <v>0.56979999999999997</v>
      </c>
      <c r="D21" s="49">
        <v>1</v>
      </c>
      <c r="E21" s="143">
        <v>0.1</v>
      </c>
      <c r="H21" t="s">
        <v>168</v>
      </c>
    </row>
    <row r="22" spans="1:8" x14ac:dyDescent="0.25">
      <c r="A22" s="49" t="s">
        <v>157</v>
      </c>
      <c r="B22" s="57" t="s">
        <v>133</v>
      </c>
      <c r="C22" s="49">
        <v>0.56979999999999997</v>
      </c>
      <c r="D22" s="49">
        <v>1</v>
      </c>
      <c r="E22" s="143">
        <v>0.1</v>
      </c>
      <c r="G22" t="s">
        <v>139</v>
      </c>
      <c r="H22" t="s">
        <v>138</v>
      </c>
    </row>
    <row r="23" spans="1:8" x14ac:dyDescent="0.25">
      <c r="A23" s="49" t="s">
        <v>160</v>
      </c>
      <c r="B23" s="17" t="s">
        <v>126</v>
      </c>
      <c r="C23" s="144">
        <v>1</v>
      </c>
      <c r="D23" s="144">
        <v>2</v>
      </c>
      <c r="E23" s="144"/>
      <c r="H23" t="s">
        <v>150</v>
      </c>
    </row>
    <row r="24" spans="1:8" x14ac:dyDescent="0.25">
      <c r="A24" s="140" t="s">
        <v>161</v>
      </c>
      <c r="B24" s="140" t="s">
        <v>131</v>
      </c>
      <c r="C24" s="140">
        <v>0.4274</v>
      </c>
      <c r="D24" s="140">
        <v>1</v>
      </c>
      <c r="E24" s="142">
        <v>0.1</v>
      </c>
      <c r="H24" t="s">
        <v>153</v>
      </c>
    </row>
    <row r="25" spans="1:8" x14ac:dyDescent="0.25">
      <c r="A25" s="49" t="s">
        <v>163</v>
      </c>
      <c r="B25" s="17" t="s">
        <v>126</v>
      </c>
      <c r="C25" s="144">
        <v>1</v>
      </c>
      <c r="D25" s="144">
        <v>2</v>
      </c>
      <c r="E25" s="144"/>
      <c r="G25" t="s">
        <v>133</v>
      </c>
      <c r="H25" t="s">
        <v>132</v>
      </c>
    </row>
    <row r="26" spans="1:8" x14ac:dyDescent="0.25">
      <c r="A26" s="49" t="s">
        <v>165</v>
      </c>
      <c r="B26" s="57" t="s">
        <v>198</v>
      </c>
      <c r="C26" s="49">
        <v>1</v>
      </c>
      <c r="D26" s="49">
        <v>2</v>
      </c>
      <c r="E26" s="49"/>
      <c r="H26" t="s">
        <v>146</v>
      </c>
    </row>
    <row r="27" spans="1:8" x14ac:dyDescent="0.25">
      <c r="A27" s="133" t="s">
        <v>168</v>
      </c>
      <c r="B27" s="139" t="s">
        <v>128</v>
      </c>
      <c r="C27" s="134">
        <v>0.49159999999999998</v>
      </c>
      <c r="D27" s="133">
        <v>1</v>
      </c>
      <c r="E27" s="135"/>
      <c r="H27" t="s">
        <v>156</v>
      </c>
    </row>
    <row r="28" spans="1:8" x14ac:dyDescent="0.25">
      <c r="A28" s="140" t="s">
        <v>171</v>
      </c>
      <c r="B28" s="160" t="s">
        <v>131</v>
      </c>
      <c r="C28" s="140">
        <v>0.4274</v>
      </c>
      <c r="D28" s="140">
        <v>1</v>
      </c>
      <c r="E28" s="142">
        <v>0.1</v>
      </c>
      <c r="H28" t="s">
        <v>157</v>
      </c>
    </row>
    <row r="29" spans="1:8" x14ac:dyDescent="0.25">
      <c r="A29" s="49" t="s">
        <v>173</v>
      </c>
      <c r="B29" s="17" t="s">
        <v>59</v>
      </c>
      <c r="C29" s="144">
        <v>1</v>
      </c>
      <c r="D29" s="144">
        <v>4</v>
      </c>
      <c r="E29" s="144"/>
      <c r="H29" t="s">
        <v>175</v>
      </c>
    </row>
    <row r="30" spans="1:8" x14ac:dyDescent="0.25">
      <c r="A30" s="49" t="s">
        <v>175</v>
      </c>
      <c r="B30" s="49" t="s">
        <v>133</v>
      </c>
      <c r="C30" s="49">
        <v>0.56979999999999997</v>
      </c>
      <c r="D30" s="49">
        <v>1</v>
      </c>
      <c r="E30" s="143">
        <v>0.1</v>
      </c>
      <c r="H30" t="s">
        <v>177</v>
      </c>
    </row>
    <row r="31" spans="1:8" x14ac:dyDescent="0.25">
      <c r="A31" s="49" t="s">
        <v>177</v>
      </c>
      <c r="B31" s="17" t="s">
        <v>133</v>
      </c>
      <c r="C31" s="49">
        <v>0.56979999999999997</v>
      </c>
      <c r="D31" s="49">
        <v>1</v>
      </c>
      <c r="E31" s="143">
        <v>0.1</v>
      </c>
      <c r="G31" t="s">
        <v>131</v>
      </c>
      <c r="H31" t="s">
        <v>130</v>
      </c>
    </row>
    <row r="32" spans="1:8" x14ac:dyDescent="0.25">
      <c r="A32" s="140" t="s">
        <v>179</v>
      </c>
      <c r="B32" s="160" t="s">
        <v>131</v>
      </c>
      <c r="C32" s="140">
        <v>0.4274</v>
      </c>
      <c r="D32" s="140">
        <v>1</v>
      </c>
      <c r="E32" s="142">
        <v>0.1</v>
      </c>
      <c r="H32" t="s">
        <v>161</v>
      </c>
    </row>
    <row r="33" spans="1:8" x14ac:dyDescent="0.25">
      <c r="A33" s="49" t="s">
        <v>180</v>
      </c>
      <c r="B33" s="57" t="s">
        <v>126</v>
      </c>
      <c r="C33" s="144">
        <v>1</v>
      </c>
      <c r="D33" s="144">
        <v>2</v>
      </c>
      <c r="E33" s="144"/>
      <c r="H33" t="s">
        <v>171</v>
      </c>
    </row>
    <row r="34" spans="1:8" ht="15.75" thickBot="1" x14ac:dyDescent="0.3">
      <c r="A34" s="75" t="s">
        <v>58</v>
      </c>
      <c r="B34" s="75" t="s">
        <v>58</v>
      </c>
      <c r="C34" s="75">
        <v>1</v>
      </c>
      <c r="D34" s="75">
        <v>3</v>
      </c>
      <c r="E34" s="75"/>
      <c r="H34" t="s">
        <v>179</v>
      </c>
    </row>
    <row r="35" spans="1:8" x14ac:dyDescent="0.25">
      <c r="G35" t="s">
        <v>198</v>
      </c>
      <c r="H35" t="s">
        <v>151</v>
      </c>
    </row>
    <row r="36" spans="1:8" x14ac:dyDescent="0.25">
      <c r="H36" t="s">
        <v>165</v>
      </c>
    </row>
    <row r="37" spans="1:8" x14ac:dyDescent="0.25">
      <c r="G37" t="s">
        <v>188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>
      <selection activeCell="F205" sqref="F205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A183" workbookViewId="0">
      <selection activeCell="F205" sqref="F205"/>
    </sheetView>
  </sheetViews>
  <sheetFormatPr baseColWidth="10" defaultRowHeight="15" x14ac:dyDescent="0.25"/>
  <cols>
    <col min="6" max="6" width="11.85546875" bestFit="1" customWidth="1"/>
  </cols>
  <sheetData>
    <row r="1" spans="1:3" x14ac:dyDescent="0.25">
      <c r="A1" s="193" t="s">
        <v>404</v>
      </c>
      <c r="B1" s="193" t="s">
        <v>405</v>
      </c>
    </row>
    <row r="2" spans="1:3" ht="15.75" customHeight="1" x14ac:dyDescent="0.25">
      <c r="A2" s="192" t="s">
        <v>206</v>
      </c>
      <c r="B2" t="str">
        <f>MID(A2,1,8)</f>
        <v>GS013981</v>
      </c>
      <c r="C2" s="49" t="s">
        <v>163</v>
      </c>
    </row>
    <row r="3" spans="1:3" ht="15.75" customHeight="1" x14ac:dyDescent="0.25">
      <c r="A3" s="192" t="s">
        <v>410</v>
      </c>
      <c r="B3" t="str">
        <f>MID(A3,1,8)</f>
        <v>GS017062</v>
      </c>
      <c r="C3" s="49" t="s">
        <v>163</v>
      </c>
    </row>
    <row r="4" spans="1:3" x14ac:dyDescent="0.25">
      <c r="A4" s="192" t="s">
        <v>207</v>
      </c>
      <c r="B4" t="str">
        <f t="shared" ref="B4:B67" si="0">MID(A4,1,8)</f>
        <v>GS013987</v>
      </c>
      <c r="C4" s="49" t="s">
        <v>163</v>
      </c>
    </row>
    <row r="5" spans="1:3" x14ac:dyDescent="0.25">
      <c r="A5" s="192" t="s">
        <v>208</v>
      </c>
      <c r="B5" t="str">
        <f t="shared" si="0"/>
        <v>GS013997</v>
      </c>
      <c r="C5" s="49" t="s">
        <v>163</v>
      </c>
    </row>
    <row r="6" spans="1:3" x14ac:dyDescent="0.25">
      <c r="A6" s="192" t="s">
        <v>209</v>
      </c>
      <c r="B6" t="str">
        <f t="shared" si="0"/>
        <v>GS013998</v>
      </c>
      <c r="C6" s="49" t="s">
        <v>163</v>
      </c>
    </row>
    <row r="7" spans="1:3" x14ac:dyDescent="0.25">
      <c r="A7" s="192" t="s">
        <v>210</v>
      </c>
      <c r="B7" t="str">
        <f t="shared" si="0"/>
        <v>GS013999</v>
      </c>
      <c r="C7" s="49" t="s">
        <v>163</v>
      </c>
    </row>
    <row r="8" spans="1:3" x14ac:dyDescent="0.25">
      <c r="A8" s="192" t="s">
        <v>211</v>
      </c>
      <c r="B8" t="str">
        <f t="shared" si="0"/>
        <v>GS014000</v>
      </c>
      <c r="C8" s="49" t="s">
        <v>163</v>
      </c>
    </row>
    <row r="9" spans="1:3" x14ac:dyDescent="0.25">
      <c r="A9" s="192" t="s">
        <v>212</v>
      </c>
      <c r="B9" t="str">
        <f t="shared" si="0"/>
        <v>GS014002</v>
      </c>
      <c r="C9" s="49" t="s">
        <v>163</v>
      </c>
    </row>
    <row r="10" spans="1:3" x14ac:dyDescent="0.25">
      <c r="A10" s="192" t="s">
        <v>213</v>
      </c>
      <c r="B10" t="str">
        <f t="shared" si="0"/>
        <v>GS014003</v>
      </c>
      <c r="C10" s="49" t="s">
        <v>163</v>
      </c>
    </row>
    <row r="11" spans="1:3" x14ac:dyDescent="0.25">
      <c r="A11" s="192" t="s">
        <v>214</v>
      </c>
      <c r="B11" t="str">
        <f t="shared" si="0"/>
        <v>GS014012</v>
      </c>
      <c r="C11" s="49" t="s">
        <v>163</v>
      </c>
    </row>
    <row r="12" spans="1:3" x14ac:dyDescent="0.25">
      <c r="A12" s="192" t="s">
        <v>215</v>
      </c>
      <c r="B12" t="str">
        <f t="shared" si="0"/>
        <v>GS014037</v>
      </c>
      <c r="C12" s="49" t="s">
        <v>163</v>
      </c>
    </row>
    <row r="13" spans="1:3" x14ac:dyDescent="0.25">
      <c r="A13" s="192" t="s">
        <v>216</v>
      </c>
      <c r="B13" t="str">
        <f t="shared" si="0"/>
        <v>GS014038</v>
      </c>
      <c r="C13" s="49" t="s">
        <v>163</v>
      </c>
    </row>
    <row r="14" spans="1:3" x14ac:dyDescent="0.25">
      <c r="A14" s="192" t="s">
        <v>217</v>
      </c>
      <c r="B14" t="str">
        <f t="shared" si="0"/>
        <v>GS014039</v>
      </c>
      <c r="C14" s="49" t="s">
        <v>163</v>
      </c>
    </row>
    <row r="15" spans="1:3" x14ac:dyDescent="0.25">
      <c r="A15" s="192" t="s">
        <v>218</v>
      </c>
      <c r="B15" t="str">
        <f t="shared" si="0"/>
        <v>GS014054</v>
      </c>
      <c r="C15" s="49" t="s">
        <v>163</v>
      </c>
    </row>
    <row r="16" spans="1:3" x14ac:dyDescent="0.25">
      <c r="A16" s="192" t="s">
        <v>219</v>
      </c>
      <c r="B16" t="str">
        <f t="shared" si="0"/>
        <v>GS014065</v>
      </c>
      <c r="C16" s="49" t="s">
        <v>163</v>
      </c>
    </row>
    <row r="17" spans="1:3" x14ac:dyDescent="0.25">
      <c r="A17" s="192" t="s">
        <v>220</v>
      </c>
      <c r="B17" t="str">
        <f t="shared" si="0"/>
        <v>GS014083</v>
      </c>
      <c r="C17" s="49" t="s">
        <v>163</v>
      </c>
    </row>
    <row r="18" spans="1:3" x14ac:dyDescent="0.25">
      <c r="A18" s="192" t="s">
        <v>221</v>
      </c>
      <c r="B18" t="str">
        <f t="shared" si="0"/>
        <v>GS014159</v>
      </c>
      <c r="C18" s="49" t="s">
        <v>163</v>
      </c>
    </row>
    <row r="19" spans="1:3" x14ac:dyDescent="0.25">
      <c r="A19" s="192" t="s">
        <v>222</v>
      </c>
      <c r="B19" t="str">
        <f t="shared" si="0"/>
        <v>GS014175</v>
      </c>
      <c r="C19" s="49" t="s">
        <v>163</v>
      </c>
    </row>
    <row r="20" spans="1:3" x14ac:dyDescent="0.25">
      <c r="A20" s="192" t="s">
        <v>223</v>
      </c>
      <c r="B20" t="str">
        <f t="shared" si="0"/>
        <v>GS014195</v>
      </c>
      <c r="C20" s="49" t="s">
        <v>163</v>
      </c>
    </row>
    <row r="21" spans="1:3" x14ac:dyDescent="0.25">
      <c r="A21" s="192" t="s">
        <v>224</v>
      </c>
      <c r="B21" t="str">
        <f t="shared" si="0"/>
        <v>GS014205</v>
      </c>
      <c r="C21" s="49" t="s">
        <v>163</v>
      </c>
    </row>
    <row r="22" spans="1:3" x14ac:dyDescent="0.25">
      <c r="A22" s="192" t="s">
        <v>225</v>
      </c>
      <c r="B22" t="str">
        <f t="shared" si="0"/>
        <v>GS014208</v>
      </c>
      <c r="C22" s="49" t="s">
        <v>163</v>
      </c>
    </row>
    <row r="23" spans="1:3" x14ac:dyDescent="0.25">
      <c r="A23" s="192" t="s">
        <v>226</v>
      </c>
      <c r="B23" t="str">
        <f t="shared" si="0"/>
        <v>GS014225</v>
      </c>
      <c r="C23" s="49" t="s">
        <v>163</v>
      </c>
    </row>
    <row r="24" spans="1:3" x14ac:dyDescent="0.25">
      <c r="A24" s="192" t="s">
        <v>227</v>
      </c>
      <c r="B24" t="str">
        <f t="shared" si="0"/>
        <v>GS014233</v>
      </c>
      <c r="C24" s="49" t="s">
        <v>163</v>
      </c>
    </row>
    <row r="25" spans="1:3" x14ac:dyDescent="0.25">
      <c r="A25" s="192" t="s">
        <v>228</v>
      </c>
      <c r="B25" t="str">
        <f t="shared" si="0"/>
        <v>GS014243</v>
      </c>
      <c r="C25" s="49" t="s">
        <v>163</v>
      </c>
    </row>
    <row r="26" spans="1:3" x14ac:dyDescent="0.25">
      <c r="A26" s="192" t="s">
        <v>229</v>
      </c>
      <c r="B26" t="str">
        <f t="shared" si="0"/>
        <v>GS014257</v>
      </c>
      <c r="C26" s="49" t="s">
        <v>163</v>
      </c>
    </row>
    <row r="27" spans="1:3" x14ac:dyDescent="0.25">
      <c r="A27" s="192" t="s">
        <v>230</v>
      </c>
      <c r="B27" t="str">
        <f t="shared" si="0"/>
        <v>GS014272</v>
      </c>
      <c r="C27" s="49" t="s">
        <v>163</v>
      </c>
    </row>
    <row r="28" spans="1:3" x14ac:dyDescent="0.25">
      <c r="A28" s="192" t="s">
        <v>231</v>
      </c>
      <c r="B28" t="str">
        <f t="shared" si="0"/>
        <v>GS014294</v>
      </c>
      <c r="C28" s="49" t="s">
        <v>163</v>
      </c>
    </row>
    <row r="29" spans="1:3" x14ac:dyDescent="0.25">
      <c r="A29" s="192" t="s">
        <v>232</v>
      </c>
      <c r="B29" t="str">
        <f t="shared" si="0"/>
        <v>GS014321</v>
      </c>
      <c r="C29" s="49" t="s">
        <v>163</v>
      </c>
    </row>
    <row r="30" spans="1:3" x14ac:dyDescent="0.25">
      <c r="A30" s="192" t="s">
        <v>233</v>
      </c>
      <c r="B30" t="str">
        <f t="shared" si="0"/>
        <v>GS014368</v>
      </c>
      <c r="C30" s="49" t="s">
        <v>163</v>
      </c>
    </row>
    <row r="31" spans="1:3" x14ac:dyDescent="0.25">
      <c r="A31" s="192" t="s">
        <v>234</v>
      </c>
      <c r="B31" t="str">
        <f t="shared" si="0"/>
        <v>GS014385</v>
      </c>
      <c r="C31" s="49" t="s">
        <v>163</v>
      </c>
    </row>
    <row r="32" spans="1:3" x14ac:dyDescent="0.25">
      <c r="A32" s="192" t="s">
        <v>235</v>
      </c>
      <c r="B32" t="str">
        <f t="shared" si="0"/>
        <v>GS014396</v>
      </c>
      <c r="C32" s="49" t="s">
        <v>163</v>
      </c>
    </row>
    <row r="33" spans="1:3" x14ac:dyDescent="0.25">
      <c r="A33" s="192" t="s">
        <v>236</v>
      </c>
      <c r="B33" t="str">
        <f t="shared" si="0"/>
        <v>GS014402</v>
      </c>
      <c r="C33" s="49" t="s">
        <v>163</v>
      </c>
    </row>
    <row r="34" spans="1:3" x14ac:dyDescent="0.25">
      <c r="A34" s="192" t="s">
        <v>237</v>
      </c>
      <c r="B34" t="str">
        <f t="shared" si="0"/>
        <v>GS014404</v>
      </c>
      <c r="C34" s="49" t="s">
        <v>163</v>
      </c>
    </row>
    <row r="35" spans="1:3" x14ac:dyDescent="0.25">
      <c r="A35" s="192" t="s">
        <v>238</v>
      </c>
      <c r="B35" t="str">
        <f t="shared" si="0"/>
        <v>GS014438</v>
      </c>
      <c r="C35" s="49" t="s">
        <v>163</v>
      </c>
    </row>
    <row r="36" spans="1:3" x14ac:dyDescent="0.25">
      <c r="A36" s="192" t="s">
        <v>239</v>
      </c>
      <c r="B36" t="str">
        <f t="shared" si="0"/>
        <v>GS014445</v>
      </c>
      <c r="C36" s="49" t="s">
        <v>163</v>
      </c>
    </row>
    <row r="37" spans="1:3" x14ac:dyDescent="0.25">
      <c r="A37" s="192" t="s">
        <v>240</v>
      </c>
      <c r="B37" t="str">
        <f t="shared" si="0"/>
        <v>GS014453</v>
      </c>
      <c r="C37" s="49" t="s">
        <v>163</v>
      </c>
    </row>
    <row r="38" spans="1:3" x14ac:dyDescent="0.25">
      <c r="A38" s="192" t="s">
        <v>241</v>
      </c>
      <c r="B38" t="str">
        <f t="shared" si="0"/>
        <v>GS014463</v>
      </c>
      <c r="C38" s="49" t="s">
        <v>163</v>
      </c>
    </row>
    <row r="39" spans="1:3" x14ac:dyDescent="0.25">
      <c r="A39" s="192" t="s">
        <v>242</v>
      </c>
      <c r="B39" t="str">
        <f t="shared" si="0"/>
        <v>GS014464</v>
      </c>
      <c r="C39" s="49" t="s">
        <v>163</v>
      </c>
    </row>
    <row r="40" spans="1:3" x14ac:dyDescent="0.25">
      <c r="A40" s="192" t="s">
        <v>243</v>
      </c>
      <c r="B40" t="str">
        <f t="shared" si="0"/>
        <v>GS014468</v>
      </c>
      <c r="C40" s="49" t="s">
        <v>163</v>
      </c>
    </row>
    <row r="41" spans="1:3" x14ac:dyDescent="0.25">
      <c r="A41" s="192" t="s">
        <v>244</v>
      </c>
      <c r="B41" t="str">
        <f t="shared" si="0"/>
        <v>GS014477</v>
      </c>
      <c r="C41" s="49" t="s">
        <v>163</v>
      </c>
    </row>
    <row r="42" spans="1:3" x14ac:dyDescent="0.25">
      <c r="A42" s="192" t="s">
        <v>245</v>
      </c>
      <c r="B42" t="str">
        <f t="shared" si="0"/>
        <v>GS014485</v>
      </c>
      <c r="C42" s="49" t="s">
        <v>163</v>
      </c>
    </row>
    <row r="43" spans="1:3" x14ac:dyDescent="0.25">
      <c r="A43" s="192" t="s">
        <v>246</v>
      </c>
      <c r="B43" t="str">
        <f t="shared" si="0"/>
        <v>GS014486</v>
      </c>
      <c r="C43" s="49" t="s">
        <v>163</v>
      </c>
    </row>
    <row r="44" spans="1:3" x14ac:dyDescent="0.25">
      <c r="A44" s="192" t="s">
        <v>247</v>
      </c>
      <c r="B44" t="str">
        <f t="shared" si="0"/>
        <v>GS014494</v>
      </c>
      <c r="C44" s="49" t="s">
        <v>163</v>
      </c>
    </row>
    <row r="45" spans="1:3" x14ac:dyDescent="0.25">
      <c r="A45" s="192" t="s">
        <v>248</v>
      </c>
      <c r="B45" t="str">
        <f t="shared" si="0"/>
        <v>GS014495</v>
      </c>
      <c r="C45" s="49" t="s">
        <v>163</v>
      </c>
    </row>
    <row r="46" spans="1:3" x14ac:dyDescent="0.25">
      <c r="A46" s="192" t="s">
        <v>249</v>
      </c>
      <c r="B46" t="str">
        <f t="shared" si="0"/>
        <v>GS014498</v>
      </c>
      <c r="C46" s="49" t="s">
        <v>163</v>
      </c>
    </row>
    <row r="47" spans="1:3" x14ac:dyDescent="0.25">
      <c r="A47" s="192" t="s">
        <v>250</v>
      </c>
      <c r="B47" t="str">
        <f t="shared" si="0"/>
        <v>GS014509</v>
      </c>
      <c r="C47" s="49" t="s">
        <v>163</v>
      </c>
    </row>
    <row r="48" spans="1:3" x14ac:dyDescent="0.25">
      <c r="A48" s="192" t="s">
        <v>251</v>
      </c>
      <c r="B48" t="str">
        <f t="shared" si="0"/>
        <v>GS014517</v>
      </c>
      <c r="C48" s="49" t="s">
        <v>163</v>
      </c>
    </row>
    <row r="49" spans="1:3" x14ac:dyDescent="0.25">
      <c r="A49" s="192" t="s">
        <v>252</v>
      </c>
      <c r="B49" t="str">
        <f t="shared" si="0"/>
        <v>GS014521</v>
      </c>
      <c r="C49" s="49" t="s">
        <v>163</v>
      </c>
    </row>
    <row r="50" spans="1:3" x14ac:dyDescent="0.25">
      <c r="A50" s="192" t="s">
        <v>253</v>
      </c>
      <c r="B50" t="str">
        <f t="shared" si="0"/>
        <v>GS014522</v>
      </c>
      <c r="C50" s="49" t="s">
        <v>163</v>
      </c>
    </row>
    <row r="51" spans="1:3" x14ac:dyDescent="0.25">
      <c r="A51" s="192" t="s">
        <v>254</v>
      </c>
      <c r="B51" t="str">
        <f t="shared" si="0"/>
        <v>GS014541</v>
      </c>
      <c r="C51" s="49" t="s">
        <v>163</v>
      </c>
    </row>
    <row r="52" spans="1:3" x14ac:dyDescent="0.25">
      <c r="A52" s="192" t="s">
        <v>255</v>
      </c>
      <c r="B52" t="str">
        <f t="shared" si="0"/>
        <v>GS014548</v>
      </c>
      <c r="C52" s="49" t="s">
        <v>163</v>
      </c>
    </row>
    <row r="53" spans="1:3" x14ac:dyDescent="0.25">
      <c r="A53" s="192" t="s">
        <v>256</v>
      </c>
      <c r="B53" t="str">
        <f t="shared" si="0"/>
        <v>GS014557</v>
      </c>
      <c r="C53" s="49" t="s">
        <v>163</v>
      </c>
    </row>
    <row r="54" spans="1:3" x14ac:dyDescent="0.25">
      <c r="A54" s="192" t="s">
        <v>257</v>
      </c>
      <c r="B54" t="str">
        <f t="shared" si="0"/>
        <v>GS014558</v>
      </c>
      <c r="C54" s="49" t="s">
        <v>163</v>
      </c>
    </row>
    <row r="55" spans="1:3" x14ac:dyDescent="0.25">
      <c r="A55" s="192" t="s">
        <v>258</v>
      </c>
      <c r="B55" t="str">
        <f t="shared" si="0"/>
        <v>GS014579</v>
      </c>
      <c r="C55" s="49" t="s">
        <v>163</v>
      </c>
    </row>
    <row r="56" spans="1:3" x14ac:dyDescent="0.25">
      <c r="A56" s="192" t="s">
        <v>259</v>
      </c>
      <c r="B56" t="str">
        <f t="shared" si="0"/>
        <v>GS014612</v>
      </c>
      <c r="C56" s="49" t="s">
        <v>163</v>
      </c>
    </row>
    <row r="57" spans="1:3" x14ac:dyDescent="0.25">
      <c r="A57" s="192" t="s">
        <v>260</v>
      </c>
      <c r="B57" t="str">
        <f t="shared" si="0"/>
        <v>GS014625</v>
      </c>
      <c r="C57" s="49" t="s">
        <v>163</v>
      </c>
    </row>
    <row r="58" spans="1:3" x14ac:dyDescent="0.25">
      <c r="A58" s="192" t="s">
        <v>261</v>
      </c>
      <c r="B58" t="str">
        <f t="shared" si="0"/>
        <v>GS014635</v>
      </c>
      <c r="C58" s="49" t="s">
        <v>163</v>
      </c>
    </row>
    <row r="59" spans="1:3" x14ac:dyDescent="0.25">
      <c r="A59" s="192" t="s">
        <v>262</v>
      </c>
      <c r="B59" t="str">
        <f t="shared" si="0"/>
        <v>GS014636</v>
      </c>
      <c r="C59" s="49" t="s">
        <v>163</v>
      </c>
    </row>
    <row r="60" spans="1:3" x14ac:dyDescent="0.25">
      <c r="A60" s="192" t="s">
        <v>263</v>
      </c>
      <c r="B60" t="str">
        <f t="shared" si="0"/>
        <v>GS014642</v>
      </c>
      <c r="C60" s="49" t="s">
        <v>163</v>
      </c>
    </row>
    <row r="61" spans="1:3" x14ac:dyDescent="0.25">
      <c r="A61" s="192" t="s">
        <v>264</v>
      </c>
      <c r="B61" t="str">
        <f t="shared" si="0"/>
        <v>GS014667</v>
      </c>
      <c r="C61" s="49" t="s">
        <v>163</v>
      </c>
    </row>
    <row r="62" spans="1:3" x14ac:dyDescent="0.25">
      <c r="A62" s="192" t="s">
        <v>265</v>
      </c>
      <c r="B62" t="str">
        <f t="shared" si="0"/>
        <v>GS014676</v>
      </c>
      <c r="C62" s="49" t="s">
        <v>163</v>
      </c>
    </row>
    <row r="63" spans="1:3" x14ac:dyDescent="0.25">
      <c r="A63" s="192" t="s">
        <v>266</v>
      </c>
      <c r="B63" t="str">
        <f t="shared" si="0"/>
        <v>GS014688</v>
      </c>
      <c r="C63" s="49" t="s">
        <v>163</v>
      </c>
    </row>
    <row r="64" spans="1:3" x14ac:dyDescent="0.25">
      <c r="A64" s="192" t="s">
        <v>267</v>
      </c>
      <c r="B64" t="str">
        <f t="shared" si="0"/>
        <v>GS014699</v>
      </c>
      <c r="C64" s="49" t="s">
        <v>163</v>
      </c>
    </row>
    <row r="65" spans="1:3" x14ac:dyDescent="0.25">
      <c r="A65" s="192" t="s">
        <v>268</v>
      </c>
      <c r="B65" t="str">
        <f t="shared" si="0"/>
        <v>GS014715</v>
      </c>
      <c r="C65" s="49" t="s">
        <v>163</v>
      </c>
    </row>
    <row r="66" spans="1:3" x14ac:dyDescent="0.25">
      <c r="A66" s="192" t="s">
        <v>269</v>
      </c>
      <c r="B66" t="str">
        <f t="shared" si="0"/>
        <v>GS014727</v>
      </c>
      <c r="C66" s="49" t="s">
        <v>163</v>
      </c>
    </row>
    <row r="67" spans="1:3" x14ac:dyDescent="0.25">
      <c r="A67" s="192" t="s">
        <v>270</v>
      </c>
      <c r="B67" t="str">
        <f t="shared" si="0"/>
        <v>GS014780</v>
      </c>
      <c r="C67" s="49" t="s">
        <v>163</v>
      </c>
    </row>
    <row r="68" spans="1:3" x14ac:dyDescent="0.25">
      <c r="A68" s="192" t="s">
        <v>271</v>
      </c>
      <c r="B68" t="str">
        <f t="shared" ref="B68:B131" si="1">MID(A68,1,8)</f>
        <v>GS014792</v>
      </c>
      <c r="C68" s="49" t="s">
        <v>163</v>
      </c>
    </row>
    <row r="69" spans="1:3" x14ac:dyDescent="0.25">
      <c r="A69" s="192" t="s">
        <v>272</v>
      </c>
      <c r="B69" t="str">
        <f t="shared" si="1"/>
        <v>GS014881</v>
      </c>
      <c r="C69" s="49" t="s">
        <v>163</v>
      </c>
    </row>
    <row r="70" spans="1:3" x14ac:dyDescent="0.25">
      <c r="A70" s="192" t="s">
        <v>273</v>
      </c>
      <c r="B70" t="str">
        <f t="shared" si="1"/>
        <v>GS014913</v>
      </c>
      <c r="C70" s="49" t="s">
        <v>163</v>
      </c>
    </row>
    <row r="71" spans="1:3" x14ac:dyDescent="0.25">
      <c r="A71" s="192" t="s">
        <v>274</v>
      </c>
      <c r="B71" t="str">
        <f t="shared" si="1"/>
        <v>GS014917</v>
      </c>
      <c r="C71" s="49" t="s">
        <v>163</v>
      </c>
    </row>
    <row r="72" spans="1:3" x14ac:dyDescent="0.25">
      <c r="A72" s="192" t="s">
        <v>275</v>
      </c>
      <c r="B72" t="str">
        <f t="shared" si="1"/>
        <v>GS014994</v>
      </c>
      <c r="C72" s="49" t="s">
        <v>163</v>
      </c>
    </row>
    <row r="73" spans="1:3" x14ac:dyDescent="0.25">
      <c r="A73" s="192" t="s">
        <v>276</v>
      </c>
      <c r="B73" t="str">
        <f t="shared" si="1"/>
        <v>GS015016</v>
      </c>
      <c r="C73" s="49" t="s">
        <v>163</v>
      </c>
    </row>
    <row r="74" spans="1:3" x14ac:dyDescent="0.25">
      <c r="A74" s="192" t="s">
        <v>277</v>
      </c>
      <c r="B74" t="str">
        <f t="shared" si="1"/>
        <v>GS015060</v>
      </c>
      <c r="C74" s="49" t="s">
        <v>163</v>
      </c>
    </row>
    <row r="75" spans="1:3" x14ac:dyDescent="0.25">
      <c r="A75" s="192" t="s">
        <v>278</v>
      </c>
      <c r="B75" t="str">
        <f t="shared" si="1"/>
        <v>GS015190</v>
      </c>
      <c r="C75" s="49" t="s">
        <v>163</v>
      </c>
    </row>
    <row r="76" spans="1:3" x14ac:dyDescent="0.25">
      <c r="A76" s="192" t="s">
        <v>279</v>
      </c>
      <c r="B76" t="str">
        <f t="shared" si="1"/>
        <v>GS015213</v>
      </c>
      <c r="C76" s="49" t="s">
        <v>163</v>
      </c>
    </row>
    <row r="77" spans="1:3" x14ac:dyDescent="0.25">
      <c r="A77" s="192" t="s">
        <v>280</v>
      </c>
      <c r="B77" t="str">
        <f t="shared" si="1"/>
        <v>GS015231</v>
      </c>
      <c r="C77" s="49" t="s">
        <v>163</v>
      </c>
    </row>
    <row r="78" spans="1:3" x14ac:dyDescent="0.25">
      <c r="A78" s="192" t="s">
        <v>281</v>
      </c>
      <c r="B78" t="str">
        <f t="shared" si="1"/>
        <v>GS015243</v>
      </c>
      <c r="C78" s="49" t="s">
        <v>163</v>
      </c>
    </row>
    <row r="79" spans="1:3" x14ac:dyDescent="0.25">
      <c r="A79" s="192" t="s">
        <v>282</v>
      </c>
      <c r="B79" t="str">
        <f t="shared" si="1"/>
        <v>GS015258</v>
      </c>
      <c r="C79" s="49" t="s">
        <v>163</v>
      </c>
    </row>
    <row r="80" spans="1:3" x14ac:dyDescent="0.25">
      <c r="A80" s="192" t="s">
        <v>283</v>
      </c>
      <c r="B80" t="str">
        <f t="shared" si="1"/>
        <v>GS015268</v>
      </c>
      <c r="C80" s="49" t="s">
        <v>163</v>
      </c>
    </row>
    <row r="81" spans="1:3" x14ac:dyDescent="0.25">
      <c r="A81" s="192" t="s">
        <v>284</v>
      </c>
      <c r="B81" t="str">
        <f t="shared" si="1"/>
        <v>GS015270</v>
      </c>
      <c r="C81" s="49" t="s">
        <v>163</v>
      </c>
    </row>
    <row r="82" spans="1:3" x14ac:dyDescent="0.25">
      <c r="A82" s="192" t="s">
        <v>285</v>
      </c>
      <c r="B82" t="str">
        <f t="shared" si="1"/>
        <v>GS015295</v>
      </c>
      <c r="C82" s="49" t="s">
        <v>163</v>
      </c>
    </row>
    <row r="83" spans="1:3" x14ac:dyDescent="0.25">
      <c r="A83" s="192" t="s">
        <v>286</v>
      </c>
      <c r="B83" t="str">
        <f t="shared" si="1"/>
        <v>GS015299</v>
      </c>
      <c r="C83" s="49" t="s">
        <v>163</v>
      </c>
    </row>
    <row r="84" spans="1:3" x14ac:dyDescent="0.25">
      <c r="A84" s="192" t="s">
        <v>287</v>
      </c>
      <c r="B84" t="str">
        <f t="shared" si="1"/>
        <v>GS015330</v>
      </c>
      <c r="C84" s="49" t="s">
        <v>163</v>
      </c>
    </row>
    <row r="85" spans="1:3" x14ac:dyDescent="0.25">
      <c r="A85" s="192" t="s">
        <v>288</v>
      </c>
      <c r="B85" t="str">
        <f t="shared" si="1"/>
        <v>GS015357</v>
      </c>
      <c r="C85" s="49" t="s">
        <v>163</v>
      </c>
    </row>
    <row r="86" spans="1:3" x14ac:dyDescent="0.25">
      <c r="A86" s="192" t="s">
        <v>289</v>
      </c>
      <c r="B86" t="str">
        <f t="shared" si="1"/>
        <v>GS015369</v>
      </c>
      <c r="C86" s="49" t="s">
        <v>163</v>
      </c>
    </row>
    <row r="87" spans="1:3" x14ac:dyDescent="0.25">
      <c r="A87" s="192" t="s">
        <v>290</v>
      </c>
      <c r="B87" t="str">
        <f t="shared" si="1"/>
        <v>GS015420</v>
      </c>
      <c r="C87" s="49" t="s">
        <v>163</v>
      </c>
    </row>
    <row r="88" spans="1:3" x14ac:dyDescent="0.25">
      <c r="A88" s="192" t="s">
        <v>291</v>
      </c>
      <c r="B88" t="str">
        <f t="shared" si="1"/>
        <v>GS015457</v>
      </c>
      <c r="C88" s="49" t="s">
        <v>163</v>
      </c>
    </row>
    <row r="89" spans="1:3" x14ac:dyDescent="0.25">
      <c r="A89" s="192" t="s">
        <v>292</v>
      </c>
      <c r="B89" t="str">
        <f t="shared" si="1"/>
        <v>GS015480</v>
      </c>
      <c r="C89" s="49" t="s">
        <v>163</v>
      </c>
    </row>
    <row r="90" spans="1:3" x14ac:dyDescent="0.25">
      <c r="A90" s="192" t="s">
        <v>293</v>
      </c>
      <c r="B90" t="str">
        <f t="shared" si="1"/>
        <v>GS015566</v>
      </c>
      <c r="C90" s="49" t="s">
        <v>163</v>
      </c>
    </row>
    <row r="91" spans="1:3" x14ac:dyDescent="0.25">
      <c r="A91" s="192" t="s">
        <v>294</v>
      </c>
      <c r="B91" t="str">
        <f t="shared" si="1"/>
        <v>GS015573</v>
      </c>
      <c r="C91" s="49" t="s">
        <v>163</v>
      </c>
    </row>
    <row r="92" spans="1:3" x14ac:dyDescent="0.25">
      <c r="A92" s="192" t="s">
        <v>295</v>
      </c>
      <c r="B92" t="str">
        <f t="shared" si="1"/>
        <v>GS015672</v>
      </c>
      <c r="C92" s="49" t="s">
        <v>163</v>
      </c>
    </row>
    <row r="93" spans="1:3" x14ac:dyDescent="0.25">
      <c r="A93" s="192" t="s">
        <v>296</v>
      </c>
      <c r="B93" t="str">
        <f t="shared" si="1"/>
        <v>GS015718</v>
      </c>
      <c r="C93" s="49" t="s">
        <v>163</v>
      </c>
    </row>
    <row r="94" spans="1:3" x14ac:dyDescent="0.25">
      <c r="A94" s="192" t="s">
        <v>297</v>
      </c>
      <c r="B94" t="str">
        <f t="shared" si="1"/>
        <v>GS015741</v>
      </c>
      <c r="C94" s="49" t="s">
        <v>163</v>
      </c>
    </row>
    <row r="95" spans="1:3" x14ac:dyDescent="0.25">
      <c r="A95" s="192" t="s">
        <v>298</v>
      </c>
      <c r="B95" t="str">
        <f t="shared" si="1"/>
        <v>GS015807</v>
      </c>
      <c r="C95" s="49" t="s">
        <v>163</v>
      </c>
    </row>
    <row r="96" spans="1:3" x14ac:dyDescent="0.25">
      <c r="A96" s="192" t="s">
        <v>299</v>
      </c>
      <c r="B96" t="str">
        <f t="shared" si="1"/>
        <v>GS015819</v>
      </c>
      <c r="C96" s="49" t="s">
        <v>163</v>
      </c>
    </row>
    <row r="97" spans="1:3" x14ac:dyDescent="0.25">
      <c r="A97" s="192" t="s">
        <v>300</v>
      </c>
      <c r="B97" t="str">
        <f t="shared" si="1"/>
        <v>GS015825</v>
      </c>
      <c r="C97" s="49" t="s">
        <v>163</v>
      </c>
    </row>
    <row r="98" spans="1:3" x14ac:dyDescent="0.25">
      <c r="A98" s="192" t="s">
        <v>301</v>
      </c>
      <c r="B98" t="str">
        <f t="shared" si="1"/>
        <v>GS015831</v>
      </c>
      <c r="C98" s="49" t="s">
        <v>163</v>
      </c>
    </row>
    <row r="99" spans="1:3" x14ac:dyDescent="0.25">
      <c r="A99" s="192" t="s">
        <v>302</v>
      </c>
      <c r="B99" t="str">
        <f t="shared" si="1"/>
        <v>GS015867</v>
      </c>
      <c r="C99" s="49" t="s">
        <v>163</v>
      </c>
    </row>
    <row r="100" spans="1:3" x14ac:dyDescent="0.25">
      <c r="A100" s="192" t="s">
        <v>303</v>
      </c>
      <c r="B100" t="str">
        <f t="shared" si="1"/>
        <v>GS015888</v>
      </c>
      <c r="C100" s="49" t="s">
        <v>163</v>
      </c>
    </row>
    <row r="101" spans="1:3" x14ac:dyDescent="0.25">
      <c r="A101" s="192" t="s">
        <v>304</v>
      </c>
      <c r="B101" t="str">
        <f t="shared" si="1"/>
        <v>GS015913</v>
      </c>
      <c r="C101" s="49" t="s">
        <v>163</v>
      </c>
    </row>
    <row r="102" spans="1:3" x14ac:dyDescent="0.25">
      <c r="A102" s="192" t="s">
        <v>305</v>
      </c>
      <c r="B102" t="str">
        <f t="shared" si="1"/>
        <v>GS015924</v>
      </c>
      <c r="C102" s="49" t="s">
        <v>163</v>
      </c>
    </row>
    <row r="103" spans="1:3" x14ac:dyDescent="0.25">
      <c r="A103" s="192" t="s">
        <v>306</v>
      </c>
      <c r="B103" t="str">
        <f t="shared" si="1"/>
        <v>GS015928</v>
      </c>
      <c r="C103" s="49" t="s">
        <v>163</v>
      </c>
    </row>
    <row r="104" spans="1:3" x14ac:dyDescent="0.25">
      <c r="A104" s="192" t="s">
        <v>307</v>
      </c>
      <c r="B104" t="str">
        <f t="shared" si="1"/>
        <v>GS016064</v>
      </c>
      <c r="C104" s="49" t="s">
        <v>163</v>
      </c>
    </row>
    <row r="105" spans="1:3" x14ac:dyDescent="0.25">
      <c r="A105" s="192" t="s">
        <v>308</v>
      </c>
      <c r="B105" t="str">
        <f t="shared" si="1"/>
        <v>GS016079</v>
      </c>
      <c r="C105" s="49" t="s">
        <v>163</v>
      </c>
    </row>
    <row r="106" spans="1:3" x14ac:dyDescent="0.25">
      <c r="A106" s="192" t="s">
        <v>309</v>
      </c>
      <c r="B106" t="str">
        <f t="shared" si="1"/>
        <v>GS016094</v>
      </c>
      <c r="C106" s="49" t="s">
        <v>163</v>
      </c>
    </row>
    <row r="107" spans="1:3" x14ac:dyDescent="0.25">
      <c r="A107" s="192" t="s">
        <v>310</v>
      </c>
      <c r="B107" t="str">
        <f t="shared" si="1"/>
        <v>GS016108</v>
      </c>
      <c r="C107" s="49" t="s">
        <v>163</v>
      </c>
    </row>
    <row r="108" spans="1:3" x14ac:dyDescent="0.25">
      <c r="A108" s="192" t="s">
        <v>311</v>
      </c>
      <c r="B108" t="str">
        <f t="shared" si="1"/>
        <v>GS016134</v>
      </c>
      <c r="C108" s="49" t="s">
        <v>163</v>
      </c>
    </row>
    <row r="109" spans="1:3" x14ac:dyDescent="0.25">
      <c r="A109" s="192" t="s">
        <v>312</v>
      </c>
      <c r="B109" t="str">
        <f t="shared" si="1"/>
        <v>GS016170</v>
      </c>
      <c r="C109" s="49" t="s">
        <v>163</v>
      </c>
    </row>
    <row r="110" spans="1:3" x14ac:dyDescent="0.25">
      <c r="A110" s="192" t="s">
        <v>313</v>
      </c>
      <c r="B110" t="str">
        <f t="shared" si="1"/>
        <v>GS016191</v>
      </c>
      <c r="C110" s="49" t="s">
        <v>163</v>
      </c>
    </row>
    <row r="111" spans="1:3" x14ac:dyDescent="0.25">
      <c r="A111" s="192" t="s">
        <v>314</v>
      </c>
      <c r="B111" t="str">
        <f t="shared" si="1"/>
        <v>GS016264</v>
      </c>
      <c r="C111" s="49" t="s">
        <v>163</v>
      </c>
    </row>
    <row r="112" spans="1:3" x14ac:dyDescent="0.25">
      <c r="A112" s="192" t="s">
        <v>315</v>
      </c>
      <c r="B112" t="str">
        <f t="shared" si="1"/>
        <v>GS016265</v>
      </c>
      <c r="C112" s="49" t="s">
        <v>163</v>
      </c>
    </row>
    <row r="113" spans="1:3" x14ac:dyDescent="0.25">
      <c r="A113" s="192" t="s">
        <v>316</v>
      </c>
      <c r="B113" t="str">
        <f t="shared" si="1"/>
        <v>GS016268</v>
      </c>
      <c r="C113" s="49" t="s">
        <v>163</v>
      </c>
    </row>
    <row r="114" spans="1:3" x14ac:dyDescent="0.25">
      <c r="A114" s="192" t="s">
        <v>317</v>
      </c>
      <c r="B114" t="str">
        <f t="shared" si="1"/>
        <v>GS016275</v>
      </c>
      <c r="C114" s="49" t="s">
        <v>163</v>
      </c>
    </row>
    <row r="115" spans="1:3" x14ac:dyDescent="0.25">
      <c r="A115" s="192" t="s">
        <v>318</v>
      </c>
      <c r="B115" t="str">
        <f t="shared" si="1"/>
        <v>GS016296</v>
      </c>
      <c r="C115" s="49" t="s">
        <v>163</v>
      </c>
    </row>
    <row r="116" spans="1:3" x14ac:dyDescent="0.25">
      <c r="A116" s="192" t="s">
        <v>319</v>
      </c>
      <c r="B116" t="str">
        <f t="shared" si="1"/>
        <v>GS016316</v>
      </c>
      <c r="C116" s="49" t="s">
        <v>163</v>
      </c>
    </row>
    <row r="117" spans="1:3" x14ac:dyDescent="0.25">
      <c r="A117" s="192" t="s">
        <v>320</v>
      </c>
      <c r="B117" t="str">
        <f t="shared" si="1"/>
        <v>GS016363</v>
      </c>
      <c r="C117" s="49" t="s">
        <v>163</v>
      </c>
    </row>
    <row r="118" spans="1:3" x14ac:dyDescent="0.25">
      <c r="A118" s="192" t="s">
        <v>321</v>
      </c>
      <c r="B118" t="str">
        <f t="shared" si="1"/>
        <v>GS016366</v>
      </c>
      <c r="C118" s="49" t="s">
        <v>163</v>
      </c>
    </row>
    <row r="119" spans="1:3" x14ac:dyDescent="0.25">
      <c r="A119" s="192" t="s">
        <v>322</v>
      </c>
      <c r="B119" t="str">
        <f t="shared" si="1"/>
        <v>GS016369</v>
      </c>
      <c r="C119" s="49" t="s">
        <v>163</v>
      </c>
    </row>
    <row r="120" spans="1:3" x14ac:dyDescent="0.25">
      <c r="A120" s="192" t="s">
        <v>323</v>
      </c>
      <c r="B120" t="str">
        <f t="shared" si="1"/>
        <v>GS016383</v>
      </c>
      <c r="C120" s="49" t="s">
        <v>163</v>
      </c>
    </row>
    <row r="121" spans="1:3" x14ac:dyDescent="0.25">
      <c r="A121" s="192" t="s">
        <v>324</v>
      </c>
      <c r="B121" t="str">
        <f t="shared" si="1"/>
        <v>GS016523</v>
      </c>
      <c r="C121" s="49" t="s">
        <v>163</v>
      </c>
    </row>
    <row r="122" spans="1:3" x14ac:dyDescent="0.25">
      <c r="A122" s="192" t="s">
        <v>325</v>
      </c>
      <c r="B122" t="str">
        <f t="shared" si="1"/>
        <v>GS016553</v>
      </c>
      <c r="C122" s="49" t="s">
        <v>163</v>
      </c>
    </row>
    <row r="123" spans="1:3" x14ac:dyDescent="0.25">
      <c r="A123" s="192" t="s">
        <v>326</v>
      </c>
      <c r="B123" t="str">
        <f t="shared" si="1"/>
        <v>GS016576</v>
      </c>
      <c r="C123" s="49" t="s">
        <v>163</v>
      </c>
    </row>
    <row r="124" spans="1:3" x14ac:dyDescent="0.25">
      <c r="A124" s="192" t="s">
        <v>327</v>
      </c>
      <c r="B124" t="str">
        <f t="shared" si="1"/>
        <v>GS016600</v>
      </c>
      <c r="C124" s="49" t="s">
        <v>163</v>
      </c>
    </row>
    <row r="125" spans="1:3" x14ac:dyDescent="0.25">
      <c r="A125" s="192" t="s">
        <v>328</v>
      </c>
      <c r="B125" t="str">
        <f t="shared" si="1"/>
        <v>GS016620</v>
      </c>
      <c r="C125" s="49" t="s">
        <v>163</v>
      </c>
    </row>
    <row r="126" spans="1:3" x14ac:dyDescent="0.25">
      <c r="A126" s="192" t="s">
        <v>329</v>
      </c>
      <c r="B126" t="str">
        <f t="shared" si="1"/>
        <v>GS016644</v>
      </c>
      <c r="C126" s="49" t="s">
        <v>163</v>
      </c>
    </row>
    <row r="127" spans="1:3" x14ac:dyDescent="0.25">
      <c r="A127" s="192" t="s">
        <v>330</v>
      </c>
      <c r="B127" t="str">
        <f t="shared" si="1"/>
        <v>GS016669</v>
      </c>
      <c r="C127" s="49" t="s">
        <v>163</v>
      </c>
    </row>
    <row r="128" spans="1:3" x14ac:dyDescent="0.25">
      <c r="A128" s="192" t="s">
        <v>331</v>
      </c>
      <c r="B128" t="str">
        <f t="shared" si="1"/>
        <v>GS017098</v>
      </c>
      <c r="C128" s="49" t="s">
        <v>163</v>
      </c>
    </row>
    <row r="129" spans="1:3" x14ac:dyDescent="0.25">
      <c r="A129" s="192" t="s">
        <v>332</v>
      </c>
      <c r="B129" t="str">
        <f t="shared" si="1"/>
        <v>GS017245</v>
      </c>
      <c r="C129" s="49" t="s">
        <v>163</v>
      </c>
    </row>
    <row r="130" spans="1:3" x14ac:dyDescent="0.25">
      <c r="A130" s="192" t="s">
        <v>333</v>
      </c>
      <c r="B130" t="str">
        <f t="shared" si="1"/>
        <v>GS017471</v>
      </c>
      <c r="C130" s="49" t="s">
        <v>163</v>
      </c>
    </row>
    <row r="131" spans="1:3" x14ac:dyDescent="0.25">
      <c r="A131" s="192" t="s">
        <v>334</v>
      </c>
      <c r="B131" t="str">
        <f t="shared" si="1"/>
        <v>GS017501</v>
      </c>
      <c r="C131" s="49" t="s">
        <v>163</v>
      </c>
    </row>
    <row r="132" spans="1:3" x14ac:dyDescent="0.25">
      <c r="A132" s="192" t="s">
        <v>335</v>
      </c>
      <c r="B132" t="str">
        <f t="shared" ref="B132:B195" si="2">MID(A132,1,8)</f>
        <v>GS017533</v>
      </c>
      <c r="C132" s="49" t="s">
        <v>163</v>
      </c>
    </row>
    <row r="133" spans="1:3" x14ac:dyDescent="0.25">
      <c r="A133" s="192" t="s">
        <v>336</v>
      </c>
      <c r="B133" t="str">
        <f t="shared" si="2"/>
        <v>GS017608</v>
      </c>
      <c r="C133" s="49" t="s">
        <v>163</v>
      </c>
    </row>
    <row r="134" spans="1:3" x14ac:dyDescent="0.25">
      <c r="A134" s="192" t="s">
        <v>337</v>
      </c>
      <c r="B134" t="str">
        <f t="shared" si="2"/>
        <v>GS017609</v>
      </c>
      <c r="C134" s="49" t="s">
        <v>163</v>
      </c>
    </row>
    <row r="135" spans="1:3" x14ac:dyDescent="0.25">
      <c r="A135" s="192" t="s">
        <v>338</v>
      </c>
      <c r="B135" t="str">
        <f t="shared" si="2"/>
        <v>GS017610</v>
      </c>
      <c r="C135" s="49" t="s">
        <v>163</v>
      </c>
    </row>
    <row r="136" spans="1:3" x14ac:dyDescent="0.25">
      <c r="A136" s="192" t="s">
        <v>339</v>
      </c>
      <c r="B136" t="str">
        <f t="shared" si="2"/>
        <v>GS017649</v>
      </c>
      <c r="C136" s="49" t="s">
        <v>163</v>
      </c>
    </row>
    <row r="137" spans="1:3" x14ac:dyDescent="0.25">
      <c r="A137" s="192" t="s">
        <v>340</v>
      </c>
      <c r="B137" t="str">
        <f t="shared" si="2"/>
        <v>GS017739</v>
      </c>
      <c r="C137" s="49" t="s">
        <v>163</v>
      </c>
    </row>
    <row r="138" spans="1:3" x14ac:dyDescent="0.25">
      <c r="A138" s="192" t="s">
        <v>341</v>
      </c>
      <c r="B138" t="str">
        <f t="shared" si="2"/>
        <v>GS017760</v>
      </c>
      <c r="C138" s="49" t="s">
        <v>163</v>
      </c>
    </row>
    <row r="139" spans="1:3" x14ac:dyDescent="0.25">
      <c r="A139" s="192" t="s">
        <v>342</v>
      </c>
      <c r="B139" t="str">
        <f t="shared" si="2"/>
        <v>GS017761</v>
      </c>
      <c r="C139" s="49" t="s">
        <v>163</v>
      </c>
    </row>
    <row r="140" spans="1:3" x14ac:dyDescent="0.25">
      <c r="A140" s="192" t="s">
        <v>343</v>
      </c>
      <c r="B140" t="str">
        <f t="shared" si="2"/>
        <v>GS017789</v>
      </c>
      <c r="C140" s="49" t="s">
        <v>163</v>
      </c>
    </row>
    <row r="141" spans="1:3" x14ac:dyDescent="0.25">
      <c r="A141" s="192" t="s">
        <v>344</v>
      </c>
      <c r="B141" t="str">
        <f t="shared" si="2"/>
        <v>GS018021</v>
      </c>
      <c r="C141" s="49" t="s">
        <v>163</v>
      </c>
    </row>
    <row r="142" spans="1:3" x14ac:dyDescent="0.25">
      <c r="A142" s="192" t="s">
        <v>345</v>
      </c>
      <c r="B142" t="str">
        <f t="shared" si="2"/>
        <v>GS018236</v>
      </c>
      <c r="C142" s="49" t="s">
        <v>163</v>
      </c>
    </row>
    <row r="143" spans="1:3" x14ac:dyDescent="0.25">
      <c r="A143" s="192" t="s">
        <v>346</v>
      </c>
      <c r="B143" t="str">
        <f t="shared" si="2"/>
        <v>GS018266</v>
      </c>
      <c r="C143" s="49" t="s">
        <v>163</v>
      </c>
    </row>
    <row r="144" spans="1:3" x14ac:dyDescent="0.25">
      <c r="A144" s="192" t="s">
        <v>347</v>
      </c>
      <c r="B144" t="str">
        <f t="shared" si="2"/>
        <v>GS018479</v>
      </c>
      <c r="C144" s="49" t="s">
        <v>163</v>
      </c>
    </row>
    <row r="145" spans="1:3" x14ac:dyDescent="0.25">
      <c r="A145" s="192" t="s">
        <v>348</v>
      </c>
      <c r="B145" t="str">
        <f t="shared" si="2"/>
        <v>GS018491</v>
      </c>
      <c r="C145" s="49" t="s">
        <v>163</v>
      </c>
    </row>
    <row r="146" spans="1:3" x14ac:dyDescent="0.25">
      <c r="A146" s="192" t="s">
        <v>349</v>
      </c>
      <c r="B146" t="str">
        <f t="shared" si="2"/>
        <v>GS018507</v>
      </c>
      <c r="C146" s="49" t="s">
        <v>163</v>
      </c>
    </row>
    <row r="147" spans="1:3" x14ac:dyDescent="0.25">
      <c r="A147" s="192" t="s">
        <v>350</v>
      </c>
      <c r="B147" t="str">
        <f t="shared" si="2"/>
        <v>GS018517</v>
      </c>
      <c r="C147" s="49" t="s">
        <v>163</v>
      </c>
    </row>
    <row r="148" spans="1:3" x14ac:dyDescent="0.25">
      <c r="A148" s="192" t="s">
        <v>351</v>
      </c>
      <c r="B148" t="str">
        <f t="shared" si="2"/>
        <v>GS018524</v>
      </c>
      <c r="C148" s="49" t="s">
        <v>163</v>
      </c>
    </row>
    <row r="149" spans="1:3" x14ac:dyDescent="0.25">
      <c r="A149" s="192" t="s">
        <v>352</v>
      </c>
      <c r="B149" t="str">
        <f t="shared" si="2"/>
        <v>GS018560</v>
      </c>
      <c r="C149" s="49" t="s">
        <v>163</v>
      </c>
    </row>
    <row r="150" spans="1:3" x14ac:dyDescent="0.25">
      <c r="A150" s="192" t="s">
        <v>353</v>
      </c>
      <c r="B150" t="str">
        <f t="shared" si="2"/>
        <v>GS018598</v>
      </c>
      <c r="C150" s="49" t="s">
        <v>163</v>
      </c>
    </row>
    <row r="151" spans="1:3" x14ac:dyDescent="0.25">
      <c r="A151" s="192" t="s">
        <v>354</v>
      </c>
      <c r="B151" t="str">
        <f t="shared" si="2"/>
        <v>GS018627</v>
      </c>
      <c r="C151" s="49" t="s">
        <v>163</v>
      </c>
    </row>
    <row r="152" spans="1:3" x14ac:dyDescent="0.25">
      <c r="A152" s="192" t="s">
        <v>355</v>
      </c>
      <c r="B152" t="str">
        <f t="shared" si="2"/>
        <v>GS018641</v>
      </c>
      <c r="C152" s="49" t="s">
        <v>163</v>
      </c>
    </row>
    <row r="153" spans="1:3" x14ac:dyDescent="0.25">
      <c r="A153" s="192" t="s">
        <v>356</v>
      </c>
      <c r="B153" t="str">
        <f t="shared" si="2"/>
        <v>GS018648</v>
      </c>
      <c r="C153" s="49" t="s">
        <v>163</v>
      </c>
    </row>
    <row r="154" spans="1:3" x14ac:dyDescent="0.25">
      <c r="A154" s="192" t="s">
        <v>357</v>
      </c>
      <c r="B154" t="str">
        <f t="shared" si="2"/>
        <v>GS018664</v>
      </c>
      <c r="C154" s="49" t="s">
        <v>163</v>
      </c>
    </row>
    <row r="155" spans="1:3" x14ac:dyDescent="0.25">
      <c r="A155" s="192" t="s">
        <v>358</v>
      </c>
      <c r="B155" t="str">
        <f t="shared" si="2"/>
        <v>GS018685</v>
      </c>
      <c r="C155" s="49" t="s">
        <v>163</v>
      </c>
    </row>
    <row r="156" spans="1:3" x14ac:dyDescent="0.25">
      <c r="A156" s="192" t="s">
        <v>359</v>
      </c>
      <c r="B156" t="str">
        <f t="shared" si="2"/>
        <v>GS018705</v>
      </c>
      <c r="C156" s="49" t="s">
        <v>163</v>
      </c>
    </row>
    <row r="157" spans="1:3" x14ac:dyDescent="0.25">
      <c r="A157" s="192" t="s">
        <v>360</v>
      </c>
      <c r="B157" t="str">
        <f t="shared" si="2"/>
        <v>GS018710</v>
      </c>
      <c r="C157" s="49" t="s">
        <v>163</v>
      </c>
    </row>
    <row r="158" spans="1:3" x14ac:dyDescent="0.25">
      <c r="A158" s="192" t="s">
        <v>361</v>
      </c>
      <c r="B158" t="str">
        <f t="shared" si="2"/>
        <v>GS018714</v>
      </c>
      <c r="C158" s="49" t="s">
        <v>163</v>
      </c>
    </row>
    <row r="159" spans="1:3" x14ac:dyDescent="0.25">
      <c r="A159" s="192" t="s">
        <v>362</v>
      </c>
      <c r="B159" t="str">
        <f t="shared" si="2"/>
        <v>GS018726</v>
      </c>
      <c r="C159" s="49" t="s">
        <v>163</v>
      </c>
    </row>
    <row r="160" spans="1:3" x14ac:dyDescent="0.25">
      <c r="A160" s="192" t="s">
        <v>363</v>
      </c>
      <c r="B160" t="str">
        <f t="shared" si="2"/>
        <v>GS018735</v>
      </c>
      <c r="C160" s="49" t="s">
        <v>163</v>
      </c>
    </row>
    <row r="161" spans="1:3" x14ac:dyDescent="0.25">
      <c r="A161" s="192" t="s">
        <v>364</v>
      </c>
      <c r="B161" t="str">
        <f t="shared" si="2"/>
        <v>GS018743</v>
      </c>
      <c r="C161" s="49" t="s">
        <v>163</v>
      </c>
    </row>
    <row r="162" spans="1:3" x14ac:dyDescent="0.25">
      <c r="A162" s="192" t="s">
        <v>365</v>
      </c>
      <c r="B162" t="str">
        <f t="shared" si="2"/>
        <v>GS018745</v>
      </c>
      <c r="C162" s="49" t="s">
        <v>163</v>
      </c>
    </row>
    <row r="163" spans="1:3" x14ac:dyDescent="0.25">
      <c r="A163" s="192" t="s">
        <v>366</v>
      </c>
      <c r="B163" t="str">
        <f t="shared" si="2"/>
        <v>GS018779</v>
      </c>
      <c r="C163" s="49" t="s">
        <v>163</v>
      </c>
    </row>
    <row r="164" spans="1:3" x14ac:dyDescent="0.25">
      <c r="A164" s="192" t="s">
        <v>367</v>
      </c>
      <c r="B164" t="str">
        <f t="shared" si="2"/>
        <v>GS018827</v>
      </c>
      <c r="C164" s="49" t="s">
        <v>163</v>
      </c>
    </row>
    <row r="165" spans="1:3" x14ac:dyDescent="0.25">
      <c r="A165" s="192" t="s">
        <v>368</v>
      </c>
      <c r="B165" t="str">
        <f t="shared" si="2"/>
        <v>GS018863</v>
      </c>
      <c r="C165" s="49" t="s">
        <v>163</v>
      </c>
    </row>
    <row r="166" spans="1:3" x14ac:dyDescent="0.25">
      <c r="A166" s="192" t="s">
        <v>369</v>
      </c>
      <c r="B166" t="str">
        <f t="shared" si="2"/>
        <v>GS018910</v>
      </c>
      <c r="C166" s="49" t="s">
        <v>163</v>
      </c>
    </row>
    <row r="167" spans="1:3" x14ac:dyDescent="0.25">
      <c r="A167" s="192" t="s">
        <v>370</v>
      </c>
      <c r="B167" t="str">
        <f t="shared" si="2"/>
        <v>GS018935</v>
      </c>
      <c r="C167" s="49" t="s">
        <v>163</v>
      </c>
    </row>
    <row r="168" spans="1:3" x14ac:dyDescent="0.25">
      <c r="A168" s="192" t="s">
        <v>371</v>
      </c>
      <c r="B168" t="str">
        <f t="shared" si="2"/>
        <v>GS018980</v>
      </c>
      <c r="C168" s="49" t="s">
        <v>163</v>
      </c>
    </row>
    <row r="169" spans="1:3" x14ac:dyDescent="0.25">
      <c r="A169" s="192" t="s">
        <v>372</v>
      </c>
      <c r="B169" t="str">
        <f t="shared" si="2"/>
        <v>GS019016</v>
      </c>
      <c r="C169" s="49" t="s">
        <v>163</v>
      </c>
    </row>
    <row r="170" spans="1:3" x14ac:dyDescent="0.25">
      <c r="A170" s="192" t="s">
        <v>373</v>
      </c>
      <c r="B170" t="str">
        <f t="shared" si="2"/>
        <v>GS019042</v>
      </c>
      <c r="C170" s="49" t="s">
        <v>163</v>
      </c>
    </row>
    <row r="171" spans="1:3" x14ac:dyDescent="0.25">
      <c r="A171" s="192" t="s">
        <v>374</v>
      </c>
      <c r="B171" t="str">
        <f t="shared" si="2"/>
        <v>GS019125</v>
      </c>
      <c r="C171" s="49" t="s">
        <v>163</v>
      </c>
    </row>
    <row r="172" spans="1:3" x14ac:dyDescent="0.25">
      <c r="A172" s="192" t="s">
        <v>375</v>
      </c>
      <c r="B172" t="str">
        <f t="shared" si="2"/>
        <v>GS019135</v>
      </c>
      <c r="C172" s="49" t="s">
        <v>163</v>
      </c>
    </row>
    <row r="173" spans="1:3" x14ac:dyDescent="0.25">
      <c r="A173" s="192" t="s">
        <v>376</v>
      </c>
      <c r="B173" t="str">
        <f t="shared" si="2"/>
        <v>GS019194</v>
      </c>
      <c r="C173" s="49" t="s">
        <v>163</v>
      </c>
    </row>
    <row r="174" spans="1:3" x14ac:dyDescent="0.25">
      <c r="A174" s="192" t="s">
        <v>377</v>
      </c>
      <c r="B174" t="str">
        <f t="shared" si="2"/>
        <v>GS019204</v>
      </c>
      <c r="C174" s="49" t="s">
        <v>163</v>
      </c>
    </row>
    <row r="175" spans="1:3" x14ac:dyDescent="0.25">
      <c r="A175" s="192" t="s">
        <v>378</v>
      </c>
      <c r="B175" t="str">
        <f t="shared" si="2"/>
        <v>GS019237</v>
      </c>
      <c r="C175" s="49" t="s">
        <v>163</v>
      </c>
    </row>
    <row r="176" spans="1:3" x14ac:dyDescent="0.25">
      <c r="A176" s="192" t="s">
        <v>379</v>
      </c>
      <c r="B176" t="str">
        <f t="shared" si="2"/>
        <v>GS019351</v>
      </c>
      <c r="C176" s="49" t="s">
        <v>163</v>
      </c>
    </row>
    <row r="177" spans="1:3" x14ac:dyDescent="0.25">
      <c r="A177" s="192" t="s">
        <v>380</v>
      </c>
      <c r="B177" t="str">
        <f t="shared" si="2"/>
        <v>GS019417</v>
      </c>
      <c r="C177" s="49" t="s">
        <v>163</v>
      </c>
    </row>
    <row r="178" spans="1:3" x14ac:dyDescent="0.25">
      <c r="A178" s="192" t="s">
        <v>381</v>
      </c>
      <c r="B178" t="str">
        <f t="shared" si="2"/>
        <v>GS019479</v>
      </c>
      <c r="C178" s="49" t="s">
        <v>163</v>
      </c>
    </row>
    <row r="179" spans="1:3" x14ac:dyDescent="0.25">
      <c r="A179" s="192" t="s">
        <v>382</v>
      </c>
      <c r="B179" t="str">
        <f t="shared" si="2"/>
        <v>GS019541</v>
      </c>
      <c r="C179" s="49" t="s">
        <v>163</v>
      </c>
    </row>
    <row r="180" spans="1:3" x14ac:dyDescent="0.25">
      <c r="A180" s="192" t="s">
        <v>383</v>
      </c>
      <c r="B180" t="str">
        <f t="shared" si="2"/>
        <v>GS019548</v>
      </c>
      <c r="C180" s="49" t="s">
        <v>163</v>
      </c>
    </row>
    <row r="181" spans="1:3" x14ac:dyDescent="0.25">
      <c r="A181" s="192" t="s">
        <v>384</v>
      </c>
      <c r="B181" t="str">
        <f t="shared" si="2"/>
        <v>GS019562</v>
      </c>
      <c r="C181" s="49" t="s">
        <v>163</v>
      </c>
    </row>
    <row r="182" spans="1:3" x14ac:dyDescent="0.25">
      <c r="A182" s="192" t="s">
        <v>385</v>
      </c>
      <c r="B182" t="str">
        <f t="shared" si="2"/>
        <v>GS019572</v>
      </c>
      <c r="C182" s="49" t="s">
        <v>163</v>
      </c>
    </row>
    <row r="183" spans="1:3" x14ac:dyDescent="0.25">
      <c r="A183" s="192" t="s">
        <v>386</v>
      </c>
      <c r="B183" t="str">
        <f t="shared" si="2"/>
        <v>GS019597</v>
      </c>
      <c r="C183" s="49" t="s">
        <v>163</v>
      </c>
    </row>
    <row r="184" spans="1:3" x14ac:dyDescent="0.25">
      <c r="A184" s="192" t="s">
        <v>387</v>
      </c>
      <c r="B184" t="str">
        <f t="shared" si="2"/>
        <v>GS019634</v>
      </c>
      <c r="C184" s="49" t="s">
        <v>163</v>
      </c>
    </row>
    <row r="185" spans="1:3" x14ac:dyDescent="0.25">
      <c r="A185" s="192" t="s">
        <v>388</v>
      </c>
      <c r="B185" t="str">
        <f t="shared" si="2"/>
        <v>GS019637</v>
      </c>
      <c r="C185" s="49" t="s">
        <v>163</v>
      </c>
    </row>
    <row r="186" spans="1:3" x14ac:dyDescent="0.25">
      <c r="A186" s="192" t="s">
        <v>389</v>
      </c>
      <c r="B186" t="str">
        <f t="shared" si="2"/>
        <v>GS019640</v>
      </c>
      <c r="C186" s="49" t="s">
        <v>163</v>
      </c>
    </row>
    <row r="187" spans="1:3" x14ac:dyDescent="0.25">
      <c r="A187" s="192" t="s">
        <v>390</v>
      </c>
      <c r="B187" t="str">
        <f t="shared" si="2"/>
        <v>GS019643</v>
      </c>
      <c r="C187" s="49" t="s">
        <v>163</v>
      </c>
    </row>
    <row r="188" spans="1:3" x14ac:dyDescent="0.25">
      <c r="A188" s="192" t="s">
        <v>391</v>
      </c>
      <c r="B188" t="str">
        <f t="shared" si="2"/>
        <v>GS019656</v>
      </c>
      <c r="C188" s="49" t="s">
        <v>163</v>
      </c>
    </row>
    <row r="189" spans="1:3" x14ac:dyDescent="0.25">
      <c r="A189" s="192" t="s">
        <v>392</v>
      </c>
      <c r="B189" t="str">
        <f t="shared" si="2"/>
        <v>GS019680</v>
      </c>
      <c r="C189" s="49" t="s">
        <v>163</v>
      </c>
    </row>
    <row r="190" spans="1:3" x14ac:dyDescent="0.25">
      <c r="A190" s="192" t="s">
        <v>393</v>
      </c>
      <c r="B190" t="str">
        <f t="shared" si="2"/>
        <v>GS019686</v>
      </c>
      <c r="C190" s="49" t="s">
        <v>163</v>
      </c>
    </row>
    <row r="191" spans="1:3" x14ac:dyDescent="0.25">
      <c r="A191" s="192" t="s">
        <v>394</v>
      </c>
      <c r="B191" t="str">
        <f t="shared" si="2"/>
        <v>GS019724</v>
      </c>
      <c r="C191" s="49" t="s">
        <v>163</v>
      </c>
    </row>
    <row r="192" spans="1:3" x14ac:dyDescent="0.25">
      <c r="A192" s="192" t="s">
        <v>395</v>
      </c>
      <c r="B192" t="str">
        <f t="shared" si="2"/>
        <v>GS019770</v>
      </c>
      <c r="C192" s="49" t="s">
        <v>163</v>
      </c>
    </row>
    <row r="193" spans="1:3" x14ac:dyDescent="0.25">
      <c r="A193" s="192" t="s">
        <v>396</v>
      </c>
      <c r="B193" t="str">
        <f t="shared" si="2"/>
        <v>GS019825</v>
      </c>
      <c r="C193" s="49" t="s">
        <v>163</v>
      </c>
    </row>
    <row r="194" spans="1:3" x14ac:dyDescent="0.25">
      <c r="A194" s="192" t="s">
        <v>397</v>
      </c>
      <c r="B194" t="str">
        <f t="shared" si="2"/>
        <v>GS019828</v>
      </c>
      <c r="C194" s="49" t="s">
        <v>163</v>
      </c>
    </row>
    <row r="195" spans="1:3" x14ac:dyDescent="0.25">
      <c r="A195" s="192" t="s">
        <v>398</v>
      </c>
      <c r="B195" t="str">
        <f t="shared" si="2"/>
        <v>GS019933</v>
      </c>
      <c r="C195" s="49" t="s">
        <v>163</v>
      </c>
    </row>
    <row r="196" spans="1:3" x14ac:dyDescent="0.25">
      <c r="A196" s="192" t="s">
        <v>399</v>
      </c>
      <c r="B196" t="str">
        <f t="shared" ref="B196:B201" si="3">MID(A196,1,8)</f>
        <v>GS019994</v>
      </c>
      <c r="C196" s="49" t="s">
        <v>163</v>
      </c>
    </row>
    <row r="197" spans="1:3" x14ac:dyDescent="0.25">
      <c r="A197" s="192" t="s">
        <v>400</v>
      </c>
      <c r="B197" t="str">
        <f t="shared" si="3"/>
        <v>GS019995</v>
      </c>
      <c r="C197" s="49" t="s">
        <v>163</v>
      </c>
    </row>
    <row r="198" spans="1:3" x14ac:dyDescent="0.25">
      <c r="A198" s="192" t="s">
        <v>401</v>
      </c>
      <c r="B198" t="str">
        <f t="shared" si="3"/>
        <v>GS020024</v>
      </c>
      <c r="C198" s="49" t="s">
        <v>163</v>
      </c>
    </row>
    <row r="199" spans="1:3" x14ac:dyDescent="0.25">
      <c r="A199" s="192" t="s">
        <v>402</v>
      </c>
      <c r="B199" t="str">
        <f t="shared" si="3"/>
        <v>GS020078</v>
      </c>
      <c r="C199" s="49" t="s">
        <v>163</v>
      </c>
    </row>
    <row r="200" spans="1:3" x14ac:dyDescent="0.25">
      <c r="A200" s="192" t="s">
        <v>403</v>
      </c>
      <c r="B200" t="str">
        <f t="shared" si="3"/>
        <v>GS020082</v>
      </c>
      <c r="C200" s="49" t="s">
        <v>163</v>
      </c>
    </row>
    <row r="201" spans="1:3" x14ac:dyDescent="0.25">
      <c r="A201" t="s">
        <v>411</v>
      </c>
      <c r="B201" t="str">
        <f t="shared" si="3"/>
        <v>GS022727</v>
      </c>
      <c r="C201" s="49" t="s">
        <v>163</v>
      </c>
    </row>
    <row r="202" spans="1:3" x14ac:dyDescent="0.25">
      <c r="A202" s="192" t="s">
        <v>412</v>
      </c>
      <c r="B202" t="str">
        <f>MID(A202,1,9)</f>
        <v>GS1002638</v>
      </c>
      <c r="C202" s="49" t="s">
        <v>163</v>
      </c>
    </row>
    <row r="203" spans="1:3" x14ac:dyDescent="0.25">
      <c r="A203" s="192" t="s">
        <v>413</v>
      </c>
      <c r="B203" t="str">
        <f>MID(A203,1,9)</f>
        <v>GS017560</v>
      </c>
      <c r="C203" s="49" t="s">
        <v>163</v>
      </c>
    </row>
    <row r="204" spans="1:3" x14ac:dyDescent="0.25">
      <c r="A204" s="192" t="s">
        <v>414</v>
      </c>
      <c r="B204" t="str">
        <f>MID(A204,1,9)</f>
        <v>GS020506</v>
      </c>
      <c r="C204" s="49" t="s">
        <v>163</v>
      </c>
    </row>
    <row r="205" spans="1:3" x14ac:dyDescent="0.25">
      <c r="A205" s="192" t="s">
        <v>416</v>
      </c>
      <c r="B205" t="str">
        <f>MID(A205,1,9)</f>
        <v>GS021002</v>
      </c>
      <c r="C205" s="49" t="s">
        <v>163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38</vt:i4>
      </vt:variant>
    </vt:vector>
  </HeadingPairs>
  <TitlesOfParts>
    <vt:vector size="43" baseType="lpstr">
      <vt:lpstr>GOLDEN SALUD IND</vt:lpstr>
      <vt:lpstr>CARTA PROPUESTA</vt:lpstr>
      <vt:lpstr>INFOGRAFÍA</vt:lpstr>
      <vt:lpstr>ASISTENCIAS</vt:lpstr>
      <vt:lpstr>INDIVIDUAL</vt:lpstr>
      <vt:lpstr>ANTI</vt:lpstr>
      <vt:lpstr>ASISTENCIAS!Área_de_impresión</vt:lpstr>
      <vt:lpstr>'CARTA PROPUESTA'!Área_de_impresión</vt:lpstr>
      <vt:lpstr>'GOLDEN SALUD IND'!Área_de_impresión</vt:lpstr>
      <vt:lpstr>INFOGRAFÍA!Área_de_impresión</vt:lpstr>
      <vt:lpstr>RESUMEN_REGIONES!Área_de_impresión</vt:lpstr>
      <vt:lpstr>BASE</vt:lpstr>
      <vt:lpstr>CE</vt:lpstr>
      <vt:lpstr>COA</vt:lpstr>
      <vt:lpstr>DED</vt:lpstr>
      <vt:lpstr>DEDXACC</vt:lpstr>
      <vt:lpstr>DENTAL</vt:lpstr>
      <vt:lpstr>EDAD</vt:lpstr>
      <vt:lpstr>EDOS</vt:lpstr>
      <vt:lpstr>EE</vt:lpstr>
      <vt:lpstr>ESTADOS</vt:lpstr>
      <vt:lpstr>ICF</vt:lpstr>
      <vt:lpstr>IDHA</vt:lpstr>
      <vt:lpstr>MUNICIPIOS_EDOMEX</vt:lpstr>
      <vt:lpstr>NARIZ</vt:lpstr>
      <vt:lpstr>PAGO</vt:lpstr>
      <vt:lpstr>PARTO</vt:lpstr>
      <vt:lpstr>POLIZA</vt:lpstr>
      <vt:lpstr>SA</vt:lpstr>
      <vt:lpstr>SA_1</vt:lpstr>
      <vt:lpstr>SA_10</vt:lpstr>
      <vt:lpstr>SA_2</vt:lpstr>
      <vt:lpstr>SA_3</vt:lpstr>
      <vt:lpstr>SA_4</vt:lpstr>
      <vt:lpstr>SA_5</vt:lpstr>
      <vt:lpstr>SA_6</vt:lpstr>
      <vt:lpstr>SA_7</vt:lpstr>
      <vt:lpstr>SA_8</vt:lpstr>
      <vt:lpstr>SA_9</vt:lpstr>
      <vt:lpstr>SEXO</vt:lpstr>
      <vt:lpstr>TARIFA</vt:lpstr>
      <vt:lpstr>THQ</vt:lpstr>
      <vt:lpstr>TMC</vt:lpstr>
    </vt:vector>
  </TitlesOfParts>
  <Company>Plan Seguro S.A. de C.V.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 Seguro S.A. de C.V.</dc:creator>
  <cp:lastModifiedBy>Onix-Claudia</cp:lastModifiedBy>
  <cp:lastPrinted>2020-01-29T16:50:48Z</cp:lastPrinted>
  <dcterms:created xsi:type="dcterms:W3CDTF">2015-01-06T18:12:06Z</dcterms:created>
  <dcterms:modified xsi:type="dcterms:W3CDTF">2021-01-18T15:40:33Z</dcterms:modified>
</cp:coreProperties>
</file>