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Equipo\Documents\COTIZADORES\PLAN SEGURO\COTIZADORES  UMAM  ACTUALIZADA  PARA 2020\"/>
    </mc:Choice>
  </mc:AlternateContent>
  <workbookProtection workbookAlgorithmName="SHA-512" workbookHashValue="ABE/sz43BKbRfoLVbVCqFZkOhGgMcjB1wuwpYquyd2htgx0YNriwb+8JwSVVgbKFgWd3MlyMIXUyb1efYFummg==" workbookSaltValue="qIj9YwGEl9sUmirJpRE+eQ==" workbookSpinCount="100000" lockStructure="1"/>
  <bookViews>
    <workbookView xWindow="0" yWindow="0" windowWidth="20490" windowHeight="7320"/>
  </bookViews>
  <sheets>
    <sheet name="GOLDEN SALUD IND" sheetId="1" r:id="rId1"/>
    <sheet name="CARTA PROPUESTA" sheetId="7" state="hidden" r:id="rId2"/>
    <sheet name="INFOGRAFÍA" sheetId="6" state="hidden" r:id="rId3"/>
    <sheet name="ASISTENCIAS" sheetId="11" state="hidden" r:id="rId4"/>
    <sheet name="INDIVIDUAL" sheetId="2" state="hidden" r:id="rId5"/>
    <sheet name="RESUMEN_REGIONES" sheetId="4" state="veryHidden" r:id="rId6"/>
    <sheet name="Hoja3" sheetId="3" state="veryHidden" r:id="rId7"/>
    <sheet name="SLP" sheetId="5" state="veryHidden" r:id="rId8"/>
  </sheets>
  <definedNames>
    <definedName name="_xlnm._FilterDatabase" localSheetId="4" hidden="1">INDIVIDUAL!$E$136:$F$169</definedName>
    <definedName name="_xlnm._FilterDatabase" localSheetId="7" hidden="1">SLP!$A$1:$C$202</definedName>
    <definedName name="ANTI">INDIVIDUAL!$R$84:$R$85</definedName>
    <definedName name="_xlnm.Print_Area" localSheetId="3">ASISTENCIAS!$A$1:$D$100</definedName>
    <definedName name="_xlnm.Print_Area" localSheetId="1">'CARTA PROPUESTA'!$A$1:$H$99</definedName>
    <definedName name="_xlnm.Print_Area" localSheetId="0">'GOLDEN SALUD IND'!$A$1:$N$76</definedName>
    <definedName name="_xlnm.Print_Area" localSheetId="2">INFOGRAFÍA!$A$1:$G$15</definedName>
    <definedName name="_xlnm.Print_Area" localSheetId="5">RESUMEN_REGIONES!$G$1:$H$36</definedName>
    <definedName name="BASE">INDIVIDUAL!$R$50:$R$53</definedName>
    <definedName name="CE">INDIVIDUAL!$P$42:$P$45</definedName>
    <definedName name="COA">INDIVIDUAL!$P$13:$P$17</definedName>
    <definedName name="DED">INDIVIDUAL!$K$28:$K$94</definedName>
    <definedName name="DEDXACC">INDIVIDUAL!$Q$105:$Q$106</definedName>
    <definedName name="DENTAL">INDIVIDUAL!$P$33:$P$35</definedName>
    <definedName name="EDAD">INDIVIDUAL!$A$11:$A$111</definedName>
    <definedName name="EDOS">INDIVIDUAL!$E$95:$E$127</definedName>
    <definedName name="EE">INDIVIDUAL!$P$26:$P$28</definedName>
    <definedName name="ESTADOS">INDIVIDUAL!$E$137:$E$168</definedName>
    <definedName name="ICF">INDIVIDUAL!$AD$35:$AD$36</definedName>
    <definedName name="IDHA">INDIVIDUAL!$P$76:$P$80</definedName>
    <definedName name="NARIZ">INDIVIDUAL!$P$119:$P$120</definedName>
    <definedName name="PAGO">'CARTA PROPUESTA'!$F$58:$F$61</definedName>
    <definedName name="PARTO">INDIVIDUAL!$P$112:$P$114</definedName>
    <definedName name="POLIZA">INDIVIDUAL!$Q$84:$Q$85</definedName>
    <definedName name="SA">INDIVIDUAL!$G$11:$G$73</definedName>
    <definedName name="SA_1">INDIVIDUAL!$AE$42:$AE$47</definedName>
    <definedName name="SA_10">INDIVIDUAL!$AE$114:$AE$119</definedName>
    <definedName name="SA_2">INDIVIDUAL!$AE$50:$AE$55</definedName>
    <definedName name="SA_3">INDIVIDUAL!$AE$58:$AE$63</definedName>
    <definedName name="SA_4">INDIVIDUAL!$AE$66:$AE$71</definedName>
    <definedName name="SA_5">INDIVIDUAL!$AE$74:$AE$79</definedName>
    <definedName name="SA_6">INDIVIDUAL!$AE$82:$AE$87</definedName>
    <definedName name="SA_7">INDIVIDUAL!$AE$90:$AE$95</definedName>
    <definedName name="SA_8">INDIVIDUAL!$AE$98:$AE$103</definedName>
    <definedName name="SA_9">INDIVIDUAL!$AE$106:$AE$111</definedName>
    <definedName name="SEXO">INDIVIDUAL!$K$114:$K$115</definedName>
    <definedName name="TARIFA">INDIVIDUAL!$P$84:$P$85</definedName>
    <definedName name="THQ">INDIVIDUAL!$R$60:$R$71</definedName>
    <definedName name="TMC">INDIVIDUAL!$K$122:$K$125</definedName>
  </definedNames>
  <calcPr calcId="162913"/>
  <pivotCaches>
    <pivotCache cacheId="0" r:id="rId9"/>
  </pivotCaches>
</workbook>
</file>

<file path=xl/calcChain.xml><?xml version="1.0" encoding="utf-8"?>
<calcChain xmlns="http://schemas.openxmlformats.org/spreadsheetml/2006/main">
  <c r="E25" i="7" l="1"/>
  <c r="C13" i="7"/>
  <c r="B88" i="7" l="1"/>
  <c r="G8" i="7" l="1"/>
  <c r="C15" i="7" l="1"/>
  <c r="H4" i="7" l="1"/>
  <c r="C25" i="7"/>
  <c r="I27" i="1" l="1"/>
  <c r="E41" i="7" l="1"/>
  <c r="G7" i="7" l="1"/>
  <c r="B59" i="1" l="1"/>
  <c r="B6" i="7"/>
  <c r="C52" i="7"/>
  <c r="C51" i="7"/>
  <c r="C50" i="7"/>
  <c r="C49" i="7"/>
  <c r="C48" i="7"/>
  <c r="C47" i="7"/>
  <c r="C46" i="7"/>
  <c r="C45" i="7"/>
  <c r="C44" i="7"/>
  <c r="C43" i="7"/>
  <c r="B52" i="7"/>
  <c r="B51" i="7"/>
  <c r="B50" i="7"/>
  <c r="B49" i="7"/>
  <c r="B48" i="7"/>
  <c r="B47" i="7"/>
  <c r="B46" i="7"/>
  <c r="B45" i="7"/>
  <c r="B44" i="7"/>
  <c r="B43" i="7"/>
  <c r="G25" i="7"/>
  <c r="G23" i="7"/>
  <c r="G21" i="7"/>
  <c r="G19" i="7"/>
  <c r="G17" i="7"/>
  <c r="G15" i="7"/>
  <c r="C31" i="7"/>
  <c r="C17" i="7"/>
  <c r="C19" i="7" s="1"/>
  <c r="C23" i="7"/>
  <c r="C21" i="7"/>
  <c r="E102" i="2" l="1"/>
  <c r="B4" i="2"/>
  <c r="R56" i="2" s="1"/>
  <c r="F4" i="1" l="1"/>
  <c r="G112" i="2"/>
  <c r="E112" i="2"/>
  <c r="G109" i="2"/>
  <c r="E109" i="2"/>
  <c r="G102" i="2"/>
  <c r="V97" i="2" l="1"/>
  <c r="V96" i="2"/>
  <c r="V95" i="2"/>
  <c r="V94" i="2"/>
  <c r="V93" i="2"/>
  <c r="T97" i="2"/>
  <c r="T96" i="2"/>
  <c r="T95" i="2"/>
  <c r="T94" i="2"/>
  <c r="T93" i="2"/>
  <c r="B5" i="2" l="1"/>
  <c r="B205" i="5" l="1"/>
  <c r="B204" i="5"/>
  <c r="C28" i="1" l="1"/>
  <c r="D28" i="1" s="1"/>
  <c r="C29" i="1"/>
  <c r="D29" i="1" s="1"/>
  <c r="C30" i="1"/>
  <c r="D30" i="1" s="1"/>
  <c r="C31" i="1"/>
  <c r="D31" i="1" s="1"/>
  <c r="C32" i="1"/>
  <c r="D32" i="1" s="1"/>
  <c r="C33" i="1"/>
  <c r="D33" i="1" s="1"/>
  <c r="C34" i="1"/>
  <c r="D34" i="1" s="1"/>
  <c r="D35" i="1"/>
  <c r="C36" i="1"/>
  <c r="D36" i="1" s="1"/>
  <c r="C27" i="1"/>
  <c r="D27" i="1" s="1"/>
  <c r="B203" i="5" l="1"/>
  <c r="B202" i="5" l="1"/>
  <c r="B201" i="5" l="1"/>
  <c r="B3" i="5" l="1"/>
  <c r="G15" i="1" l="1"/>
  <c r="C14" i="7" s="1"/>
  <c r="L7" i="1"/>
  <c r="AP111" i="2" l="1"/>
  <c r="AO111" i="2"/>
  <c r="AP110" i="2"/>
  <c r="AO110" i="2"/>
  <c r="AP109" i="2"/>
  <c r="AO109" i="2"/>
  <c r="AP108" i="2"/>
  <c r="AO108" i="2"/>
  <c r="AP107" i="2"/>
  <c r="AO107" i="2"/>
  <c r="AP106" i="2"/>
  <c r="AO106" i="2"/>
  <c r="AP105" i="2"/>
  <c r="AO105" i="2"/>
  <c r="AP104" i="2"/>
  <c r="AO104" i="2"/>
  <c r="AP103" i="2"/>
  <c r="AO103" i="2"/>
  <c r="AP102" i="2"/>
  <c r="AO102" i="2"/>
  <c r="AP101" i="2"/>
  <c r="AO101" i="2"/>
  <c r="AP100" i="2"/>
  <c r="AO100" i="2"/>
  <c r="AP99" i="2"/>
  <c r="AO99" i="2"/>
  <c r="AP98" i="2"/>
  <c r="AO98" i="2"/>
  <c r="AP97" i="2"/>
  <c r="AO97" i="2"/>
  <c r="AP96" i="2"/>
  <c r="AO96" i="2"/>
  <c r="AP95" i="2"/>
  <c r="AO95" i="2"/>
  <c r="AP94" i="2"/>
  <c r="AO94" i="2"/>
  <c r="AP93" i="2"/>
  <c r="AO93" i="2"/>
  <c r="AP92" i="2"/>
  <c r="AO92" i="2"/>
  <c r="AP91" i="2"/>
  <c r="AO91" i="2"/>
  <c r="AP90" i="2"/>
  <c r="AO90" i="2"/>
  <c r="AP89" i="2"/>
  <c r="AO89" i="2"/>
  <c r="AP88" i="2"/>
  <c r="AO88" i="2"/>
  <c r="AP87" i="2"/>
  <c r="AO87" i="2"/>
  <c r="AP86" i="2"/>
  <c r="AO86" i="2"/>
  <c r="AP85" i="2"/>
  <c r="AO85" i="2"/>
  <c r="AP84" i="2"/>
  <c r="AO84" i="2"/>
  <c r="AP83" i="2"/>
  <c r="AO83" i="2"/>
  <c r="AP82" i="2"/>
  <c r="AO82" i="2"/>
  <c r="AP81" i="2"/>
  <c r="AO81" i="2"/>
  <c r="AP80" i="2"/>
  <c r="AO80" i="2"/>
  <c r="AP79" i="2"/>
  <c r="AO79" i="2"/>
  <c r="AP78" i="2"/>
  <c r="AO78" i="2"/>
  <c r="AP77" i="2"/>
  <c r="AO77" i="2"/>
  <c r="AP76" i="2"/>
  <c r="AO76" i="2"/>
  <c r="AP75" i="2"/>
  <c r="AO75" i="2"/>
  <c r="AP74" i="2"/>
  <c r="AO74" i="2"/>
  <c r="AP73" i="2"/>
  <c r="AO73" i="2"/>
  <c r="AP72" i="2"/>
  <c r="AO72" i="2"/>
  <c r="AP71" i="2"/>
  <c r="AO71" i="2"/>
  <c r="AP70" i="2"/>
  <c r="AO70" i="2"/>
  <c r="AP69" i="2"/>
  <c r="AO69" i="2"/>
  <c r="AP68" i="2"/>
  <c r="AO68" i="2"/>
  <c r="AP67" i="2"/>
  <c r="AO67" i="2"/>
  <c r="AP66" i="2"/>
  <c r="AO66" i="2"/>
  <c r="AP65" i="2"/>
  <c r="AO65" i="2"/>
  <c r="AP64" i="2"/>
  <c r="AO64" i="2"/>
  <c r="AP63" i="2"/>
  <c r="AO63" i="2"/>
  <c r="AP62" i="2"/>
  <c r="AO62" i="2"/>
  <c r="AP61" i="2"/>
  <c r="AO61" i="2"/>
  <c r="AP60" i="2"/>
  <c r="AO60" i="2"/>
  <c r="AP59" i="2"/>
  <c r="AO59" i="2"/>
  <c r="AP58" i="2"/>
  <c r="AO58" i="2"/>
  <c r="AP57" i="2"/>
  <c r="AO57" i="2"/>
  <c r="AP56" i="2"/>
  <c r="AO56" i="2"/>
  <c r="AP55" i="2"/>
  <c r="AO55" i="2"/>
  <c r="AP54" i="2"/>
  <c r="AO54" i="2"/>
  <c r="AP53" i="2"/>
  <c r="AO53" i="2"/>
  <c r="AP52" i="2"/>
  <c r="AO52" i="2"/>
  <c r="AP51" i="2"/>
  <c r="AO51" i="2"/>
  <c r="AP50" i="2"/>
  <c r="AO50" i="2"/>
  <c r="AP49" i="2"/>
  <c r="AO49" i="2"/>
  <c r="AP48" i="2"/>
  <c r="AO48" i="2"/>
  <c r="AP47" i="2"/>
  <c r="AO47" i="2"/>
  <c r="AP46" i="2"/>
  <c r="AO46" i="2"/>
  <c r="AP45" i="2"/>
  <c r="AO45" i="2"/>
  <c r="AP44" i="2"/>
  <c r="AO44" i="2"/>
  <c r="AP43" i="2"/>
  <c r="AO43" i="2"/>
  <c r="AP42" i="2"/>
  <c r="AO42" i="2"/>
  <c r="AP41" i="2"/>
  <c r="AO41" i="2"/>
  <c r="AP40" i="2"/>
  <c r="AO40" i="2"/>
  <c r="AP39" i="2"/>
  <c r="AO39" i="2"/>
  <c r="AP38" i="2"/>
  <c r="AO38" i="2"/>
  <c r="AP37" i="2"/>
  <c r="AO37" i="2"/>
  <c r="AP36" i="2"/>
  <c r="AO36" i="2"/>
  <c r="AP35" i="2"/>
  <c r="AO35" i="2"/>
  <c r="AP34" i="2"/>
  <c r="AO34" i="2"/>
  <c r="AP33" i="2"/>
  <c r="AO33" i="2"/>
  <c r="AP32" i="2"/>
  <c r="AO32" i="2"/>
  <c r="AP31" i="2"/>
  <c r="AO31" i="2"/>
  <c r="AP30" i="2"/>
  <c r="AO30" i="2"/>
  <c r="AP29" i="2"/>
  <c r="AO29" i="2"/>
  <c r="AP28" i="2"/>
  <c r="AO28" i="2"/>
  <c r="AP27" i="2"/>
  <c r="AO27" i="2"/>
  <c r="AP26" i="2"/>
  <c r="AO26" i="2"/>
  <c r="AP25" i="2"/>
  <c r="AO25" i="2"/>
  <c r="AP24" i="2"/>
  <c r="AO24" i="2"/>
  <c r="AP23" i="2"/>
  <c r="AO23" i="2"/>
  <c r="AP22" i="2"/>
  <c r="AO22" i="2"/>
  <c r="AP21" i="2"/>
  <c r="AO21" i="2"/>
  <c r="AP20" i="2"/>
  <c r="AO20" i="2"/>
  <c r="AP19" i="2"/>
  <c r="AO19" i="2"/>
  <c r="AP18" i="2"/>
  <c r="AO18" i="2"/>
  <c r="AP17" i="2"/>
  <c r="AO17" i="2"/>
  <c r="AP16" i="2"/>
  <c r="AO16" i="2"/>
  <c r="AP15" i="2"/>
  <c r="AO15" i="2"/>
  <c r="AP14" i="2"/>
  <c r="AO14" i="2"/>
  <c r="AP13" i="2"/>
  <c r="AO13" i="2"/>
  <c r="AP12" i="2"/>
  <c r="AO12" i="2"/>
  <c r="AP11" i="2"/>
  <c r="AO11" i="2"/>
  <c r="L143" i="2" l="1"/>
  <c r="L142" i="2"/>
  <c r="L141" i="2"/>
  <c r="L140" i="2"/>
  <c r="L139" i="2"/>
  <c r="L138" i="2"/>
  <c r="L137" i="2"/>
  <c r="L136" i="2"/>
  <c r="L135" i="2"/>
  <c r="F175" i="2" l="1"/>
  <c r="F176" i="2" s="1"/>
  <c r="F171" i="2"/>
  <c r="F172" i="2" s="1"/>
  <c r="F177" i="2" l="1"/>
  <c r="F179" i="2" s="1"/>
  <c r="B66" i="1"/>
  <c r="A74" i="7" s="1"/>
  <c r="B60" i="1"/>
  <c r="B61" i="1"/>
  <c r="B74" i="1" l="1"/>
  <c r="A64" i="7" s="1"/>
  <c r="B3" i="2"/>
  <c r="I12" i="1"/>
  <c r="I13" i="1" s="1"/>
  <c r="H34" i="1" l="1"/>
  <c r="D50" i="7" s="1"/>
  <c r="H33" i="1"/>
  <c r="D49" i="7" s="1"/>
  <c r="H36" i="1"/>
  <c r="D52" i="7" s="1"/>
  <c r="H32" i="1"/>
  <c r="D48" i="7" s="1"/>
  <c r="H35" i="1"/>
  <c r="D51" i="7" s="1"/>
  <c r="B4" i="5"/>
  <c r="B5" i="5"/>
  <c r="B6" i="5"/>
  <c r="B7" i="5"/>
  <c r="B8" i="5"/>
  <c r="B9" i="5"/>
  <c r="B10" i="5"/>
  <c r="B11" i="5"/>
  <c r="B12" i="5"/>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 i="5"/>
  <c r="M72" i="1" l="1"/>
  <c r="L72" i="1"/>
  <c r="K72" i="1"/>
  <c r="J72" i="1"/>
  <c r="I72" i="1"/>
  <c r="H72" i="1"/>
  <c r="G72" i="1"/>
  <c r="F72" i="1"/>
  <c r="E72" i="1"/>
  <c r="D72" i="1"/>
  <c r="C72" i="1"/>
  <c r="BU12" i="2" l="1"/>
  <c r="BU13" i="2"/>
  <c r="BU14" i="2"/>
  <c r="BU15" i="2"/>
  <c r="BU16" i="2"/>
  <c r="BU17" i="2"/>
  <c r="BU18" i="2"/>
  <c r="BU19" i="2"/>
  <c r="BU20" i="2"/>
  <c r="BU21" i="2"/>
  <c r="BU22" i="2"/>
  <c r="BU23" i="2"/>
  <c r="BU24" i="2"/>
  <c r="BU25" i="2"/>
  <c r="BU26" i="2"/>
  <c r="BU27" i="2"/>
  <c r="BU28" i="2"/>
  <c r="BU29" i="2"/>
  <c r="BU30" i="2"/>
  <c r="BU31" i="2"/>
  <c r="BU32" i="2"/>
  <c r="BU33" i="2"/>
  <c r="BU34" i="2"/>
  <c r="BU35" i="2"/>
  <c r="BU36" i="2"/>
  <c r="BU37" i="2"/>
  <c r="BU38" i="2"/>
  <c r="BU39" i="2"/>
  <c r="BU40" i="2"/>
  <c r="BU41" i="2"/>
  <c r="BU42" i="2"/>
  <c r="BU43" i="2"/>
  <c r="BU44" i="2"/>
  <c r="BU45" i="2"/>
  <c r="BU46" i="2"/>
  <c r="BU47" i="2"/>
  <c r="BU48" i="2"/>
  <c r="BU49" i="2"/>
  <c r="BU50" i="2"/>
  <c r="BU51" i="2"/>
  <c r="BU52" i="2"/>
  <c r="BU53" i="2"/>
  <c r="BU54" i="2"/>
  <c r="BU55" i="2"/>
  <c r="BU56" i="2"/>
  <c r="BU57" i="2"/>
  <c r="BU58" i="2"/>
  <c r="BU59" i="2"/>
  <c r="BU60" i="2"/>
  <c r="BU61" i="2"/>
  <c r="BU62" i="2"/>
  <c r="BU63" i="2"/>
  <c r="BU64" i="2"/>
  <c r="BU65" i="2"/>
  <c r="BU66" i="2"/>
  <c r="BU67" i="2"/>
  <c r="BU68" i="2"/>
  <c r="BU69" i="2"/>
  <c r="BU70" i="2"/>
  <c r="BU71" i="2"/>
  <c r="BU72" i="2"/>
  <c r="BU73" i="2"/>
  <c r="BU74" i="2"/>
  <c r="BU75" i="2"/>
  <c r="BU76" i="2"/>
  <c r="BU77" i="2"/>
  <c r="BU78" i="2"/>
  <c r="BU79" i="2"/>
  <c r="BU80" i="2"/>
  <c r="BU81" i="2"/>
  <c r="BU82" i="2"/>
  <c r="BU83" i="2"/>
  <c r="BU84" i="2"/>
  <c r="BU85" i="2"/>
  <c r="BU86" i="2"/>
  <c r="BU87" i="2"/>
  <c r="BU88" i="2"/>
  <c r="BU89" i="2"/>
  <c r="BU90" i="2"/>
  <c r="BU91" i="2"/>
  <c r="BU92" i="2"/>
  <c r="BU93" i="2"/>
  <c r="BU94" i="2"/>
  <c r="BU95" i="2"/>
  <c r="BU96" i="2"/>
  <c r="BU97" i="2"/>
  <c r="BU98" i="2"/>
  <c r="BU99" i="2"/>
  <c r="BU100" i="2"/>
  <c r="BU101" i="2"/>
  <c r="BU102" i="2"/>
  <c r="BU103" i="2"/>
  <c r="BU104" i="2"/>
  <c r="BU105" i="2"/>
  <c r="BU106" i="2"/>
  <c r="BU107" i="2"/>
  <c r="BU108" i="2"/>
  <c r="BU109" i="2"/>
  <c r="BU110" i="2"/>
  <c r="BU111" i="2"/>
  <c r="BU11" i="2"/>
  <c r="BT12" i="2"/>
  <c r="BT13" i="2"/>
  <c r="BT14" i="2"/>
  <c r="BT15" i="2"/>
  <c r="BT16" i="2"/>
  <c r="BT17" i="2"/>
  <c r="BT18" i="2"/>
  <c r="BT19" i="2"/>
  <c r="BT20" i="2"/>
  <c r="BT21" i="2"/>
  <c r="BT22" i="2"/>
  <c r="BT23" i="2"/>
  <c r="BT24" i="2"/>
  <c r="BT25" i="2"/>
  <c r="BT26" i="2"/>
  <c r="BT27" i="2"/>
  <c r="BT28" i="2"/>
  <c r="BT29" i="2"/>
  <c r="BT30" i="2"/>
  <c r="BT31" i="2"/>
  <c r="BT32" i="2"/>
  <c r="BT33" i="2"/>
  <c r="BT34" i="2"/>
  <c r="BT35" i="2"/>
  <c r="BT36" i="2"/>
  <c r="BT37" i="2"/>
  <c r="BT38" i="2"/>
  <c r="BT39" i="2"/>
  <c r="BT40" i="2"/>
  <c r="BT41" i="2"/>
  <c r="BT42" i="2"/>
  <c r="BT43" i="2"/>
  <c r="BT44" i="2"/>
  <c r="BT45" i="2"/>
  <c r="BT46" i="2"/>
  <c r="BT47" i="2"/>
  <c r="BT48" i="2"/>
  <c r="BT49" i="2"/>
  <c r="BT50" i="2"/>
  <c r="BT51" i="2"/>
  <c r="BT52" i="2"/>
  <c r="BT53" i="2"/>
  <c r="BT54" i="2"/>
  <c r="BT55" i="2"/>
  <c r="BT56" i="2"/>
  <c r="BT57" i="2"/>
  <c r="BT58" i="2"/>
  <c r="BT59" i="2"/>
  <c r="BT60" i="2"/>
  <c r="BT61" i="2"/>
  <c r="BT62" i="2"/>
  <c r="BT63" i="2"/>
  <c r="BT64" i="2"/>
  <c r="BT65" i="2"/>
  <c r="BT66" i="2"/>
  <c r="BT67" i="2"/>
  <c r="BT68" i="2"/>
  <c r="BT69" i="2"/>
  <c r="BT70" i="2"/>
  <c r="BT71" i="2"/>
  <c r="BT72" i="2"/>
  <c r="BT73" i="2"/>
  <c r="BT74" i="2"/>
  <c r="BT75" i="2"/>
  <c r="BT76" i="2"/>
  <c r="BT77" i="2"/>
  <c r="BT78" i="2"/>
  <c r="BT79" i="2"/>
  <c r="BT80" i="2"/>
  <c r="BT81" i="2"/>
  <c r="BT82" i="2"/>
  <c r="BT83" i="2"/>
  <c r="BT84" i="2"/>
  <c r="BT85" i="2"/>
  <c r="BT86" i="2"/>
  <c r="BT87" i="2"/>
  <c r="BT88" i="2"/>
  <c r="BT89" i="2"/>
  <c r="BT90" i="2"/>
  <c r="BT91" i="2"/>
  <c r="BT92" i="2"/>
  <c r="BT93" i="2"/>
  <c r="BT94" i="2"/>
  <c r="BT95" i="2"/>
  <c r="BT96" i="2"/>
  <c r="BT97" i="2"/>
  <c r="BT98" i="2"/>
  <c r="BT99" i="2"/>
  <c r="BT100" i="2"/>
  <c r="BT101" i="2"/>
  <c r="BT102" i="2"/>
  <c r="BT103" i="2"/>
  <c r="BT104" i="2"/>
  <c r="BT105" i="2"/>
  <c r="BT106" i="2"/>
  <c r="BT107" i="2"/>
  <c r="BT108" i="2"/>
  <c r="BT109" i="2"/>
  <c r="BT110" i="2"/>
  <c r="BT111" i="2"/>
  <c r="BT11" i="2"/>
  <c r="BJ11" i="2"/>
  <c r="BS11" i="2"/>
  <c r="B23" i="1"/>
  <c r="H118" i="2" l="1"/>
  <c r="S56" i="2"/>
  <c r="G105" i="2"/>
  <c r="G111" i="2"/>
  <c r="G108" i="2"/>
  <c r="T216" i="2"/>
  <c r="S224" i="2"/>
  <c r="S143" i="2"/>
  <c r="S171" i="2"/>
  <c r="S191" i="2"/>
  <c r="S207" i="2"/>
  <c r="S223" i="2"/>
  <c r="T127" i="2"/>
  <c r="T131" i="2"/>
  <c r="T135" i="2"/>
  <c r="T139" i="2"/>
  <c r="T143" i="2"/>
  <c r="T147" i="2"/>
  <c r="T159" i="2"/>
  <c r="T163" i="2"/>
  <c r="T175" i="2"/>
  <c r="T187" i="2"/>
  <c r="T207" i="2"/>
  <c r="T219" i="2"/>
  <c r="S135" i="2"/>
  <c r="S155" i="2"/>
  <c r="S179" i="2"/>
  <c r="S195" i="2"/>
  <c r="S211" i="2"/>
  <c r="T126" i="2"/>
  <c r="T130" i="2"/>
  <c r="T134" i="2"/>
  <c r="T138" i="2"/>
  <c r="T142" i="2"/>
  <c r="T146" i="2"/>
  <c r="T150" i="2"/>
  <c r="T154" i="2"/>
  <c r="T158" i="2"/>
  <c r="T162" i="2"/>
  <c r="T166" i="2"/>
  <c r="T170" i="2"/>
  <c r="T174" i="2"/>
  <c r="T178" i="2"/>
  <c r="T182" i="2"/>
  <c r="T186" i="2"/>
  <c r="T190" i="2"/>
  <c r="T194" i="2"/>
  <c r="T198" i="2"/>
  <c r="T202" i="2"/>
  <c r="T206" i="2"/>
  <c r="T210" i="2"/>
  <c r="T214" i="2"/>
  <c r="T218" i="2"/>
  <c r="T222" i="2"/>
  <c r="S126" i="2"/>
  <c r="S130" i="2"/>
  <c r="S134" i="2"/>
  <c r="S138" i="2"/>
  <c r="S142" i="2"/>
  <c r="S146" i="2"/>
  <c r="S150" i="2"/>
  <c r="S154" i="2"/>
  <c r="S158" i="2"/>
  <c r="S162" i="2"/>
  <c r="S166" i="2"/>
  <c r="S170" i="2"/>
  <c r="S174" i="2"/>
  <c r="S178" i="2"/>
  <c r="S182" i="2"/>
  <c r="S186" i="2"/>
  <c r="S190" i="2"/>
  <c r="S194" i="2"/>
  <c r="S198" i="2"/>
  <c r="S202" i="2"/>
  <c r="S206" i="2"/>
  <c r="S210" i="2"/>
  <c r="S214" i="2"/>
  <c r="S218" i="2"/>
  <c r="S222" i="2"/>
  <c r="S124" i="2"/>
  <c r="T132" i="2"/>
  <c r="T144" i="2"/>
  <c r="T152" i="2"/>
  <c r="T164" i="2"/>
  <c r="T172" i="2"/>
  <c r="T180" i="2"/>
  <c r="T188" i="2"/>
  <c r="T196" i="2"/>
  <c r="T204" i="2"/>
  <c r="T212" i="2"/>
  <c r="T220" i="2"/>
  <c r="S128" i="2"/>
  <c r="S136" i="2"/>
  <c r="S144" i="2"/>
  <c r="S156" i="2"/>
  <c r="S164" i="2"/>
  <c r="S172" i="2"/>
  <c r="S180" i="2"/>
  <c r="S188" i="2"/>
  <c r="S196" i="2"/>
  <c r="S204" i="2"/>
  <c r="S212" i="2"/>
  <c r="S220" i="2"/>
  <c r="T151" i="2"/>
  <c r="T171" i="2"/>
  <c r="T183" i="2"/>
  <c r="T195" i="2"/>
  <c r="T203" i="2"/>
  <c r="T211" i="2"/>
  <c r="T223" i="2"/>
  <c r="S139" i="2"/>
  <c r="S151" i="2"/>
  <c r="S163" i="2"/>
  <c r="S175" i="2"/>
  <c r="S187" i="2"/>
  <c r="S203" i="2"/>
  <c r="S215" i="2"/>
  <c r="T125" i="2"/>
  <c r="T129" i="2"/>
  <c r="T133" i="2"/>
  <c r="T137" i="2"/>
  <c r="T141" i="2"/>
  <c r="T145" i="2"/>
  <c r="T149" i="2"/>
  <c r="T153" i="2"/>
  <c r="T157" i="2"/>
  <c r="T161" i="2"/>
  <c r="T165" i="2"/>
  <c r="T169" i="2"/>
  <c r="T173" i="2"/>
  <c r="T177" i="2"/>
  <c r="T181" i="2"/>
  <c r="T185" i="2"/>
  <c r="T189" i="2"/>
  <c r="T193" i="2"/>
  <c r="T197" i="2"/>
  <c r="T201" i="2"/>
  <c r="T205" i="2"/>
  <c r="T209" i="2"/>
  <c r="T213" i="2"/>
  <c r="T217" i="2"/>
  <c r="T221" i="2"/>
  <c r="S125" i="2"/>
  <c r="S129" i="2"/>
  <c r="S133" i="2"/>
  <c r="S137" i="2"/>
  <c r="S141" i="2"/>
  <c r="S145" i="2"/>
  <c r="S149" i="2"/>
  <c r="S153" i="2"/>
  <c r="S157" i="2"/>
  <c r="S161" i="2"/>
  <c r="S165" i="2"/>
  <c r="S169" i="2"/>
  <c r="S173" i="2"/>
  <c r="S177" i="2"/>
  <c r="S181" i="2"/>
  <c r="S185" i="2"/>
  <c r="S189" i="2"/>
  <c r="S193" i="2"/>
  <c r="S197" i="2"/>
  <c r="S201" i="2"/>
  <c r="S205" i="2"/>
  <c r="S209" i="2"/>
  <c r="S213" i="2"/>
  <c r="S217" i="2"/>
  <c r="S221" i="2"/>
  <c r="T124" i="2"/>
  <c r="T128" i="2"/>
  <c r="T136" i="2"/>
  <c r="T140" i="2"/>
  <c r="T148" i="2"/>
  <c r="T156" i="2"/>
  <c r="T160" i="2"/>
  <c r="T168" i="2"/>
  <c r="T176" i="2"/>
  <c r="T184" i="2"/>
  <c r="T192" i="2"/>
  <c r="T200" i="2"/>
  <c r="T208" i="2"/>
  <c r="T224" i="2"/>
  <c r="S132" i="2"/>
  <c r="S140" i="2"/>
  <c r="S148" i="2"/>
  <c r="S152" i="2"/>
  <c r="S160" i="2"/>
  <c r="S168" i="2"/>
  <c r="S176" i="2"/>
  <c r="S184" i="2"/>
  <c r="S192" i="2"/>
  <c r="S200" i="2"/>
  <c r="S208" i="2"/>
  <c r="S216" i="2"/>
  <c r="T155" i="2"/>
  <c r="T167" i="2"/>
  <c r="T179" i="2"/>
  <c r="T191" i="2"/>
  <c r="T199" i="2"/>
  <c r="T215" i="2"/>
  <c r="S127" i="2"/>
  <c r="S131" i="2"/>
  <c r="S147" i="2"/>
  <c r="S159" i="2"/>
  <c r="S167" i="2"/>
  <c r="S183" i="2"/>
  <c r="S199" i="2"/>
  <c r="S219" i="2"/>
  <c r="F15" i="1"/>
  <c r="F19" i="1"/>
  <c r="B8" i="2" l="1"/>
  <c r="C18" i="4"/>
  <c r="C15" i="4"/>
  <c r="C12" i="4"/>
  <c r="B119" i="2" l="1"/>
  <c r="B113" i="2"/>
  <c r="V71" i="2" l="1"/>
  <c r="R71" i="2" s="1"/>
  <c r="V62" i="2"/>
  <c r="R62" i="2" s="1"/>
  <c r="V69" i="2"/>
  <c r="R69" i="2" s="1"/>
  <c r="V66" i="2"/>
  <c r="R66" i="2" s="1"/>
  <c r="V64" i="2"/>
  <c r="R64" i="2" s="1"/>
  <c r="V67" i="2"/>
  <c r="R67" i="2" s="1"/>
  <c r="V63" i="2"/>
  <c r="R63" i="2" s="1"/>
  <c r="V70" i="2"/>
  <c r="R70" i="2" s="1"/>
  <c r="V61" i="2"/>
  <c r="R61" i="2" s="1"/>
  <c r="V68" i="2"/>
  <c r="R68" i="2" s="1"/>
  <c r="V65" i="2"/>
  <c r="R65" i="2" s="1"/>
  <c r="G10" i="1" l="1"/>
  <c r="C6" i="2"/>
  <c r="B71" i="1" l="1"/>
  <c r="B70" i="1"/>
  <c r="B67" i="1"/>
  <c r="A77" i="7" s="1"/>
  <c r="B65" i="1"/>
  <c r="A72" i="7" s="1"/>
  <c r="J25" i="1"/>
  <c r="R85" i="2"/>
  <c r="R84" i="2"/>
  <c r="I17" i="1" l="1"/>
  <c r="I15" i="1"/>
  <c r="K26" i="1"/>
  <c r="J26" i="1"/>
  <c r="I47" i="1"/>
  <c r="I46" i="1"/>
  <c r="I45" i="1"/>
  <c r="I44" i="1"/>
  <c r="I43" i="1"/>
  <c r="I42" i="1"/>
  <c r="I41" i="1"/>
  <c r="I40" i="1"/>
  <c r="I39" i="1"/>
  <c r="I38" i="1"/>
  <c r="I36" i="1"/>
  <c r="L36" i="1" s="1"/>
  <c r="I35" i="1"/>
  <c r="L35" i="1" s="1"/>
  <c r="I34" i="1"/>
  <c r="L34" i="1" s="1"/>
  <c r="I33" i="1"/>
  <c r="L33" i="1" s="1"/>
  <c r="I32" i="1"/>
  <c r="L32" i="1" s="1"/>
  <c r="I31" i="1"/>
  <c r="I30" i="1"/>
  <c r="I29" i="1"/>
  <c r="I28" i="1"/>
  <c r="I23" i="1"/>
  <c r="B72" i="1" s="1"/>
  <c r="A82" i="7" s="1"/>
  <c r="I22" i="1"/>
  <c r="G19" i="1"/>
  <c r="C24" i="7" s="1"/>
  <c r="G16" i="1"/>
  <c r="C16" i="7" s="1"/>
  <c r="BS111" i="2"/>
  <c r="BR111" i="2"/>
  <c r="BQ111" i="2"/>
  <c r="BP111" i="2"/>
  <c r="BO111" i="2"/>
  <c r="BN111" i="2"/>
  <c r="BM111" i="2"/>
  <c r="BL111" i="2"/>
  <c r="BK111" i="2"/>
  <c r="BJ111" i="2"/>
  <c r="BS110" i="2"/>
  <c r="BR110" i="2"/>
  <c r="BQ110" i="2"/>
  <c r="BP110" i="2"/>
  <c r="BO110" i="2"/>
  <c r="BN110" i="2"/>
  <c r="BM110" i="2"/>
  <c r="BL110" i="2"/>
  <c r="BK110" i="2"/>
  <c r="BJ110" i="2"/>
  <c r="BS109" i="2"/>
  <c r="BR109" i="2"/>
  <c r="BQ109" i="2"/>
  <c r="BP109" i="2"/>
  <c r="BO109" i="2"/>
  <c r="BN109" i="2"/>
  <c r="BM109" i="2"/>
  <c r="BL109" i="2"/>
  <c r="BK109" i="2"/>
  <c r="BJ109" i="2"/>
  <c r="BS108" i="2"/>
  <c r="BR108" i="2"/>
  <c r="BQ108" i="2"/>
  <c r="BP108" i="2"/>
  <c r="BO108" i="2"/>
  <c r="BN108" i="2"/>
  <c r="BM108" i="2"/>
  <c r="BL108" i="2"/>
  <c r="BK108" i="2"/>
  <c r="BJ108" i="2"/>
  <c r="BS107" i="2"/>
  <c r="BR107" i="2"/>
  <c r="BQ107" i="2"/>
  <c r="BP107" i="2"/>
  <c r="BO107" i="2"/>
  <c r="BN107" i="2"/>
  <c r="BM107" i="2"/>
  <c r="BL107" i="2"/>
  <c r="BK107" i="2"/>
  <c r="BJ107" i="2"/>
  <c r="BS106" i="2"/>
  <c r="BR106" i="2"/>
  <c r="BQ106" i="2"/>
  <c r="BP106" i="2"/>
  <c r="BO106" i="2"/>
  <c r="BN106" i="2"/>
  <c r="BM106" i="2"/>
  <c r="BL106" i="2"/>
  <c r="BK106" i="2"/>
  <c r="BJ106" i="2"/>
  <c r="BS105" i="2"/>
  <c r="BR105" i="2"/>
  <c r="BQ105" i="2"/>
  <c r="BP105" i="2"/>
  <c r="BO105" i="2"/>
  <c r="BN105" i="2"/>
  <c r="BM105" i="2"/>
  <c r="BL105" i="2"/>
  <c r="BK105" i="2"/>
  <c r="BJ105" i="2"/>
  <c r="BS104" i="2"/>
  <c r="BR104" i="2"/>
  <c r="BQ104" i="2"/>
  <c r="BP104" i="2"/>
  <c r="BO104" i="2"/>
  <c r="BN104" i="2"/>
  <c r="BM104" i="2"/>
  <c r="BL104" i="2"/>
  <c r="BK104" i="2"/>
  <c r="BJ104" i="2"/>
  <c r="BS103" i="2"/>
  <c r="BR103" i="2"/>
  <c r="BQ103" i="2"/>
  <c r="BP103" i="2"/>
  <c r="BO103" i="2"/>
  <c r="BN103" i="2"/>
  <c r="BM103" i="2"/>
  <c r="BL103" i="2"/>
  <c r="BK103" i="2"/>
  <c r="BJ103" i="2"/>
  <c r="BS102" i="2"/>
  <c r="BR102" i="2"/>
  <c r="BQ102" i="2"/>
  <c r="BP102" i="2"/>
  <c r="BO102" i="2"/>
  <c r="BN102" i="2"/>
  <c r="BM102" i="2"/>
  <c r="BL102" i="2"/>
  <c r="BK102" i="2"/>
  <c r="BJ102" i="2"/>
  <c r="BS101" i="2"/>
  <c r="BR101" i="2"/>
  <c r="BQ101" i="2"/>
  <c r="BP101" i="2"/>
  <c r="BO101" i="2"/>
  <c r="BN101" i="2"/>
  <c r="BM101" i="2"/>
  <c r="BL101" i="2"/>
  <c r="BK101" i="2"/>
  <c r="BJ101" i="2"/>
  <c r="BS100" i="2"/>
  <c r="BR100" i="2"/>
  <c r="BQ100" i="2"/>
  <c r="BP100" i="2"/>
  <c r="BO100" i="2"/>
  <c r="BN100" i="2"/>
  <c r="BM100" i="2"/>
  <c r="BL100" i="2"/>
  <c r="BK100" i="2"/>
  <c r="BJ100" i="2"/>
  <c r="BS99" i="2"/>
  <c r="BR99" i="2"/>
  <c r="BQ99" i="2"/>
  <c r="BP99" i="2"/>
  <c r="BO99" i="2"/>
  <c r="BN99" i="2"/>
  <c r="BM99" i="2"/>
  <c r="BL99" i="2"/>
  <c r="BK99" i="2"/>
  <c r="BJ99" i="2"/>
  <c r="BS98" i="2"/>
  <c r="BR98" i="2"/>
  <c r="BQ98" i="2"/>
  <c r="BP98" i="2"/>
  <c r="BO98" i="2"/>
  <c r="BN98" i="2"/>
  <c r="BM98" i="2"/>
  <c r="BL98" i="2"/>
  <c r="BK98" i="2"/>
  <c r="BJ98" i="2"/>
  <c r="BS97" i="2"/>
  <c r="BR97" i="2"/>
  <c r="BQ97" i="2"/>
  <c r="BP97" i="2"/>
  <c r="BO97" i="2"/>
  <c r="BN97" i="2"/>
  <c r="BM97" i="2"/>
  <c r="BL97" i="2"/>
  <c r="BK97" i="2"/>
  <c r="BJ97" i="2"/>
  <c r="BS96" i="2"/>
  <c r="BR96" i="2"/>
  <c r="BQ96" i="2"/>
  <c r="BP96" i="2"/>
  <c r="BO96" i="2"/>
  <c r="BN96" i="2"/>
  <c r="BM96" i="2"/>
  <c r="BL96" i="2"/>
  <c r="BK96" i="2"/>
  <c r="BJ96" i="2"/>
  <c r="BS95" i="2"/>
  <c r="BR95" i="2"/>
  <c r="BQ95" i="2"/>
  <c r="BP95" i="2"/>
  <c r="BO95" i="2"/>
  <c r="BN95" i="2"/>
  <c r="BM95" i="2"/>
  <c r="BL95" i="2"/>
  <c r="BK95" i="2"/>
  <c r="BJ95" i="2"/>
  <c r="BS94" i="2"/>
  <c r="BR94" i="2"/>
  <c r="BQ94" i="2"/>
  <c r="BP94" i="2"/>
  <c r="BO94" i="2"/>
  <c r="BN94" i="2"/>
  <c r="BM94" i="2"/>
  <c r="BL94" i="2"/>
  <c r="BK94" i="2"/>
  <c r="BJ94" i="2"/>
  <c r="BS93" i="2"/>
  <c r="BR93" i="2"/>
  <c r="BQ93" i="2"/>
  <c r="BP93" i="2"/>
  <c r="BO93" i="2"/>
  <c r="BN93" i="2"/>
  <c r="BM93" i="2"/>
  <c r="BL93" i="2"/>
  <c r="BK93" i="2"/>
  <c r="BJ93" i="2"/>
  <c r="BS92" i="2"/>
  <c r="BR92" i="2"/>
  <c r="BQ92" i="2"/>
  <c r="BP92" i="2"/>
  <c r="BO92" i="2"/>
  <c r="BN92" i="2"/>
  <c r="BM92" i="2"/>
  <c r="BL92" i="2"/>
  <c r="BK92" i="2"/>
  <c r="BJ92" i="2"/>
  <c r="BS91" i="2"/>
  <c r="BR91" i="2"/>
  <c r="BQ91" i="2"/>
  <c r="BP91" i="2"/>
  <c r="BO91" i="2"/>
  <c r="BN91" i="2"/>
  <c r="BM91" i="2"/>
  <c r="BL91" i="2"/>
  <c r="BK91" i="2"/>
  <c r="BJ91" i="2"/>
  <c r="BS90" i="2"/>
  <c r="BR90" i="2"/>
  <c r="BQ90" i="2"/>
  <c r="BP90" i="2"/>
  <c r="BO90" i="2"/>
  <c r="BN90" i="2"/>
  <c r="BM90" i="2"/>
  <c r="BL90" i="2"/>
  <c r="BK90" i="2"/>
  <c r="BJ90" i="2"/>
  <c r="BS89" i="2"/>
  <c r="BR89" i="2"/>
  <c r="BQ89" i="2"/>
  <c r="BP89" i="2"/>
  <c r="BO89" i="2"/>
  <c r="BN89" i="2"/>
  <c r="BM89" i="2"/>
  <c r="BL89" i="2"/>
  <c r="BK89" i="2"/>
  <c r="BJ89" i="2"/>
  <c r="BS88" i="2"/>
  <c r="BR88" i="2"/>
  <c r="BQ88" i="2"/>
  <c r="BP88" i="2"/>
  <c r="BO88" i="2"/>
  <c r="BN88" i="2"/>
  <c r="BM88" i="2"/>
  <c r="BL88" i="2"/>
  <c r="BK88" i="2"/>
  <c r="BJ88" i="2"/>
  <c r="BS87" i="2"/>
  <c r="BR87" i="2"/>
  <c r="BQ87" i="2"/>
  <c r="BP87" i="2"/>
  <c r="BO87" i="2"/>
  <c r="BN87" i="2"/>
  <c r="BM87" i="2"/>
  <c r="BL87" i="2"/>
  <c r="BK87" i="2"/>
  <c r="BJ87" i="2"/>
  <c r="BS86" i="2"/>
  <c r="BR86" i="2"/>
  <c r="BQ86" i="2"/>
  <c r="BP86" i="2"/>
  <c r="BO86" i="2"/>
  <c r="BN86" i="2"/>
  <c r="BM86" i="2"/>
  <c r="BL86" i="2"/>
  <c r="BK86" i="2"/>
  <c r="BJ86" i="2"/>
  <c r="BS85" i="2"/>
  <c r="BR85" i="2"/>
  <c r="BQ85" i="2"/>
  <c r="BP85" i="2"/>
  <c r="BO85" i="2"/>
  <c r="BN85" i="2"/>
  <c r="BM85" i="2"/>
  <c r="BL85" i="2"/>
  <c r="BK85" i="2"/>
  <c r="BJ85" i="2"/>
  <c r="BS84" i="2"/>
  <c r="BR84" i="2"/>
  <c r="BQ84" i="2"/>
  <c r="BP84" i="2"/>
  <c r="BO84" i="2"/>
  <c r="BN84" i="2"/>
  <c r="BM84" i="2"/>
  <c r="BL84" i="2"/>
  <c r="BK84" i="2"/>
  <c r="BJ84" i="2"/>
  <c r="BS83" i="2"/>
  <c r="BR83" i="2"/>
  <c r="BQ83" i="2"/>
  <c r="BP83" i="2"/>
  <c r="BO83" i="2"/>
  <c r="BN83" i="2"/>
  <c r="BM83" i="2"/>
  <c r="BL83" i="2"/>
  <c r="BK83" i="2"/>
  <c r="BJ83" i="2"/>
  <c r="BS82" i="2"/>
  <c r="BR82" i="2"/>
  <c r="BQ82" i="2"/>
  <c r="BP82" i="2"/>
  <c r="BO82" i="2"/>
  <c r="BN82" i="2"/>
  <c r="BM82" i="2"/>
  <c r="BL82" i="2"/>
  <c r="BK82" i="2"/>
  <c r="BJ82" i="2"/>
  <c r="BS81" i="2"/>
  <c r="BR81" i="2"/>
  <c r="BQ81" i="2"/>
  <c r="BP81" i="2"/>
  <c r="BO81" i="2"/>
  <c r="BN81" i="2"/>
  <c r="BM81" i="2"/>
  <c r="BL81" i="2"/>
  <c r="BK81" i="2"/>
  <c r="BJ81" i="2"/>
  <c r="BS80" i="2"/>
  <c r="BR80" i="2"/>
  <c r="BQ80" i="2"/>
  <c r="BP80" i="2"/>
  <c r="BO80" i="2"/>
  <c r="BN80" i="2"/>
  <c r="BM80" i="2"/>
  <c r="BL80" i="2"/>
  <c r="BK80" i="2"/>
  <c r="BJ80" i="2"/>
  <c r="BS79" i="2"/>
  <c r="BR79" i="2"/>
  <c r="BQ79" i="2"/>
  <c r="BP79" i="2"/>
  <c r="BO79" i="2"/>
  <c r="BN79" i="2"/>
  <c r="BM79" i="2"/>
  <c r="BL79" i="2"/>
  <c r="BK79" i="2"/>
  <c r="BJ79" i="2"/>
  <c r="BS78" i="2"/>
  <c r="BR78" i="2"/>
  <c r="BQ78" i="2"/>
  <c r="BP78" i="2"/>
  <c r="BO78" i="2"/>
  <c r="BN78" i="2"/>
  <c r="BM78" i="2"/>
  <c r="BL78" i="2"/>
  <c r="BK78" i="2"/>
  <c r="BJ78" i="2"/>
  <c r="BS77" i="2"/>
  <c r="BR77" i="2"/>
  <c r="BQ77" i="2"/>
  <c r="BP77" i="2"/>
  <c r="BO77" i="2"/>
  <c r="BN77" i="2"/>
  <c r="BM77" i="2"/>
  <c r="BL77" i="2"/>
  <c r="BK77" i="2"/>
  <c r="BJ77" i="2"/>
  <c r="BS76" i="2"/>
  <c r="BR76" i="2"/>
  <c r="BQ76" i="2"/>
  <c r="BP76" i="2"/>
  <c r="BO76" i="2"/>
  <c r="BN76" i="2"/>
  <c r="BM76" i="2"/>
  <c r="BL76" i="2"/>
  <c r="BK76" i="2"/>
  <c r="BJ76" i="2"/>
  <c r="BS75" i="2"/>
  <c r="BR75" i="2"/>
  <c r="BQ75" i="2"/>
  <c r="BP75" i="2"/>
  <c r="BO75" i="2"/>
  <c r="BN75" i="2"/>
  <c r="BM75" i="2"/>
  <c r="BL75" i="2"/>
  <c r="BK75" i="2"/>
  <c r="BJ75" i="2"/>
  <c r="BS74" i="2"/>
  <c r="BR74" i="2"/>
  <c r="BQ74" i="2"/>
  <c r="BP74" i="2"/>
  <c r="BO74" i="2"/>
  <c r="BN74" i="2"/>
  <c r="BM74" i="2"/>
  <c r="BL74" i="2"/>
  <c r="BK74" i="2"/>
  <c r="BJ74" i="2"/>
  <c r="BS73" i="2"/>
  <c r="BR73" i="2"/>
  <c r="BQ73" i="2"/>
  <c r="BP73" i="2"/>
  <c r="BO73" i="2"/>
  <c r="BN73" i="2"/>
  <c r="BM73" i="2"/>
  <c r="BL73" i="2"/>
  <c r="BK73" i="2"/>
  <c r="BJ73" i="2"/>
  <c r="BS72" i="2"/>
  <c r="BR72" i="2"/>
  <c r="BQ72" i="2"/>
  <c r="BP72" i="2"/>
  <c r="BO72" i="2"/>
  <c r="BN72" i="2"/>
  <c r="BM72" i="2"/>
  <c r="BL72" i="2"/>
  <c r="BK72" i="2"/>
  <c r="BJ72" i="2"/>
  <c r="BS71" i="2"/>
  <c r="BR71" i="2"/>
  <c r="BQ71" i="2"/>
  <c r="BP71" i="2"/>
  <c r="BO71" i="2"/>
  <c r="BN71" i="2"/>
  <c r="BM71" i="2"/>
  <c r="BL71" i="2"/>
  <c r="BK71" i="2"/>
  <c r="BJ71" i="2"/>
  <c r="BS70" i="2"/>
  <c r="BR70" i="2"/>
  <c r="BQ70" i="2"/>
  <c r="BP70" i="2"/>
  <c r="BO70" i="2"/>
  <c r="BN70" i="2"/>
  <c r="BM70" i="2"/>
  <c r="BL70" i="2"/>
  <c r="BK70" i="2"/>
  <c r="BJ70" i="2"/>
  <c r="BS69" i="2"/>
  <c r="BR69" i="2"/>
  <c r="BQ69" i="2"/>
  <c r="BP69" i="2"/>
  <c r="BO69" i="2"/>
  <c r="BN69" i="2"/>
  <c r="BM69" i="2"/>
  <c r="BL69" i="2"/>
  <c r="BK69" i="2"/>
  <c r="BJ69" i="2"/>
  <c r="BS68" i="2"/>
  <c r="BR68" i="2"/>
  <c r="BQ68" i="2"/>
  <c r="BP68" i="2"/>
  <c r="BO68" i="2"/>
  <c r="BN68" i="2"/>
  <c r="BM68" i="2"/>
  <c r="BL68" i="2"/>
  <c r="BK68" i="2"/>
  <c r="BJ68" i="2"/>
  <c r="BS67" i="2"/>
  <c r="BR67" i="2"/>
  <c r="BQ67" i="2"/>
  <c r="BP67" i="2"/>
  <c r="BO67" i="2"/>
  <c r="BN67" i="2"/>
  <c r="BM67" i="2"/>
  <c r="BL67" i="2"/>
  <c r="BK67" i="2"/>
  <c r="BJ67" i="2"/>
  <c r="BS66" i="2"/>
  <c r="BR66" i="2"/>
  <c r="BQ66" i="2"/>
  <c r="BP66" i="2"/>
  <c r="BO66" i="2"/>
  <c r="BN66" i="2"/>
  <c r="BM66" i="2"/>
  <c r="BL66" i="2"/>
  <c r="BK66" i="2"/>
  <c r="BJ66" i="2"/>
  <c r="BS65" i="2"/>
  <c r="BR65" i="2"/>
  <c r="BQ65" i="2"/>
  <c r="BP65" i="2"/>
  <c r="BO65" i="2"/>
  <c r="BN65" i="2"/>
  <c r="BM65" i="2"/>
  <c r="BL65" i="2"/>
  <c r="BK65" i="2"/>
  <c r="BJ65" i="2"/>
  <c r="BS64" i="2"/>
  <c r="BR64" i="2"/>
  <c r="BQ64" i="2"/>
  <c r="BP64" i="2"/>
  <c r="BO64" i="2"/>
  <c r="BN64" i="2"/>
  <c r="BM64" i="2"/>
  <c r="BL64" i="2"/>
  <c r="BK64" i="2"/>
  <c r="BJ64" i="2"/>
  <c r="BS63" i="2"/>
  <c r="BR63" i="2"/>
  <c r="BQ63" i="2"/>
  <c r="BP63" i="2"/>
  <c r="BO63" i="2"/>
  <c r="BN63" i="2"/>
  <c r="BM63" i="2"/>
  <c r="BL63" i="2"/>
  <c r="BK63" i="2"/>
  <c r="BJ63" i="2"/>
  <c r="BS62" i="2"/>
  <c r="BR62" i="2"/>
  <c r="BQ62" i="2"/>
  <c r="BP62" i="2"/>
  <c r="BO62" i="2"/>
  <c r="BN62" i="2"/>
  <c r="BM62" i="2"/>
  <c r="BL62" i="2"/>
  <c r="BK62" i="2"/>
  <c r="BJ62" i="2"/>
  <c r="BS61" i="2"/>
  <c r="BR61" i="2"/>
  <c r="BQ61" i="2"/>
  <c r="BP61" i="2"/>
  <c r="BO61" i="2"/>
  <c r="BN61" i="2"/>
  <c r="BM61" i="2"/>
  <c r="BL61" i="2"/>
  <c r="BK61" i="2"/>
  <c r="BJ61" i="2"/>
  <c r="BS60" i="2"/>
  <c r="BR60" i="2"/>
  <c r="BQ60" i="2"/>
  <c r="BP60" i="2"/>
  <c r="BO60" i="2"/>
  <c r="BN60" i="2"/>
  <c r="BM60" i="2"/>
  <c r="BL60" i="2"/>
  <c r="BK60" i="2"/>
  <c r="BJ60" i="2"/>
  <c r="BS59" i="2"/>
  <c r="BR59" i="2"/>
  <c r="BQ59" i="2"/>
  <c r="BP59" i="2"/>
  <c r="BO59" i="2"/>
  <c r="BN59" i="2"/>
  <c r="BM59" i="2"/>
  <c r="BL59" i="2"/>
  <c r="BK59" i="2"/>
  <c r="BJ59" i="2"/>
  <c r="BS58" i="2"/>
  <c r="BR58" i="2"/>
  <c r="BQ58" i="2"/>
  <c r="BP58" i="2"/>
  <c r="BO58" i="2"/>
  <c r="BN58" i="2"/>
  <c r="BM58" i="2"/>
  <c r="BL58" i="2"/>
  <c r="BK58" i="2"/>
  <c r="BJ58" i="2"/>
  <c r="BS57" i="2"/>
  <c r="BR57" i="2"/>
  <c r="BQ57" i="2"/>
  <c r="BP57" i="2"/>
  <c r="BO57" i="2"/>
  <c r="BN57" i="2"/>
  <c r="BM57" i="2"/>
  <c r="BL57" i="2"/>
  <c r="BK57" i="2"/>
  <c r="BJ57" i="2"/>
  <c r="BS56" i="2"/>
  <c r="BR56" i="2"/>
  <c r="BQ56" i="2"/>
  <c r="BP56" i="2"/>
  <c r="BO56" i="2"/>
  <c r="BN56" i="2"/>
  <c r="BM56" i="2"/>
  <c r="BL56" i="2"/>
  <c r="BK56" i="2"/>
  <c r="BJ56" i="2"/>
  <c r="BS55" i="2"/>
  <c r="BR55" i="2"/>
  <c r="BQ55" i="2"/>
  <c r="BP55" i="2"/>
  <c r="BO55" i="2"/>
  <c r="BN55" i="2"/>
  <c r="BM55" i="2"/>
  <c r="BL55" i="2"/>
  <c r="BK55" i="2"/>
  <c r="BJ55" i="2"/>
  <c r="BS54" i="2"/>
  <c r="BR54" i="2"/>
  <c r="BQ54" i="2"/>
  <c r="BP54" i="2"/>
  <c r="BO54" i="2"/>
  <c r="BN54" i="2"/>
  <c r="BM54" i="2"/>
  <c r="BL54" i="2"/>
  <c r="BK54" i="2"/>
  <c r="BJ54" i="2"/>
  <c r="BS53" i="2"/>
  <c r="BR53" i="2"/>
  <c r="BQ53" i="2"/>
  <c r="BP53" i="2"/>
  <c r="BO53" i="2"/>
  <c r="BN53" i="2"/>
  <c r="BM53" i="2"/>
  <c r="BL53" i="2"/>
  <c r="BK53" i="2"/>
  <c r="BJ53" i="2"/>
  <c r="BS52" i="2"/>
  <c r="BR52" i="2"/>
  <c r="BQ52" i="2"/>
  <c r="BP52" i="2"/>
  <c r="BO52" i="2"/>
  <c r="BN52" i="2"/>
  <c r="BM52" i="2"/>
  <c r="BL52" i="2"/>
  <c r="BK52" i="2"/>
  <c r="BJ52" i="2"/>
  <c r="BS51" i="2"/>
  <c r="BR51" i="2"/>
  <c r="BQ51" i="2"/>
  <c r="BP51" i="2"/>
  <c r="BO51" i="2"/>
  <c r="BN51" i="2"/>
  <c r="BM51" i="2"/>
  <c r="BL51" i="2"/>
  <c r="BK51" i="2"/>
  <c r="BJ51" i="2"/>
  <c r="BS50" i="2"/>
  <c r="BR50" i="2"/>
  <c r="BQ50" i="2"/>
  <c r="BP50" i="2"/>
  <c r="BO50" i="2"/>
  <c r="BN50" i="2"/>
  <c r="BM50" i="2"/>
  <c r="BL50" i="2"/>
  <c r="BK50" i="2"/>
  <c r="BJ50" i="2"/>
  <c r="BS49" i="2"/>
  <c r="BR49" i="2"/>
  <c r="BQ49" i="2"/>
  <c r="BP49" i="2"/>
  <c r="BO49" i="2"/>
  <c r="BN49" i="2"/>
  <c r="BM49" i="2"/>
  <c r="BL49" i="2"/>
  <c r="BK49" i="2"/>
  <c r="BJ49" i="2"/>
  <c r="BS48" i="2"/>
  <c r="BR48" i="2"/>
  <c r="BQ48" i="2"/>
  <c r="BP48" i="2"/>
  <c r="BO48" i="2"/>
  <c r="BN48" i="2"/>
  <c r="BM48" i="2"/>
  <c r="BL48" i="2"/>
  <c r="BK48" i="2"/>
  <c r="BJ48" i="2"/>
  <c r="BS47" i="2"/>
  <c r="BR47" i="2"/>
  <c r="BQ47" i="2"/>
  <c r="BP47" i="2"/>
  <c r="BO47" i="2"/>
  <c r="BN47" i="2"/>
  <c r="BM47" i="2"/>
  <c r="BL47" i="2"/>
  <c r="BK47" i="2"/>
  <c r="BJ47" i="2"/>
  <c r="BS46" i="2"/>
  <c r="BR46" i="2"/>
  <c r="BQ46" i="2"/>
  <c r="BP46" i="2"/>
  <c r="BO46" i="2"/>
  <c r="BN46" i="2"/>
  <c r="BM46" i="2"/>
  <c r="BL46" i="2"/>
  <c r="BK46" i="2"/>
  <c r="BJ46" i="2"/>
  <c r="BS45" i="2"/>
  <c r="BR45" i="2"/>
  <c r="BQ45" i="2"/>
  <c r="BP45" i="2"/>
  <c r="BO45" i="2"/>
  <c r="BN45" i="2"/>
  <c r="BM45" i="2"/>
  <c r="BL45" i="2"/>
  <c r="BK45" i="2"/>
  <c r="BJ45" i="2"/>
  <c r="BS44" i="2"/>
  <c r="BR44" i="2"/>
  <c r="BQ44" i="2"/>
  <c r="BP44" i="2"/>
  <c r="BO44" i="2"/>
  <c r="BN44" i="2"/>
  <c r="BM44" i="2"/>
  <c r="BL44" i="2"/>
  <c r="BK44" i="2"/>
  <c r="BJ44" i="2"/>
  <c r="BS43" i="2"/>
  <c r="BR43" i="2"/>
  <c r="BQ43" i="2"/>
  <c r="BP43" i="2"/>
  <c r="BO43" i="2"/>
  <c r="BN43" i="2"/>
  <c r="BM43" i="2"/>
  <c r="BL43" i="2"/>
  <c r="BK43" i="2"/>
  <c r="BJ43" i="2"/>
  <c r="BS42" i="2"/>
  <c r="BR42" i="2"/>
  <c r="BQ42" i="2"/>
  <c r="BP42" i="2"/>
  <c r="BO42" i="2"/>
  <c r="BN42" i="2"/>
  <c r="BM42" i="2"/>
  <c r="BL42" i="2"/>
  <c r="BK42" i="2"/>
  <c r="BJ42" i="2"/>
  <c r="BS41" i="2"/>
  <c r="BR41" i="2"/>
  <c r="BQ41" i="2"/>
  <c r="BP41" i="2"/>
  <c r="BO41" i="2"/>
  <c r="BN41" i="2"/>
  <c r="BM41" i="2"/>
  <c r="BL41" i="2"/>
  <c r="BK41" i="2"/>
  <c r="BJ41" i="2"/>
  <c r="BS40" i="2"/>
  <c r="BR40" i="2"/>
  <c r="BQ40" i="2"/>
  <c r="BP40" i="2"/>
  <c r="BO40" i="2"/>
  <c r="BN40" i="2"/>
  <c r="BM40" i="2"/>
  <c r="BL40" i="2"/>
  <c r="BK40" i="2"/>
  <c r="BJ40" i="2"/>
  <c r="BS39" i="2"/>
  <c r="BR39" i="2"/>
  <c r="BQ39" i="2"/>
  <c r="BP39" i="2"/>
  <c r="BO39" i="2"/>
  <c r="BN39" i="2"/>
  <c r="BM39" i="2"/>
  <c r="BL39" i="2"/>
  <c r="BK39" i="2"/>
  <c r="BJ39" i="2"/>
  <c r="BS38" i="2"/>
  <c r="BR38" i="2"/>
  <c r="BQ38" i="2"/>
  <c r="BP38" i="2"/>
  <c r="BO38" i="2"/>
  <c r="BN38" i="2"/>
  <c r="BM38" i="2"/>
  <c r="BL38" i="2"/>
  <c r="BK38" i="2"/>
  <c r="BJ38" i="2"/>
  <c r="BS37" i="2"/>
  <c r="BR37" i="2"/>
  <c r="BQ37" i="2"/>
  <c r="BP37" i="2"/>
  <c r="BO37" i="2"/>
  <c r="BN37" i="2"/>
  <c r="BM37" i="2"/>
  <c r="BL37" i="2"/>
  <c r="BK37" i="2"/>
  <c r="BJ37" i="2"/>
  <c r="BS36" i="2"/>
  <c r="BR36" i="2"/>
  <c r="BQ36" i="2"/>
  <c r="BP36" i="2"/>
  <c r="BO36" i="2"/>
  <c r="BN36" i="2"/>
  <c r="BM36" i="2"/>
  <c r="BL36" i="2"/>
  <c r="BK36" i="2"/>
  <c r="BJ36" i="2"/>
  <c r="BS35" i="2"/>
  <c r="BR35" i="2"/>
  <c r="BQ35" i="2"/>
  <c r="BP35" i="2"/>
  <c r="BO35" i="2"/>
  <c r="BN35" i="2"/>
  <c r="BM35" i="2"/>
  <c r="BL35" i="2"/>
  <c r="BK35" i="2"/>
  <c r="BJ35" i="2"/>
  <c r="BS34" i="2"/>
  <c r="BR34" i="2"/>
  <c r="BQ34" i="2"/>
  <c r="BP34" i="2"/>
  <c r="BO34" i="2"/>
  <c r="BN34" i="2"/>
  <c r="BM34" i="2"/>
  <c r="BL34" i="2"/>
  <c r="BK34" i="2"/>
  <c r="BJ34" i="2"/>
  <c r="BS33" i="2"/>
  <c r="BR33" i="2"/>
  <c r="BQ33" i="2"/>
  <c r="BP33" i="2"/>
  <c r="BO33" i="2"/>
  <c r="BN33" i="2"/>
  <c r="BM33" i="2"/>
  <c r="BL33" i="2"/>
  <c r="BK33" i="2"/>
  <c r="BJ33" i="2"/>
  <c r="BS32" i="2"/>
  <c r="BR32" i="2"/>
  <c r="BQ32" i="2"/>
  <c r="BP32" i="2"/>
  <c r="BO32" i="2"/>
  <c r="BN32" i="2"/>
  <c r="BM32" i="2"/>
  <c r="BL32" i="2"/>
  <c r="BK32" i="2"/>
  <c r="BJ32" i="2"/>
  <c r="BS31" i="2"/>
  <c r="BR31" i="2"/>
  <c r="BQ31" i="2"/>
  <c r="BP31" i="2"/>
  <c r="BO31" i="2"/>
  <c r="BN31" i="2"/>
  <c r="BM31" i="2"/>
  <c r="BL31" i="2"/>
  <c r="BK31" i="2"/>
  <c r="BJ31" i="2"/>
  <c r="BS30" i="2"/>
  <c r="BR30" i="2"/>
  <c r="BQ30" i="2"/>
  <c r="BP30" i="2"/>
  <c r="BO30" i="2"/>
  <c r="BN30" i="2"/>
  <c r="BM30" i="2"/>
  <c r="BL30" i="2"/>
  <c r="BK30" i="2"/>
  <c r="BJ30" i="2"/>
  <c r="BS29" i="2"/>
  <c r="BR29" i="2"/>
  <c r="BQ29" i="2"/>
  <c r="BP29" i="2"/>
  <c r="BO29" i="2"/>
  <c r="BN29" i="2"/>
  <c r="BM29" i="2"/>
  <c r="BL29" i="2"/>
  <c r="BK29" i="2"/>
  <c r="BJ29" i="2"/>
  <c r="BS28" i="2"/>
  <c r="BR28" i="2"/>
  <c r="BQ28" i="2"/>
  <c r="BP28" i="2"/>
  <c r="BO28" i="2"/>
  <c r="BN28" i="2"/>
  <c r="BM28" i="2"/>
  <c r="BL28" i="2"/>
  <c r="BK28" i="2"/>
  <c r="BJ28" i="2"/>
  <c r="BS27" i="2"/>
  <c r="BR27" i="2"/>
  <c r="BQ27" i="2"/>
  <c r="BP27" i="2"/>
  <c r="BO27" i="2"/>
  <c r="BN27" i="2"/>
  <c r="BM27" i="2"/>
  <c r="BL27" i="2"/>
  <c r="BK27" i="2"/>
  <c r="BJ27" i="2"/>
  <c r="BS26" i="2"/>
  <c r="BR26" i="2"/>
  <c r="BQ26" i="2"/>
  <c r="BP26" i="2"/>
  <c r="BO26" i="2"/>
  <c r="BN26" i="2"/>
  <c r="BM26" i="2"/>
  <c r="BL26" i="2"/>
  <c r="BK26" i="2"/>
  <c r="BJ26" i="2"/>
  <c r="BS25" i="2"/>
  <c r="BR25" i="2"/>
  <c r="BQ25" i="2"/>
  <c r="BP25" i="2"/>
  <c r="BO25" i="2"/>
  <c r="BN25" i="2"/>
  <c r="BM25" i="2"/>
  <c r="BL25" i="2"/>
  <c r="BK25" i="2"/>
  <c r="BJ25" i="2"/>
  <c r="BS24" i="2"/>
  <c r="BR24" i="2"/>
  <c r="BQ24" i="2"/>
  <c r="BP24" i="2"/>
  <c r="BO24" i="2"/>
  <c r="BN24" i="2"/>
  <c r="BM24" i="2"/>
  <c r="BL24" i="2"/>
  <c r="BK24" i="2"/>
  <c r="BJ24" i="2"/>
  <c r="BS23" i="2"/>
  <c r="BR23" i="2"/>
  <c r="BQ23" i="2"/>
  <c r="BP23" i="2"/>
  <c r="BO23" i="2"/>
  <c r="BN23" i="2"/>
  <c r="BM23" i="2"/>
  <c r="BL23" i="2"/>
  <c r="BK23" i="2"/>
  <c r="BJ23" i="2"/>
  <c r="BS22" i="2"/>
  <c r="BR22" i="2"/>
  <c r="BQ22" i="2"/>
  <c r="BP22" i="2"/>
  <c r="BO22" i="2"/>
  <c r="BN22" i="2"/>
  <c r="BM22" i="2"/>
  <c r="BL22" i="2"/>
  <c r="BK22" i="2"/>
  <c r="BJ22" i="2"/>
  <c r="BS21" i="2"/>
  <c r="BR21" i="2"/>
  <c r="BQ21" i="2"/>
  <c r="BP21" i="2"/>
  <c r="BO21" i="2"/>
  <c r="BN21" i="2"/>
  <c r="BM21" i="2"/>
  <c r="BL21" i="2"/>
  <c r="BK21" i="2"/>
  <c r="BJ21" i="2"/>
  <c r="BS20" i="2"/>
  <c r="BR20" i="2"/>
  <c r="BQ20" i="2"/>
  <c r="BP20" i="2"/>
  <c r="BO20" i="2"/>
  <c r="BN20" i="2"/>
  <c r="BM20" i="2"/>
  <c r="BL20" i="2"/>
  <c r="BK20" i="2"/>
  <c r="BJ20" i="2"/>
  <c r="BS19" i="2"/>
  <c r="BR19" i="2"/>
  <c r="BQ19" i="2"/>
  <c r="BP19" i="2"/>
  <c r="BO19" i="2"/>
  <c r="BN19" i="2"/>
  <c r="BM19" i="2"/>
  <c r="BL19" i="2"/>
  <c r="BK19" i="2"/>
  <c r="BJ19" i="2"/>
  <c r="BS18" i="2"/>
  <c r="BR18" i="2"/>
  <c r="BQ18" i="2"/>
  <c r="BP18" i="2"/>
  <c r="BO18" i="2"/>
  <c r="BN18" i="2"/>
  <c r="BM18" i="2"/>
  <c r="BL18" i="2"/>
  <c r="BK18" i="2"/>
  <c r="BJ18" i="2"/>
  <c r="BS17" i="2"/>
  <c r="BR17" i="2"/>
  <c r="BQ17" i="2"/>
  <c r="BP17" i="2"/>
  <c r="BO17" i="2"/>
  <c r="BN17" i="2"/>
  <c r="BM17" i="2"/>
  <c r="BL17" i="2"/>
  <c r="BK17" i="2"/>
  <c r="BJ17" i="2"/>
  <c r="BS16" i="2"/>
  <c r="BR16" i="2"/>
  <c r="BQ16" i="2"/>
  <c r="BP16" i="2"/>
  <c r="BO16" i="2"/>
  <c r="BN16" i="2"/>
  <c r="BM16" i="2"/>
  <c r="BL16" i="2"/>
  <c r="BK16" i="2"/>
  <c r="BJ16" i="2"/>
  <c r="BS15" i="2"/>
  <c r="BR15" i="2"/>
  <c r="BQ15" i="2"/>
  <c r="BP15" i="2"/>
  <c r="BO15" i="2"/>
  <c r="BN15" i="2"/>
  <c r="BM15" i="2"/>
  <c r="BL15" i="2"/>
  <c r="BK15" i="2"/>
  <c r="BJ15" i="2"/>
  <c r="BS14" i="2"/>
  <c r="BR14" i="2"/>
  <c r="BQ14" i="2"/>
  <c r="BP14" i="2"/>
  <c r="BO14" i="2"/>
  <c r="BN14" i="2"/>
  <c r="BM14" i="2"/>
  <c r="BL14" i="2"/>
  <c r="BK14" i="2"/>
  <c r="BJ14" i="2"/>
  <c r="BS13" i="2"/>
  <c r="BR13" i="2"/>
  <c r="BQ13" i="2"/>
  <c r="BP13" i="2"/>
  <c r="BO13" i="2"/>
  <c r="BN13" i="2"/>
  <c r="BM13" i="2"/>
  <c r="BL13" i="2"/>
  <c r="BK13" i="2"/>
  <c r="BJ13" i="2"/>
  <c r="BS12" i="2"/>
  <c r="BR12" i="2"/>
  <c r="BQ12" i="2"/>
  <c r="BP12" i="2"/>
  <c r="BO12" i="2"/>
  <c r="BN12" i="2"/>
  <c r="BM12" i="2"/>
  <c r="BL12" i="2"/>
  <c r="BK12" i="2"/>
  <c r="BJ12" i="2"/>
  <c r="BK11" i="2"/>
  <c r="BL11" i="2"/>
  <c r="BM11" i="2"/>
  <c r="BN11" i="2"/>
  <c r="BO11" i="2"/>
  <c r="BP11" i="2"/>
  <c r="BQ11" i="2"/>
  <c r="BR11" i="2"/>
  <c r="AB114" i="2"/>
  <c r="AC114" i="2" s="1"/>
  <c r="AB106" i="2"/>
  <c r="AC106" i="2" s="1"/>
  <c r="AB98" i="2"/>
  <c r="AC98" i="2" s="1"/>
  <c r="AB90" i="2"/>
  <c r="AC90" i="2" s="1"/>
  <c r="AB82" i="2"/>
  <c r="AC82" i="2" s="1"/>
  <c r="AB74" i="2"/>
  <c r="AC74" i="2" s="1"/>
  <c r="AB66" i="2"/>
  <c r="AC66" i="2" s="1"/>
  <c r="AB58" i="2"/>
  <c r="AC58" i="2" s="1"/>
  <c r="AB50" i="2"/>
  <c r="AC50" i="2" s="1"/>
  <c r="AB42" i="2"/>
  <c r="AC42" i="2" s="1"/>
  <c r="S51" i="2"/>
  <c r="S50" i="2"/>
  <c r="R52" i="2"/>
  <c r="R51" i="2"/>
  <c r="R50" i="2"/>
  <c r="B129" i="2"/>
  <c r="B127" i="2"/>
  <c r="C127" i="2" s="1"/>
  <c r="B126" i="2"/>
  <c r="C126" i="2" s="1"/>
  <c r="B125" i="2"/>
  <c r="B124" i="2"/>
  <c r="C124" i="2" s="1"/>
  <c r="B123" i="2"/>
  <c r="C123" i="2" s="1"/>
  <c r="B122" i="2"/>
  <c r="C122" i="2" s="1"/>
  <c r="B121" i="2"/>
  <c r="B120" i="2"/>
  <c r="B118" i="2"/>
  <c r="B128" i="2" s="1"/>
  <c r="B117" i="2"/>
  <c r="C117" i="2" s="1"/>
  <c r="B116" i="2"/>
  <c r="K107" i="2" s="1"/>
  <c r="L107" i="2" s="1"/>
  <c r="B115" i="2"/>
  <c r="S52" i="2" s="1"/>
  <c r="C121" i="2" l="1"/>
  <c r="S25" i="2"/>
  <c r="S24" i="2" s="1"/>
  <c r="G13" i="7" s="1"/>
  <c r="S53" i="2"/>
  <c r="R53" i="2"/>
  <c r="B6" i="2"/>
  <c r="L123" i="2"/>
  <c r="L124" i="2"/>
  <c r="L122" i="2"/>
  <c r="L125" i="2"/>
  <c r="K125" i="2"/>
  <c r="I21" i="1"/>
  <c r="Q105" i="2" s="1"/>
  <c r="C118" i="2"/>
  <c r="C129" i="2"/>
  <c r="D129" i="2" s="1"/>
  <c r="V60" i="2"/>
  <c r="R60" i="2" s="1"/>
  <c r="S60" i="2" s="1"/>
  <c r="S54" i="2"/>
  <c r="S55" i="2"/>
  <c r="R54" i="2"/>
  <c r="R55" i="2"/>
  <c r="AE118" i="2"/>
  <c r="I26" i="1"/>
  <c r="B69" i="1" s="1"/>
  <c r="A80" i="7" s="1"/>
  <c r="C23" i="1"/>
  <c r="I37" i="1"/>
  <c r="B68" i="1" s="1"/>
  <c r="A78" i="7" s="1"/>
  <c r="AE45" i="2"/>
  <c r="AE52" i="2"/>
  <c r="AE59" i="2"/>
  <c r="AE63" i="2"/>
  <c r="AE69" i="2"/>
  <c r="AE75" i="2"/>
  <c r="AE79" i="2"/>
  <c r="AE85" i="2"/>
  <c r="AE91" i="2"/>
  <c r="AE95" i="2"/>
  <c r="AE101" i="2"/>
  <c r="AE107" i="2"/>
  <c r="AE111" i="2"/>
  <c r="AE117" i="2"/>
  <c r="I10" i="2"/>
  <c r="AE44" i="2"/>
  <c r="AE51" i="2"/>
  <c r="AE55" i="2"/>
  <c r="AE62" i="2"/>
  <c r="AE68" i="2"/>
  <c r="AE74" i="2"/>
  <c r="AE78" i="2"/>
  <c r="AE84" i="2"/>
  <c r="AE90" i="2"/>
  <c r="AE94" i="2"/>
  <c r="AE100" i="2"/>
  <c r="AE106" i="2"/>
  <c r="AE110" i="2"/>
  <c r="AE116" i="2"/>
  <c r="AE43" i="2"/>
  <c r="AE47" i="2"/>
  <c r="AE58" i="2"/>
  <c r="AE54" i="2"/>
  <c r="AE61" i="2"/>
  <c r="AE67" i="2"/>
  <c r="AE71" i="2"/>
  <c r="AE77" i="2"/>
  <c r="AE83" i="2"/>
  <c r="AE87" i="2"/>
  <c r="AE93" i="2"/>
  <c r="AE99" i="2"/>
  <c r="AE103" i="2"/>
  <c r="AE109" i="2"/>
  <c r="AE115" i="2"/>
  <c r="AE119" i="2"/>
  <c r="AE42" i="2"/>
  <c r="AE46" i="2"/>
  <c r="AE50" i="2"/>
  <c r="AE53" i="2"/>
  <c r="AE60" i="2"/>
  <c r="AE66" i="2"/>
  <c r="AE70" i="2"/>
  <c r="AE76" i="2"/>
  <c r="AE82" i="2"/>
  <c r="AE86" i="2"/>
  <c r="AE92" i="2"/>
  <c r="AE98" i="2"/>
  <c r="AE102" i="2"/>
  <c r="AE108" i="2"/>
  <c r="AE114" i="2"/>
  <c r="S61" i="2"/>
  <c r="I11" i="2"/>
  <c r="C119" i="2" l="1"/>
  <c r="C128" i="2"/>
  <c r="B7" i="2"/>
  <c r="B11" i="2" s="1"/>
  <c r="B64" i="1"/>
  <c r="A71" i="7" s="1"/>
  <c r="Q106" i="2"/>
  <c r="S62" i="2"/>
  <c r="G11" i="2"/>
  <c r="I12" i="2"/>
  <c r="H11" i="2" l="1"/>
  <c r="C110" i="2"/>
  <c r="C106" i="2"/>
  <c r="C102" i="2"/>
  <c r="C98" i="2"/>
  <c r="C94" i="2"/>
  <c r="C90" i="2"/>
  <c r="C86" i="2"/>
  <c r="C82" i="2"/>
  <c r="C78" i="2"/>
  <c r="C74" i="2"/>
  <c r="C70" i="2"/>
  <c r="C66" i="2"/>
  <c r="C62" i="2"/>
  <c r="C58" i="2"/>
  <c r="C54" i="2"/>
  <c r="C50" i="2"/>
  <c r="C46" i="2"/>
  <c r="C42" i="2"/>
  <c r="C38" i="2"/>
  <c r="C34" i="2"/>
  <c r="C22" i="2"/>
  <c r="C111" i="2"/>
  <c r="C107" i="2"/>
  <c r="C103" i="2"/>
  <c r="C99" i="2"/>
  <c r="C95" i="2"/>
  <c r="C91" i="2"/>
  <c r="C87" i="2"/>
  <c r="C83" i="2"/>
  <c r="C79" i="2"/>
  <c r="C75" i="2"/>
  <c r="C71" i="2"/>
  <c r="C67" i="2"/>
  <c r="C63" i="2"/>
  <c r="C59" i="2"/>
  <c r="C55" i="2"/>
  <c r="C51" i="2"/>
  <c r="C47" i="2"/>
  <c r="C43" i="2"/>
  <c r="C39" i="2"/>
  <c r="C35" i="2"/>
  <c r="C31" i="2"/>
  <c r="C27" i="2"/>
  <c r="C23" i="2"/>
  <c r="C19" i="2"/>
  <c r="C15" i="2"/>
  <c r="C93" i="2"/>
  <c r="C81" i="2"/>
  <c r="C69" i="2"/>
  <c r="C57" i="2"/>
  <c r="C45" i="2"/>
  <c r="C33" i="2"/>
  <c r="C21" i="2"/>
  <c r="C13" i="2"/>
  <c r="C26" i="2"/>
  <c r="C108" i="2"/>
  <c r="C104" i="2"/>
  <c r="C100" i="2"/>
  <c r="C96" i="2"/>
  <c r="C92" i="2"/>
  <c r="C88" i="2"/>
  <c r="C84" i="2"/>
  <c r="C80" i="2"/>
  <c r="C76" i="2"/>
  <c r="C72" i="2"/>
  <c r="C68" i="2"/>
  <c r="C64" i="2"/>
  <c r="C60" i="2"/>
  <c r="C56" i="2"/>
  <c r="C52" i="2"/>
  <c r="C48" i="2"/>
  <c r="C44" i="2"/>
  <c r="C40" i="2"/>
  <c r="C36" i="2"/>
  <c r="C32" i="2"/>
  <c r="C28" i="2"/>
  <c r="C24" i="2"/>
  <c r="C20" i="2"/>
  <c r="C16" i="2"/>
  <c r="C12" i="2"/>
  <c r="C89" i="2"/>
  <c r="C77" i="2"/>
  <c r="C65" i="2"/>
  <c r="C53" i="2"/>
  <c r="C41" i="2"/>
  <c r="C29" i="2"/>
  <c r="C17" i="2"/>
  <c r="C30" i="2"/>
  <c r="C14" i="2"/>
  <c r="C11" i="2"/>
  <c r="C109" i="2"/>
  <c r="C105" i="2"/>
  <c r="C101" i="2"/>
  <c r="C97" i="2"/>
  <c r="C85" i="2"/>
  <c r="C73" i="2"/>
  <c r="C61" i="2"/>
  <c r="C49" i="2"/>
  <c r="C37" i="2"/>
  <c r="C25" i="2"/>
  <c r="C18" i="2"/>
  <c r="B40" i="2"/>
  <c r="B24" i="2"/>
  <c r="B52" i="2"/>
  <c r="B76" i="2"/>
  <c r="B47" i="2"/>
  <c r="B77" i="2"/>
  <c r="B20" i="2"/>
  <c r="B44" i="2"/>
  <c r="B68" i="2"/>
  <c r="B88" i="2"/>
  <c r="B31" i="2"/>
  <c r="B79" i="2"/>
  <c r="B78" i="2"/>
  <c r="B61" i="2"/>
  <c r="B91" i="2"/>
  <c r="B38" i="2"/>
  <c r="B12" i="2"/>
  <c r="B36" i="2"/>
  <c r="B64" i="2"/>
  <c r="B84" i="2"/>
  <c r="B27" i="2"/>
  <c r="B63" i="2"/>
  <c r="B111" i="2"/>
  <c r="B54" i="2"/>
  <c r="B29" i="2"/>
  <c r="B92" i="2"/>
  <c r="B94" i="2"/>
  <c r="B32" i="2"/>
  <c r="B56" i="2"/>
  <c r="B80" i="2"/>
  <c r="B100" i="2"/>
  <c r="B15" i="2"/>
  <c r="B59" i="2"/>
  <c r="B95" i="2"/>
  <c r="B98" i="2"/>
  <c r="B13" i="2"/>
  <c r="B93" i="2"/>
  <c r="B60" i="2"/>
  <c r="B43" i="2"/>
  <c r="B75" i="2"/>
  <c r="B107" i="2"/>
  <c r="B30" i="2"/>
  <c r="B45" i="2"/>
  <c r="B109" i="2"/>
  <c r="B96" i="2"/>
  <c r="B104" i="2"/>
  <c r="B19" i="2"/>
  <c r="B35" i="2"/>
  <c r="B51" i="2"/>
  <c r="B67" i="2"/>
  <c r="B83" i="2"/>
  <c r="B99" i="2"/>
  <c r="B50" i="2"/>
  <c r="B34" i="2"/>
  <c r="B58" i="2"/>
  <c r="B82" i="2"/>
  <c r="B102" i="2"/>
  <c r="B17" i="2"/>
  <c r="B33" i="2"/>
  <c r="B49" i="2"/>
  <c r="B65" i="2"/>
  <c r="B81" i="2"/>
  <c r="B97" i="2"/>
  <c r="B48" i="2"/>
  <c r="B26" i="2"/>
  <c r="B74" i="2"/>
  <c r="B22" i="2"/>
  <c r="B46" i="2"/>
  <c r="B70" i="2"/>
  <c r="B90" i="2"/>
  <c r="B110" i="2"/>
  <c r="B25" i="2"/>
  <c r="B41" i="2"/>
  <c r="B57" i="2"/>
  <c r="B73" i="2"/>
  <c r="B89" i="2"/>
  <c r="B105" i="2"/>
  <c r="B28" i="2"/>
  <c r="B72" i="2"/>
  <c r="B108" i="2"/>
  <c r="B23" i="2"/>
  <c r="B39" i="2"/>
  <c r="B55" i="2"/>
  <c r="B71" i="2"/>
  <c r="B87" i="2"/>
  <c r="B103" i="2"/>
  <c r="B18" i="2"/>
  <c r="B62" i="2"/>
  <c r="B14" i="2"/>
  <c r="B42" i="2"/>
  <c r="B66" i="2"/>
  <c r="B86" i="2"/>
  <c r="B106" i="2"/>
  <c r="B21" i="2"/>
  <c r="B37" i="2"/>
  <c r="B53" i="2"/>
  <c r="B69" i="2"/>
  <c r="B85" i="2"/>
  <c r="B101" i="2"/>
  <c r="B16" i="2"/>
  <c r="S63" i="2"/>
  <c r="G12" i="2"/>
  <c r="I13" i="2"/>
  <c r="H12" i="2" l="1"/>
  <c r="S64" i="2"/>
  <c r="I14" i="2"/>
  <c r="G13" i="2"/>
  <c r="H13" i="2" l="1"/>
  <c r="S65" i="2"/>
  <c r="I15" i="2"/>
  <c r="G14" i="2"/>
  <c r="H14" i="2" l="1"/>
  <c r="S66" i="2"/>
  <c r="G15" i="2"/>
  <c r="I16" i="2"/>
  <c r="H15" i="2" l="1"/>
  <c r="S67" i="2"/>
  <c r="G16" i="2"/>
  <c r="I17" i="2"/>
  <c r="H16" i="2" l="1"/>
  <c r="S68" i="2"/>
  <c r="I18" i="2"/>
  <c r="G17" i="2"/>
  <c r="H17" i="2" l="1"/>
  <c r="S69" i="2"/>
  <c r="I19" i="2"/>
  <c r="G18" i="2"/>
  <c r="H18" i="2" l="1"/>
  <c r="S70" i="2"/>
  <c r="G19" i="2"/>
  <c r="I20" i="2"/>
  <c r="H19" i="2" l="1"/>
  <c r="S71" i="2"/>
  <c r="C120" i="2" s="1"/>
  <c r="I21" i="2"/>
  <c r="G20" i="2"/>
  <c r="H20" i="2" l="1"/>
  <c r="I16" i="1"/>
  <c r="I22" i="2"/>
  <c r="G21" i="2"/>
  <c r="H21" i="2" l="1"/>
  <c r="G22" i="2"/>
  <c r="I23" i="2"/>
  <c r="H22" i="2" l="1"/>
  <c r="K33" i="1"/>
  <c r="K32" i="1"/>
  <c r="K36" i="1"/>
  <c r="K35" i="1"/>
  <c r="K34" i="1"/>
  <c r="G23" i="2"/>
  <c r="I24" i="2"/>
  <c r="H23" i="2" l="1"/>
  <c r="G24" i="2"/>
  <c r="I25" i="2"/>
  <c r="H24" i="2" l="1"/>
  <c r="I26" i="2"/>
  <c r="G25" i="2"/>
  <c r="H25" i="2" l="1"/>
  <c r="G26" i="2"/>
  <c r="I27" i="2"/>
  <c r="H26" i="2" l="1"/>
  <c r="G27" i="2"/>
  <c r="I28" i="2"/>
  <c r="H27" i="2" l="1"/>
  <c r="G28" i="2"/>
  <c r="I29" i="2"/>
  <c r="H28" i="2" l="1"/>
  <c r="I30" i="2"/>
  <c r="G29" i="2"/>
  <c r="H29" i="2" l="1"/>
  <c r="G30" i="2"/>
  <c r="I31" i="2"/>
  <c r="H30" i="2" l="1"/>
  <c r="I32" i="2"/>
  <c r="G31" i="2"/>
  <c r="H31" i="2" l="1"/>
  <c r="G32" i="2"/>
  <c r="I33" i="2"/>
  <c r="H32" i="2" l="1"/>
  <c r="G33" i="2"/>
  <c r="I34" i="2"/>
  <c r="H33" i="2" l="1"/>
  <c r="G34" i="2"/>
  <c r="I35" i="2"/>
  <c r="H34" i="2" l="1"/>
  <c r="I36" i="2"/>
  <c r="G35" i="2"/>
  <c r="H35" i="2" l="1"/>
  <c r="G36" i="2"/>
  <c r="I37" i="2"/>
  <c r="H36" i="2" l="1"/>
  <c r="G37" i="2"/>
  <c r="I38" i="2"/>
  <c r="H37" i="2" l="1"/>
  <c r="G38" i="2"/>
  <c r="I39" i="2"/>
  <c r="H38" i="2" l="1"/>
  <c r="G39" i="2"/>
  <c r="I40" i="2"/>
  <c r="H39" i="2" l="1"/>
  <c r="I41" i="2"/>
  <c r="G40" i="2"/>
  <c r="H40" i="2" l="1"/>
  <c r="I42" i="2"/>
  <c r="G41" i="2"/>
  <c r="H41" i="2" l="1"/>
  <c r="I43" i="2"/>
  <c r="G42" i="2"/>
  <c r="H42" i="2" l="1"/>
  <c r="I44" i="2"/>
  <c r="G43" i="2"/>
  <c r="H43" i="2" l="1"/>
  <c r="I45" i="2"/>
  <c r="G44" i="2"/>
  <c r="H44" i="2" l="1"/>
  <c r="G45" i="2"/>
  <c r="I46" i="2"/>
  <c r="H45" i="2" l="1"/>
  <c r="G46" i="2"/>
  <c r="I47" i="2"/>
  <c r="H46" i="2" l="1"/>
  <c r="I48" i="2"/>
  <c r="G47" i="2"/>
  <c r="H47" i="2" l="1"/>
  <c r="I49" i="2"/>
  <c r="G48" i="2"/>
  <c r="H48" i="2" l="1"/>
  <c r="G49" i="2"/>
  <c r="I50" i="2"/>
  <c r="H49" i="2" l="1"/>
  <c r="G50" i="2"/>
  <c r="I51" i="2"/>
  <c r="H50" i="2" l="1"/>
  <c r="I52" i="2"/>
  <c r="G51" i="2"/>
  <c r="H51" i="2" l="1"/>
  <c r="G52" i="2"/>
  <c r="I53" i="2"/>
  <c r="H52" i="2" l="1"/>
  <c r="I54" i="2"/>
  <c r="G53" i="2"/>
  <c r="H53" i="2" l="1"/>
  <c r="G54" i="2"/>
  <c r="I55" i="2"/>
  <c r="H54" i="2" l="1"/>
  <c r="G55" i="2"/>
  <c r="I56" i="2"/>
  <c r="H55" i="2" l="1"/>
  <c r="I57" i="2"/>
  <c r="G56" i="2"/>
  <c r="H56" i="2" l="1"/>
  <c r="G57" i="2"/>
  <c r="I58" i="2"/>
  <c r="H57" i="2" l="1"/>
  <c r="I59" i="2"/>
  <c r="G58" i="2"/>
  <c r="H58" i="2" l="1"/>
  <c r="G59" i="2"/>
  <c r="I60" i="2"/>
  <c r="H59" i="2" l="1"/>
  <c r="I61" i="2"/>
  <c r="G60" i="2"/>
  <c r="H60" i="2" l="1"/>
  <c r="G61" i="2"/>
  <c r="I62" i="2"/>
  <c r="I63" i="2" l="1"/>
  <c r="H61" i="2"/>
  <c r="G62" i="2"/>
  <c r="H62" i="2" l="1"/>
  <c r="C116" i="2" s="1"/>
  <c r="I64" i="2"/>
  <c r="G63" i="2"/>
  <c r="H63" i="2" s="1"/>
  <c r="I65" i="2" l="1"/>
  <c r="G64" i="2"/>
  <c r="H64" i="2" s="1"/>
  <c r="C131" i="2"/>
  <c r="C132" i="2"/>
  <c r="B185" i="2" l="1"/>
  <c r="C197" i="2"/>
  <c r="B191" i="2"/>
  <c r="C192" i="2"/>
  <c r="C170" i="2"/>
  <c r="B148" i="2"/>
  <c r="B232" i="2"/>
  <c r="B136" i="2"/>
  <c r="C169" i="2"/>
  <c r="B229" i="2"/>
  <c r="B190" i="2"/>
  <c r="B163" i="2"/>
  <c r="B188" i="2"/>
  <c r="B186" i="2"/>
  <c r="C186" i="2"/>
  <c r="C208" i="2"/>
  <c r="C212" i="2"/>
  <c r="B221" i="2"/>
  <c r="C152" i="2"/>
  <c r="C144" i="2"/>
  <c r="B216" i="2"/>
  <c r="C174" i="2"/>
  <c r="B170" i="2"/>
  <c r="C225" i="2"/>
  <c r="C235" i="2"/>
  <c r="C234" i="2"/>
  <c r="B161" i="2"/>
  <c r="B197" i="2"/>
  <c r="C157" i="2"/>
  <c r="C232" i="2"/>
  <c r="C168" i="2"/>
  <c r="C219" i="2"/>
  <c r="B150" i="2"/>
  <c r="B154" i="2"/>
  <c r="C210" i="2"/>
  <c r="B176" i="2"/>
  <c r="C199" i="2"/>
  <c r="C185" i="2"/>
  <c r="C147" i="2"/>
  <c r="B145" i="2"/>
  <c r="C205" i="2"/>
  <c r="B192" i="2"/>
  <c r="B160" i="2"/>
  <c r="B179" i="2"/>
  <c r="B196" i="2"/>
  <c r="B157" i="2"/>
  <c r="C194" i="2"/>
  <c r="C138" i="2"/>
  <c r="C146" i="2"/>
  <c r="B218" i="2"/>
  <c r="C222" i="2"/>
  <c r="C224" i="2"/>
  <c r="B219" i="2"/>
  <c r="B177" i="2"/>
  <c r="C189" i="2"/>
  <c r="B175" i="2"/>
  <c r="C184" i="2"/>
  <c r="C166" i="2"/>
  <c r="B213" i="2"/>
  <c r="B152" i="2"/>
  <c r="B206" i="2"/>
  <c r="C164" i="2"/>
  <c r="B149" i="2"/>
  <c r="B174" i="2"/>
  <c r="B180" i="2"/>
  <c r="C178" i="2"/>
  <c r="C229" i="2"/>
  <c r="B234" i="2"/>
  <c r="B200" i="2"/>
  <c r="C198" i="2"/>
  <c r="C187" i="2"/>
  <c r="C154" i="2"/>
  <c r="B143" i="2"/>
  <c r="B140" i="2"/>
  <c r="B207" i="2"/>
  <c r="C220" i="2"/>
  <c r="C216" i="2"/>
  <c r="C155" i="2"/>
  <c r="B162" i="2"/>
  <c r="B173" i="2"/>
  <c r="C207" i="2"/>
  <c r="C151" i="2"/>
  <c r="C143" i="2"/>
  <c r="B193" i="2"/>
  <c r="B183" i="2"/>
  <c r="C188" i="2"/>
  <c r="B164" i="2"/>
  <c r="B187" i="2"/>
  <c r="C175" i="2"/>
  <c r="B226" i="2"/>
  <c r="C150" i="2"/>
  <c r="C139" i="2"/>
  <c r="C156" i="2"/>
  <c r="B210" i="2"/>
  <c r="B184" i="2"/>
  <c r="B178" i="2"/>
  <c r="C182" i="2"/>
  <c r="B181" i="2"/>
  <c r="C193" i="2"/>
  <c r="C163" i="2"/>
  <c r="C227" i="2"/>
  <c r="B220" i="2"/>
  <c r="B225" i="2"/>
  <c r="C223" i="2"/>
  <c r="C228" i="2"/>
  <c r="B169" i="2"/>
  <c r="B159" i="2"/>
  <c r="C159" i="2"/>
  <c r="B137" i="2"/>
  <c r="C173" i="2"/>
  <c r="B199" i="2"/>
  <c r="B172" i="2"/>
  <c r="C191" i="2"/>
  <c r="C141" i="2"/>
  <c r="B236" i="2"/>
  <c r="B138" i="2"/>
  <c r="C211" i="2"/>
  <c r="B209" i="2"/>
  <c r="B223" i="2"/>
  <c r="B224" i="2"/>
  <c r="C195" i="2"/>
  <c r="B156" i="2"/>
  <c r="H31" i="1" s="1"/>
  <c r="B215" i="2"/>
  <c r="C204" i="2"/>
  <c r="B151" i="2"/>
  <c r="B195" i="2"/>
  <c r="C201" i="2"/>
  <c r="B231" i="2"/>
  <c r="B158" i="2"/>
  <c r="B222" i="2"/>
  <c r="C158" i="2"/>
  <c r="C200" i="2"/>
  <c r="C217" i="2"/>
  <c r="B139" i="2"/>
  <c r="B144" i="2"/>
  <c r="C177" i="2"/>
  <c r="B233" i="2"/>
  <c r="B142" i="2"/>
  <c r="C226" i="2"/>
  <c r="B194" i="2"/>
  <c r="B189" i="2"/>
  <c r="C167" i="2"/>
  <c r="B202" i="2"/>
  <c r="C161" i="2"/>
  <c r="B167" i="2"/>
  <c r="B198" i="2"/>
  <c r="C172" i="2"/>
  <c r="B214" i="2"/>
  <c r="C162" i="2"/>
  <c r="C136" i="2"/>
  <c r="C176" i="2"/>
  <c r="B227" i="2"/>
  <c r="C196" i="2"/>
  <c r="C202" i="2"/>
  <c r="C142" i="2"/>
  <c r="C231" i="2"/>
  <c r="C213" i="2"/>
  <c r="B182" i="2"/>
  <c r="B235" i="2"/>
  <c r="B168" i="2"/>
  <c r="B166" i="2"/>
  <c r="C171" i="2"/>
  <c r="B203" i="2"/>
  <c r="C160" i="2"/>
  <c r="C221" i="2"/>
  <c r="C148" i="2"/>
  <c r="C153" i="2"/>
  <c r="C214" i="2"/>
  <c r="C215" i="2"/>
  <c r="B165" i="2"/>
  <c r="C137" i="2"/>
  <c r="C233" i="2"/>
  <c r="C206" i="2"/>
  <c r="C140" i="2"/>
  <c r="B217" i="2"/>
  <c r="C230" i="2"/>
  <c r="B155" i="2"/>
  <c r="C190" i="2"/>
  <c r="B204" i="2"/>
  <c r="B208" i="2"/>
  <c r="C209" i="2"/>
  <c r="C180" i="2"/>
  <c r="B171" i="2"/>
  <c r="B146" i="2"/>
  <c r="C236" i="2"/>
  <c r="C181" i="2"/>
  <c r="B147" i="2"/>
  <c r="B153" i="2"/>
  <c r="C203" i="2"/>
  <c r="B211" i="2"/>
  <c r="B201" i="2"/>
  <c r="C165" i="2"/>
  <c r="C183" i="2"/>
  <c r="B228" i="2"/>
  <c r="B212" i="2"/>
  <c r="B141" i="2"/>
  <c r="C218" i="2"/>
  <c r="C179" i="2"/>
  <c r="C145" i="2"/>
  <c r="B230" i="2"/>
  <c r="B205" i="2"/>
  <c r="C149" i="2"/>
  <c r="G65" i="2"/>
  <c r="H65" i="2" s="1"/>
  <c r="I66" i="2"/>
  <c r="D47" i="7" l="1"/>
  <c r="L31" i="1"/>
  <c r="K31" i="1"/>
  <c r="H29" i="1"/>
  <c r="D45" i="7" s="1"/>
  <c r="H28" i="1"/>
  <c r="D44" i="7" s="1"/>
  <c r="H30" i="1"/>
  <c r="D46" i="7" s="1"/>
  <c r="H27" i="1"/>
  <c r="D43" i="7" s="1"/>
  <c r="I67" i="2"/>
  <c r="G66" i="2"/>
  <c r="H66" i="2" s="1"/>
  <c r="K29" i="1" l="1"/>
  <c r="L29" i="1"/>
  <c r="K28" i="1"/>
  <c r="K30" i="1"/>
  <c r="H37" i="1"/>
  <c r="G41" i="1" s="1"/>
  <c r="D54" i="7" s="1"/>
  <c r="K27" i="1"/>
  <c r="L28" i="1"/>
  <c r="I68" i="2"/>
  <c r="G67" i="2"/>
  <c r="H67" i="2" s="1"/>
  <c r="L30" i="1" l="1"/>
  <c r="L27" i="1"/>
  <c r="I69" i="2"/>
  <c r="G68" i="2"/>
  <c r="H68" i="2" s="1"/>
  <c r="L37" i="1" l="1"/>
  <c r="G40" i="1" s="1"/>
  <c r="K49" i="1" s="1"/>
  <c r="H61" i="7" s="1"/>
  <c r="I70" i="2"/>
  <c r="G69" i="2"/>
  <c r="H69" i="2" s="1"/>
  <c r="H48" i="1" l="1"/>
  <c r="G59" i="7" s="1"/>
  <c r="G42" i="1"/>
  <c r="D55" i="7" s="1"/>
  <c r="H49" i="1"/>
  <c r="H59" i="7" s="1"/>
  <c r="D53" i="7"/>
  <c r="K48" i="1"/>
  <c r="K50" i="1" s="1"/>
  <c r="J49" i="1"/>
  <c r="H60" i="7" s="1"/>
  <c r="J48" i="1"/>
  <c r="G60" i="7" s="1"/>
  <c r="G70" i="2"/>
  <c r="H70" i="2" s="1"/>
  <c r="I71" i="2"/>
  <c r="G44" i="1" l="1"/>
  <c r="G48" i="1"/>
  <c r="G58" i="7" s="1"/>
  <c r="G61" i="7"/>
  <c r="J50" i="1"/>
  <c r="D56" i="7"/>
  <c r="H50" i="1"/>
  <c r="I72" i="2"/>
  <c r="G71" i="2"/>
  <c r="H71" i="2" s="1"/>
  <c r="G50" i="1" l="1"/>
  <c r="G72" i="2"/>
  <c r="H72" i="2" s="1"/>
  <c r="I73" i="2"/>
  <c r="G73" i="2" s="1"/>
  <c r="H73" i="2" s="1"/>
</calcChain>
</file>

<file path=xl/comments1.xml><?xml version="1.0" encoding="utf-8"?>
<comments xmlns="http://schemas.openxmlformats.org/spreadsheetml/2006/main">
  <authors>
    <author>CESAR ARCIGA DIAZ</author>
  </authors>
  <commentList>
    <comment ref="E45" authorId="0" shapeId="0">
      <text>
        <r>
          <rPr>
            <b/>
            <sz val="9"/>
            <color indexed="81"/>
            <rFont val="Tahoma"/>
            <family val="2"/>
          </rPr>
          <t>CESAR ARCIGA DIAZ:Se agrego la opcio de SA</t>
        </r>
      </text>
    </comment>
    <comment ref="E57" authorId="0" shapeId="0">
      <text>
        <r>
          <rPr>
            <b/>
            <sz val="9"/>
            <color indexed="81"/>
            <rFont val="Tahoma"/>
            <family val="2"/>
          </rPr>
          <t>CESAR ARCIGA DIAZ:</t>
        </r>
        <r>
          <rPr>
            <sz val="9"/>
            <color indexed="81"/>
            <rFont val="Tahoma"/>
            <family val="2"/>
          </rPr>
          <t xml:space="preserve">
Se agregó la opción de SA</t>
        </r>
      </text>
    </comment>
  </commentList>
</comments>
</file>

<file path=xl/sharedStrings.xml><?xml version="1.0" encoding="utf-8"?>
<sst xmlns="http://schemas.openxmlformats.org/spreadsheetml/2006/main" count="1247" uniqueCount="611">
  <si>
    <t>COTIZACIÓN DE GOLDEN SALUD INDIVIDUAL</t>
  </si>
  <si>
    <t>LINEA</t>
  </si>
  <si>
    <t>CLIENTE:</t>
  </si>
  <si>
    <t>COTIZACIÓN:</t>
  </si>
  <si>
    <t>PÓLIZA NUEVA</t>
  </si>
  <si>
    <t>FECHA:</t>
  </si>
  <si>
    <t>TIPO DE TARIFA:</t>
  </si>
  <si>
    <t>EDAD</t>
  </si>
  <si>
    <t>NO</t>
  </si>
  <si>
    <t>ESTADO:</t>
  </si>
  <si>
    <t>PARÁMETROS COBERTURA BÁSICA</t>
  </si>
  <si>
    <t>PESOS ($)</t>
  </si>
  <si>
    <t>SUMA ASEGURADA</t>
  </si>
  <si>
    <t>DEDUCIBLE</t>
  </si>
  <si>
    <t>COASEGURO</t>
  </si>
  <si>
    <t>BASE HOSPITALARIA</t>
  </si>
  <si>
    <t>T.H.Q.</t>
  </si>
  <si>
    <t>CONSULTAS MÉDICAS AMBULATORIAS</t>
  </si>
  <si>
    <t>SI</t>
  </si>
  <si>
    <t>COBERTURAS OPCIONALES CON COSTO</t>
  </si>
  <si>
    <t>EMERGENCIA EN EL EXTRANJERO</t>
  </si>
  <si>
    <t>COBERTURA EN EL EXTRANJERO</t>
  </si>
  <si>
    <t>ASISTENCIA DENTAL</t>
  </si>
  <si>
    <t>IDHA</t>
  </si>
  <si>
    <t>ICF</t>
  </si>
  <si>
    <t>INCREMENTO DE SA PARA PARTO</t>
  </si>
  <si>
    <t>REDUCC COAS PAD DE NARIZ X ACC</t>
  </si>
  <si>
    <t>ELIMINACION DE DEDUCIBLE X ACC</t>
  </si>
  <si>
    <t># ASEG</t>
  </si>
  <si>
    <t>SEXO</t>
  </si>
  <si>
    <t>PRIMA</t>
  </si>
  <si>
    <t>SUBTOTAL</t>
  </si>
  <si>
    <t>GASTO DE EXPEDICION</t>
  </si>
  <si>
    <t>I.V.A</t>
  </si>
  <si>
    <t>PRIMA TOTAL ANUAL</t>
  </si>
  <si>
    <t>ANUAL</t>
  </si>
  <si>
    <t>SEMESTRAL</t>
  </si>
  <si>
    <t>TRIMESTRAL</t>
  </si>
  <si>
    <t>MENSUAL</t>
  </si>
  <si>
    <t>1er pago</t>
  </si>
  <si>
    <t>Subsec.</t>
  </si>
  <si>
    <t>TOTAL</t>
  </si>
  <si>
    <t>AGENTE:</t>
  </si>
  <si>
    <t>Esta cotización es válida por 30 días.</t>
  </si>
  <si>
    <t>Las Consultas Médicas Ambulatorias se otorgarán exclusivamente con la Red de Proveedores establecida en el Directorio Médico.</t>
  </si>
  <si>
    <t>TIPO COTI</t>
  </si>
  <si>
    <t>TIPO TAR</t>
  </si>
  <si>
    <t>DESCUENTO 10%</t>
  </si>
  <si>
    <t>FACTOR TAR INTRO</t>
  </si>
  <si>
    <t>TAR REGION</t>
  </si>
  <si>
    <t>PRIMAS NETAS</t>
  </si>
  <si>
    <t>TARIFAS POR EDAD</t>
  </si>
  <si>
    <t>TARIFAS POR QUINQUENIO - SE UTILIZAN PARA EL CALCULO</t>
  </si>
  <si>
    <t>TARIFAS POR QUINQUENIO (VALORES)</t>
  </si>
  <si>
    <t>FACTOR REG</t>
  </si>
  <si>
    <t>OK</t>
  </si>
  <si>
    <t>SUMAS ASEGURADAS</t>
  </si>
  <si>
    <t>FILA</t>
  </si>
  <si>
    <t>PRIMA DE PIVOTE</t>
  </si>
  <si>
    <t>Fomulitas no borrar</t>
  </si>
  <si>
    <t>DERECHOS DE EXPEDICIÓN</t>
  </si>
  <si>
    <t>Rango de Edad</t>
  </si>
  <si>
    <t>PMA LINEA</t>
  </si>
  <si>
    <t>CHAVEZ REZA</t>
  </si>
  <si>
    <t>NORESTE</t>
  </si>
  <si>
    <t>NUEVO LEON</t>
  </si>
  <si>
    <t>Edad</t>
  </si>
  <si>
    <t>Hombres</t>
  </si>
  <si>
    <t>Mujeres</t>
  </si>
  <si>
    <t>FACTOR</t>
  </si>
  <si>
    <t>PORCENTAJE</t>
  </si>
  <si>
    <t>POR PÓLIZA</t>
  </si>
  <si>
    <t>-</t>
  </si>
  <si>
    <t>HOMBRES</t>
  </si>
  <si>
    <t>MUJERES</t>
  </si>
  <si>
    <t>Sin IVA</t>
  </si>
  <si>
    <t>E.EXT.</t>
  </si>
  <si>
    <t>OCPION</t>
  </si>
  <si>
    <t>SA 50,000 dlls</t>
  </si>
  <si>
    <t>SA 100,000 dlls</t>
  </si>
  <si>
    <t>COBERTURA DENTAL</t>
  </si>
  <si>
    <t>TARIFA</t>
  </si>
  <si>
    <t>.</t>
  </si>
  <si>
    <t>Atención Dental +</t>
  </si>
  <si>
    <t>COB. CF</t>
  </si>
  <si>
    <t>Atención Dental Total</t>
  </si>
  <si>
    <t>COB. EXT.</t>
  </si>
  <si>
    <t>Edad 1</t>
  </si>
  <si>
    <t>SA 1</t>
  </si>
  <si>
    <t>LISTA PARA COTIZADOR</t>
  </si>
  <si>
    <t>A</t>
  </si>
  <si>
    <t>B</t>
  </si>
  <si>
    <t>C</t>
  </si>
  <si>
    <t>HOSPITAL</t>
  </si>
  <si>
    <t>BASE</t>
  </si>
  <si>
    <t>Edad 2</t>
  </si>
  <si>
    <t>SA 2</t>
  </si>
  <si>
    <t>2000</t>
  </si>
  <si>
    <t>0</t>
  </si>
  <si>
    <t>AA</t>
  </si>
  <si>
    <t>Edad 3</t>
  </si>
  <si>
    <t>SA 3</t>
  </si>
  <si>
    <t>HONORARIOS QUIRUR.</t>
  </si>
  <si>
    <t>Sin Límite</t>
  </si>
  <si>
    <t>INTERES ASEGURABLE</t>
  </si>
  <si>
    <t>DESDE (SA)</t>
  </si>
  <si>
    <t>HASTA (SA)</t>
  </si>
  <si>
    <t>DED A CONT</t>
  </si>
  <si>
    <t>Edad 4</t>
  </si>
  <si>
    <t>SA 4</t>
  </si>
  <si>
    <t>G.U.A.</t>
  </si>
  <si>
    <t>SA CONT</t>
  </si>
  <si>
    <t>Edad 5</t>
  </si>
  <si>
    <t>SA 5</t>
  </si>
  <si>
    <t>COBERTURA IDHA</t>
  </si>
  <si>
    <t>SA X DÍA DE HOSP</t>
  </si>
  <si>
    <t>SA $ 500.00 x día.</t>
  </si>
  <si>
    <t>SA $ 1,000.00 x día.</t>
  </si>
  <si>
    <t>SA $ 1,500.00 x día.</t>
  </si>
  <si>
    <t>F</t>
  </si>
  <si>
    <t>SA $ 2,000.00 x día.</t>
  </si>
  <si>
    <t>M</t>
  </si>
  <si>
    <t>Edad 6</t>
  </si>
  <si>
    <t>SA 6</t>
  </si>
  <si>
    <t>TIPO DE TARIFA</t>
  </si>
  <si>
    <t>COTIZACIÓN</t>
  </si>
  <si>
    <t>ANTIGÜEDAD</t>
  </si>
  <si>
    <t>PÓLIZA RENOVADA</t>
  </si>
  <si>
    <t>TMC</t>
  </si>
  <si>
    <t>Edad 7</t>
  </si>
  <si>
    <t>SA 7</t>
  </si>
  <si>
    <t>COBERTURA DED X ACC</t>
  </si>
  <si>
    <t>REGIÓN</t>
  </si>
  <si>
    <t>ESTADOS</t>
  </si>
  <si>
    <t>DESCUENTO HDI</t>
  </si>
  <si>
    <t>Aguascalientes</t>
  </si>
  <si>
    <t>BAJIO</t>
  </si>
  <si>
    <t>Baja California Norte</t>
  </si>
  <si>
    <t>NUEVA NOROESTE</t>
  </si>
  <si>
    <t>Baja California Sur</t>
  </si>
  <si>
    <t>Campeche</t>
  </si>
  <si>
    <t>SURESTE</t>
  </si>
  <si>
    <t>Chiapas</t>
  </si>
  <si>
    <t>SUR</t>
  </si>
  <si>
    <t>Edad 8</t>
  </si>
  <si>
    <t>SA 8</t>
  </si>
  <si>
    <t>Chihuahua</t>
  </si>
  <si>
    <t>Coahuila</t>
  </si>
  <si>
    <t>Colima</t>
  </si>
  <si>
    <t>OCCIDENTE</t>
  </si>
  <si>
    <t>D.F. y Zona Metropolitana</t>
  </si>
  <si>
    <t>Durango</t>
  </si>
  <si>
    <t>Estado de México</t>
  </si>
  <si>
    <t>ESTADO DE MÉXICO</t>
  </si>
  <si>
    <t>Guanajuato</t>
  </si>
  <si>
    <t>DED X ACC</t>
  </si>
  <si>
    <t>Guerrero</t>
  </si>
  <si>
    <t>Edad 9</t>
  </si>
  <si>
    <t>SA 9</t>
  </si>
  <si>
    <t>Hidalgo</t>
  </si>
  <si>
    <t>Jalisco</t>
  </si>
  <si>
    <t>Michoacán</t>
  </si>
  <si>
    <t>Morelos</t>
  </si>
  <si>
    <t>Nayarit</t>
  </si>
  <si>
    <t>INCREMENTO SA PARTO Y CESÁREA</t>
  </si>
  <si>
    <t>Nuevo León</t>
  </si>
  <si>
    <t>Oaxaca</t>
  </si>
  <si>
    <t>Puebla</t>
  </si>
  <si>
    <t>Edad 10</t>
  </si>
  <si>
    <t>SA 10</t>
  </si>
  <si>
    <t>Querétaro</t>
  </si>
  <si>
    <t>Quintana Roo</t>
  </si>
  <si>
    <t>SA</t>
  </si>
  <si>
    <t>San Luís Potosí</t>
  </si>
  <si>
    <t>DED</t>
  </si>
  <si>
    <t>Sinaloa</t>
  </si>
  <si>
    <t>RED COASEG PAD NARIZ X ACC</t>
  </si>
  <si>
    <t>COASEG</t>
  </si>
  <si>
    <t>Sonora</t>
  </si>
  <si>
    <t>OPCIÓN</t>
  </si>
  <si>
    <t>BH</t>
  </si>
  <si>
    <t>Tabasco</t>
  </si>
  <si>
    <t>THQ</t>
  </si>
  <si>
    <t>Tamaulipas</t>
  </si>
  <si>
    <t>EE</t>
  </si>
  <si>
    <t>Tlaxcala</t>
  </si>
  <si>
    <t>CE</t>
  </si>
  <si>
    <t>Veracruz</t>
  </si>
  <si>
    <t>DENTAL</t>
  </si>
  <si>
    <t>Yucatán</t>
  </si>
  <si>
    <t>Zacatecas</t>
  </si>
  <si>
    <t>CF</t>
  </si>
  <si>
    <t>PARTO</t>
  </si>
  <si>
    <t>NARIZ</t>
  </si>
  <si>
    <t>FACTOR TODOS</t>
  </si>
  <si>
    <t>FACTOR MUJ 20-37</t>
  </si>
  <si>
    <t>PRIMA DE TARIFA CON COB ADICIONALES</t>
  </si>
  <si>
    <t>TIPO TARIFA</t>
  </si>
  <si>
    <t>Total general</t>
  </si>
  <si>
    <t>UMAM</t>
  </si>
  <si>
    <t>Cambio2016</t>
  </si>
  <si>
    <t>SA 20 UMAM</t>
  </si>
  <si>
    <t>SA 25 UMAM</t>
  </si>
  <si>
    <t>15 UMAM</t>
  </si>
  <si>
    <t>18 UMAM</t>
  </si>
  <si>
    <t>21 UMAM</t>
  </si>
  <si>
    <t>24 UMAM</t>
  </si>
  <si>
    <t>27 UMAM</t>
  </si>
  <si>
    <t>30 UMAM</t>
  </si>
  <si>
    <t>33 UMAM</t>
  </si>
  <si>
    <t>36 UMAM</t>
  </si>
  <si>
    <t>40 UMAM</t>
  </si>
  <si>
    <t>50 UMAM</t>
  </si>
  <si>
    <t>60 UMAM</t>
  </si>
  <si>
    <t>RANGO DEDUCIBLE CONTRA (UMAM)</t>
  </si>
  <si>
    <t>UMAM ACTUAL</t>
  </si>
  <si>
    <t>SLP CR</t>
  </si>
  <si>
    <t>SLP SR</t>
  </si>
  <si>
    <t>GOLDEN 2016 - INDIVIDUAL</t>
  </si>
  <si>
    <t>FACTORES POR EDAD</t>
  </si>
  <si>
    <t>OCCIDENTE_2</t>
  </si>
  <si>
    <t>La cotización realizada en el presente cotizador deberan apegarse a las políticas internas vigentes, el deducible mínimo a contratar para venta nueva y renovaciones es de 4 UMAM.</t>
  </si>
  <si>
    <t>Baja California</t>
  </si>
  <si>
    <t>Ciudad de México y Zona Metropolitana</t>
  </si>
  <si>
    <t>FACTOR HOMBRES</t>
  </si>
  <si>
    <t>FACTOR MUJERES</t>
  </si>
  <si>
    <t>7.6</t>
  </si>
  <si>
    <t>2.0</t>
  </si>
  <si>
    <t>2.3</t>
  </si>
  <si>
    <t>2.5</t>
  </si>
  <si>
    <t>2.7</t>
  </si>
  <si>
    <t>2.9</t>
  </si>
  <si>
    <t>3.0</t>
  </si>
  <si>
    <t>3.1</t>
  </si>
  <si>
    <t>3.3</t>
  </si>
  <si>
    <t>3.5</t>
  </si>
  <si>
    <t>3.8</t>
  </si>
  <si>
    <t>4.0</t>
  </si>
  <si>
    <t>4.1</t>
  </si>
  <si>
    <t>4.5</t>
  </si>
  <si>
    <t>4.6</t>
  </si>
  <si>
    <t>4.8</t>
  </si>
  <si>
    <t>5.0</t>
  </si>
  <si>
    <t>5.3</t>
  </si>
  <si>
    <t>5.5</t>
  </si>
  <si>
    <t>5.6</t>
  </si>
  <si>
    <t>6.0</t>
  </si>
  <si>
    <t>6.1</t>
  </si>
  <si>
    <t>6.3</t>
  </si>
  <si>
    <t>6.5</t>
  </si>
  <si>
    <t>6.9</t>
  </si>
  <si>
    <t>7.0</t>
  </si>
  <si>
    <t>7.1</t>
  </si>
  <si>
    <t>7.5</t>
  </si>
  <si>
    <t>7.9</t>
  </si>
  <si>
    <t>8.0</t>
  </si>
  <si>
    <t>8.4</t>
  </si>
  <si>
    <t>8.5</t>
  </si>
  <si>
    <t>8.6</t>
  </si>
  <si>
    <t>9.0</t>
  </si>
  <si>
    <t>9.2</t>
  </si>
  <si>
    <t>9.4</t>
  </si>
  <si>
    <t>9.9</t>
  </si>
  <si>
    <t>10.0</t>
  </si>
  <si>
    <t>10.2</t>
  </si>
  <si>
    <t>10.7</t>
  </si>
  <si>
    <t>10.9</t>
  </si>
  <si>
    <t>11.0</t>
  </si>
  <si>
    <t>11.5</t>
  </si>
  <si>
    <t>11.7</t>
  </si>
  <si>
    <t>12.2</t>
  </si>
  <si>
    <t>12.5</t>
  </si>
  <si>
    <t>13.0</t>
  </si>
  <si>
    <t>13.2</t>
  </si>
  <si>
    <t>13.7</t>
  </si>
  <si>
    <t>14.0</t>
  </si>
  <si>
    <t>14.5</t>
  </si>
  <si>
    <t>14.7</t>
  </si>
  <si>
    <t>15.0</t>
  </si>
  <si>
    <t>15.3</t>
  </si>
  <si>
    <t>15.5</t>
  </si>
  <si>
    <t>16.0</t>
  </si>
  <si>
    <t>16.3</t>
  </si>
  <si>
    <t>17.2</t>
  </si>
  <si>
    <t>18.2</t>
  </si>
  <si>
    <t>19.1</t>
  </si>
  <si>
    <t>20.1</t>
  </si>
  <si>
    <t>21.0</t>
  </si>
  <si>
    <t>22.0</t>
  </si>
  <si>
    <t>22.9</t>
  </si>
  <si>
    <t>23.9</t>
  </si>
  <si>
    <t>24.8</t>
  </si>
  <si>
    <t>25.8</t>
  </si>
  <si>
    <t>26.7</t>
  </si>
  <si>
    <t>27.7</t>
  </si>
  <si>
    <t>28.6</t>
  </si>
  <si>
    <t>29.6</t>
  </si>
  <si>
    <t>30.5</t>
  </si>
  <si>
    <t>31.5</t>
  </si>
  <si>
    <t>32.5</t>
  </si>
  <si>
    <t>33.5</t>
  </si>
  <si>
    <t>34.4</t>
  </si>
  <si>
    <t>35.4</t>
  </si>
  <si>
    <t>NOROESTE</t>
  </si>
  <si>
    <t>OCCIDENTE_2 / BAJIO</t>
  </si>
  <si>
    <t>OCCIDENTE_2/ BAJIO</t>
  </si>
  <si>
    <t>GS013981</t>
  </si>
  <si>
    <t>GS013987</t>
  </si>
  <si>
    <t>GS013997</t>
  </si>
  <si>
    <t>GS013998</t>
  </si>
  <si>
    <t>GS013999</t>
  </si>
  <si>
    <t>GS014000</t>
  </si>
  <si>
    <t>GS014002</t>
  </si>
  <si>
    <t>GS014003</t>
  </si>
  <si>
    <t>GS014012</t>
  </si>
  <si>
    <t>GS014037</t>
  </si>
  <si>
    <t>GS014038</t>
  </si>
  <si>
    <t>GS014039</t>
  </si>
  <si>
    <t>GS014054</t>
  </si>
  <si>
    <t>GS014065</t>
  </si>
  <si>
    <t>GS014083</t>
  </si>
  <si>
    <t>GS014159</t>
  </si>
  <si>
    <t>GS014175</t>
  </si>
  <si>
    <t>GS014195</t>
  </si>
  <si>
    <t>GS014205</t>
  </si>
  <si>
    <t>GS014208</t>
  </si>
  <si>
    <t>GS014225</t>
  </si>
  <si>
    <t>GS014233</t>
  </si>
  <si>
    <t>GS014243</t>
  </si>
  <si>
    <t>GS014257</t>
  </si>
  <si>
    <t>GS014272</t>
  </si>
  <si>
    <t>GS014294</t>
  </si>
  <si>
    <t>GS014321</t>
  </si>
  <si>
    <t>GS014368</t>
  </si>
  <si>
    <t>GS014385</t>
  </si>
  <si>
    <t>GS014396</t>
  </si>
  <si>
    <t>GS014402</t>
  </si>
  <si>
    <t>GS014404</t>
  </si>
  <si>
    <t>GS014438</t>
  </si>
  <si>
    <t>GS014445</t>
  </si>
  <si>
    <t>GS014453</t>
  </si>
  <si>
    <t>GS014463</t>
  </si>
  <si>
    <t>GS014464</t>
  </si>
  <si>
    <t>GS014468</t>
  </si>
  <si>
    <t>GS014477</t>
  </si>
  <si>
    <t>GS014485</t>
  </si>
  <si>
    <t>GS014486</t>
  </si>
  <si>
    <t>GS014494</t>
  </si>
  <si>
    <t>GS014495</t>
  </si>
  <si>
    <t>GS014498</t>
  </si>
  <si>
    <t>GS014509</t>
  </si>
  <si>
    <t>GS014517</t>
  </si>
  <si>
    <t>GS014521</t>
  </si>
  <si>
    <t>GS014522</t>
  </si>
  <si>
    <t>GS014541</t>
  </si>
  <si>
    <t>GS014548</t>
  </si>
  <si>
    <t>GS014557</t>
  </si>
  <si>
    <t>GS014558</t>
  </si>
  <si>
    <t>GS014579</t>
  </si>
  <si>
    <t>GS014612</t>
  </si>
  <si>
    <t>GS014625</t>
  </si>
  <si>
    <t>GS014635</t>
  </si>
  <si>
    <t>GS014636</t>
  </si>
  <si>
    <t>GS014642</t>
  </si>
  <si>
    <t>GS014667</t>
  </si>
  <si>
    <t>GS014676</t>
  </si>
  <si>
    <t>GS014688</t>
  </si>
  <si>
    <t>GS014699</t>
  </si>
  <si>
    <t>GS014715</t>
  </si>
  <si>
    <t>GS014727</t>
  </si>
  <si>
    <t>GS014780</t>
  </si>
  <si>
    <t>GS014792</t>
  </si>
  <si>
    <t>GS014881</t>
  </si>
  <si>
    <t>GS014913</t>
  </si>
  <si>
    <t>GS014917</t>
  </si>
  <si>
    <t>GS014994</t>
  </si>
  <si>
    <t>GS015016</t>
  </si>
  <si>
    <t>GS015060</t>
  </si>
  <si>
    <t>GS015190</t>
  </si>
  <si>
    <t>GS015213</t>
  </si>
  <si>
    <t>GS015231</t>
  </si>
  <si>
    <t>GS015243</t>
  </si>
  <si>
    <t>GS015258</t>
  </si>
  <si>
    <t>GS015268</t>
  </si>
  <si>
    <t>GS015270</t>
  </si>
  <si>
    <t>GS015295</t>
  </si>
  <si>
    <t>GS015299</t>
  </si>
  <si>
    <t>GS015330</t>
  </si>
  <si>
    <t>GS015357</t>
  </si>
  <si>
    <t>GS015369</t>
  </si>
  <si>
    <t>GS015420</t>
  </si>
  <si>
    <t>GS015457</t>
  </si>
  <si>
    <t>GS015480</t>
  </si>
  <si>
    <t>GS015566</t>
  </si>
  <si>
    <t>GS015573</t>
  </si>
  <si>
    <t>GS015672</t>
  </si>
  <si>
    <t>GS015718</t>
  </si>
  <si>
    <t>GS015741</t>
  </si>
  <si>
    <t>GS015807</t>
  </si>
  <si>
    <t>GS015819</t>
  </si>
  <si>
    <t>GS015825</t>
  </si>
  <si>
    <t>GS015831</t>
  </si>
  <si>
    <t>GS015867</t>
  </si>
  <si>
    <t>GS015888</t>
  </si>
  <si>
    <t>GS015913</t>
  </si>
  <si>
    <t>GS015924</t>
  </si>
  <si>
    <t>GS015928</t>
  </si>
  <si>
    <t>GS016064</t>
  </si>
  <si>
    <t>GS016079</t>
  </si>
  <si>
    <t>GS016094</t>
  </si>
  <si>
    <t>GS016108</t>
  </si>
  <si>
    <t>GS016134</t>
  </si>
  <si>
    <t>GS016170</t>
  </si>
  <si>
    <t>GS016191</t>
  </si>
  <si>
    <t>GS016264</t>
  </si>
  <si>
    <t>GS016265</t>
  </si>
  <si>
    <t>GS016268</t>
  </si>
  <si>
    <t>GS016275</t>
  </si>
  <si>
    <t>GS016296</t>
  </si>
  <si>
    <t>GS016316</t>
  </si>
  <si>
    <t>GS016363</t>
  </si>
  <si>
    <t>GS016366</t>
  </si>
  <si>
    <t>GS016369</t>
  </si>
  <si>
    <t>GS016383</t>
  </si>
  <si>
    <t>GS016523</t>
  </si>
  <si>
    <t>GS016553</t>
  </si>
  <si>
    <t>GS016576</t>
  </si>
  <si>
    <t>GS016600</t>
  </si>
  <si>
    <t>GS016620</t>
  </si>
  <si>
    <t>GS016644</t>
  </si>
  <si>
    <t>GS016669</t>
  </si>
  <si>
    <t>GS017098</t>
  </si>
  <si>
    <t>GS017245</t>
  </si>
  <si>
    <t>GS017471</t>
  </si>
  <si>
    <t>GS017501</t>
  </si>
  <si>
    <t>GS017533</t>
  </si>
  <si>
    <t>GS017608</t>
  </si>
  <si>
    <t>GS017609</t>
  </si>
  <si>
    <t>GS017610</t>
  </si>
  <si>
    <t>GS017649</t>
  </si>
  <si>
    <t>GS017739</t>
  </si>
  <si>
    <t>GS017760</t>
  </si>
  <si>
    <t>GS017761</t>
  </si>
  <si>
    <t>GS017789</t>
  </si>
  <si>
    <t>GS018021</t>
  </si>
  <si>
    <t>GS018236</t>
  </si>
  <si>
    <t>GS018266</t>
  </si>
  <si>
    <t>GS018479</t>
  </si>
  <si>
    <t>GS018491</t>
  </si>
  <si>
    <t>GS018507</t>
  </si>
  <si>
    <t>GS018517</t>
  </si>
  <si>
    <t>GS018524</t>
  </si>
  <si>
    <t>GS018560</t>
  </si>
  <si>
    <t>GS018598</t>
  </si>
  <si>
    <t>GS018627</t>
  </si>
  <si>
    <t>GS018641</t>
  </si>
  <si>
    <t>GS018648</t>
  </si>
  <si>
    <t>GS018664</t>
  </si>
  <si>
    <t>GS018685</t>
  </si>
  <si>
    <t>GS018705</t>
  </si>
  <si>
    <t>GS018710</t>
  </si>
  <si>
    <t>GS018714</t>
  </si>
  <si>
    <t>GS018726</t>
  </si>
  <si>
    <t>GS018735</t>
  </si>
  <si>
    <t>GS018743</t>
  </si>
  <si>
    <t>GS018745</t>
  </si>
  <si>
    <t>GS018779</t>
  </si>
  <si>
    <t>GS018827</t>
  </si>
  <si>
    <t>GS018863</t>
  </si>
  <si>
    <t>GS018910</t>
  </si>
  <si>
    <t>GS018935</t>
  </si>
  <si>
    <t>GS018980</t>
  </si>
  <si>
    <t>GS019016</t>
  </si>
  <si>
    <t>GS019042</t>
  </si>
  <si>
    <t>GS019125</t>
  </si>
  <si>
    <t>GS019135</t>
  </si>
  <si>
    <t>GS019194</t>
  </si>
  <si>
    <t>GS019204</t>
  </si>
  <si>
    <t>GS019237</t>
  </si>
  <si>
    <t>GS019351</t>
  </si>
  <si>
    <t>GS019417</t>
  </si>
  <si>
    <t>GS019479</t>
  </si>
  <si>
    <t>GS019541</t>
  </si>
  <si>
    <t>GS019548</t>
  </si>
  <si>
    <t>GS019562</t>
  </si>
  <si>
    <t>GS019572</t>
  </si>
  <si>
    <t>GS019597</t>
  </si>
  <si>
    <t>GS019634</t>
  </si>
  <si>
    <t>GS019637</t>
  </si>
  <si>
    <t>GS019640</t>
  </si>
  <si>
    <t>GS019643</t>
  </si>
  <si>
    <t>GS019656</t>
  </si>
  <si>
    <t>GS019680</t>
  </si>
  <si>
    <t>GS019686</t>
  </si>
  <si>
    <t>GS019724</t>
  </si>
  <si>
    <t>GS019770</t>
  </si>
  <si>
    <t>GS019825</t>
  </si>
  <si>
    <t>GS019828</t>
  </si>
  <si>
    <t>GS019933</t>
  </si>
  <si>
    <t>GS019994</t>
  </si>
  <si>
    <t>GS019995</t>
  </si>
  <si>
    <t>GS020024</t>
  </si>
  <si>
    <t>GS020078</t>
  </si>
  <si>
    <t>GS020082</t>
  </si>
  <si>
    <t>Pólizas SLP</t>
  </si>
  <si>
    <t>PÓLIZA OK</t>
  </si>
  <si>
    <t>PÓLIZA</t>
  </si>
  <si>
    <t>PÓLIZA*SLP</t>
  </si>
  <si>
    <t>Esta cotización incluye el beneficio de asistencia médica telefónica en Estados Unidos, a excepción en los estados de Arkansas y Idaho.</t>
  </si>
  <si>
    <t>ESTADO DE ATENCIÓN:</t>
  </si>
  <si>
    <t>CDMX y Zona Metro</t>
  </si>
  <si>
    <t>EDO MEX</t>
  </si>
  <si>
    <t>OCCIDENTE 2</t>
  </si>
  <si>
    <t>CDMX y Zona Metropolitana</t>
  </si>
  <si>
    <t>Noreste</t>
  </si>
  <si>
    <t>Sur</t>
  </si>
  <si>
    <t>Bajío</t>
  </si>
  <si>
    <t>Occidente 2</t>
  </si>
  <si>
    <t>Occidente</t>
  </si>
  <si>
    <t>Noroeste</t>
  </si>
  <si>
    <t>Sureste</t>
  </si>
  <si>
    <t>Estado</t>
  </si>
  <si>
    <t>Región</t>
  </si>
  <si>
    <t>Región contratada</t>
  </si>
  <si>
    <t>Región de atención:</t>
  </si>
  <si>
    <t xml:space="preserve">Zona
de atención </t>
  </si>
  <si>
    <t>Si el Asegurado decide acudir a un Hospital, Clínica o Sanatorio que no se encuentre dentro de la Base Hospitalaria correspondiente a su plan contratado y siempre que este pertenezca a una jerarquía mayor a su base contratada, además del coaseguro correspondiente al plan contratado, pagará veinte (20) puntos porcentuales adicionales sobre los gastos cubiertos, por cada nivel de base hospitalaria superior a la contratada. El Asegurado pagará veinte (20) puntos porcentuales adicionales al coaseguro correspondiente al plan contratado en todos los casos independientemente de que sea Pago Directo o Reembolso.</t>
  </si>
  <si>
    <t>JERARQUÍA</t>
  </si>
  <si>
    <t>ZONA DE ATENCIÓN</t>
  </si>
  <si>
    <t>ESTADO O LOCALIDAD</t>
  </si>
  <si>
    <t>Colindante</t>
  </si>
  <si>
    <t>Nuevo león</t>
  </si>
  <si>
    <t>Campeche, Quintana Roo, Tabasco y Yucatán</t>
  </si>
  <si>
    <t>Indicador de región</t>
  </si>
  <si>
    <t xml:space="preserve">CDMX y los Municipios de Atizapán de Zaragoza, Naucalpan de Juárez, Tlalnepantla, Cuautitlán Izcalli, Cuautitlán, Tultitlán, Ecatepec, Coacalco, Texcoco, Nezahualcóyotl, Huixquilucan, Nicolás Romero, Los Reyes la Paz, Tecámac y Chimalhuacán, </t>
  </si>
  <si>
    <r>
      <t xml:space="preserve">Hidalgo, Morelos y </t>
    </r>
    <r>
      <rPr>
        <sz val="9.5"/>
        <color rgb="FF222222"/>
        <rFont val="Arial"/>
        <family val="2"/>
      </rPr>
      <t xml:space="preserve">los municipios del Estado de México no mencionados en la Zona de Atención </t>
    </r>
    <r>
      <rPr>
        <sz val="11"/>
        <color theme="1"/>
        <rFont val="Times New Roman"/>
        <family val="1"/>
      </rPr>
      <t xml:space="preserve">CDMX y Zona Metropolitana, </t>
    </r>
  </si>
  <si>
    <t xml:space="preserve">Nuevo León, </t>
  </si>
  <si>
    <t xml:space="preserve">Coahuila, Durango, Tamaulipas, </t>
  </si>
  <si>
    <t xml:space="preserve">Chiapas, Guerrero, Oaxaca, Puebla, Tlaxcala, Veracruz, </t>
  </si>
  <si>
    <t xml:space="preserve">Aguascalientes, Guanajuato, Querétaro, San Luis Potosí  Zacatecas, </t>
  </si>
  <si>
    <t xml:space="preserve">Michoacán, Sinaloa, </t>
  </si>
  <si>
    <t xml:space="preserve">Colima, Jalisco, Nayarit, </t>
  </si>
  <si>
    <t xml:space="preserve">Baja California, Baja California Sur, Chihuahua, Sonora, </t>
  </si>
  <si>
    <t>GS017062</t>
  </si>
  <si>
    <t>GS022727</t>
  </si>
  <si>
    <t>GS1002638</t>
  </si>
  <si>
    <t>GS017560</t>
  </si>
  <si>
    <t>GS020506</t>
  </si>
  <si>
    <t>AA MONTERREY</t>
  </si>
  <si>
    <t>GS021002</t>
  </si>
  <si>
    <t xml:space="preserve"> </t>
  </si>
  <si>
    <t>Tarifas vigentes a partir del 15 de Julio del 2019  y hasta el 14 de Julio del 2020</t>
  </si>
  <si>
    <t>En atención a :</t>
  </si>
  <si>
    <t>Vigencia:</t>
  </si>
  <si>
    <t>Entidad Federativa de Atención:</t>
  </si>
  <si>
    <t xml:space="preserve">*Se considera que los Solicitantes en la presente cotización tienen actividades administrativas.  En caso de realizar actividades peligrosas o expuestas a algún riesgo, la cotización no será válida.
</t>
  </si>
  <si>
    <t>PARÁMETROS A CONTRATAR</t>
  </si>
  <si>
    <t>Suma Asegurada</t>
  </si>
  <si>
    <t>Deducible</t>
  </si>
  <si>
    <t>Coaseguro</t>
  </si>
  <si>
    <t>Tope Máximo de Coaseguro</t>
  </si>
  <si>
    <t>Base Hospitalaria</t>
  </si>
  <si>
    <t>Tabla de Honorarios Médico Quirúrgicos</t>
  </si>
  <si>
    <t>COBERTURAS OPCIONALES</t>
  </si>
  <si>
    <t>Consultas Médica Ambulatorias</t>
  </si>
  <si>
    <t>AMPARADA</t>
  </si>
  <si>
    <t>Asistencia Médica</t>
  </si>
  <si>
    <t>Asistencia Funeraria</t>
  </si>
  <si>
    <t>Asistencia Dental</t>
  </si>
  <si>
    <t>Reducción de Coaseguro en Padecimientos de Nariz o Senos
Paranasales derivados de un Accidente</t>
  </si>
  <si>
    <t>Emergencia en el Extranjero</t>
  </si>
  <si>
    <t>PROPUESTA</t>
  </si>
  <si>
    <t>FRECUENCIA DE PAGO</t>
  </si>
  <si>
    <t>SOLICITANTES</t>
  </si>
  <si>
    <t>PRIMA NETA</t>
  </si>
  <si>
    <t>GASTOS DE EXPEDICIÓN</t>
  </si>
  <si>
    <t>I.V.A.</t>
  </si>
  <si>
    <t>PRIMA TOTAL</t>
  </si>
  <si>
    <t>Anual</t>
  </si>
  <si>
    <t>Semestral</t>
  </si>
  <si>
    <t>Trimestral</t>
  </si>
  <si>
    <t>Mensual</t>
  </si>
  <si>
    <t>Primer Pago</t>
  </si>
  <si>
    <t>Pagos Subsecuentes</t>
  </si>
  <si>
    <t>Nombre del Agente:</t>
  </si>
  <si>
    <t>Oficina:</t>
  </si>
  <si>
    <t>Clave del Agente:</t>
  </si>
  <si>
    <t>Elaboró:</t>
  </si>
  <si>
    <t>PLAN SEGURO AGRADECE TU PREFERENCIA</t>
  </si>
  <si>
    <t>Esta cotización incluye el beneficio de Dr. Amigo (Asistencia Médica Telefónica en Estados Unidos, excepto en Arkansas e Idaho).</t>
  </si>
  <si>
    <t>1 El costo es con base en la zona de residencia del Contratante. A: Toda el Área Nacional comprendida dentro de la franja fronteriza norte de 20 km., B: Baja California Norte y Sur, Sonora, Chihuahua, Coahuila, Nuevo León y Tamaulipas (exceptuando la franja fronteriza Norte) así como Campeche, Yucatán y Quintana Roo, y C: El resto del país.</t>
  </si>
  <si>
    <t>2 La Suma Asegurada está en pesos por día.</t>
  </si>
  <si>
    <t>3 Aplica únicamente para Solicitantes mujeres.</t>
  </si>
  <si>
    <t>4 Aplica únicamente si el Deducible seleccionado es de 4 UMAM hasta 10 UMAM.</t>
  </si>
  <si>
    <t>04/09/2019 al 04/09/2020</t>
  </si>
  <si>
    <t>Entidad Federativa de Tarificación:</t>
  </si>
  <si>
    <t>Incremento de Suma Asegurada para 
Parto y Cesárea</t>
  </si>
  <si>
    <t>SIN ASISTENCIAS</t>
  </si>
  <si>
    <t>AMPARADA 
CON COASEGURO DEL 50%</t>
  </si>
  <si>
    <t>CON ASISTENCIAS</t>
  </si>
  <si>
    <t xml:space="preserve">                 </t>
  </si>
  <si>
    <r>
      <t>Cobertura en el Extranjero</t>
    </r>
    <r>
      <rPr>
        <b/>
        <vertAlign val="superscript"/>
        <sz val="28"/>
        <color rgb="FF003B71"/>
        <rFont val="Calibri"/>
        <family val="2"/>
        <scheme val="minor"/>
      </rPr>
      <t>1</t>
    </r>
  </si>
  <si>
    <r>
      <t>Indemnización Diaria por Hospitalización por Accidente</t>
    </r>
    <r>
      <rPr>
        <b/>
        <vertAlign val="superscript"/>
        <sz val="28"/>
        <color rgb="FF003B71"/>
        <rFont val="Calibri"/>
        <family val="2"/>
        <scheme val="minor"/>
      </rPr>
      <t>2</t>
    </r>
  </si>
  <si>
    <r>
      <t>Indemnización por Cáncer Femenino</t>
    </r>
    <r>
      <rPr>
        <b/>
        <vertAlign val="superscript"/>
        <sz val="28"/>
        <color rgb="FF003B71"/>
        <rFont val="Calibri"/>
        <family val="2"/>
        <scheme val="minor"/>
      </rPr>
      <t>3</t>
    </r>
  </si>
  <si>
    <t>Esta cotización fue realizada con base en los datos proporcionados. Los costos presentados están sujetos a la contratación total de la población presentada y a las edades y sexos correctos para la población asegurada, estos costos son válidos por 30 días a partir de su elaboración o a la fecha de cambio de tarifa (lo que suceda primero), siempre y cuando no se alteren las condiciones bajo las cuales se elaboró la cotización y se encuentra sujeta a cambios.</t>
  </si>
  <si>
    <t>PSSAI-DDA-19112019</t>
  </si>
  <si>
    <t>Se actualizó al valor de la UMAM de 2020</t>
  </si>
  <si>
    <t>DDA-GSICOT-01-02-2020</t>
  </si>
  <si>
    <t>*UMAM.- Unidad de Medida y Actualización Mensual. El valor de la UMAM vigente es de $2,641.15</t>
  </si>
  <si>
    <t xml:space="preserve">GRUPO ONIX AGENTE DE SEGUROS SA DE CV </t>
  </si>
  <si>
    <t>SIN NOMBRE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</si>
</sst>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
    <numFmt numFmtId="44" formatCode="_-&quot;$&quot;* #,##0.00_-;\-&quot;$&quot;* #,##0.00_-;_-&quot;$&quot;* &quot;-&quot;??_-;_-@_-"/>
    <numFmt numFmtId="43" formatCode="_-* #,##0.00_-;\-* #,##0.00_-;_-* &quot;-&quot;??_-;_-@_-"/>
    <numFmt numFmtId="164" formatCode="0.0000"/>
    <numFmt numFmtId="165" formatCode="#,##0.0000"/>
    <numFmt numFmtId="166" formatCode="0.0"/>
    <numFmt numFmtId="167" formatCode="#,##0.0"/>
    <numFmt numFmtId="168" formatCode="0.000"/>
    <numFmt numFmtId="169" formatCode="_-* #,##0_-;\-* #,##0_-;_-* &quot;-&quot;??_-;_-@_-"/>
    <numFmt numFmtId="170" formatCode="&quot;$&quot;#,##0.00"/>
    <numFmt numFmtId="171" formatCode="_-* #,##0.0000_-;\-* #,##0.0000_-;_-* &quot;-&quot;??_-;_-@_-"/>
    <numFmt numFmtId="172" formatCode="0.0%"/>
    <numFmt numFmtId="173" formatCode="#,##0.00_ ;[Red]\-#,##0.00\ "/>
    <numFmt numFmtId="174" formatCode="0.00000000"/>
  </numFmts>
  <fonts count="72" x14ac:knownFonts="1">
    <font>
      <sz val="11"/>
      <color theme="1"/>
      <name val="Calibri"/>
      <family val="2"/>
      <scheme val="minor"/>
    </font>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color theme="1"/>
      <name val="Calibri"/>
      <family val="2"/>
    </font>
    <font>
      <sz val="10"/>
      <name val="Arial"/>
      <family val="2"/>
    </font>
    <font>
      <sz val="9"/>
      <name val="Arial"/>
      <family val="2"/>
    </font>
    <font>
      <sz val="10"/>
      <name val="Tahoma"/>
      <family val="2"/>
    </font>
    <font>
      <b/>
      <sz val="11"/>
      <name val="Arial"/>
      <family val="2"/>
    </font>
    <font>
      <b/>
      <sz val="9"/>
      <color rgb="FF7030A0"/>
      <name val="Arial"/>
      <family val="2"/>
    </font>
    <font>
      <b/>
      <sz val="9"/>
      <name val="Arial"/>
      <family val="2"/>
    </font>
    <font>
      <b/>
      <sz val="9"/>
      <color theme="0"/>
      <name val="Arial"/>
      <family val="2"/>
    </font>
    <font>
      <sz val="9"/>
      <color indexed="8"/>
      <name val="Arial"/>
      <family val="2"/>
    </font>
    <font>
      <sz val="11"/>
      <color indexed="8"/>
      <name val="Calibri"/>
      <family val="2"/>
    </font>
    <font>
      <sz val="11"/>
      <name val="Calibri"/>
      <family val="2"/>
      <scheme val="minor"/>
    </font>
    <font>
      <sz val="8"/>
      <name val="Calibri"/>
      <family val="2"/>
    </font>
    <font>
      <sz val="12"/>
      <color indexed="9"/>
      <name val="Calibri"/>
      <family val="2"/>
    </font>
    <font>
      <sz val="12"/>
      <name val="Arial"/>
      <family val="2"/>
    </font>
    <font>
      <b/>
      <sz val="18"/>
      <color indexed="18"/>
      <name val="Calibri"/>
      <family val="2"/>
    </font>
    <font>
      <sz val="14"/>
      <color indexed="9"/>
      <name val="Calibri"/>
      <family val="2"/>
    </font>
    <font>
      <sz val="12"/>
      <color indexed="10"/>
      <name val="Calibri"/>
      <family val="2"/>
    </font>
    <font>
      <b/>
      <sz val="12"/>
      <color indexed="9"/>
      <name val="Calibri"/>
      <family val="2"/>
    </font>
    <font>
      <b/>
      <sz val="16"/>
      <color rgb="FF000066"/>
      <name val="Calibri"/>
      <family val="2"/>
    </font>
    <font>
      <b/>
      <sz val="12"/>
      <color rgb="FF000066"/>
      <name val="Calibri"/>
      <family val="2"/>
    </font>
    <font>
      <sz val="12"/>
      <name val="Calibri"/>
      <family val="2"/>
    </font>
    <font>
      <sz val="12"/>
      <color rgb="FF000066"/>
      <name val="Calibri"/>
      <family val="2"/>
    </font>
    <font>
      <b/>
      <sz val="12"/>
      <name val="Calibri"/>
      <family val="2"/>
    </font>
    <font>
      <b/>
      <sz val="12"/>
      <color theme="0"/>
      <name val="Calibri"/>
      <family val="2"/>
    </font>
    <font>
      <b/>
      <sz val="13"/>
      <color rgb="FF000066"/>
      <name val="Calibri"/>
      <family val="2"/>
    </font>
    <font>
      <b/>
      <sz val="13"/>
      <name val="Calibri"/>
      <family val="2"/>
    </font>
    <font>
      <sz val="12"/>
      <color theme="0"/>
      <name val="Calibri"/>
      <family val="2"/>
    </font>
    <font>
      <b/>
      <sz val="12"/>
      <name val="Calibri"/>
      <family val="2"/>
      <scheme val="minor"/>
    </font>
    <font>
      <sz val="12"/>
      <name val="Calibri"/>
      <family val="2"/>
      <scheme val="minor"/>
    </font>
    <font>
      <b/>
      <i/>
      <sz val="11.5"/>
      <color rgb="FF001B4C"/>
      <name val="Calibri"/>
      <family val="2"/>
    </font>
    <font>
      <b/>
      <sz val="12"/>
      <color indexed="8"/>
      <name val="Calibri"/>
      <family val="2"/>
    </font>
    <font>
      <sz val="14"/>
      <name val="Calibri"/>
      <family val="2"/>
    </font>
    <font>
      <sz val="14"/>
      <color theme="0"/>
      <name val="Calibri"/>
      <family val="2"/>
    </font>
    <font>
      <sz val="10"/>
      <name val="Calibri"/>
      <family val="2"/>
    </font>
    <font>
      <b/>
      <sz val="14"/>
      <color indexed="9"/>
      <name val="Calibri"/>
      <family val="2"/>
    </font>
    <font>
      <b/>
      <sz val="14"/>
      <color rgb="FF000066"/>
      <name val="Calibri"/>
      <family val="2"/>
    </font>
    <font>
      <sz val="14"/>
      <color rgb="FF000066"/>
      <name val="Calibri"/>
      <family val="2"/>
    </font>
    <font>
      <b/>
      <sz val="14"/>
      <name val="Calibri"/>
      <family val="2"/>
    </font>
    <font>
      <b/>
      <i/>
      <sz val="14"/>
      <name val="Calibri"/>
      <family val="2"/>
    </font>
    <font>
      <sz val="11"/>
      <color theme="0"/>
      <name val="Calibri"/>
      <family val="2"/>
      <scheme val="minor"/>
    </font>
    <font>
      <sz val="14"/>
      <color theme="1"/>
      <name val="Calibri"/>
      <family val="2"/>
    </font>
    <font>
      <b/>
      <i/>
      <sz val="11"/>
      <name val="Calibri"/>
      <family val="2"/>
      <scheme val="minor"/>
    </font>
    <font>
      <b/>
      <i/>
      <sz val="11"/>
      <color rgb="FF000066"/>
      <name val="Calibri"/>
      <family val="2"/>
      <scheme val="minor"/>
    </font>
    <font>
      <b/>
      <sz val="11"/>
      <name val="Calibri"/>
      <family val="2"/>
      <scheme val="minor"/>
    </font>
    <font>
      <b/>
      <sz val="9"/>
      <color rgb="FF000066"/>
      <name val="Calibri"/>
      <family val="2"/>
    </font>
    <font>
      <b/>
      <sz val="11"/>
      <color theme="1"/>
      <name val="Calibri"/>
      <family val="2"/>
    </font>
    <font>
      <b/>
      <sz val="12"/>
      <color rgb="FFFF0000"/>
      <name val="Arial"/>
      <family val="2"/>
    </font>
    <font>
      <b/>
      <sz val="11"/>
      <color theme="1"/>
      <name val="Times New Roman"/>
      <family val="1"/>
    </font>
    <font>
      <sz val="11"/>
      <color theme="1"/>
      <name val="Times New Roman"/>
      <family val="1"/>
    </font>
    <font>
      <sz val="9.5"/>
      <color rgb="FF222222"/>
      <name val="Arial"/>
      <family val="2"/>
    </font>
    <font>
      <b/>
      <sz val="14"/>
      <name val="Calibri"/>
      <family val="2"/>
      <scheme val="minor"/>
    </font>
    <font>
      <sz val="9"/>
      <color indexed="81"/>
      <name val="Tahoma"/>
      <family val="2"/>
    </font>
    <font>
      <b/>
      <sz val="9"/>
      <color indexed="81"/>
      <name val="Tahoma"/>
      <family val="2"/>
    </font>
    <font>
      <sz val="18"/>
      <color theme="1"/>
      <name val="Calibri"/>
      <family val="2"/>
      <scheme val="minor"/>
    </font>
    <font>
      <sz val="18"/>
      <color theme="1"/>
      <name val="Arial"/>
      <family val="2"/>
    </font>
    <font>
      <sz val="22"/>
      <color theme="1"/>
      <name val="Calibri"/>
      <family val="2"/>
      <scheme val="minor"/>
    </font>
    <font>
      <sz val="24"/>
      <color theme="1"/>
      <name val="Calibri"/>
      <family val="2"/>
      <scheme val="minor"/>
    </font>
    <font>
      <sz val="24"/>
      <color rgb="FF003B71"/>
      <name val="Arial"/>
      <family val="2"/>
    </font>
    <font>
      <sz val="24"/>
      <color theme="1"/>
      <name val="Arial"/>
      <family val="2"/>
    </font>
    <font>
      <b/>
      <sz val="18"/>
      <color theme="1"/>
      <name val="Calibri"/>
      <family val="2"/>
      <scheme val="minor"/>
    </font>
    <font>
      <b/>
      <sz val="24"/>
      <color theme="1"/>
      <name val="Calibri"/>
      <family val="2"/>
      <scheme val="minor"/>
    </font>
    <font>
      <sz val="28"/>
      <color theme="1"/>
      <name val="Calibri"/>
      <family val="2"/>
      <scheme val="minor"/>
    </font>
    <font>
      <b/>
      <sz val="28"/>
      <color theme="0"/>
      <name val="Calibri"/>
      <family val="2"/>
      <scheme val="minor"/>
    </font>
    <font>
      <sz val="28"/>
      <color rgb="FF003B71"/>
      <name val="Calibri"/>
      <family val="2"/>
      <scheme val="minor"/>
    </font>
    <font>
      <b/>
      <sz val="28"/>
      <color rgb="FF003B71"/>
      <name val="Calibri"/>
      <family val="2"/>
      <scheme val="minor"/>
    </font>
    <font>
      <sz val="28"/>
      <color theme="0"/>
      <name val="Calibri"/>
      <family val="2"/>
      <scheme val="minor"/>
    </font>
    <font>
      <b/>
      <vertAlign val="superscript"/>
      <sz val="28"/>
      <color rgb="FF003B71"/>
      <name val="Calibri"/>
      <family val="2"/>
      <scheme val="minor"/>
    </font>
  </fonts>
  <fills count="26">
    <fill>
      <patternFill patternType="none"/>
    </fill>
    <fill>
      <patternFill patternType="gray125"/>
    </fill>
    <fill>
      <patternFill patternType="solid">
        <fgColor rgb="FF66FFFF"/>
        <bgColor indexed="64"/>
      </patternFill>
    </fill>
    <fill>
      <patternFill patternType="solid">
        <fgColor rgb="FF00206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rgb="FFFFFF00"/>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indexed="9"/>
        <bgColor indexed="64"/>
      </patternFill>
    </fill>
    <fill>
      <patternFill patternType="solid">
        <fgColor indexed="9"/>
        <bgColor indexed="57"/>
      </patternFill>
    </fill>
    <fill>
      <patternFill patternType="solid">
        <fgColor rgb="FFC3A835"/>
        <bgColor indexed="64"/>
      </patternFill>
    </fill>
    <fill>
      <patternFill patternType="solid">
        <fgColor rgb="FF001B4C"/>
        <bgColor indexed="57"/>
      </patternFill>
    </fill>
    <fill>
      <patternFill patternType="solid">
        <fgColor rgb="FF000066"/>
        <bgColor indexed="64"/>
      </patternFill>
    </fill>
    <fill>
      <patternFill patternType="solid">
        <fgColor theme="0"/>
        <bgColor indexed="64"/>
      </patternFill>
    </fill>
    <fill>
      <patternFill patternType="solid">
        <fgColor theme="0"/>
        <bgColor indexed="57"/>
      </patternFill>
    </fill>
    <fill>
      <patternFill patternType="solid">
        <fgColor rgb="FFFFC000"/>
        <bgColor indexed="64"/>
      </patternFill>
    </fill>
    <fill>
      <patternFill patternType="solid">
        <fgColor theme="4" tint="-0.499984740745262"/>
        <bgColor indexed="64"/>
      </patternFill>
    </fill>
    <fill>
      <patternFill patternType="solid">
        <fgColor theme="3" tint="0.59999389629810485"/>
        <bgColor indexed="64"/>
      </patternFill>
    </fill>
    <fill>
      <patternFill patternType="solid">
        <fgColor rgb="FF17365D"/>
        <bgColor indexed="64"/>
      </patternFill>
    </fill>
    <fill>
      <patternFill patternType="solid">
        <fgColor rgb="FF003B71"/>
        <bgColor indexed="64"/>
      </patternFill>
    </fill>
    <fill>
      <patternFill patternType="solid">
        <fgColor theme="3" tint="0.79998168889431442"/>
        <bgColor indexed="64"/>
      </patternFill>
    </fill>
    <fill>
      <patternFill patternType="solid">
        <fgColor theme="7" tint="0.59999389629810485"/>
        <bgColor indexed="64"/>
      </patternFill>
    </fill>
    <fill>
      <patternFill patternType="gray125">
        <fgColor rgb="FF003B71"/>
      </patternFill>
    </fill>
  </fills>
  <borders count="106">
    <border>
      <left/>
      <right/>
      <top/>
      <bottom/>
      <diagonal/>
    </border>
    <border>
      <left style="medium">
        <color rgb="FF00B050"/>
      </left>
      <right style="medium">
        <color rgb="FF00B050"/>
      </right>
      <top style="medium">
        <color rgb="FF00B050"/>
      </top>
      <bottom style="medium">
        <color rgb="FF00B050"/>
      </bottom>
      <diagonal/>
    </border>
    <border>
      <left style="medium">
        <color rgb="FF00B050"/>
      </left>
      <right style="medium">
        <color rgb="FF00B050"/>
      </right>
      <top style="medium">
        <color rgb="FF00B050"/>
      </top>
      <bottom/>
      <diagonal/>
    </border>
    <border>
      <left style="medium">
        <color rgb="FF339966"/>
      </left>
      <right style="thin">
        <color rgb="FF339966"/>
      </right>
      <top style="medium">
        <color rgb="FF339966"/>
      </top>
      <bottom style="medium">
        <color rgb="FF339966"/>
      </bottom>
      <diagonal/>
    </border>
    <border>
      <left style="thin">
        <color rgb="FF339966"/>
      </left>
      <right style="thin">
        <color rgb="FF339966"/>
      </right>
      <top style="medium">
        <color rgb="FF339966"/>
      </top>
      <bottom style="medium">
        <color rgb="FF339966"/>
      </bottom>
      <diagonal/>
    </border>
    <border>
      <left style="thin">
        <color rgb="FF339966"/>
      </left>
      <right style="medium">
        <color rgb="FF339966"/>
      </right>
      <top style="medium">
        <color rgb="FF339966"/>
      </top>
      <bottom style="medium">
        <color rgb="FF339966"/>
      </bottom>
      <diagonal/>
    </border>
    <border>
      <left style="medium">
        <color rgb="FF339966"/>
      </left>
      <right/>
      <top style="medium">
        <color rgb="FF339966"/>
      </top>
      <bottom style="medium">
        <color rgb="FF339966"/>
      </bottom>
      <diagonal/>
    </border>
    <border>
      <left/>
      <right/>
      <top style="medium">
        <color rgb="FF339966"/>
      </top>
      <bottom style="medium">
        <color rgb="FF339966"/>
      </bottom>
      <diagonal/>
    </border>
    <border>
      <left/>
      <right style="medium">
        <color rgb="FF339966"/>
      </right>
      <top style="medium">
        <color rgb="FF339966"/>
      </top>
      <bottom style="medium">
        <color rgb="FF339966"/>
      </bottom>
      <diagonal/>
    </border>
    <border>
      <left style="medium">
        <color rgb="FF339966"/>
      </left>
      <right style="medium">
        <color rgb="FF339966"/>
      </right>
      <top style="medium">
        <color rgb="FF339966"/>
      </top>
      <bottom style="medium">
        <color rgb="FF339966"/>
      </bottom>
      <diagonal/>
    </border>
    <border>
      <left style="medium">
        <color rgb="FF339966"/>
      </left>
      <right style="thin">
        <color indexed="64"/>
      </right>
      <top style="medium">
        <color rgb="FF339966"/>
      </top>
      <bottom style="medium">
        <color rgb="FF339966"/>
      </bottom>
      <diagonal/>
    </border>
    <border>
      <left style="thin">
        <color indexed="64"/>
      </left>
      <right style="medium">
        <color rgb="FF339966"/>
      </right>
      <top style="medium">
        <color rgb="FF339966"/>
      </top>
      <bottom style="medium">
        <color rgb="FF339966"/>
      </bottom>
      <diagonal/>
    </border>
    <border>
      <left style="medium">
        <color rgb="FF00B050"/>
      </left>
      <right/>
      <top style="medium">
        <color rgb="FF00B050"/>
      </top>
      <bottom style="medium">
        <color rgb="FF00B050"/>
      </bottom>
      <diagonal/>
    </border>
    <border>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rgb="FF339966"/>
      </left>
      <right style="medium">
        <color rgb="FF339966"/>
      </right>
      <top style="medium">
        <color rgb="FF339966"/>
      </top>
      <bottom/>
      <diagonal/>
    </border>
    <border>
      <left style="medium">
        <color rgb="FF00B050"/>
      </left>
      <right/>
      <top style="medium">
        <color rgb="FF00B050"/>
      </top>
      <bottom style="dashed">
        <color rgb="FF00B050"/>
      </bottom>
      <diagonal/>
    </border>
    <border>
      <left/>
      <right/>
      <top style="medium">
        <color rgb="FF00B050"/>
      </top>
      <bottom style="dashed">
        <color rgb="FF00B050"/>
      </bottom>
      <diagonal/>
    </border>
    <border>
      <left/>
      <right style="medium">
        <color rgb="FF00B050"/>
      </right>
      <top style="medium">
        <color rgb="FF00B050"/>
      </top>
      <bottom style="dashed">
        <color rgb="FF00B050"/>
      </bottom>
      <diagonal/>
    </border>
    <border>
      <left style="medium">
        <color rgb="FF00B050"/>
      </left>
      <right style="thin">
        <color rgb="FF00B050"/>
      </right>
      <top style="medium">
        <color rgb="FF00B050"/>
      </top>
      <bottom style="hair">
        <color rgb="FF00B050"/>
      </bottom>
      <diagonal/>
    </border>
    <border>
      <left style="thin">
        <color rgb="FF00B050"/>
      </left>
      <right style="thin">
        <color rgb="FF00B050"/>
      </right>
      <top style="medium">
        <color rgb="FF00B050"/>
      </top>
      <bottom style="hair">
        <color rgb="FF00B050"/>
      </bottom>
      <diagonal/>
    </border>
    <border>
      <left style="thin">
        <color rgb="FF00B050"/>
      </left>
      <right style="medium">
        <color rgb="FF00B050"/>
      </right>
      <top style="medium">
        <color rgb="FF00B050"/>
      </top>
      <bottom style="hair">
        <color rgb="FF00B050"/>
      </bottom>
      <diagonal/>
    </border>
    <border>
      <left style="medium">
        <color rgb="FF339966"/>
      </left>
      <right style="medium">
        <color rgb="FF339966"/>
      </right>
      <top/>
      <bottom/>
      <diagonal/>
    </border>
    <border>
      <left style="medium">
        <color rgb="FF339966"/>
      </left>
      <right style="medium">
        <color rgb="FF339966"/>
      </right>
      <top/>
      <bottom style="medium">
        <color rgb="FF339966"/>
      </bottom>
      <diagonal/>
    </border>
    <border>
      <left style="medium">
        <color rgb="FF00B050"/>
      </left>
      <right/>
      <top style="dashed">
        <color rgb="FF00B050"/>
      </top>
      <bottom style="dashed">
        <color rgb="FF00B050"/>
      </bottom>
      <diagonal/>
    </border>
    <border>
      <left/>
      <right/>
      <top style="dashed">
        <color rgb="FF00B050"/>
      </top>
      <bottom style="dashed">
        <color rgb="FF00B050"/>
      </bottom>
      <diagonal/>
    </border>
    <border>
      <left/>
      <right style="medium">
        <color rgb="FF00B050"/>
      </right>
      <top style="dashed">
        <color rgb="FF00B050"/>
      </top>
      <bottom style="dashed">
        <color rgb="FF00B050"/>
      </bottom>
      <diagonal/>
    </border>
    <border>
      <left style="medium">
        <color rgb="FF00B050"/>
      </left>
      <right style="thin">
        <color rgb="FF00B050"/>
      </right>
      <top/>
      <bottom style="hair">
        <color rgb="FF00B050"/>
      </bottom>
      <diagonal/>
    </border>
    <border>
      <left style="thin">
        <color rgb="FF00B050"/>
      </left>
      <right style="thin">
        <color rgb="FF00B050"/>
      </right>
      <top/>
      <bottom style="hair">
        <color rgb="FF00B050"/>
      </bottom>
      <diagonal/>
    </border>
    <border>
      <left style="thin">
        <color rgb="FF00B050"/>
      </left>
      <right style="medium">
        <color rgb="FF00B050"/>
      </right>
      <top/>
      <bottom style="hair">
        <color rgb="FF00B050"/>
      </bottom>
      <diagonal/>
    </border>
    <border>
      <left style="thin">
        <color rgb="FF00B050"/>
      </left>
      <right style="medium">
        <color rgb="FF00B050"/>
      </right>
      <top style="hair">
        <color rgb="FF00B050"/>
      </top>
      <bottom style="hair">
        <color rgb="FF00B050"/>
      </bottom>
      <diagonal/>
    </border>
    <border>
      <left style="medium">
        <color rgb="FF00B050"/>
      </left>
      <right style="thin">
        <color rgb="FF00B050"/>
      </right>
      <top style="hair">
        <color rgb="FF00B050"/>
      </top>
      <bottom style="hair">
        <color rgb="FF00B050"/>
      </bottom>
      <diagonal/>
    </border>
    <border>
      <left style="medium">
        <color rgb="FF00B050"/>
      </left>
      <right/>
      <top style="dashed">
        <color rgb="FF00B050"/>
      </top>
      <bottom style="medium">
        <color rgb="FF00B050"/>
      </bottom>
      <diagonal/>
    </border>
    <border>
      <left/>
      <right/>
      <top style="dashed">
        <color rgb="FF00B050"/>
      </top>
      <bottom style="medium">
        <color rgb="FF00B050"/>
      </bottom>
      <diagonal/>
    </border>
    <border>
      <left/>
      <right style="medium">
        <color rgb="FF00B050"/>
      </right>
      <top style="dashed">
        <color rgb="FF00B050"/>
      </top>
      <bottom style="medium">
        <color rgb="FF00B050"/>
      </bottom>
      <diagonal/>
    </border>
    <border>
      <left style="medium">
        <color rgb="FF00B050"/>
      </left>
      <right style="thin">
        <color rgb="FF00B050"/>
      </right>
      <top style="hair">
        <color rgb="FF00B050"/>
      </top>
      <bottom style="medium">
        <color rgb="FF00B050"/>
      </bottom>
      <diagonal/>
    </border>
    <border>
      <left style="thin">
        <color rgb="FF00B050"/>
      </left>
      <right style="thin">
        <color rgb="FF00B050"/>
      </right>
      <top style="hair">
        <color rgb="FF00B050"/>
      </top>
      <bottom style="medium">
        <color rgb="FF00B050"/>
      </bottom>
      <diagonal/>
    </border>
    <border>
      <left style="thin">
        <color rgb="FF00B050"/>
      </left>
      <right style="medium">
        <color rgb="FF00B050"/>
      </right>
      <top style="hair">
        <color rgb="FF00B050"/>
      </top>
      <bottom style="medium">
        <color rgb="FF00B050"/>
      </bottom>
      <diagonal/>
    </border>
    <border>
      <left style="medium">
        <color rgb="FF00B050"/>
      </left>
      <right style="medium">
        <color rgb="FF00B050"/>
      </right>
      <top style="medium">
        <color rgb="FF00B050"/>
      </top>
      <bottom style="hair">
        <color rgb="FF00B050"/>
      </bottom>
      <diagonal/>
    </border>
    <border>
      <left style="medium">
        <color rgb="FF00B050"/>
      </left>
      <right style="medium">
        <color rgb="FF00B050"/>
      </right>
      <top style="hair">
        <color rgb="FF00B050"/>
      </top>
      <bottom/>
      <diagonal/>
    </border>
    <border>
      <left/>
      <right/>
      <top style="medium">
        <color rgb="FF00B050"/>
      </top>
      <bottom/>
      <diagonal/>
    </border>
    <border>
      <left style="medium">
        <color rgb="FF00B050"/>
      </left>
      <right style="medium">
        <color rgb="FF00B050"/>
      </right>
      <top style="hair">
        <color rgb="FF00B050"/>
      </top>
      <bottom style="hair">
        <color rgb="FF00B050"/>
      </bottom>
      <diagonal/>
    </border>
    <border>
      <left style="medium">
        <color rgb="FF339966"/>
      </left>
      <right style="medium">
        <color rgb="FF339966"/>
      </right>
      <top style="medium">
        <color rgb="FF339966"/>
      </top>
      <bottom style="hair">
        <color rgb="FF339966"/>
      </bottom>
      <diagonal/>
    </border>
    <border>
      <left style="medium">
        <color rgb="FF339966"/>
      </left>
      <right style="medium">
        <color rgb="FF339966"/>
      </right>
      <top style="hair">
        <color rgb="FF339966"/>
      </top>
      <bottom style="hair">
        <color rgb="FF339966"/>
      </bottom>
      <diagonal/>
    </border>
    <border>
      <left style="medium">
        <color rgb="FF339966"/>
      </left>
      <right style="medium">
        <color rgb="FF339966"/>
      </right>
      <top style="hair">
        <color rgb="FF339966"/>
      </top>
      <bottom style="medium">
        <color rgb="FF339966"/>
      </bottom>
      <diagonal/>
    </border>
    <border>
      <left style="medium">
        <color rgb="FF00B050"/>
      </left>
      <right style="medium">
        <color rgb="FF00B050"/>
      </right>
      <top style="hair">
        <color rgb="FF00B050"/>
      </top>
      <bottom style="medium">
        <color rgb="FF00B050"/>
      </bottom>
      <diagonal/>
    </border>
    <border>
      <left style="medium">
        <color rgb="FF339966"/>
      </left>
      <right/>
      <top/>
      <bottom/>
      <diagonal/>
    </border>
    <border>
      <left/>
      <right style="medium">
        <color rgb="FF339966"/>
      </right>
      <top/>
      <bottom/>
      <diagonal/>
    </border>
    <border>
      <left style="medium">
        <color rgb="FF339966"/>
      </left>
      <right/>
      <top/>
      <bottom style="medium">
        <color rgb="FF339966"/>
      </bottom>
      <diagonal/>
    </border>
    <border>
      <left/>
      <right style="medium">
        <color rgb="FF339966"/>
      </right>
      <top/>
      <bottom style="medium">
        <color rgb="FF339966"/>
      </bottom>
      <diagonal/>
    </border>
    <border>
      <left style="medium">
        <color rgb="FF4D4F53"/>
      </left>
      <right/>
      <top style="medium">
        <color rgb="FF4D4F53"/>
      </top>
      <bottom style="medium">
        <color rgb="FF4D4F53"/>
      </bottom>
      <diagonal/>
    </border>
    <border>
      <left/>
      <right/>
      <top style="medium">
        <color rgb="FF4D4F53"/>
      </top>
      <bottom style="medium">
        <color rgb="FF4D4F53"/>
      </bottom>
      <diagonal/>
    </border>
    <border>
      <left/>
      <right style="medium">
        <color rgb="FF4D4F53"/>
      </right>
      <top style="medium">
        <color rgb="FF4D4F53"/>
      </top>
      <bottom style="medium">
        <color rgb="FF4D4F53"/>
      </bottom>
      <diagonal/>
    </border>
    <border>
      <left style="medium">
        <color rgb="FF4D4F53"/>
      </left>
      <right style="medium">
        <color rgb="FF4D4F53"/>
      </right>
      <top style="medium">
        <color rgb="FF4D4F53"/>
      </top>
      <bottom style="medium">
        <color rgb="FF4D4F53"/>
      </bottom>
      <diagonal/>
    </border>
    <border>
      <left style="medium">
        <color rgb="FF4D4F53"/>
      </left>
      <right style="medium">
        <color rgb="FF4D4F53"/>
      </right>
      <top style="medium">
        <color rgb="FF4D4F53"/>
      </top>
      <bottom/>
      <diagonal/>
    </border>
    <border>
      <left style="medium">
        <color rgb="FF4D4F53"/>
      </left>
      <right style="medium">
        <color rgb="FF4D4F53"/>
      </right>
      <top/>
      <bottom style="medium">
        <color rgb="FF4D4F53"/>
      </bottom>
      <diagonal/>
    </border>
    <border>
      <left style="thin">
        <color rgb="FF4D4F53"/>
      </left>
      <right style="thin">
        <color rgb="FF4D4F53"/>
      </right>
      <top style="thin">
        <color rgb="FF4D4F53"/>
      </top>
      <bottom style="thin">
        <color rgb="FF4D4F53"/>
      </bottom>
      <diagonal/>
    </border>
    <border>
      <left/>
      <right/>
      <top style="thin">
        <color rgb="FF009C3A"/>
      </top>
      <bottom style="thin">
        <color rgb="FF009C3A"/>
      </bottom>
      <diagonal/>
    </border>
    <border>
      <left style="thin">
        <color rgb="FF009C3A"/>
      </left>
      <right style="thin">
        <color rgb="FF009C3A"/>
      </right>
      <top style="thin">
        <color rgb="FF009C3A"/>
      </top>
      <bottom style="thin">
        <color rgb="FF009C3A"/>
      </bottom>
      <diagonal/>
    </border>
    <border>
      <left/>
      <right style="thin">
        <color rgb="FF009C3A"/>
      </right>
      <top style="thin">
        <color rgb="FF009C3A"/>
      </top>
      <bottom style="thin">
        <color rgb="FF009C3A"/>
      </bottom>
      <diagonal/>
    </border>
    <border>
      <left style="thin">
        <color rgb="FF009C3A"/>
      </left>
      <right style="thin">
        <color rgb="FF009C3A"/>
      </right>
      <top style="thin">
        <color rgb="FF009C3A"/>
      </top>
      <bottom/>
      <diagonal/>
    </border>
    <border>
      <left/>
      <right/>
      <top style="medium">
        <color rgb="FF009C3A"/>
      </top>
      <bottom style="medium">
        <color rgb="FF009C3A"/>
      </bottom>
      <diagonal/>
    </border>
    <border>
      <left style="medium">
        <color rgb="FF4D4F53"/>
      </left>
      <right style="medium">
        <color rgb="FF009C3A"/>
      </right>
      <top style="medium">
        <color rgb="FF4D4F53"/>
      </top>
      <bottom style="thin">
        <color rgb="FF4D4F53"/>
      </bottom>
      <diagonal/>
    </border>
    <border>
      <left style="medium">
        <color rgb="FF009C3A"/>
      </left>
      <right style="medium">
        <color rgb="FF009C3A"/>
      </right>
      <top style="medium">
        <color rgb="FF4D4F53"/>
      </top>
      <bottom style="thin">
        <color rgb="FF4D4F53"/>
      </bottom>
      <diagonal/>
    </border>
    <border>
      <left style="medium">
        <color rgb="FF009C3A"/>
      </left>
      <right style="medium">
        <color rgb="FF4D4F53"/>
      </right>
      <top style="medium">
        <color rgb="FF4D4F53"/>
      </top>
      <bottom style="thin">
        <color rgb="FF4D4F53"/>
      </bottom>
      <diagonal/>
    </border>
    <border>
      <left style="medium">
        <color rgb="FF4D4F53"/>
      </left>
      <right style="medium">
        <color rgb="FF4D4F53"/>
      </right>
      <top style="medium">
        <color rgb="FF4D4F53"/>
      </top>
      <bottom style="thin">
        <color rgb="FF4D4F53"/>
      </bottom>
      <diagonal/>
    </border>
    <border>
      <left/>
      <right/>
      <top style="medium">
        <color rgb="FF009C3A"/>
      </top>
      <bottom style="thin">
        <color rgb="FF009C3A"/>
      </bottom>
      <diagonal/>
    </border>
    <border>
      <left style="medium">
        <color rgb="FF4D4F53"/>
      </left>
      <right style="medium">
        <color rgb="FF009C3A"/>
      </right>
      <top style="thin">
        <color rgb="FF4D4F53"/>
      </top>
      <bottom style="medium">
        <color rgb="FF4D4F53"/>
      </bottom>
      <diagonal/>
    </border>
    <border>
      <left style="medium">
        <color rgb="FF009C3A"/>
      </left>
      <right style="medium">
        <color rgb="FF009C3A"/>
      </right>
      <top style="thin">
        <color rgb="FF4D4F53"/>
      </top>
      <bottom style="medium">
        <color rgb="FF4D4F53"/>
      </bottom>
      <diagonal/>
    </border>
    <border>
      <left style="medium">
        <color rgb="FF009C3A"/>
      </left>
      <right style="medium">
        <color rgb="FF4D4F53"/>
      </right>
      <top style="thin">
        <color rgb="FF4D4F53"/>
      </top>
      <bottom style="medium">
        <color rgb="FF4D4F53"/>
      </bottom>
      <diagonal/>
    </border>
    <border>
      <left style="medium">
        <color rgb="FF4D4F53"/>
      </left>
      <right style="medium">
        <color rgb="FF4D4F53"/>
      </right>
      <top style="thin">
        <color rgb="FF4D4F53"/>
      </top>
      <bottom style="medium">
        <color rgb="FF4D4F53"/>
      </bottom>
      <diagonal/>
    </border>
    <border>
      <left/>
      <right/>
      <top style="thin">
        <color rgb="FF009C3A"/>
      </top>
      <bottom style="medium">
        <color rgb="FF009C3A"/>
      </bottom>
      <diagonal/>
    </border>
    <border>
      <left/>
      <right/>
      <top/>
      <bottom style="medium">
        <color rgb="FF339966"/>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right/>
      <top style="thin">
        <color rgb="FF003B71"/>
      </top>
      <bottom/>
      <diagonal/>
    </border>
    <border>
      <left/>
      <right/>
      <top/>
      <bottom style="thin">
        <color rgb="FF003B71"/>
      </bottom>
      <diagonal/>
    </border>
    <border>
      <left/>
      <right/>
      <top style="thin">
        <color rgb="FF003B71"/>
      </top>
      <bottom style="thin">
        <color rgb="FF003B71"/>
      </bottom>
      <diagonal/>
    </border>
    <border>
      <left style="thin">
        <color rgb="FF003B71"/>
      </left>
      <right style="dotted">
        <color rgb="FF003B71"/>
      </right>
      <top style="thin">
        <color rgb="FF003B71"/>
      </top>
      <bottom style="dotted">
        <color rgb="FF003B71"/>
      </bottom>
      <diagonal/>
    </border>
    <border>
      <left style="dotted">
        <color rgb="FF003B71"/>
      </left>
      <right style="dotted">
        <color rgb="FF003B71"/>
      </right>
      <top style="thin">
        <color rgb="FF003B71"/>
      </top>
      <bottom style="dotted">
        <color rgb="FF003B71"/>
      </bottom>
      <diagonal/>
    </border>
    <border>
      <left style="dotted">
        <color rgb="FF003B71"/>
      </left>
      <right style="thin">
        <color rgb="FF003B71"/>
      </right>
      <top style="thin">
        <color rgb="FF003B71"/>
      </top>
      <bottom style="dotted">
        <color rgb="FF003B71"/>
      </bottom>
      <diagonal/>
    </border>
    <border>
      <left style="thin">
        <color rgb="FF003B71"/>
      </left>
      <right style="dotted">
        <color rgb="FF003B71"/>
      </right>
      <top style="dotted">
        <color rgb="FF003B71"/>
      </top>
      <bottom style="thin">
        <color rgb="FF003B71"/>
      </bottom>
      <diagonal/>
    </border>
    <border>
      <left style="dotted">
        <color rgb="FF003B71"/>
      </left>
      <right style="dotted">
        <color rgb="FF003B71"/>
      </right>
      <top style="dotted">
        <color rgb="FF003B71"/>
      </top>
      <bottom style="thin">
        <color rgb="FF003B71"/>
      </bottom>
      <diagonal/>
    </border>
    <border>
      <left style="dotted">
        <color rgb="FF003B71"/>
      </left>
      <right style="thin">
        <color rgb="FF003B71"/>
      </right>
      <top style="dotted">
        <color rgb="FF003B71"/>
      </top>
      <bottom style="thin">
        <color rgb="FF003B71"/>
      </bottom>
      <diagonal/>
    </border>
    <border>
      <left style="thin">
        <color rgb="FF003B71"/>
      </left>
      <right style="dotted">
        <color rgb="FF003B71"/>
      </right>
      <top style="dotted">
        <color rgb="FF003B71"/>
      </top>
      <bottom style="dotted">
        <color rgb="FF003B71"/>
      </bottom>
      <diagonal/>
    </border>
    <border>
      <left style="dotted">
        <color rgb="FF003B71"/>
      </left>
      <right style="dotted">
        <color rgb="FF003B71"/>
      </right>
      <top style="dotted">
        <color rgb="FF003B71"/>
      </top>
      <bottom style="dotted">
        <color rgb="FF003B71"/>
      </bottom>
      <diagonal/>
    </border>
    <border>
      <left style="dotted">
        <color rgb="FF003B71"/>
      </left>
      <right style="thin">
        <color rgb="FF003B71"/>
      </right>
      <top style="dotted">
        <color rgb="FF003B71"/>
      </top>
      <bottom style="dotted">
        <color rgb="FF003B71"/>
      </bottom>
      <diagonal/>
    </border>
    <border>
      <left style="dotted">
        <color rgb="FF003B71"/>
      </left>
      <right style="dotted">
        <color rgb="FF003B71"/>
      </right>
      <top style="dotted">
        <color rgb="FF003B71"/>
      </top>
      <bottom/>
      <diagonal/>
    </border>
    <border>
      <left style="dotted">
        <color rgb="FF003B71"/>
      </left>
      <right style="thin">
        <color rgb="FF003B71"/>
      </right>
      <top style="dotted">
        <color rgb="FF003B71"/>
      </top>
      <bottom/>
      <diagonal/>
    </border>
    <border>
      <left style="dotted">
        <color rgb="FF003B71"/>
      </left>
      <right style="dotted">
        <color rgb="FF003B71"/>
      </right>
      <top/>
      <bottom style="dotted">
        <color rgb="FF003B71"/>
      </bottom>
      <diagonal/>
    </border>
    <border>
      <left style="dotted">
        <color rgb="FF003B71"/>
      </left>
      <right style="thin">
        <color rgb="FF003B71"/>
      </right>
      <top/>
      <bottom style="dotted">
        <color rgb="FF003B71"/>
      </bottom>
      <diagonal/>
    </border>
    <border>
      <left style="thin">
        <color rgb="FF003B71"/>
      </left>
      <right style="dashed">
        <color rgb="FF003B71"/>
      </right>
      <top style="thin">
        <color rgb="FF003B71"/>
      </top>
      <bottom/>
      <diagonal/>
    </border>
    <border>
      <left style="dashed">
        <color rgb="FF003B71"/>
      </left>
      <right style="dashed">
        <color rgb="FF003B71"/>
      </right>
      <top style="thin">
        <color rgb="FF003B71"/>
      </top>
      <bottom/>
      <diagonal/>
    </border>
    <border>
      <left style="dashed">
        <color rgb="FF003B71"/>
      </left>
      <right style="thin">
        <color rgb="FF003B71"/>
      </right>
      <top style="thin">
        <color rgb="FF003B71"/>
      </top>
      <bottom/>
      <diagonal/>
    </border>
    <border>
      <left style="dotted">
        <color rgb="FF003B71"/>
      </left>
      <right style="thin">
        <color rgb="FF003B71"/>
      </right>
      <top style="dotted">
        <color rgb="FF003B71"/>
      </top>
      <bottom style="dotted">
        <color indexed="64"/>
      </bottom>
      <diagonal/>
    </border>
    <border>
      <left style="dotted">
        <color rgb="FF003B71"/>
      </left>
      <right style="dotted">
        <color rgb="FF003B71"/>
      </right>
      <top style="dotted">
        <color rgb="FF003B71"/>
      </top>
      <bottom style="dotted">
        <color indexed="64"/>
      </bottom>
      <diagonal/>
    </border>
    <border>
      <left/>
      <right style="thin">
        <color rgb="FF003B71"/>
      </right>
      <top style="thin">
        <color rgb="FF003B71"/>
      </top>
      <bottom style="thin">
        <color rgb="FF003B71"/>
      </bottom>
      <diagonal/>
    </border>
    <border>
      <left style="thin">
        <color rgb="FF003B71"/>
      </left>
      <right/>
      <top style="thin">
        <color rgb="FF003B71"/>
      </top>
      <bottom style="thin">
        <color rgb="FF003B71"/>
      </bottom>
      <diagonal/>
    </border>
    <border>
      <left style="thin">
        <color rgb="FF003B71"/>
      </left>
      <right style="thin">
        <color rgb="FF003B71"/>
      </right>
      <top style="thin">
        <color rgb="FF003B71"/>
      </top>
      <bottom style="thin">
        <color rgb="FF003B71"/>
      </bottom>
      <diagonal/>
    </border>
    <border>
      <left/>
      <right style="dotted">
        <color rgb="FF003B71"/>
      </right>
      <top style="thin">
        <color rgb="FF003B71"/>
      </top>
      <bottom/>
      <diagonal/>
    </border>
    <border>
      <left style="dotted">
        <color rgb="FF003B71"/>
      </left>
      <right style="dotted">
        <color rgb="FF003B71"/>
      </right>
      <top style="dotted">
        <color indexed="64"/>
      </top>
      <bottom/>
      <diagonal/>
    </border>
    <border>
      <left style="dotted">
        <color rgb="FF003B71"/>
      </left>
      <right style="thin">
        <color rgb="FF003B71"/>
      </right>
      <top style="dotted">
        <color indexed="64"/>
      </top>
      <bottom/>
      <diagonal/>
    </border>
    <border>
      <left/>
      <right style="thin">
        <color rgb="FF003B71"/>
      </right>
      <top/>
      <bottom/>
      <diagonal/>
    </border>
  </borders>
  <cellStyleXfs count="11">
    <xf numFmtId="0" fontId="0" fillId="0" borderId="0"/>
    <xf numFmtId="0" fontId="5" fillId="0" borderId="0"/>
    <xf numFmtId="44" fontId="5" fillId="0" borderId="0" applyFont="0" applyFill="0" applyBorder="0" applyAlignment="0" applyProtection="0"/>
    <xf numFmtId="9" fontId="5"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9" fontId="14" fillId="0" borderId="0" applyFont="0" applyFill="0" applyBorder="0" applyAlignment="0" applyProtection="0"/>
    <xf numFmtId="44" fontId="6" fillId="0" borderId="0" applyFont="0" applyFill="0" applyBorder="0" applyAlignment="0" applyProtection="0"/>
    <xf numFmtId="43" fontId="1" fillId="0" borderId="0" applyFont="0" applyFill="0" applyBorder="0" applyAlignment="0" applyProtection="0"/>
    <xf numFmtId="9" fontId="1" fillId="0" borderId="0" applyFont="0" applyFill="0" applyBorder="0" applyAlignment="0" applyProtection="0"/>
  </cellStyleXfs>
  <cellXfs count="573">
    <xf numFmtId="0" fontId="0" fillId="0" borderId="0" xfId="0"/>
    <xf numFmtId="0" fontId="27" fillId="12" borderId="0" xfId="1" applyFont="1" applyFill="1" applyBorder="1" applyAlignment="1" applyProtection="1">
      <alignment horizontal="left" vertical="center"/>
      <protection locked="0" hidden="1"/>
    </xf>
    <xf numFmtId="0" fontId="25" fillId="0" borderId="53" xfId="1" applyFont="1" applyFill="1" applyBorder="1" applyAlignment="1" applyProtection="1">
      <alignment horizontal="center" vertical="center"/>
      <protection locked="0" hidden="1"/>
    </xf>
    <xf numFmtId="3" fontId="25" fillId="12" borderId="50" xfId="1" applyNumberFormat="1" applyFont="1" applyFill="1" applyBorder="1" applyAlignment="1" applyProtection="1">
      <alignment horizontal="center" vertical="center"/>
      <protection locked="0" hidden="1"/>
    </xf>
    <xf numFmtId="0" fontId="25" fillId="12" borderId="50" xfId="1" applyNumberFormat="1" applyFont="1" applyFill="1" applyBorder="1" applyAlignment="1" applyProtection="1">
      <alignment horizontal="center" vertical="center"/>
      <protection locked="0" hidden="1"/>
    </xf>
    <xf numFmtId="0" fontId="28" fillId="14" borderId="0" xfId="1" applyFont="1" applyFill="1" applyBorder="1" applyAlignment="1" applyProtection="1">
      <alignment horizontal="center" vertical="center"/>
      <protection locked="0" hidden="1"/>
    </xf>
    <xf numFmtId="9" fontId="25" fillId="0" borderId="56" xfId="1" applyNumberFormat="1" applyFont="1" applyFill="1" applyBorder="1" applyAlignment="1" applyProtection="1">
      <alignment horizontal="center" vertical="center"/>
      <protection locked="0" hidden="1"/>
    </xf>
    <xf numFmtId="0" fontId="25" fillId="0" borderId="56" xfId="1" applyFont="1" applyFill="1" applyBorder="1" applyAlignment="1" applyProtection="1">
      <alignment horizontal="center" vertical="center"/>
      <protection locked="0" hidden="1"/>
    </xf>
    <xf numFmtId="0" fontId="5" fillId="0" borderId="0" xfId="1"/>
    <xf numFmtId="0" fontId="7" fillId="0" borderId="0" xfId="4" applyFont="1" applyAlignment="1">
      <alignment vertical="center"/>
    </xf>
    <xf numFmtId="0" fontId="8" fillId="0" borderId="0" xfId="1" applyFont="1" applyProtection="1">
      <protection hidden="1"/>
    </xf>
    <xf numFmtId="0" fontId="9" fillId="0" borderId="0" xfId="4" quotePrefix="1" applyFont="1" applyAlignment="1" applyProtection="1">
      <alignment vertical="center"/>
      <protection hidden="1"/>
    </xf>
    <xf numFmtId="0" fontId="10" fillId="0" borderId="0" xfId="4" applyFont="1" applyAlignment="1">
      <alignment vertical="center"/>
    </xf>
    <xf numFmtId="0" fontId="10" fillId="0" borderId="0" xfId="4" applyFont="1" applyFill="1" applyAlignment="1">
      <alignment vertical="center"/>
    </xf>
    <xf numFmtId="0" fontId="2" fillId="3" borderId="2" xfId="1" applyFont="1" applyFill="1" applyBorder="1" applyAlignment="1">
      <alignment horizontal="center" vertical="center"/>
    </xf>
    <xf numFmtId="0" fontId="7" fillId="0" borderId="0" xfId="4" applyFont="1" applyFill="1" applyAlignment="1">
      <alignment vertical="center"/>
    </xf>
    <xf numFmtId="0" fontId="11" fillId="0" borderId="9" xfId="4" applyFont="1" applyFill="1" applyBorder="1" applyAlignment="1" applyProtection="1">
      <alignment horizontal="center" vertical="center"/>
      <protection hidden="1"/>
    </xf>
    <xf numFmtId="0" fontId="7" fillId="0" borderId="0" xfId="4" applyFont="1" applyAlignment="1" applyProtection="1">
      <alignment vertical="center"/>
      <protection hidden="1"/>
    </xf>
    <xf numFmtId="3" fontId="5" fillId="4" borderId="1" xfId="1" applyNumberFormat="1" applyFill="1" applyBorder="1"/>
    <xf numFmtId="0" fontId="11" fillId="0" borderId="15" xfId="4" applyFont="1" applyBorder="1" applyAlignment="1" applyProtection="1">
      <alignment horizontal="center" vertical="center"/>
      <protection hidden="1"/>
    </xf>
    <xf numFmtId="2" fontId="11" fillId="0" borderId="15" xfId="4" applyNumberFormat="1" applyFont="1" applyBorder="1" applyAlignment="1" applyProtection="1">
      <alignment horizontal="center" vertical="center"/>
      <protection hidden="1"/>
    </xf>
    <xf numFmtId="0" fontId="8" fillId="0" borderId="16" xfId="1" applyFont="1" applyBorder="1" applyProtection="1">
      <protection hidden="1"/>
    </xf>
    <xf numFmtId="0" fontId="5" fillId="0" borderId="18" xfId="1" applyBorder="1" applyAlignment="1">
      <alignment horizontal="center" vertical="center"/>
    </xf>
    <xf numFmtId="3" fontId="1" fillId="0" borderId="19" xfId="2" applyNumberFormat="1" applyFont="1" applyBorder="1"/>
    <xf numFmtId="3" fontId="1" fillId="0" borderId="20" xfId="2" applyNumberFormat="1" applyFont="1" applyBorder="1"/>
    <xf numFmtId="3" fontId="1" fillId="0" borderId="21" xfId="2" applyNumberFormat="1" applyFont="1" applyBorder="1"/>
    <xf numFmtId="0" fontId="13" fillId="0" borderId="15" xfId="4" quotePrefix="1" applyNumberFormat="1" applyFont="1" applyFill="1" applyBorder="1" applyAlignment="1" applyProtection="1">
      <alignment horizontal="center" vertical="center"/>
      <protection hidden="1"/>
    </xf>
    <xf numFmtId="4" fontId="7" fillId="0" borderId="15" xfId="5" applyNumberFormat="1" applyFont="1" applyFill="1" applyBorder="1" applyAlignment="1" applyProtection="1">
      <alignment vertical="center"/>
      <protection hidden="1"/>
    </xf>
    <xf numFmtId="3" fontId="7" fillId="0" borderId="15" xfId="4" applyNumberFormat="1" applyFont="1" applyBorder="1" applyAlignment="1" applyProtection="1">
      <alignment horizontal="right" vertical="center"/>
      <protection hidden="1"/>
    </xf>
    <xf numFmtId="164" fontId="7" fillId="0" borderId="15" xfId="4" applyNumberFormat="1" applyFont="1" applyBorder="1" applyAlignment="1" applyProtection="1">
      <alignment horizontal="center" vertical="center"/>
      <protection hidden="1"/>
    </xf>
    <xf numFmtId="3" fontId="7" fillId="5" borderId="15" xfId="4" applyNumberFormat="1" applyFont="1" applyFill="1" applyBorder="1" applyAlignment="1" applyProtection="1">
      <alignment horizontal="right" vertical="center"/>
      <protection hidden="1"/>
    </xf>
    <xf numFmtId="165" fontId="7" fillId="5" borderId="15" xfId="4" applyNumberFormat="1" applyFont="1" applyFill="1" applyBorder="1" applyAlignment="1" applyProtection="1">
      <alignment horizontal="right" vertical="center"/>
      <protection hidden="1"/>
    </xf>
    <xf numFmtId="166" fontId="7" fillId="0" borderId="0" xfId="6" applyNumberFormat="1" applyFont="1" applyFill="1" applyBorder="1" applyAlignment="1">
      <alignment horizontal="right" vertical="center"/>
    </xf>
    <xf numFmtId="167" fontId="7" fillId="0" borderId="22" xfId="4" applyNumberFormat="1" applyFont="1" applyBorder="1" applyAlignment="1" applyProtection="1">
      <alignment horizontal="center" vertical="center"/>
      <protection hidden="1"/>
    </xf>
    <xf numFmtId="164" fontId="7" fillId="0" borderId="22" xfId="4" applyNumberFormat="1" applyFont="1" applyBorder="1" applyAlignment="1" applyProtection="1">
      <alignment horizontal="center" vertical="center"/>
      <protection hidden="1"/>
    </xf>
    <xf numFmtId="164" fontId="7" fillId="5" borderId="22" xfId="4" applyNumberFormat="1" applyFont="1" applyFill="1" applyBorder="1" applyAlignment="1" applyProtection="1">
      <alignment horizontal="center" vertical="center"/>
      <protection hidden="1"/>
    </xf>
    <xf numFmtId="9" fontId="7" fillId="0" borderId="15" xfId="7" applyNumberFormat="1" applyFont="1" applyBorder="1" applyAlignment="1" applyProtection="1">
      <alignment horizontal="center" vertical="center"/>
      <protection hidden="1"/>
    </xf>
    <xf numFmtId="0" fontId="11" fillId="0" borderId="23" xfId="4" applyFont="1" applyBorder="1" applyAlignment="1" applyProtection="1">
      <alignment horizontal="center" vertical="center"/>
      <protection hidden="1"/>
    </xf>
    <xf numFmtId="0" fontId="11" fillId="6" borderId="23" xfId="4" applyFont="1" applyFill="1" applyBorder="1" applyAlignment="1" applyProtection="1">
      <alignment horizontal="center" vertical="center"/>
      <protection hidden="1"/>
    </xf>
    <xf numFmtId="0" fontId="8" fillId="0" borderId="24" xfId="1" applyFont="1" applyBorder="1" applyProtection="1">
      <protection hidden="1"/>
    </xf>
    <xf numFmtId="0" fontId="5" fillId="0" borderId="26" xfId="1" applyBorder="1" applyAlignment="1">
      <alignment horizontal="center" vertical="center"/>
    </xf>
    <xf numFmtId="3" fontId="1" fillId="0" borderId="27" xfId="2" applyNumberFormat="1" applyFont="1" applyBorder="1"/>
    <xf numFmtId="3" fontId="1" fillId="0" borderId="28" xfId="2" applyNumberFormat="1" applyFont="1" applyBorder="1"/>
    <xf numFmtId="3" fontId="1" fillId="0" borderId="29" xfId="2" applyNumberFormat="1" applyFont="1" applyBorder="1"/>
    <xf numFmtId="4" fontId="7" fillId="6" borderId="15" xfId="5" applyNumberFormat="1" applyFont="1" applyFill="1" applyBorder="1" applyAlignment="1" applyProtection="1">
      <alignment vertical="center"/>
      <protection hidden="1"/>
    </xf>
    <xf numFmtId="3" fontId="7" fillId="0" borderId="15" xfId="5" applyNumberFormat="1" applyFont="1" applyFill="1" applyBorder="1" applyAlignment="1" applyProtection="1">
      <alignment vertical="center"/>
      <protection hidden="1"/>
    </xf>
    <xf numFmtId="0" fontId="7" fillId="0" borderId="15" xfId="4" applyFont="1" applyBorder="1" applyAlignment="1" applyProtection="1">
      <alignment vertical="center"/>
      <protection hidden="1"/>
    </xf>
    <xf numFmtId="0" fontId="13" fillId="0" borderId="22" xfId="4" quotePrefix="1" applyNumberFormat="1" applyFont="1" applyFill="1" applyBorder="1" applyAlignment="1" applyProtection="1">
      <alignment horizontal="center" vertical="center"/>
      <protection hidden="1"/>
    </xf>
    <xf numFmtId="4" fontId="7" fillId="0" borderId="22" xfId="5" applyNumberFormat="1" applyFont="1" applyFill="1" applyBorder="1" applyAlignment="1" applyProtection="1">
      <alignment vertical="center"/>
      <protection hidden="1"/>
    </xf>
    <xf numFmtId="3" fontId="7" fillId="0" borderId="22" xfId="4" applyNumberFormat="1" applyFont="1" applyBorder="1" applyAlignment="1" applyProtection="1">
      <alignment horizontal="right" vertical="center"/>
      <protection hidden="1"/>
    </xf>
    <xf numFmtId="3" fontId="7" fillId="5" borderId="22" xfId="4" applyNumberFormat="1" applyFont="1" applyFill="1" applyBorder="1" applyAlignment="1" applyProtection="1">
      <alignment horizontal="right" vertical="center"/>
      <protection hidden="1"/>
    </xf>
    <xf numFmtId="165" fontId="7" fillId="5" borderId="22" xfId="4" applyNumberFormat="1" applyFont="1" applyFill="1" applyBorder="1" applyAlignment="1" applyProtection="1">
      <alignment horizontal="right" vertical="center"/>
      <protection hidden="1"/>
    </xf>
    <xf numFmtId="9" fontId="7" fillId="0" borderId="22" xfId="7" applyNumberFormat="1" applyFont="1" applyBorder="1" applyAlignment="1" applyProtection="1">
      <alignment horizontal="center" vertical="center"/>
      <protection hidden="1"/>
    </xf>
    <xf numFmtId="4" fontId="7" fillId="6" borderId="22" xfId="5" applyNumberFormat="1" applyFont="1" applyFill="1" applyBorder="1" applyAlignment="1" applyProtection="1">
      <alignment vertical="center"/>
      <protection hidden="1"/>
    </xf>
    <xf numFmtId="3" fontId="7" fillId="0" borderId="22" xfId="5" applyNumberFormat="1" applyFont="1" applyFill="1" applyBorder="1" applyAlignment="1" applyProtection="1">
      <alignment vertical="center"/>
      <protection hidden="1"/>
    </xf>
    <xf numFmtId="0" fontId="7" fillId="0" borderId="22" xfId="4" applyFont="1" applyBorder="1" applyAlignment="1" applyProtection="1">
      <alignment vertical="center"/>
      <protection hidden="1"/>
    </xf>
    <xf numFmtId="9" fontId="7" fillId="0" borderId="22" xfId="7" applyNumberFormat="1" applyFont="1" applyFill="1" applyBorder="1" applyAlignment="1" applyProtection="1">
      <alignment horizontal="center" vertical="center"/>
      <protection hidden="1"/>
    </xf>
    <xf numFmtId="164" fontId="7" fillId="0" borderId="22" xfId="4" applyNumberFormat="1" applyFont="1" applyFill="1" applyBorder="1" applyAlignment="1" applyProtection="1">
      <alignment horizontal="center" vertical="center"/>
      <protection hidden="1"/>
    </xf>
    <xf numFmtId="3" fontId="15" fillId="0" borderId="28" xfId="2" applyNumberFormat="1" applyFont="1" applyBorder="1"/>
    <xf numFmtId="3" fontId="15" fillId="0" borderId="30" xfId="2" applyNumberFormat="1" applyFont="1" applyBorder="1"/>
    <xf numFmtId="3" fontId="3" fillId="6" borderId="28" xfId="2" applyNumberFormat="1" applyFont="1" applyFill="1" applyBorder="1"/>
    <xf numFmtId="3" fontId="3" fillId="6" borderId="29" xfId="2" applyNumberFormat="1" applyFont="1" applyFill="1" applyBorder="1"/>
    <xf numFmtId="3" fontId="15" fillId="0" borderId="29" xfId="2" applyNumberFormat="1" applyFont="1" applyFill="1" applyBorder="1"/>
    <xf numFmtId="0" fontId="7" fillId="0" borderId="0" xfId="4" applyFont="1" applyBorder="1" applyAlignment="1" applyProtection="1">
      <alignment vertical="center"/>
      <protection hidden="1"/>
    </xf>
    <xf numFmtId="3" fontId="1" fillId="0" borderId="31" xfId="2" applyNumberFormat="1" applyFont="1" applyBorder="1"/>
    <xf numFmtId="0" fontId="8" fillId="0" borderId="32" xfId="1" applyFont="1" applyBorder="1" applyProtection="1">
      <protection hidden="1"/>
    </xf>
    <xf numFmtId="0" fontId="5" fillId="0" borderId="34" xfId="1" applyBorder="1" applyAlignment="1">
      <alignment horizontal="center" vertical="center"/>
    </xf>
    <xf numFmtId="3" fontId="1" fillId="0" borderId="35" xfId="2" applyNumberFormat="1" applyFont="1" applyBorder="1"/>
    <xf numFmtId="3" fontId="3" fillId="6" borderId="36" xfId="2" applyNumberFormat="1" applyFont="1" applyFill="1" applyBorder="1"/>
    <xf numFmtId="3" fontId="3" fillId="6" borderId="37" xfId="2" applyNumberFormat="1" applyFont="1" applyFill="1" applyBorder="1"/>
    <xf numFmtId="3" fontId="15" fillId="0" borderId="37" xfId="2" applyNumberFormat="1" applyFont="1" applyFill="1" applyBorder="1"/>
    <xf numFmtId="9" fontId="7" fillId="0" borderId="23" xfId="7" applyNumberFormat="1" applyFont="1" applyBorder="1" applyAlignment="1" applyProtection="1">
      <alignment horizontal="center" vertical="center"/>
      <protection hidden="1"/>
    </xf>
    <xf numFmtId="164" fontId="7" fillId="0" borderId="23" xfId="4" applyNumberFormat="1" applyFont="1" applyBorder="1" applyAlignment="1" applyProtection="1">
      <alignment horizontal="center" vertical="center"/>
      <protection hidden="1"/>
    </xf>
    <xf numFmtId="0" fontId="10" fillId="6" borderId="0" xfId="4" applyFont="1" applyFill="1" applyAlignment="1">
      <alignment vertical="center"/>
    </xf>
    <xf numFmtId="4" fontId="13" fillId="0" borderId="22" xfId="5" applyNumberFormat="1" applyFont="1" applyFill="1" applyBorder="1" applyAlignment="1" applyProtection="1">
      <alignment vertical="center"/>
      <protection hidden="1"/>
    </xf>
    <xf numFmtId="0" fontId="7" fillId="0" borderId="15" xfId="4" applyFont="1" applyBorder="1" applyAlignment="1" applyProtection="1">
      <alignment horizontal="center" vertical="center"/>
      <protection hidden="1"/>
    </xf>
    <xf numFmtId="168" fontId="7" fillId="0" borderId="15" xfId="4" applyNumberFormat="1" applyFont="1" applyBorder="1" applyAlignment="1" applyProtection="1">
      <alignment horizontal="center" vertical="center"/>
      <protection hidden="1"/>
    </xf>
    <xf numFmtId="4" fontId="13" fillId="6" borderId="22" xfId="5" applyNumberFormat="1" applyFont="1" applyFill="1" applyBorder="1" applyAlignment="1" applyProtection="1">
      <alignment vertical="center"/>
      <protection hidden="1"/>
    </xf>
    <xf numFmtId="3" fontId="13" fillId="0" borderId="22" xfId="5" applyNumberFormat="1" applyFont="1" applyFill="1" applyBorder="1" applyAlignment="1" applyProtection="1">
      <alignment vertical="center"/>
      <protection hidden="1"/>
    </xf>
    <xf numFmtId="0" fontId="7" fillId="0" borderId="22" xfId="4" applyFont="1" applyBorder="1" applyAlignment="1" applyProtection="1">
      <alignment horizontal="center" vertical="center"/>
      <protection hidden="1"/>
    </xf>
    <xf numFmtId="168" fontId="7" fillId="0" borderId="22" xfId="4" applyNumberFormat="1" applyFont="1" applyBorder="1" applyAlignment="1" applyProtection="1">
      <alignment horizontal="center" vertical="center"/>
      <protection hidden="1"/>
    </xf>
    <xf numFmtId="0" fontId="7" fillId="0" borderId="23" xfId="4" applyFont="1" applyBorder="1" applyAlignment="1" applyProtection="1">
      <alignment horizontal="center" vertical="center"/>
      <protection hidden="1"/>
    </xf>
    <xf numFmtId="168" fontId="7" fillId="0" borderId="23" xfId="4" applyNumberFormat="1" applyFont="1" applyBorder="1" applyAlignment="1" applyProtection="1">
      <alignment horizontal="center" vertical="center"/>
      <protection hidden="1"/>
    </xf>
    <xf numFmtId="0" fontId="7" fillId="0" borderId="23" xfId="4" applyFont="1" applyBorder="1" applyAlignment="1" applyProtection="1">
      <alignment vertical="center"/>
      <protection hidden="1"/>
    </xf>
    <xf numFmtId="9" fontId="13" fillId="0" borderId="22" xfId="4" quotePrefix="1" applyNumberFormat="1" applyFont="1" applyBorder="1" applyAlignment="1" applyProtection="1">
      <alignment horizontal="center" vertical="center" wrapText="1"/>
      <protection hidden="1"/>
    </xf>
    <xf numFmtId="2" fontId="13" fillId="0" borderId="22" xfId="4" applyNumberFormat="1" applyFont="1" applyBorder="1" applyAlignment="1" applyProtection="1">
      <alignment horizontal="center" vertical="center" wrapText="1"/>
      <protection hidden="1"/>
    </xf>
    <xf numFmtId="9" fontId="13" fillId="0" borderId="23" xfId="4" quotePrefix="1" applyNumberFormat="1" applyFont="1" applyBorder="1" applyAlignment="1" applyProtection="1">
      <alignment horizontal="center" vertical="center" wrapText="1"/>
      <protection hidden="1"/>
    </xf>
    <xf numFmtId="2" fontId="13" fillId="0" borderId="23" xfId="4" applyNumberFormat="1" applyFont="1" applyBorder="1" applyAlignment="1" applyProtection="1">
      <alignment horizontal="center" vertical="center" wrapText="1"/>
      <protection hidden="1"/>
    </xf>
    <xf numFmtId="0" fontId="6" fillId="0" borderId="38" xfId="1" applyFont="1" applyBorder="1" applyAlignment="1">
      <alignment horizontal="center" vertical="center"/>
    </xf>
    <xf numFmtId="0" fontId="6" fillId="0" borderId="39" xfId="1" applyFont="1" applyBorder="1" applyAlignment="1">
      <alignment horizontal="center" vertical="center"/>
    </xf>
    <xf numFmtId="0" fontId="5" fillId="0" borderId="40" xfId="1" applyBorder="1" applyAlignment="1">
      <alignment horizontal="center" vertical="center"/>
    </xf>
    <xf numFmtId="0" fontId="5" fillId="0" borderId="0" xfId="1" applyBorder="1" applyAlignment="1">
      <alignment horizontal="center" vertical="center"/>
    </xf>
    <xf numFmtId="0" fontId="5" fillId="0" borderId="41" xfId="1" applyBorder="1" applyAlignment="1">
      <alignment horizontal="center" vertical="center"/>
    </xf>
    <xf numFmtId="3" fontId="5" fillId="0" borderId="42" xfId="1" applyNumberFormat="1" applyBorder="1" applyAlignment="1">
      <alignment horizontal="center" vertical="center"/>
    </xf>
    <xf numFmtId="3" fontId="5" fillId="5" borderId="42" xfId="1" applyNumberFormat="1" applyFill="1" applyBorder="1" applyAlignment="1">
      <alignment horizontal="center" vertical="center"/>
    </xf>
    <xf numFmtId="0" fontId="7" fillId="0" borderId="22" xfId="4" applyFont="1" applyBorder="1" applyAlignment="1" applyProtection="1">
      <alignment horizontal="center" vertical="center" wrapText="1"/>
      <protection hidden="1"/>
    </xf>
    <xf numFmtId="3" fontId="5" fillId="0" borderId="43" xfId="1" applyNumberFormat="1" applyBorder="1" applyAlignment="1">
      <alignment horizontal="center" vertical="center"/>
    </xf>
    <xf numFmtId="3" fontId="5" fillId="5" borderId="43" xfId="1" applyNumberFormat="1" applyFill="1" applyBorder="1" applyAlignment="1">
      <alignment horizontal="center" vertical="center"/>
    </xf>
    <xf numFmtId="0" fontId="7" fillId="0" borderId="22" xfId="4" applyFont="1" applyFill="1" applyBorder="1" applyAlignment="1" applyProtection="1">
      <alignment horizontal="center" vertical="center"/>
      <protection hidden="1"/>
    </xf>
    <xf numFmtId="0" fontId="7" fillId="0" borderId="23" xfId="4" applyFont="1" applyBorder="1" applyAlignment="1" applyProtection="1">
      <alignment horizontal="center" vertical="center" wrapText="1"/>
      <protection hidden="1"/>
    </xf>
    <xf numFmtId="3" fontId="5" fillId="0" borderId="44" xfId="1" applyNumberFormat="1" applyBorder="1" applyAlignment="1">
      <alignment horizontal="center" vertical="center"/>
    </xf>
    <xf numFmtId="3" fontId="5" fillId="5" borderId="44" xfId="1" applyNumberFormat="1" applyFill="1" applyBorder="1" applyAlignment="1">
      <alignment horizontal="center" vertical="center"/>
    </xf>
    <xf numFmtId="0" fontId="11" fillId="0" borderId="23" xfId="4" applyFont="1" applyFill="1" applyBorder="1" applyAlignment="1" applyProtection="1">
      <alignment horizontal="center" vertical="center"/>
      <protection hidden="1"/>
    </xf>
    <xf numFmtId="0" fontId="2" fillId="3" borderId="2" xfId="1" applyFont="1" applyFill="1" applyBorder="1" applyAlignment="1">
      <alignment horizontal="left" vertical="center"/>
    </xf>
    <xf numFmtId="0" fontId="7" fillId="0" borderId="15" xfId="4" quotePrefix="1" applyFont="1" applyBorder="1" applyAlignment="1" applyProtection="1">
      <alignment vertical="center"/>
      <protection hidden="1"/>
    </xf>
    <xf numFmtId="165" fontId="7" fillId="0" borderId="15" xfId="5" applyNumberFormat="1" applyFont="1" applyBorder="1" applyAlignment="1" applyProtection="1">
      <alignment horizontal="center" vertical="center"/>
      <protection hidden="1"/>
    </xf>
    <xf numFmtId="0" fontId="7" fillId="5" borderId="15" xfId="4" applyFont="1" applyFill="1" applyBorder="1" applyAlignment="1" applyProtection="1">
      <alignment horizontal="center" vertical="center"/>
      <protection hidden="1"/>
    </xf>
    <xf numFmtId="165" fontId="7" fillId="5" borderId="15" xfId="5" applyNumberFormat="1" applyFont="1" applyFill="1" applyBorder="1" applyAlignment="1" applyProtection="1">
      <alignment horizontal="center" vertical="center"/>
      <protection hidden="1"/>
    </xf>
    <xf numFmtId="0" fontId="7" fillId="0" borderId="0" xfId="4" quotePrefix="1" applyFont="1" applyAlignment="1" applyProtection="1">
      <alignment vertical="center"/>
      <protection hidden="1"/>
    </xf>
    <xf numFmtId="0" fontId="7" fillId="0" borderId="22" xfId="4" quotePrefix="1" applyFont="1" applyBorder="1" applyAlignment="1" applyProtection="1">
      <alignment vertical="center"/>
      <protection hidden="1"/>
    </xf>
    <xf numFmtId="165" fontId="7" fillId="0" borderId="22" xfId="5" applyNumberFormat="1" applyFont="1" applyBorder="1" applyAlignment="1" applyProtection="1">
      <alignment horizontal="center" vertical="center"/>
      <protection hidden="1"/>
    </xf>
    <xf numFmtId="0" fontId="7" fillId="5" borderId="22" xfId="4" applyFont="1" applyFill="1" applyBorder="1" applyAlignment="1" applyProtection="1">
      <alignment horizontal="center" vertical="center"/>
      <protection hidden="1"/>
    </xf>
    <xf numFmtId="165" fontId="7" fillId="5" borderId="22" xfId="5" applyNumberFormat="1" applyFont="1" applyFill="1" applyBorder="1" applyAlignment="1" applyProtection="1">
      <alignment horizontal="center" vertical="center"/>
      <protection hidden="1"/>
    </xf>
    <xf numFmtId="10" fontId="7" fillId="0" borderId="0" xfId="3" applyNumberFormat="1" applyFont="1" applyAlignment="1" applyProtection="1">
      <alignment vertical="center"/>
      <protection hidden="1"/>
    </xf>
    <xf numFmtId="0" fontId="7" fillId="0" borderId="23" xfId="4" quotePrefix="1" applyFont="1" applyBorder="1" applyAlignment="1" applyProtection="1">
      <alignment vertical="center"/>
      <protection hidden="1"/>
    </xf>
    <xf numFmtId="165" fontId="7" fillId="0" borderId="23" xfId="4" applyNumberFormat="1" applyFont="1" applyBorder="1" applyAlignment="1" applyProtection="1">
      <alignment horizontal="center" vertical="center"/>
      <protection hidden="1"/>
    </xf>
    <xf numFmtId="167" fontId="7" fillId="0" borderId="23" xfId="4" applyNumberFormat="1" applyFont="1" applyBorder="1" applyAlignment="1" applyProtection="1">
      <alignment horizontal="center" vertical="center"/>
      <protection hidden="1"/>
    </xf>
    <xf numFmtId="164" fontId="7" fillId="5" borderId="23" xfId="4" applyNumberFormat="1" applyFont="1" applyFill="1" applyBorder="1" applyAlignment="1" applyProtection="1">
      <alignment horizontal="center" vertical="center"/>
      <protection hidden="1"/>
    </xf>
    <xf numFmtId="0" fontId="12" fillId="3" borderId="0" xfId="4" applyFont="1" applyFill="1" applyBorder="1" applyAlignment="1" applyProtection="1">
      <alignment horizontal="center" vertical="center"/>
      <protection hidden="1"/>
    </xf>
    <xf numFmtId="164" fontId="7" fillId="0" borderId="0" xfId="4" applyNumberFormat="1" applyFont="1" applyBorder="1" applyAlignment="1" applyProtection="1">
      <alignment horizontal="center" vertical="center"/>
      <protection hidden="1"/>
    </xf>
    <xf numFmtId="167" fontId="7" fillId="0" borderId="0" xfId="4" applyNumberFormat="1" applyFont="1" applyBorder="1" applyAlignment="1" applyProtection="1">
      <alignment horizontal="center" vertical="center"/>
      <protection hidden="1"/>
    </xf>
    <xf numFmtId="1" fontId="7" fillId="5" borderId="15" xfId="4" applyNumberFormat="1" applyFont="1" applyFill="1" applyBorder="1" applyAlignment="1" applyProtection="1">
      <alignment horizontal="center" vertical="center"/>
      <protection hidden="1"/>
    </xf>
    <xf numFmtId="164" fontId="7" fillId="5" borderId="15" xfId="4" applyNumberFormat="1" applyFont="1" applyFill="1" applyBorder="1" applyAlignment="1" applyProtection="1">
      <alignment horizontal="center" vertical="center"/>
      <protection hidden="1"/>
    </xf>
    <xf numFmtId="1" fontId="7" fillId="5" borderId="22" xfId="4" applyNumberFormat="1" applyFont="1" applyFill="1" applyBorder="1" applyAlignment="1" applyProtection="1">
      <alignment horizontal="center" vertical="center"/>
      <protection hidden="1"/>
    </xf>
    <xf numFmtId="3" fontId="7" fillId="0" borderId="15" xfId="4" applyNumberFormat="1" applyFont="1" applyBorder="1" applyAlignment="1" applyProtection="1">
      <alignment horizontal="center" vertical="center"/>
      <protection hidden="1"/>
    </xf>
    <xf numFmtId="167" fontId="7" fillId="0" borderId="15" xfId="4" applyNumberFormat="1" applyFont="1" applyBorder="1" applyAlignment="1" applyProtection="1">
      <alignment horizontal="center" vertical="center"/>
      <protection hidden="1"/>
    </xf>
    <xf numFmtId="3" fontId="7" fillId="0" borderId="22" xfId="4" applyNumberFormat="1" applyFont="1" applyBorder="1" applyAlignment="1" applyProtection="1">
      <alignment horizontal="center" vertical="center"/>
      <protection hidden="1"/>
    </xf>
    <xf numFmtId="3" fontId="7" fillId="0" borderId="23" xfId="4" applyNumberFormat="1" applyFont="1" applyBorder="1" applyAlignment="1" applyProtection="1">
      <alignment horizontal="center" vertical="center"/>
      <protection hidden="1"/>
    </xf>
    <xf numFmtId="3" fontId="7" fillId="0" borderId="22" xfId="4" applyNumberFormat="1" applyFont="1" applyFill="1" applyBorder="1" applyAlignment="1" applyProtection="1">
      <alignment horizontal="right" vertical="center"/>
      <protection hidden="1"/>
    </xf>
    <xf numFmtId="3" fontId="7" fillId="0" borderId="23" xfId="4" applyNumberFormat="1" applyFont="1" applyFill="1" applyBorder="1" applyAlignment="1" applyProtection="1">
      <alignment horizontal="right" vertical="center"/>
      <protection hidden="1"/>
    </xf>
    <xf numFmtId="164" fontId="7" fillId="0" borderId="23" xfId="4" applyNumberFormat="1" applyFont="1" applyFill="1" applyBorder="1" applyAlignment="1" applyProtection="1">
      <alignment horizontal="center" vertical="center"/>
      <protection hidden="1"/>
    </xf>
    <xf numFmtId="3" fontId="7" fillId="5" borderId="23" xfId="4" applyNumberFormat="1" applyFont="1" applyFill="1" applyBorder="1" applyAlignment="1" applyProtection="1">
      <alignment horizontal="right" vertical="center"/>
      <protection hidden="1"/>
    </xf>
    <xf numFmtId="165" fontId="7" fillId="5" borderId="23" xfId="4" applyNumberFormat="1" applyFont="1" applyFill="1" applyBorder="1" applyAlignment="1" applyProtection="1">
      <alignment horizontal="right" vertical="center"/>
      <protection hidden="1"/>
    </xf>
    <xf numFmtId="1" fontId="7" fillId="5" borderId="23" xfId="4" applyNumberFormat="1" applyFont="1" applyFill="1" applyBorder="1" applyAlignment="1" applyProtection="1">
      <alignment horizontal="center" vertical="center"/>
      <protection hidden="1"/>
    </xf>
    <xf numFmtId="0" fontId="12" fillId="3" borderId="9" xfId="4" applyFont="1" applyFill="1" applyBorder="1" applyAlignment="1" applyProtection="1">
      <alignment horizontal="center" vertical="center"/>
      <protection hidden="1"/>
    </xf>
    <xf numFmtId="1" fontId="7" fillId="5" borderId="9" xfId="4" applyNumberFormat="1" applyFont="1" applyFill="1" applyBorder="1" applyAlignment="1" applyProtection="1">
      <alignment vertical="center"/>
      <protection hidden="1"/>
    </xf>
    <xf numFmtId="166" fontId="7" fillId="5" borderId="9" xfId="4" applyNumberFormat="1" applyFont="1" applyFill="1" applyBorder="1" applyAlignment="1" applyProtection="1">
      <alignment vertical="center"/>
      <protection hidden="1"/>
    </xf>
    <xf numFmtId="0" fontId="2" fillId="3" borderId="1" xfId="1" applyFont="1" applyFill="1" applyBorder="1" applyAlignment="1">
      <alignment horizontal="center" vertical="center"/>
    </xf>
    <xf numFmtId="0" fontId="7" fillId="0" borderId="15" xfId="4" applyFont="1" applyFill="1" applyBorder="1" applyAlignment="1" applyProtection="1">
      <alignment horizontal="center" vertical="center"/>
      <protection hidden="1"/>
    </xf>
    <xf numFmtId="1" fontId="13" fillId="0" borderId="22" xfId="4" applyNumberFormat="1" applyFont="1" applyBorder="1" applyAlignment="1" applyProtection="1">
      <alignment horizontal="center" vertical="center" wrapText="1"/>
      <protection hidden="1"/>
    </xf>
    <xf numFmtId="1" fontId="7" fillId="0" borderId="23" xfId="4" applyNumberFormat="1" applyFont="1" applyBorder="1" applyAlignment="1" applyProtection="1">
      <alignment horizontal="center" vertical="center"/>
      <protection hidden="1"/>
    </xf>
    <xf numFmtId="0" fontId="6" fillId="0" borderId="45" xfId="1" applyFont="1" applyBorder="1" applyAlignment="1">
      <alignment horizontal="center" vertical="center"/>
    </xf>
    <xf numFmtId="3" fontId="7" fillId="0" borderId="0" xfId="4" applyNumberFormat="1" applyFont="1" applyFill="1" applyBorder="1" applyAlignment="1" applyProtection="1">
      <alignment horizontal="right" vertical="center"/>
      <protection hidden="1"/>
    </xf>
    <xf numFmtId="164" fontId="7" fillId="0" borderId="0" xfId="4" applyNumberFormat="1" applyFont="1" applyFill="1" applyBorder="1" applyAlignment="1" applyProtection="1">
      <alignment horizontal="center" vertical="center"/>
      <protection hidden="1"/>
    </xf>
    <xf numFmtId="165" fontId="7" fillId="0" borderId="0" xfId="4" applyNumberFormat="1" applyFont="1" applyFill="1" applyBorder="1" applyAlignment="1" applyProtection="1">
      <alignment horizontal="right" vertical="center"/>
      <protection hidden="1"/>
    </xf>
    <xf numFmtId="0" fontId="5" fillId="0" borderId="15" xfId="1" applyBorder="1"/>
    <xf numFmtId="0" fontId="5" fillId="0" borderId="0" xfId="1" applyFill="1" applyBorder="1"/>
    <xf numFmtId="0" fontId="7" fillId="0" borderId="46" xfId="4" applyFont="1" applyBorder="1" applyAlignment="1" applyProtection="1">
      <alignment vertical="center"/>
      <protection hidden="1"/>
    </xf>
    <xf numFmtId="0" fontId="7" fillId="0" borderId="47" xfId="4" applyFont="1" applyFill="1" applyBorder="1" applyAlignment="1" applyProtection="1">
      <alignment horizontal="center" vertical="center"/>
      <protection hidden="1"/>
    </xf>
    <xf numFmtId="0" fontId="7" fillId="7" borderId="22" xfId="4" applyFont="1" applyFill="1" applyBorder="1" applyAlignment="1" applyProtection="1">
      <alignment vertical="center"/>
      <protection hidden="1"/>
    </xf>
    <xf numFmtId="0" fontId="5" fillId="7" borderId="22" xfId="1" applyFill="1" applyBorder="1"/>
    <xf numFmtId="9" fontId="7" fillId="7" borderId="22" xfId="4" applyNumberFormat="1" applyFont="1" applyFill="1" applyBorder="1" applyAlignment="1" applyProtection="1">
      <alignment vertical="center"/>
      <protection hidden="1"/>
    </xf>
    <xf numFmtId="9" fontId="7" fillId="0" borderId="0" xfId="4" applyNumberFormat="1" applyFont="1" applyFill="1" applyBorder="1" applyAlignment="1" applyProtection="1">
      <alignment vertical="center"/>
      <protection hidden="1"/>
    </xf>
    <xf numFmtId="0" fontId="8" fillId="0" borderId="0" xfId="1" applyFont="1" applyAlignment="1" applyProtection="1">
      <protection hidden="1"/>
    </xf>
    <xf numFmtId="0" fontId="5" fillId="0" borderId="0" xfId="1" applyAlignment="1"/>
    <xf numFmtId="0" fontId="7" fillId="7" borderId="0" xfId="4" applyFont="1" applyFill="1" applyAlignment="1" applyProtection="1">
      <alignment vertical="center"/>
      <protection hidden="1"/>
    </xf>
    <xf numFmtId="0" fontId="7" fillId="8" borderId="22" xfId="4" applyFont="1" applyFill="1" applyBorder="1" applyAlignment="1" applyProtection="1">
      <alignment vertical="center"/>
      <protection hidden="1"/>
    </xf>
    <xf numFmtId="0" fontId="7" fillId="8" borderId="0" xfId="4" applyFont="1" applyFill="1" applyBorder="1" applyAlignment="1" applyProtection="1">
      <alignment vertical="center"/>
      <protection hidden="1"/>
    </xf>
    <xf numFmtId="9" fontId="7" fillId="8" borderId="22" xfId="4" applyNumberFormat="1" applyFont="1" applyFill="1" applyBorder="1" applyAlignment="1" applyProtection="1">
      <alignment vertical="center"/>
      <protection hidden="1"/>
    </xf>
    <xf numFmtId="9" fontId="7" fillId="0" borderId="22" xfId="4" applyNumberFormat="1" applyFont="1" applyBorder="1" applyAlignment="1" applyProtection="1">
      <alignment vertical="center"/>
      <protection hidden="1"/>
    </xf>
    <xf numFmtId="0" fontId="5" fillId="0" borderId="22" xfId="1" applyBorder="1"/>
    <xf numFmtId="0" fontId="7" fillId="0" borderId="48" xfId="4" applyFont="1" applyBorder="1" applyAlignment="1" applyProtection="1">
      <alignment vertical="center"/>
      <protection hidden="1"/>
    </xf>
    <xf numFmtId="0" fontId="7" fillId="0" borderId="49" xfId="4" applyFont="1" applyBorder="1" applyAlignment="1" applyProtection="1">
      <alignment horizontal="center" vertical="center"/>
      <protection hidden="1"/>
    </xf>
    <xf numFmtId="0" fontId="7" fillId="0" borderId="0" xfId="4" applyFont="1" applyFill="1" applyBorder="1" applyAlignment="1" applyProtection="1">
      <alignment vertical="center"/>
      <protection hidden="1"/>
    </xf>
    <xf numFmtId="0" fontId="7" fillId="7" borderId="0" xfId="4" applyFont="1" applyFill="1" applyBorder="1" applyAlignment="1" applyProtection="1">
      <alignment vertical="center"/>
      <protection hidden="1"/>
    </xf>
    <xf numFmtId="0" fontId="5" fillId="6" borderId="22" xfId="1" applyFill="1" applyBorder="1"/>
    <xf numFmtId="9" fontId="5" fillId="0" borderId="22" xfId="1" applyNumberFormat="1" applyBorder="1"/>
    <xf numFmtId="0" fontId="13" fillId="0" borderId="23" xfId="4" applyFont="1" applyFill="1" applyBorder="1" applyAlignment="1" applyProtection="1">
      <alignment horizontal="center" vertical="center"/>
      <protection hidden="1"/>
    </xf>
    <xf numFmtId="4" fontId="7" fillId="0" borderId="23" xfId="5" applyNumberFormat="1" applyFont="1" applyFill="1" applyBorder="1" applyAlignment="1" applyProtection="1">
      <alignment vertical="center"/>
      <protection hidden="1"/>
    </xf>
    <xf numFmtId="4" fontId="7" fillId="6" borderId="23" xfId="5" applyNumberFormat="1" applyFont="1" applyFill="1" applyBorder="1" applyAlignment="1" applyProtection="1">
      <alignment vertical="center"/>
      <protection hidden="1"/>
    </xf>
    <xf numFmtId="3" fontId="7" fillId="0" borderId="23" xfId="5" applyNumberFormat="1" applyFont="1" applyFill="1" applyBorder="1" applyAlignment="1" applyProtection="1">
      <alignment vertical="center"/>
      <protection hidden="1"/>
    </xf>
    <xf numFmtId="0" fontId="7" fillId="0" borderId="15" xfId="1" applyFont="1" applyFill="1" applyBorder="1" applyAlignment="1" applyProtection="1">
      <alignment horizontal="center" vertical="center"/>
      <protection hidden="1"/>
    </xf>
    <xf numFmtId="2" fontId="13" fillId="0" borderId="22" xfId="1" applyNumberFormat="1" applyFont="1" applyFill="1" applyBorder="1" applyAlignment="1" applyProtection="1">
      <alignment horizontal="center" vertical="center" wrapText="1"/>
      <protection hidden="1"/>
    </xf>
    <xf numFmtId="2" fontId="13" fillId="0" borderId="23" xfId="1" applyNumberFormat="1" applyFont="1" applyFill="1" applyBorder="1" applyAlignment="1" applyProtection="1">
      <alignment horizontal="center" vertical="center" wrapText="1"/>
      <protection hidden="1"/>
    </xf>
    <xf numFmtId="0" fontId="12" fillId="3" borderId="9" xfId="4" applyFont="1" applyFill="1" applyBorder="1" applyAlignment="1" applyProtection="1">
      <alignment horizontal="left" vertical="center"/>
      <protection hidden="1"/>
    </xf>
    <xf numFmtId="3" fontId="11" fillId="0" borderId="9" xfId="4" applyNumberFormat="1" applyFont="1" applyFill="1" applyBorder="1" applyAlignment="1" applyProtection="1">
      <alignment horizontal="center" vertical="center"/>
      <protection hidden="1"/>
    </xf>
    <xf numFmtId="164" fontId="11" fillId="0" borderId="9" xfId="4" applyNumberFormat="1" applyFont="1" applyFill="1" applyBorder="1" applyAlignment="1" applyProtection="1">
      <alignment horizontal="center" vertical="center"/>
      <protection hidden="1"/>
    </xf>
    <xf numFmtId="164" fontId="7" fillId="0" borderId="0" xfId="4" applyNumberFormat="1" applyFont="1" applyAlignment="1" applyProtection="1">
      <alignment vertical="center"/>
      <protection hidden="1"/>
    </xf>
    <xf numFmtId="0" fontId="7" fillId="8" borderId="0" xfId="4" applyFont="1" applyFill="1" applyAlignment="1" applyProtection="1">
      <alignment vertical="center"/>
      <protection hidden="1"/>
    </xf>
    <xf numFmtId="9" fontId="11" fillId="0" borderId="9" xfId="4" applyNumberFormat="1" applyFont="1" applyFill="1" applyBorder="1" applyAlignment="1" applyProtection="1">
      <alignment horizontal="center" vertical="center"/>
      <protection hidden="1"/>
    </xf>
    <xf numFmtId="2" fontId="11" fillId="0" borderId="9" xfId="4" applyNumberFormat="1" applyFont="1" applyFill="1" applyBorder="1" applyAlignment="1" applyProtection="1">
      <alignment horizontal="center" vertical="center"/>
      <protection hidden="1"/>
    </xf>
    <xf numFmtId="4" fontId="7" fillId="9" borderId="15" xfId="5" applyNumberFormat="1" applyFont="1" applyFill="1" applyBorder="1" applyAlignment="1" applyProtection="1">
      <alignment vertical="center"/>
      <protection hidden="1"/>
    </xf>
    <xf numFmtId="4" fontId="7" fillId="9" borderId="22" xfId="5" applyNumberFormat="1" applyFont="1" applyFill="1" applyBorder="1" applyAlignment="1" applyProtection="1">
      <alignment vertical="center"/>
      <protection hidden="1"/>
    </xf>
    <xf numFmtId="4" fontId="13" fillId="9" borderId="22" xfId="5" applyNumberFormat="1" applyFont="1" applyFill="1" applyBorder="1" applyAlignment="1" applyProtection="1">
      <alignment vertical="center"/>
      <protection hidden="1"/>
    </xf>
    <xf numFmtId="4" fontId="7" fillId="10" borderId="22" xfId="5" applyNumberFormat="1" applyFont="1" applyFill="1" applyBorder="1" applyAlignment="1" applyProtection="1">
      <alignment vertical="center"/>
      <protection hidden="1"/>
    </xf>
    <xf numFmtId="4" fontId="7" fillId="9" borderId="23" xfId="5" applyNumberFormat="1" applyFont="1" applyFill="1" applyBorder="1" applyAlignment="1" applyProtection="1">
      <alignment vertical="center"/>
      <protection hidden="1"/>
    </xf>
    <xf numFmtId="4" fontId="25" fillId="0" borderId="58" xfId="1" applyNumberFormat="1" applyFont="1" applyFill="1" applyBorder="1" applyAlignment="1" applyProtection="1">
      <alignment horizontal="center" vertical="center"/>
      <protection locked="0" hidden="1"/>
    </xf>
    <xf numFmtId="165" fontId="5" fillId="0" borderId="0" xfId="1" applyNumberFormat="1"/>
    <xf numFmtId="166" fontId="25" fillId="17" borderId="0" xfId="1" applyNumberFormat="1" applyFont="1" applyFill="1" applyBorder="1" applyAlignment="1" applyProtection="1">
      <alignment horizontal="center"/>
      <protection locked="0" hidden="1"/>
    </xf>
    <xf numFmtId="43" fontId="7" fillId="0" borderId="0" xfId="9" applyFont="1" applyFill="1" applyBorder="1" applyAlignment="1" applyProtection="1">
      <alignment vertical="center"/>
      <protection hidden="1"/>
    </xf>
    <xf numFmtId="169" fontId="25" fillId="11" borderId="53" xfId="5" applyNumberFormat="1" applyFont="1" applyFill="1" applyBorder="1" applyAlignment="1" applyProtection="1">
      <alignment horizontal="center" vertical="center"/>
      <protection locked="0" hidden="1"/>
    </xf>
    <xf numFmtId="10" fontId="7" fillId="0" borderId="0" xfId="10" applyNumberFormat="1" applyFont="1" applyAlignment="1">
      <alignment vertical="center"/>
    </xf>
    <xf numFmtId="43" fontId="7" fillId="6" borderId="15" xfId="9" applyFont="1" applyFill="1" applyBorder="1" applyAlignment="1" applyProtection="1">
      <alignment vertical="center"/>
      <protection hidden="1"/>
    </xf>
    <xf numFmtId="43" fontId="7" fillId="6" borderId="22" xfId="9" applyFont="1" applyFill="1" applyBorder="1" applyAlignment="1" applyProtection="1">
      <alignment vertical="center"/>
      <protection hidden="1"/>
    </xf>
    <xf numFmtId="43" fontId="13" fillId="6" borderId="22" xfId="9" applyFont="1" applyFill="1" applyBorder="1" applyAlignment="1" applyProtection="1">
      <alignment vertical="center"/>
      <protection hidden="1"/>
    </xf>
    <xf numFmtId="43" fontId="7" fillId="6" borderId="23" xfId="9" applyFont="1" applyFill="1" applyBorder="1" applyAlignment="1" applyProtection="1">
      <alignment vertical="center"/>
      <protection hidden="1"/>
    </xf>
    <xf numFmtId="43" fontId="13" fillId="6" borderId="23" xfId="9" applyFont="1" applyFill="1" applyBorder="1" applyAlignment="1" applyProtection="1">
      <alignment vertical="center"/>
      <protection hidden="1"/>
    </xf>
    <xf numFmtId="43" fontId="7" fillId="0" borderId="23" xfId="9" applyFont="1" applyBorder="1" applyAlignment="1" applyProtection="1">
      <alignment horizontal="center" vertical="center"/>
      <protection hidden="1"/>
    </xf>
    <xf numFmtId="2" fontId="13" fillId="5" borderId="23" xfId="1" applyNumberFormat="1" applyFont="1" applyFill="1" applyBorder="1" applyAlignment="1" applyProtection="1">
      <alignment horizontal="center" vertical="center" wrapText="1"/>
      <protection hidden="1"/>
    </xf>
    <xf numFmtId="0" fontId="0" fillId="0" borderId="0" xfId="0" pivotButton="1"/>
    <xf numFmtId="9" fontId="5" fillId="6" borderId="22" xfId="1" applyNumberFormat="1" applyFill="1" applyBorder="1"/>
    <xf numFmtId="0" fontId="50" fillId="0" borderId="0" xfId="1" applyFont="1"/>
    <xf numFmtId="43" fontId="5" fillId="0" borderId="0" xfId="9" applyFont="1"/>
    <xf numFmtId="0" fontId="5" fillId="6" borderId="0" xfId="1" applyFill="1"/>
    <xf numFmtId="0" fontId="11" fillId="2" borderId="0" xfId="4" applyFont="1" applyFill="1" applyAlignment="1">
      <alignment horizontal="center" vertical="center"/>
    </xf>
    <xf numFmtId="171" fontId="0" fillId="0" borderId="0" xfId="0" applyNumberFormat="1"/>
    <xf numFmtId="0" fontId="10" fillId="18" borderId="0" xfId="4" applyFont="1" applyFill="1" applyAlignment="1">
      <alignment vertical="center"/>
    </xf>
    <xf numFmtId="164" fontId="11" fillId="0" borderId="9" xfId="4" quotePrefix="1" applyNumberFormat="1" applyFont="1" applyFill="1" applyBorder="1" applyAlignment="1" applyProtection="1">
      <alignment horizontal="center" vertical="center"/>
      <protection hidden="1"/>
    </xf>
    <xf numFmtId="3" fontId="6" fillId="0" borderId="38" xfId="1" applyNumberFormat="1" applyFont="1" applyBorder="1" applyAlignment="1">
      <alignment horizontal="center" vertical="center"/>
    </xf>
    <xf numFmtId="0" fontId="5" fillId="18" borderId="0" xfId="1" applyFill="1"/>
    <xf numFmtId="43" fontId="7" fillId="0" borderId="15" xfId="9" applyFont="1" applyFill="1" applyBorder="1" applyAlignment="1" applyProtection="1">
      <alignment vertical="center"/>
      <protection hidden="1"/>
    </xf>
    <xf numFmtId="43" fontId="7" fillId="0" borderId="22" xfId="9" applyFont="1" applyFill="1" applyBorder="1" applyAlignment="1" applyProtection="1">
      <alignment vertical="center"/>
      <protection hidden="1"/>
    </xf>
    <xf numFmtId="43" fontId="13" fillId="0" borderId="22" xfId="9" applyFont="1" applyFill="1" applyBorder="1" applyAlignment="1" applyProtection="1">
      <alignment vertical="center"/>
      <protection hidden="1"/>
    </xf>
    <xf numFmtId="43" fontId="7" fillId="0" borderId="23" xfId="9" applyFont="1" applyFill="1" applyBorder="1" applyAlignment="1" applyProtection="1">
      <alignment vertical="center"/>
      <protection hidden="1"/>
    </xf>
    <xf numFmtId="0" fontId="11" fillId="18" borderId="0" xfId="4" applyFont="1" applyFill="1" applyAlignment="1">
      <alignment horizontal="center" vertical="center"/>
    </xf>
    <xf numFmtId="2" fontId="6" fillId="0" borderId="38" xfId="1" applyNumberFormat="1" applyFont="1" applyBorder="1" applyAlignment="1">
      <alignment horizontal="center" vertical="center"/>
    </xf>
    <xf numFmtId="4" fontId="7" fillId="5" borderId="22" xfId="4" applyNumberFormat="1" applyFont="1" applyFill="1" applyBorder="1" applyAlignment="1" applyProtection="1">
      <alignment horizontal="center" vertical="center"/>
      <protection hidden="1"/>
    </xf>
    <xf numFmtId="2" fontId="7" fillId="5" borderId="22" xfId="4" applyNumberFormat="1" applyFont="1" applyFill="1" applyBorder="1" applyAlignment="1" applyProtection="1">
      <alignment horizontal="center" vertical="center"/>
      <protection hidden="1"/>
    </xf>
    <xf numFmtId="4" fontId="0" fillId="0" borderId="0" xfId="0" applyNumberFormat="1"/>
    <xf numFmtId="2" fontId="0" fillId="0" borderId="0" xfId="0" applyNumberFormat="1"/>
    <xf numFmtId="0" fontId="0" fillId="0" borderId="0" xfId="0" applyAlignment="1">
      <alignment horizontal="left"/>
    </xf>
    <xf numFmtId="0" fontId="4" fillId="6" borderId="0" xfId="0" applyFont="1" applyFill="1"/>
    <xf numFmtId="0" fontId="2" fillId="19" borderId="73" xfId="0" applyFont="1" applyFill="1" applyBorder="1" applyAlignment="1">
      <alignment horizontal="center" vertical="center"/>
    </xf>
    <xf numFmtId="172" fontId="0" fillId="20" borderId="73" xfId="10" applyNumberFormat="1" applyFont="1" applyFill="1" applyBorder="1" applyAlignment="1">
      <alignment horizontal="center" vertical="center"/>
    </xf>
    <xf numFmtId="172" fontId="0" fillId="20" borderId="73" xfId="0" applyNumberFormat="1" applyFill="1" applyBorder="1" applyAlignment="1">
      <alignment horizontal="center" vertical="center"/>
    </xf>
    <xf numFmtId="172" fontId="0" fillId="0" borderId="73" xfId="10" applyNumberFormat="1" applyFont="1" applyBorder="1" applyAlignment="1">
      <alignment horizontal="center" vertical="center"/>
    </xf>
    <xf numFmtId="172" fontId="0" fillId="0" borderId="73" xfId="0" applyNumberFormat="1" applyBorder="1" applyAlignment="1">
      <alignment horizontal="center" vertical="center"/>
    </xf>
    <xf numFmtId="172" fontId="0" fillId="0" borderId="73" xfId="0" applyNumberFormat="1" applyFill="1" applyBorder="1" applyAlignment="1">
      <alignment horizontal="center" vertical="center"/>
    </xf>
    <xf numFmtId="10" fontId="0" fillId="0" borderId="0" xfId="10" applyNumberFormat="1" applyFont="1"/>
    <xf numFmtId="1" fontId="0" fillId="0" borderId="0" xfId="0" applyNumberFormat="1"/>
    <xf numFmtId="169" fontId="5" fillId="0" borderId="0" xfId="9" applyNumberFormat="1" applyFont="1"/>
    <xf numFmtId="0" fontId="5" fillId="0" borderId="0" xfId="1" applyFill="1"/>
    <xf numFmtId="0" fontId="17" fillId="11" borderId="0" xfId="1" applyFont="1" applyFill="1" applyProtection="1">
      <protection locked="0" hidden="1"/>
    </xf>
    <xf numFmtId="0" fontId="17" fillId="12" borderId="0" xfId="1" applyFont="1" applyFill="1" applyBorder="1" applyProtection="1">
      <protection locked="0" hidden="1"/>
    </xf>
    <xf numFmtId="0" fontId="18" fillId="16" borderId="0" xfId="1" applyFont="1" applyFill="1" applyProtection="1">
      <protection locked="0"/>
    </xf>
    <xf numFmtId="0" fontId="17" fillId="17" borderId="0" xfId="1" applyFont="1" applyFill="1" applyBorder="1" applyProtection="1">
      <protection locked="0" hidden="1"/>
    </xf>
    <xf numFmtId="0" fontId="17" fillId="16" borderId="0" xfId="1" applyFont="1" applyFill="1" applyBorder="1" applyProtection="1">
      <protection locked="0" hidden="1"/>
    </xf>
    <xf numFmtId="0" fontId="17" fillId="16" borderId="0" xfId="1" applyFont="1" applyFill="1" applyProtection="1">
      <protection locked="0" hidden="1"/>
    </xf>
    <xf numFmtId="0" fontId="0" fillId="16" borderId="0" xfId="0" applyFill="1" applyProtection="1">
      <protection locked="0"/>
    </xf>
    <xf numFmtId="0" fontId="5" fillId="16" borderId="0" xfId="1" applyFill="1" applyProtection="1">
      <protection locked="0"/>
    </xf>
    <xf numFmtId="0" fontId="5" fillId="0" borderId="0" xfId="1" applyProtection="1">
      <protection locked="0"/>
    </xf>
    <xf numFmtId="4" fontId="19" fillId="11" borderId="0" xfId="1" applyNumberFormat="1" applyFont="1" applyFill="1" applyBorder="1" applyAlignment="1" applyProtection="1">
      <alignment vertical="center"/>
      <protection locked="0" hidden="1"/>
    </xf>
    <xf numFmtId="4" fontId="19" fillId="16" borderId="0" xfId="1" applyNumberFormat="1" applyFont="1" applyFill="1" applyBorder="1" applyAlignment="1" applyProtection="1">
      <alignment vertical="center"/>
      <protection locked="0" hidden="1"/>
    </xf>
    <xf numFmtId="0" fontId="20" fillId="17" borderId="0" xfId="1" applyFont="1" applyFill="1" applyBorder="1" applyProtection="1">
      <protection locked="0" hidden="1"/>
    </xf>
    <xf numFmtId="0" fontId="20" fillId="16" borderId="0" xfId="1" applyFont="1" applyFill="1" applyBorder="1" applyProtection="1">
      <protection locked="0" hidden="1"/>
    </xf>
    <xf numFmtId="0" fontId="21" fillId="16" borderId="0" xfId="1" applyFont="1" applyFill="1" applyProtection="1">
      <protection locked="0" hidden="1"/>
    </xf>
    <xf numFmtId="0" fontId="21" fillId="11" borderId="0" xfId="1" applyFont="1" applyFill="1" applyProtection="1">
      <protection locked="0" hidden="1"/>
    </xf>
    <xf numFmtId="0" fontId="22" fillId="12" borderId="0" xfId="1" applyFont="1" applyFill="1" applyBorder="1" applyAlignment="1" applyProtection="1">
      <alignment vertical="center"/>
      <protection locked="0" hidden="1"/>
    </xf>
    <xf numFmtId="0" fontId="20" fillId="12" borderId="0" xfId="1" applyFont="1" applyFill="1" applyBorder="1" applyProtection="1">
      <protection locked="0" hidden="1"/>
    </xf>
    <xf numFmtId="0" fontId="17" fillId="11" borderId="0" xfId="1" applyFont="1" applyFill="1" applyBorder="1" applyProtection="1">
      <protection locked="0" hidden="1"/>
    </xf>
    <xf numFmtId="0" fontId="26" fillId="11" borderId="0" xfId="1" applyFont="1" applyFill="1" applyProtection="1">
      <protection locked="0" hidden="1"/>
    </xf>
    <xf numFmtId="0" fontId="26" fillId="12" borderId="0" xfId="1" applyFont="1" applyFill="1" applyBorder="1" applyProtection="1">
      <protection locked="0" hidden="1"/>
    </xf>
    <xf numFmtId="0" fontId="26" fillId="11" borderId="0" xfId="1" applyFont="1" applyFill="1" applyBorder="1" applyAlignment="1" applyProtection="1">
      <protection locked="0" hidden="1"/>
    </xf>
    <xf numFmtId="0" fontId="17" fillId="12" borderId="0" xfId="1" applyFont="1" applyFill="1" applyBorder="1" applyAlignment="1" applyProtection="1">
      <alignment horizontal="left"/>
      <protection locked="0" hidden="1"/>
    </xf>
    <xf numFmtId="0" fontId="18" fillId="16" borderId="0" xfId="1" applyFont="1" applyFill="1" applyProtection="1">
      <protection locked="0" hidden="1"/>
    </xf>
    <xf numFmtId="0" fontId="26" fillId="12" borderId="0" xfId="1" applyFont="1" applyFill="1" applyBorder="1" applyAlignment="1" applyProtection="1">
      <alignment horizontal="left"/>
      <protection locked="0" hidden="1"/>
    </xf>
    <xf numFmtId="0" fontId="24" fillId="13" borderId="50" xfId="1" applyFont="1" applyFill="1" applyBorder="1" applyAlignment="1" applyProtection="1">
      <alignment vertical="center" wrapText="1"/>
      <protection locked="0" hidden="1"/>
    </xf>
    <xf numFmtId="0" fontId="44" fillId="16" borderId="0" xfId="0" applyFont="1" applyFill="1" applyProtection="1">
      <protection locked="0"/>
    </xf>
    <xf numFmtId="169" fontId="26" fillId="11" borderId="0" xfId="5" applyNumberFormat="1" applyFont="1" applyFill="1" applyBorder="1" applyAlignment="1" applyProtection="1">
      <alignment horizontal="center" vertical="center"/>
      <protection locked="0" hidden="1"/>
    </xf>
    <xf numFmtId="0" fontId="31" fillId="16" borderId="0" xfId="1" applyFont="1" applyFill="1" applyBorder="1" applyProtection="1">
      <protection locked="0" hidden="1"/>
    </xf>
    <xf numFmtId="0" fontId="17" fillId="17" borderId="0" xfId="1" applyFont="1" applyFill="1" applyBorder="1" applyAlignment="1" applyProtection="1">
      <alignment horizontal="center"/>
      <protection locked="0" hidden="1"/>
    </xf>
    <xf numFmtId="0" fontId="17" fillId="12" borderId="0" xfId="1" applyFont="1" applyFill="1" applyBorder="1" applyAlignment="1" applyProtection="1">
      <alignment horizontal="center"/>
      <protection locked="0" hidden="1"/>
    </xf>
    <xf numFmtId="44" fontId="31" fillId="12" borderId="0" xfId="1" applyNumberFormat="1" applyFont="1" applyFill="1" applyBorder="1" applyAlignment="1" applyProtection="1">
      <alignment horizontal="center"/>
      <protection locked="0" hidden="1"/>
    </xf>
    <xf numFmtId="0" fontId="31" fillId="12" borderId="0" xfId="1" applyFont="1" applyFill="1" applyBorder="1" applyAlignment="1" applyProtection="1">
      <alignment horizontal="center"/>
      <protection locked="0" hidden="1"/>
    </xf>
    <xf numFmtId="166" fontId="25" fillId="12" borderId="0" xfId="1" applyNumberFormat="1" applyFont="1" applyFill="1" applyBorder="1" applyAlignment="1" applyProtection="1">
      <alignment horizontal="center"/>
      <protection locked="0" hidden="1"/>
    </xf>
    <xf numFmtId="0" fontId="28" fillId="17" borderId="0" xfId="1" applyFont="1" applyFill="1" applyBorder="1" applyAlignment="1" applyProtection="1">
      <alignment horizontal="left"/>
      <protection locked="0" hidden="1"/>
    </xf>
    <xf numFmtId="0" fontId="34" fillId="12" borderId="0" xfId="1" applyFont="1" applyFill="1" applyBorder="1" applyAlignment="1" applyProtection="1">
      <alignment horizontal="left"/>
      <protection locked="0" hidden="1"/>
    </xf>
    <xf numFmtId="0" fontId="27" fillId="12" borderId="0" xfId="1" applyFont="1" applyFill="1" applyBorder="1" applyAlignment="1" applyProtection="1">
      <alignment horizontal="left"/>
      <protection locked="0" hidden="1"/>
    </xf>
    <xf numFmtId="9" fontId="35" fillId="12" borderId="0" xfId="1" applyNumberFormat="1" applyFont="1" applyFill="1" applyBorder="1" applyAlignment="1" applyProtection="1">
      <alignment horizontal="center" vertical="center"/>
      <protection locked="0" hidden="1"/>
    </xf>
    <xf numFmtId="0" fontId="27" fillId="0" borderId="0" xfId="1" applyFont="1" applyFill="1" applyBorder="1" applyAlignment="1" applyProtection="1">
      <alignment horizontal="left"/>
      <protection locked="0" hidden="1"/>
    </xf>
    <xf numFmtId="0" fontId="27" fillId="16" borderId="0" xfId="1" applyFont="1" applyFill="1" applyBorder="1" applyAlignment="1" applyProtection="1">
      <alignment horizontal="left"/>
      <protection locked="0" hidden="1"/>
    </xf>
    <xf numFmtId="0" fontId="27" fillId="17" borderId="0" xfId="1" applyFont="1" applyFill="1" applyBorder="1" applyAlignment="1" applyProtection="1">
      <alignment horizontal="left"/>
      <protection locked="0" hidden="1"/>
    </xf>
    <xf numFmtId="0" fontId="25" fillId="11" borderId="0" xfId="1" applyFont="1" applyFill="1" applyBorder="1" applyProtection="1">
      <protection locked="0" hidden="1"/>
    </xf>
    <xf numFmtId="0" fontId="25" fillId="12" borderId="0" xfId="1" applyFont="1" applyFill="1" applyBorder="1" applyProtection="1">
      <protection locked="0" hidden="1"/>
    </xf>
    <xf numFmtId="0" fontId="25" fillId="11" borderId="0" xfId="1" applyFont="1" applyFill="1" applyProtection="1">
      <protection locked="0" hidden="1"/>
    </xf>
    <xf numFmtId="0" fontId="18" fillId="16" borderId="74" xfId="1" applyFont="1" applyFill="1" applyBorder="1" applyAlignment="1" applyProtection="1">
      <alignment horizontal="center"/>
      <protection locked="0"/>
    </xf>
    <xf numFmtId="0" fontId="25" fillId="17" borderId="0" xfId="1" applyFont="1" applyFill="1" applyBorder="1" applyAlignment="1" applyProtection="1">
      <alignment horizontal="center"/>
      <protection locked="0" hidden="1"/>
    </xf>
    <xf numFmtId="0" fontId="25" fillId="17" borderId="0" xfId="1" applyFont="1" applyFill="1" applyBorder="1" applyProtection="1">
      <protection locked="0" hidden="1"/>
    </xf>
    <xf numFmtId="0" fontId="25" fillId="16" borderId="0" xfId="1" applyFont="1" applyFill="1" applyBorder="1" applyProtection="1">
      <protection locked="0" hidden="1"/>
    </xf>
    <xf numFmtId="0" fontId="20" fillId="11" borderId="0" xfId="1" applyFont="1" applyFill="1" applyBorder="1" applyProtection="1">
      <protection locked="0" hidden="1"/>
    </xf>
    <xf numFmtId="0" fontId="20" fillId="11" borderId="0" xfId="1" applyFont="1" applyFill="1" applyProtection="1">
      <protection locked="0" hidden="1"/>
    </xf>
    <xf numFmtId="0" fontId="20" fillId="17" borderId="0" xfId="1" applyFont="1" applyFill="1" applyBorder="1" applyAlignment="1" applyProtection="1">
      <alignment horizontal="center"/>
      <protection locked="0" hidden="1"/>
    </xf>
    <xf numFmtId="0" fontId="38" fillId="16" borderId="0" xfId="1" applyFont="1" applyFill="1" applyProtection="1">
      <protection locked="0" hidden="1"/>
    </xf>
    <xf numFmtId="0" fontId="39" fillId="11" borderId="0" xfId="1" applyFont="1" applyFill="1" applyBorder="1" applyAlignment="1" applyProtection="1">
      <protection locked="0" hidden="1"/>
    </xf>
    <xf numFmtId="0" fontId="39" fillId="11" borderId="0" xfId="1" applyFont="1" applyFill="1" applyAlignment="1" applyProtection="1">
      <protection locked="0" hidden="1"/>
    </xf>
    <xf numFmtId="0" fontId="38" fillId="16" borderId="0" xfId="1" applyFont="1" applyFill="1" applyProtection="1">
      <protection locked="0"/>
    </xf>
    <xf numFmtId="0" fontId="39" fillId="16" borderId="0" xfId="1" applyFont="1" applyFill="1" applyBorder="1" applyAlignment="1" applyProtection="1">
      <protection locked="0" hidden="1"/>
    </xf>
    <xf numFmtId="0" fontId="39" fillId="11" borderId="0" xfId="1" applyFont="1" applyFill="1" applyBorder="1" applyProtection="1">
      <protection locked="0" hidden="1"/>
    </xf>
    <xf numFmtId="0" fontId="42" fillId="12" borderId="0" xfId="1" applyFont="1" applyFill="1" applyBorder="1" applyProtection="1">
      <protection locked="0" hidden="1"/>
    </xf>
    <xf numFmtId="0" fontId="39" fillId="12" borderId="0" xfId="1" applyFont="1" applyFill="1" applyBorder="1" applyAlignment="1" applyProtection="1">
      <alignment horizontal="left"/>
      <protection locked="0" hidden="1"/>
    </xf>
    <xf numFmtId="0" fontId="39" fillId="16" borderId="0" xfId="1" applyFont="1" applyFill="1" applyBorder="1" applyProtection="1">
      <protection locked="0" hidden="1"/>
    </xf>
    <xf numFmtId="0" fontId="39" fillId="17" borderId="0" xfId="1" applyFont="1" applyFill="1" applyBorder="1" applyAlignment="1" applyProtection="1">
      <alignment horizontal="left"/>
      <protection locked="0" hidden="1"/>
    </xf>
    <xf numFmtId="0" fontId="36" fillId="16" borderId="0" xfId="1" applyFont="1" applyFill="1" applyBorder="1" applyProtection="1">
      <protection locked="0" hidden="1"/>
    </xf>
    <xf numFmtId="0" fontId="22" fillId="17" borderId="0" xfId="1" applyFont="1" applyFill="1" applyBorder="1" applyProtection="1">
      <protection locked="0" hidden="1"/>
    </xf>
    <xf numFmtId="0" fontId="27" fillId="16" borderId="0" xfId="1" applyFont="1" applyFill="1" applyBorder="1" applyProtection="1">
      <protection locked="0" hidden="1"/>
    </xf>
    <xf numFmtId="0" fontId="17" fillId="12" borderId="0" xfId="1" applyFont="1" applyFill="1" applyBorder="1" applyAlignment="1" applyProtection="1">
      <alignment horizontal="center"/>
      <protection hidden="1"/>
    </xf>
    <xf numFmtId="0" fontId="24" fillId="13" borderId="56" xfId="1" applyFont="1" applyFill="1" applyBorder="1" applyAlignment="1" applyProtection="1">
      <alignment horizontal="center" vertical="center"/>
      <protection hidden="1"/>
    </xf>
    <xf numFmtId="4" fontId="25" fillId="0" borderId="56" xfId="1" applyNumberFormat="1" applyFont="1" applyFill="1" applyBorder="1" applyAlignment="1" applyProtection="1">
      <alignment horizontal="right"/>
      <protection hidden="1"/>
    </xf>
    <xf numFmtId="4" fontId="31" fillId="16" borderId="0" xfId="0" applyNumberFormat="1" applyFont="1" applyFill="1" applyBorder="1" applyAlignment="1" applyProtection="1">
      <alignment horizontal="right" vertical="center"/>
      <protection hidden="1"/>
    </xf>
    <xf numFmtId="0" fontId="17" fillId="11" borderId="0" xfId="1" applyFont="1" applyFill="1" applyProtection="1">
      <protection hidden="1"/>
    </xf>
    <xf numFmtId="0" fontId="27" fillId="12" borderId="50" xfId="1" applyFont="1" applyFill="1" applyBorder="1" applyAlignment="1" applyProtection="1">
      <protection hidden="1"/>
    </xf>
    <xf numFmtId="0" fontId="27" fillId="12" borderId="51" xfId="1" applyFont="1" applyFill="1" applyBorder="1" applyAlignment="1" applyProtection="1">
      <protection hidden="1"/>
    </xf>
    <xf numFmtId="0" fontId="27" fillId="12" borderId="51" xfId="1" applyNumberFormat="1" applyFont="1" applyFill="1" applyBorder="1" applyAlignment="1" applyProtection="1">
      <alignment horizontal="left"/>
      <protection hidden="1"/>
    </xf>
    <xf numFmtId="0" fontId="24" fillId="13" borderId="74" xfId="1" applyFont="1" applyFill="1" applyBorder="1" applyAlignment="1" applyProtection="1">
      <alignment vertical="center"/>
      <protection hidden="1"/>
    </xf>
    <xf numFmtId="0" fontId="25" fillId="12" borderId="51" xfId="1" applyFont="1" applyFill="1" applyBorder="1" applyAlignment="1" applyProtection="1">
      <protection hidden="1"/>
    </xf>
    <xf numFmtId="9" fontId="27" fillId="12" borderId="51" xfId="1" applyNumberFormat="1" applyFont="1" applyFill="1" applyBorder="1" applyAlignment="1" applyProtection="1">
      <alignment horizontal="left"/>
      <protection hidden="1"/>
    </xf>
    <xf numFmtId="0" fontId="26" fillId="11" borderId="0" xfId="1" applyFont="1" applyFill="1" applyProtection="1">
      <protection hidden="1"/>
    </xf>
    <xf numFmtId="0" fontId="20" fillId="11" borderId="0" xfId="1" applyFont="1" applyFill="1" applyProtection="1">
      <protection hidden="1"/>
    </xf>
    <xf numFmtId="0" fontId="29" fillId="13" borderId="53" xfId="1" applyFont="1" applyFill="1" applyBorder="1" applyAlignment="1" applyProtection="1">
      <alignment horizontal="center" vertical="center"/>
      <protection hidden="1"/>
    </xf>
    <xf numFmtId="4" fontId="31" fillId="15" borderId="61" xfId="1" applyNumberFormat="1" applyFont="1" applyFill="1" applyBorder="1" applyAlignment="1" applyProtection="1">
      <alignment horizontal="center" vertical="center"/>
      <protection hidden="1"/>
    </xf>
    <xf numFmtId="170" fontId="25" fillId="12" borderId="65" xfId="1" applyNumberFormat="1" applyFont="1" applyFill="1" applyBorder="1" applyAlignment="1" applyProtection="1">
      <alignment horizontal="center" vertical="center"/>
      <protection hidden="1"/>
    </xf>
    <xf numFmtId="0" fontId="36" fillId="11" borderId="66" xfId="1" applyFont="1" applyFill="1" applyBorder="1" applyProtection="1">
      <protection hidden="1"/>
    </xf>
    <xf numFmtId="170" fontId="25" fillId="12" borderId="70" xfId="1" applyNumberFormat="1" applyFont="1" applyFill="1" applyBorder="1" applyAlignment="1" applyProtection="1">
      <alignment horizontal="center" vertical="center"/>
      <protection hidden="1"/>
    </xf>
    <xf numFmtId="0" fontId="36" fillId="11" borderId="71" xfId="1" applyFont="1" applyFill="1" applyBorder="1" applyProtection="1">
      <protection hidden="1"/>
    </xf>
    <xf numFmtId="170" fontId="24" fillId="13" borderId="53" xfId="1" applyNumberFormat="1" applyFont="1" applyFill="1" applyBorder="1" applyAlignment="1" applyProtection="1">
      <alignment horizontal="center" vertical="center"/>
      <protection hidden="1"/>
    </xf>
    <xf numFmtId="0" fontId="37" fillId="15" borderId="61" xfId="1" applyFont="1" applyFill="1" applyBorder="1" applyProtection="1">
      <protection hidden="1"/>
    </xf>
    <xf numFmtId="0" fontId="43" fillId="11" borderId="0" xfId="1" applyFont="1" applyFill="1" applyBorder="1" applyAlignment="1" applyProtection="1">
      <alignment horizontal="left" vertical="center"/>
      <protection hidden="1"/>
    </xf>
    <xf numFmtId="0" fontId="42" fillId="12" borderId="0" xfId="1" applyFont="1" applyFill="1" applyBorder="1" applyProtection="1">
      <protection hidden="1"/>
    </xf>
    <xf numFmtId="0" fontId="39" fillId="12" borderId="0" xfId="1" applyFont="1" applyFill="1" applyBorder="1" applyAlignment="1" applyProtection="1">
      <alignment horizontal="left"/>
      <protection hidden="1"/>
    </xf>
    <xf numFmtId="0" fontId="45" fillId="16" borderId="0" xfId="1" applyFont="1" applyFill="1" applyProtection="1"/>
    <xf numFmtId="0" fontId="42" fillId="12" borderId="0" xfId="1" applyFont="1" applyFill="1" applyBorder="1" applyAlignment="1" applyProtection="1">
      <alignment horizontal="left"/>
      <protection hidden="1"/>
    </xf>
    <xf numFmtId="0" fontId="42" fillId="11" borderId="0" xfId="1" applyFont="1" applyFill="1" applyProtection="1">
      <protection hidden="1"/>
    </xf>
    <xf numFmtId="0" fontId="36" fillId="12" borderId="0" xfId="1" applyFont="1" applyFill="1" applyBorder="1" applyProtection="1">
      <protection hidden="1"/>
    </xf>
    <xf numFmtId="0" fontId="1" fillId="16" borderId="0" xfId="1" applyFont="1" applyFill="1" applyProtection="1"/>
    <xf numFmtId="0" fontId="47" fillId="11" borderId="0" xfId="1" applyFont="1" applyFill="1" applyBorder="1" applyAlignment="1" applyProtection="1">
      <alignment horizontal="justify" vertical="center" wrapText="1"/>
      <protection hidden="1"/>
    </xf>
    <xf numFmtId="0" fontId="48" fillId="16" borderId="0" xfId="1" applyFont="1" applyFill="1" applyProtection="1"/>
    <xf numFmtId="0" fontId="0" fillId="16" borderId="0" xfId="0" applyFill="1" applyProtection="1"/>
    <xf numFmtId="0" fontId="1" fillId="16" borderId="0" xfId="0" applyFont="1" applyFill="1" applyAlignment="1" applyProtection="1">
      <alignment horizontal="left"/>
    </xf>
    <xf numFmtId="0" fontId="52" fillId="21" borderId="74" xfId="0" applyFont="1" applyFill="1" applyBorder="1" applyAlignment="1">
      <alignment horizontal="center" vertical="center" wrapText="1"/>
    </xf>
    <xf numFmtId="0" fontId="52" fillId="21" borderId="76" xfId="0" applyFont="1" applyFill="1" applyBorder="1" applyAlignment="1">
      <alignment horizontal="center" vertical="center"/>
    </xf>
    <xf numFmtId="0" fontId="53" fillId="0" borderId="75" xfId="0" applyFont="1" applyBorder="1" applyAlignment="1">
      <alignment horizontal="center" vertical="center" wrapText="1"/>
    </xf>
    <xf numFmtId="0" fontId="53" fillId="0" borderId="77" xfId="0" applyFont="1" applyBorder="1" applyAlignment="1">
      <alignment horizontal="center" vertical="center"/>
    </xf>
    <xf numFmtId="0" fontId="53" fillId="0" borderId="77" xfId="0" applyFont="1" applyBorder="1" applyAlignment="1">
      <alignment horizontal="center" vertical="center" wrapText="1"/>
    </xf>
    <xf numFmtId="0" fontId="31" fillId="11" borderId="0" xfId="1" applyFont="1" applyFill="1" applyProtection="1">
      <protection locked="0" hidden="1"/>
    </xf>
    <xf numFmtId="4" fontId="25" fillId="0" borderId="57" xfId="1" applyNumberFormat="1" applyFont="1" applyFill="1" applyBorder="1" applyAlignment="1" applyProtection="1">
      <alignment horizontal="center" vertical="center"/>
      <protection locked="0" hidden="1"/>
    </xf>
    <xf numFmtId="3" fontId="31" fillId="16" borderId="0" xfId="0" applyNumberFormat="1" applyFont="1" applyFill="1" applyBorder="1" applyAlignment="1" applyProtection="1">
      <alignment horizontal="center" vertical="center"/>
      <protection locked="0" hidden="1"/>
    </xf>
    <xf numFmtId="0" fontId="25" fillId="16" borderId="0" xfId="1" applyFont="1" applyFill="1" applyProtection="1">
      <protection locked="0"/>
    </xf>
    <xf numFmtId="4" fontId="25" fillId="0" borderId="59" xfId="1" applyNumberFormat="1" applyFont="1" applyFill="1" applyBorder="1" applyAlignment="1" applyProtection="1">
      <alignment horizontal="center" vertical="center"/>
      <protection locked="0" hidden="1"/>
    </xf>
    <xf numFmtId="0" fontId="35" fillId="12" borderId="0" xfId="1" applyFont="1" applyFill="1" applyBorder="1" applyAlignment="1" applyProtection="1">
      <alignment horizontal="left"/>
      <protection locked="0" hidden="1"/>
    </xf>
    <xf numFmtId="4" fontId="25" fillId="0" borderId="60" xfId="1" applyNumberFormat="1" applyFont="1" applyFill="1" applyBorder="1" applyAlignment="1" applyProtection="1">
      <alignment horizontal="center" vertical="center"/>
      <protection locked="0" hidden="1"/>
    </xf>
    <xf numFmtId="0" fontId="20" fillId="12" borderId="0" xfId="1" applyFont="1" applyFill="1" applyBorder="1" applyAlignment="1" applyProtection="1">
      <alignment horizontal="center"/>
      <protection locked="0" hidden="1"/>
    </xf>
    <xf numFmtId="0" fontId="22" fillId="16" borderId="0" xfId="1" applyFont="1" applyFill="1" applyBorder="1" applyProtection="1">
      <protection locked="0" hidden="1"/>
    </xf>
    <xf numFmtId="4" fontId="24" fillId="13" borderId="56" xfId="1" applyNumberFormat="1" applyFont="1" applyFill="1" applyBorder="1" applyAlignment="1" applyProtection="1">
      <alignment horizontal="right" vertical="center"/>
      <protection hidden="1"/>
    </xf>
    <xf numFmtId="0" fontId="38" fillId="16" borderId="0" xfId="1" applyFont="1" applyFill="1" applyProtection="1">
      <protection hidden="1"/>
    </xf>
    <xf numFmtId="0" fontId="39" fillId="17" borderId="0" xfId="1" applyFont="1" applyFill="1" applyBorder="1" applyAlignment="1" applyProtection="1">
      <alignment horizontal="left"/>
      <protection hidden="1"/>
    </xf>
    <xf numFmtId="0" fontId="20" fillId="17" borderId="0" xfId="1" applyFont="1" applyFill="1" applyBorder="1" applyProtection="1">
      <protection hidden="1"/>
    </xf>
    <xf numFmtId="0" fontId="22" fillId="17" borderId="0" xfId="1" applyFont="1" applyFill="1" applyBorder="1" applyProtection="1">
      <protection hidden="1"/>
    </xf>
    <xf numFmtId="0" fontId="44" fillId="16" borderId="0" xfId="0" applyFont="1" applyFill="1" applyProtection="1"/>
    <xf numFmtId="0" fontId="31" fillId="16" borderId="0" xfId="1" applyFont="1" applyFill="1" applyProtection="1">
      <protection hidden="1"/>
    </xf>
    <xf numFmtId="3" fontId="25" fillId="12" borderId="52" xfId="1" applyNumberFormat="1" applyFont="1" applyFill="1" applyBorder="1" applyAlignment="1" applyProtection="1">
      <alignment horizontal="left" vertical="center"/>
      <protection hidden="1"/>
    </xf>
    <xf numFmtId="169" fontId="25" fillId="11" borderId="53" xfId="5" applyNumberFormat="1" applyFont="1" applyFill="1" applyBorder="1" applyAlignment="1" applyProtection="1">
      <alignment horizontal="center" vertical="center"/>
      <protection hidden="1"/>
    </xf>
    <xf numFmtId="0" fontId="40" fillId="13" borderId="53" xfId="1" applyFont="1" applyFill="1" applyBorder="1" applyAlignment="1" applyProtection="1">
      <alignment vertical="center"/>
      <protection hidden="1"/>
    </xf>
    <xf numFmtId="0" fontId="24" fillId="13" borderId="53" xfId="1" applyFont="1" applyFill="1" applyBorder="1" applyAlignment="1" applyProtection="1">
      <alignment vertical="center"/>
      <protection hidden="1"/>
    </xf>
    <xf numFmtId="0" fontId="25" fillId="0" borderId="56" xfId="1" applyFont="1" applyFill="1" applyBorder="1" applyAlignment="1" applyProtection="1">
      <alignment horizontal="center" vertical="center"/>
      <protection hidden="1"/>
    </xf>
    <xf numFmtId="0" fontId="1" fillId="16" borderId="0" xfId="0" applyFont="1" applyFill="1" applyAlignment="1" applyProtection="1">
      <alignment wrapText="1"/>
    </xf>
    <xf numFmtId="0" fontId="51" fillId="16" borderId="0" xfId="0" applyFont="1" applyFill="1" applyAlignment="1" applyProtection="1">
      <alignment vertical="center" wrapText="1"/>
    </xf>
    <xf numFmtId="173" fontId="6" fillId="0" borderId="1" xfId="1" applyNumberFormat="1" applyFont="1" applyBorder="1" applyAlignment="1">
      <alignment horizontal="center" vertical="center"/>
    </xf>
    <xf numFmtId="169" fontId="11" fillId="0" borderId="9" xfId="4" applyNumberFormat="1" applyFont="1" applyFill="1" applyBorder="1" applyAlignment="1" applyProtection="1">
      <alignment horizontal="center" vertical="center"/>
      <protection hidden="1"/>
    </xf>
    <xf numFmtId="169" fontId="13" fillId="0" borderId="22" xfId="9" applyNumberFormat="1" applyFont="1" applyBorder="1" applyAlignment="1" applyProtection="1">
      <alignment horizontal="center" vertical="center"/>
      <protection hidden="1"/>
    </xf>
    <xf numFmtId="4" fontId="7" fillId="5" borderId="23" xfId="4" applyNumberFormat="1" applyFont="1" applyFill="1" applyBorder="1" applyAlignment="1" applyProtection="1">
      <alignment horizontal="center" vertical="center"/>
      <protection hidden="1"/>
    </xf>
    <xf numFmtId="2" fontId="7" fillId="5" borderId="23" xfId="4" applyNumberFormat="1" applyFont="1" applyFill="1" applyBorder="1" applyAlignment="1" applyProtection="1">
      <alignment horizontal="center" vertical="center"/>
      <protection hidden="1"/>
    </xf>
    <xf numFmtId="0" fontId="8" fillId="0" borderId="17" xfId="1" applyFont="1" applyBorder="1" applyAlignment="1" applyProtection="1">
      <alignment horizontal="center"/>
      <protection hidden="1"/>
    </xf>
    <xf numFmtId="0" fontId="8" fillId="0" borderId="25" xfId="1" applyFont="1" applyBorder="1" applyAlignment="1" applyProtection="1">
      <alignment horizontal="center"/>
      <protection hidden="1"/>
    </xf>
    <xf numFmtId="0" fontId="8" fillId="0" borderId="33" xfId="1" applyFont="1" applyBorder="1" applyAlignment="1" applyProtection="1">
      <alignment horizontal="center"/>
      <protection hidden="1"/>
    </xf>
    <xf numFmtId="168" fontId="5" fillId="6" borderId="22" xfId="1" applyNumberFormat="1" applyFill="1" applyBorder="1"/>
    <xf numFmtId="172" fontId="5" fillId="0" borderId="0" xfId="10" applyNumberFormat="1" applyFont="1"/>
    <xf numFmtId="174" fontId="5" fillId="0" borderId="0" xfId="1" applyNumberFormat="1"/>
    <xf numFmtId="0" fontId="5" fillId="24" borderId="0" xfId="1" applyFill="1"/>
    <xf numFmtId="0" fontId="0" fillId="24" borderId="0" xfId="0" applyFill="1"/>
    <xf numFmtId="0" fontId="58" fillId="0" borderId="0" xfId="0" applyFont="1" applyAlignment="1">
      <alignment vertical="center"/>
    </xf>
    <xf numFmtId="0" fontId="59" fillId="0" borderId="0" xfId="0" applyFont="1" applyAlignment="1">
      <alignment vertical="center"/>
    </xf>
    <xf numFmtId="0" fontId="60" fillId="0" borderId="0" xfId="0" applyFont="1" applyAlignment="1">
      <alignment vertical="center"/>
    </xf>
    <xf numFmtId="0" fontId="60" fillId="0" borderId="0" xfId="0" applyFont="1"/>
    <xf numFmtId="0" fontId="61" fillId="0" borderId="0" xfId="0" applyFont="1" applyAlignment="1">
      <alignment vertical="center"/>
    </xf>
    <xf numFmtId="0" fontId="63" fillId="0" borderId="0" xfId="0" applyFont="1" applyAlignment="1">
      <alignment vertical="center"/>
    </xf>
    <xf numFmtId="0" fontId="61" fillId="0" borderId="0" xfId="0" applyFont="1" applyAlignment="1" applyProtection="1">
      <alignment vertical="center"/>
    </xf>
    <xf numFmtId="0" fontId="64" fillId="0" borderId="0" xfId="0" applyFont="1" applyAlignment="1" applyProtection="1">
      <alignment vertical="center"/>
    </xf>
    <xf numFmtId="0" fontId="65" fillId="0" borderId="0" xfId="0" applyFont="1" applyAlignment="1" applyProtection="1">
      <alignment vertical="center"/>
    </xf>
    <xf numFmtId="0" fontId="58" fillId="0" borderId="0" xfId="0" applyFont="1" applyAlignment="1" applyProtection="1">
      <alignment vertical="center"/>
    </xf>
    <xf numFmtId="0" fontId="58" fillId="0" borderId="0" xfId="0" applyFont="1" applyBorder="1" applyAlignment="1">
      <alignment vertical="center"/>
    </xf>
    <xf numFmtId="14" fontId="17" fillId="11" borderId="0" xfId="1" applyNumberFormat="1" applyFont="1" applyFill="1" applyProtection="1">
      <protection locked="0" hidden="1"/>
    </xf>
    <xf numFmtId="0" fontId="24" fillId="13" borderId="53" xfId="1" applyFont="1" applyFill="1" applyBorder="1" applyAlignment="1" applyProtection="1">
      <alignment vertical="center" wrapText="1"/>
      <protection hidden="1"/>
    </xf>
    <xf numFmtId="14" fontId="62" fillId="0" borderId="0" xfId="0" applyNumberFormat="1" applyFont="1" applyAlignment="1">
      <alignment horizontal="right" vertical="center"/>
    </xf>
    <xf numFmtId="0" fontId="60" fillId="0" borderId="0" xfId="0" applyFont="1" applyAlignment="1">
      <alignment wrapText="1"/>
    </xf>
    <xf numFmtId="0" fontId="66" fillId="0" borderId="0" xfId="0" applyFont="1" applyAlignment="1">
      <alignment vertical="center"/>
    </xf>
    <xf numFmtId="0" fontId="67" fillId="22" borderId="101" xfId="0" applyFont="1" applyFill="1" applyBorder="1" applyAlignment="1">
      <alignment horizontal="right" vertical="center"/>
    </xf>
    <xf numFmtId="14" fontId="68" fillId="0" borderId="101" xfId="0" applyNumberFormat="1" applyFont="1" applyBorder="1" applyAlignment="1" applyProtection="1">
      <alignment horizontal="center" vertical="center"/>
      <protection hidden="1"/>
    </xf>
    <xf numFmtId="0" fontId="66" fillId="0" borderId="79" xfId="0" applyFont="1" applyBorder="1" applyAlignment="1">
      <alignment vertical="center"/>
    </xf>
    <xf numFmtId="0" fontId="66" fillId="0" borderId="80" xfId="0" applyFont="1" applyBorder="1" applyAlignment="1">
      <alignment vertical="center"/>
    </xf>
    <xf numFmtId="0" fontId="67" fillId="22" borderId="81" xfId="0" applyFont="1" applyFill="1" applyBorder="1" applyAlignment="1">
      <alignment horizontal="right" vertical="center"/>
    </xf>
    <xf numFmtId="0" fontId="67" fillId="22" borderId="84" xfId="0" applyFont="1" applyFill="1" applyBorder="1" applyAlignment="1">
      <alignment horizontal="right" vertical="center"/>
    </xf>
    <xf numFmtId="0" fontId="66" fillId="0" borderId="100" xfId="0" applyFont="1" applyBorder="1" applyAlignment="1">
      <alignment vertical="center"/>
    </xf>
    <xf numFmtId="0" fontId="67" fillId="22" borderId="81" xfId="0" applyFont="1" applyFill="1" applyBorder="1" applyAlignment="1" applyProtection="1">
      <alignment horizontal="center" vertical="center"/>
      <protection hidden="1"/>
    </xf>
    <xf numFmtId="0" fontId="67" fillId="22" borderId="82" xfId="0" applyFont="1" applyFill="1" applyBorder="1" applyAlignment="1" applyProtection="1">
      <alignment horizontal="center" vertical="center"/>
      <protection hidden="1"/>
    </xf>
    <xf numFmtId="0" fontId="67" fillId="22" borderId="83" xfId="0" applyFont="1" applyFill="1" applyBorder="1" applyAlignment="1" applyProtection="1">
      <alignment horizontal="center" vertical="center"/>
      <protection hidden="1"/>
    </xf>
    <xf numFmtId="0" fontId="67" fillId="16" borderId="0" xfId="0" applyFont="1" applyFill="1" applyBorder="1" applyAlignment="1">
      <alignment horizontal="center" vertical="center" wrapText="1"/>
    </xf>
    <xf numFmtId="0" fontId="67" fillId="16" borderId="0" xfId="0" applyFont="1" applyFill="1" applyBorder="1" applyAlignment="1">
      <alignment horizontal="center" vertical="center"/>
    </xf>
    <xf numFmtId="0" fontId="70" fillId="16" borderId="0" xfId="0" applyFont="1" applyFill="1" applyBorder="1" applyAlignment="1">
      <alignment vertical="center"/>
    </xf>
    <xf numFmtId="0" fontId="68" fillId="0" borderId="87" xfId="0" applyFont="1" applyBorder="1" applyAlignment="1" applyProtection="1">
      <alignment horizontal="center" vertical="center"/>
      <protection hidden="1"/>
    </xf>
    <xf numFmtId="9" fontId="68" fillId="0" borderId="88" xfId="0" applyNumberFormat="1" applyFont="1" applyBorder="1" applyAlignment="1" applyProtection="1">
      <alignment horizontal="center" vertical="center"/>
      <protection hidden="1"/>
    </xf>
    <xf numFmtId="49" fontId="68" fillId="0" borderId="88" xfId="9" applyNumberFormat="1" applyFont="1" applyBorder="1" applyAlignment="1" applyProtection="1">
      <alignment horizontal="center" vertical="center"/>
      <protection hidden="1"/>
    </xf>
    <xf numFmtId="170" fontId="68" fillId="0" borderId="89" xfId="0" applyNumberFormat="1" applyFont="1" applyFill="1" applyBorder="1" applyAlignment="1" applyProtection="1">
      <alignment vertical="center"/>
      <protection hidden="1"/>
    </xf>
    <xf numFmtId="170" fontId="70" fillId="16" borderId="0" xfId="9" applyNumberFormat="1" applyFont="1" applyFill="1" applyBorder="1" applyAlignment="1">
      <alignment horizontal="center" vertical="center"/>
    </xf>
    <xf numFmtId="170" fontId="70" fillId="16" borderId="0" xfId="0" applyNumberFormat="1" applyFont="1" applyFill="1" applyBorder="1" applyAlignment="1">
      <alignment horizontal="center" vertical="center"/>
    </xf>
    <xf numFmtId="0" fontId="68" fillId="0" borderId="84" xfId="0" applyFont="1" applyBorder="1" applyAlignment="1" applyProtection="1">
      <alignment horizontal="center" vertical="center"/>
      <protection hidden="1"/>
    </xf>
    <xf numFmtId="9" fontId="68" fillId="0" borderId="85" xfId="0" applyNumberFormat="1" applyFont="1" applyBorder="1" applyAlignment="1" applyProtection="1">
      <alignment horizontal="center" vertical="center"/>
      <protection hidden="1"/>
    </xf>
    <xf numFmtId="9" fontId="68" fillId="0" borderId="86" xfId="0" applyNumberFormat="1" applyFont="1" applyBorder="1" applyAlignment="1" applyProtection="1">
      <alignment horizontal="center" vertical="center"/>
      <protection hidden="1"/>
    </xf>
    <xf numFmtId="0" fontId="66" fillId="0" borderId="78" xfId="0" applyFont="1" applyBorder="1" applyAlignment="1" applyProtection="1">
      <alignment vertical="center"/>
      <protection hidden="1"/>
    </xf>
    <xf numFmtId="0" fontId="66" fillId="0" borderId="0" xfId="0" applyFont="1" applyAlignment="1" applyProtection="1">
      <alignment vertical="center"/>
      <protection hidden="1"/>
    </xf>
    <xf numFmtId="0" fontId="67" fillId="22" borderId="81" xfId="0" applyFont="1" applyFill="1" applyBorder="1" applyAlignment="1" applyProtection="1">
      <alignment vertical="center"/>
      <protection hidden="1"/>
    </xf>
    <xf numFmtId="170" fontId="69" fillId="0" borderId="83" xfId="0" applyNumberFormat="1" applyFont="1" applyFill="1" applyBorder="1" applyAlignment="1" applyProtection="1">
      <alignment vertical="center"/>
      <protection hidden="1"/>
    </xf>
    <xf numFmtId="0" fontId="70" fillId="17" borderId="0" xfId="1" applyFont="1" applyFill="1" applyBorder="1" applyAlignment="1" applyProtection="1">
      <alignment horizontal="center"/>
      <protection locked="0" hidden="1"/>
    </xf>
    <xf numFmtId="0" fontId="70" fillId="17" borderId="0" xfId="1" applyFont="1" applyFill="1" applyBorder="1" applyAlignment="1" applyProtection="1">
      <alignment horizontal="center"/>
      <protection hidden="1"/>
    </xf>
    <xf numFmtId="170" fontId="70" fillId="16" borderId="0" xfId="0" applyNumberFormat="1" applyFont="1" applyFill="1" applyBorder="1" applyAlignment="1">
      <alignment vertical="center"/>
    </xf>
    <xf numFmtId="0" fontId="66" fillId="0" borderId="0" xfId="0" applyFont="1" applyBorder="1" applyAlignment="1" applyProtection="1">
      <alignment vertical="center"/>
      <protection hidden="1"/>
    </xf>
    <xf numFmtId="0" fontId="67" fillId="22" borderId="87" xfId="0" applyFont="1" applyFill="1" applyBorder="1" applyAlignment="1" applyProtection="1">
      <alignment vertical="center" wrapText="1"/>
      <protection hidden="1"/>
    </xf>
    <xf numFmtId="170" fontId="69" fillId="0" borderId="89" xfId="0" applyNumberFormat="1" applyFont="1" applyFill="1" applyBorder="1" applyAlignment="1" applyProtection="1">
      <alignment vertical="center"/>
      <protection hidden="1"/>
    </xf>
    <xf numFmtId="0" fontId="67" fillId="22" borderId="87" xfId="0" applyFont="1" applyFill="1" applyBorder="1" applyAlignment="1" applyProtection="1">
      <alignment vertical="center"/>
      <protection hidden="1"/>
    </xf>
    <xf numFmtId="0" fontId="67" fillId="22" borderId="100" xfId="0" applyFont="1" applyFill="1" applyBorder="1" applyAlignment="1" applyProtection="1">
      <alignment horizontal="center" vertical="center" wrapText="1"/>
      <protection hidden="1"/>
    </xf>
    <xf numFmtId="0" fontId="67" fillId="22" borderId="84" xfId="0" applyFont="1" applyFill="1" applyBorder="1" applyAlignment="1" applyProtection="1">
      <alignment vertical="center"/>
      <protection hidden="1"/>
    </xf>
    <xf numFmtId="170" fontId="69" fillId="0" borderId="86" xfId="0" applyNumberFormat="1" applyFont="1" applyFill="1" applyBorder="1" applyAlignment="1" applyProtection="1">
      <alignment vertical="center"/>
      <protection hidden="1"/>
    </xf>
    <xf numFmtId="0" fontId="66" fillId="0" borderId="0" xfId="0" applyFont="1" applyProtection="1">
      <protection hidden="1"/>
    </xf>
    <xf numFmtId="0" fontId="66" fillId="0" borderId="80" xfId="0" applyFont="1" applyBorder="1" applyProtection="1">
      <protection hidden="1"/>
    </xf>
    <xf numFmtId="170" fontId="68" fillId="0" borderId="0" xfId="0" applyNumberFormat="1" applyFont="1" applyFill="1" applyBorder="1" applyAlignment="1">
      <alignment vertical="center"/>
    </xf>
    <xf numFmtId="0" fontId="67" fillId="22" borderId="101" xfId="0" applyFont="1" applyFill="1" applyBorder="1" applyAlignment="1" applyProtection="1">
      <alignment horizontal="center" vertical="center"/>
      <protection hidden="1"/>
    </xf>
    <xf numFmtId="0" fontId="68" fillId="0" borderId="81" xfId="0" applyFont="1" applyBorder="1" applyAlignment="1" applyProtection="1">
      <alignment horizontal="center" vertical="center"/>
      <protection hidden="1"/>
    </xf>
    <xf numFmtId="170" fontId="68" fillId="0" borderId="82" xfId="0" applyNumberFormat="1" applyFont="1" applyBorder="1" applyAlignment="1" applyProtection="1">
      <alignment vertical="center"/>
      <protection hidden="1"/>
    </xf>
    <xf numFmtId="170" fontId="68" fillId="25" borderId="83" xfId="0" applyNumberFormat="1" applyFont="1" applyFill="1" applyBorder="1" applyAlignment="1" applyProtection="1">
      <alignment vertical="center"/>
      <protection hidden="1"/>
    </xf>
    <xf numFmtId="0" fontId="66" fillId="0" borderId="105" xfId="0" applyFont="1" applyBorder="1" applyAlignment="1">
      <alignment vertical="center"/>
    </xf>
    <xf numFmtId="170" fontId="68" fillId="0" borderId="88" xfId="0" applyNumberFormat="1" applyFont="1" applyBorder="1" applyAlignment="1" applyProtection="1">
      <alignment vertical="center"/>
      <protection hidden="1"/>
    </xf>
    <xf numFmtId="170" fontId="68" fillId="0" borderId="89" xfId="0" applyNumberFormat="1" applyFont="1" applyBorder="1" applyAlignment="1" applyProtection="1">
      <alignment vertical="center"/>
      <protection hidden="1"/>
    </xf>
    <xf numFmtId="170" fontId="68" fillId="0" borderId="85" xfId="0" applyNumberFormat="1" applyFont="1" applyBorder="1" applyAlignment="1" applyProtection="1">
      <alignment vertical="center"/>
      <protection hidden="1"/>
    </xf>
    <xf numFmtId="170" fontId="68" fillId="0" borderId="86" xfId="0" applyNumberFormat="1" applyFont="1" applyBorder="1" applyAlignment="1" applyProtection="1">
      <alignment vertical="center"/>
      <protection hidden="1"/>
    </xf>
    <xf numFmtId="0" fontId="68" fillId="0" borderId="0" xfId="0" applyFont="1" applyAlignment="1">
      <alignment vertical="center"/>
    </xf>
    <xf numFmtId="0" fontId="66" fillId="0" borderId="78" xfId="0" applyFont="1" applyBorder="1" applyAlignment="1">
      <alignment vertical="center"/>
    </xf>
    <xf numFmtId="0" fontId="70" fillId="11" borderId="0" xfId="1" applyFont="1" applyFill="1" applyProtection="1">
      <protection locked="0" hidden="1"/>
    </xf>
    <xf numFmtId="0" fontId="68" fillId="0" borderId="0" xfId="0" applyFont="1" applyAlignment="1">
      <alignment horizontal="left" vertical="center" wrapText="1"/>
    </xf>
    <xf numFmtId="0" fontId="68" fillId="0" borderId="0" xfId="0" applyFont="1" applyAlignment="1">
      <alignment horizontal="right"/>
    </xf>
    <xf numFmtId="0" fontId="68" fillId="0" borderId="0" xfId="0" applyFont="1" applyAlignment="1">
      <alignment horizontal="right" vertical="center"/>
    </xf>
    <xf numFmtId="0" fontId="68" fillId="0" borderId="0" xfId="0" applyFont="1" applyBorder="1" applyAlignment="1">
      <alignment horizontal="left" vertical="center" wrapText="1"/>
    </xf>
    <xf numFmtId="0" fontId="24" fillId="13" borderId="54" xfId="1" applyFont="1" applyFill="1" applyBorder="1" applyAlignment="1" applyProtection="1">
      <alignment horizontal="center" vertical="center"/>
      <protection hidden="1"/>
    </xf>
    <xf numFmtId="0" fontId="24" fillId="13" borderId="55" xfId="1" applyFont="1" applyFill="1" applyBorder="1" applyAlignment="1" applyProtection="1">
      <alignment horizontal="center" vertical="center"/>
      <protection hidden="1"/>
    </xf>
    <xf numFmtId="14" fontId="25" fillId="11" borderId="54" xfId="5" applyNumberFormat="1" applyFont="1" applyFill="1" applyBorder="1" applyAlignment="1" applyProtection="1">
      <alignment horizontal="center" vertical="center"/>
      <protection hidden="1"/>
    </xf>
    <xf numFmtId="14" fontId="25" fillId="11" borderId="55" xfId="5" applyNumberFormat="1" applyFont="1" applyFill="1" applyBorder="1" applyAlignment="1" applyProtection="1">
      <alignment horizontal="center" vertical="center"/>
      <protection hidden="1"/>
    </xf>
    <xf numFmtId="0" fontId="1" fillId="16" borderId="0" xfId="0" applyFont="1" applyFill="1" applyAlignment="1" applyProtection="1">
      <alignment horizontal="left" vertical="top" wrapText="1"/>
    </xf>
    <xf numFmtId="0" fontId="51" fillId="16" borderId="0" xfId="0" applyFont="1" applyFill="1" applyAlignment="1" applyProtection="1">
      <alignment horizontal="left" vertical="center" wrapText="1"/>
    </xf>
    <xf numFmtId="0" fontId="55" fillId="16" borderId="0" xfId="0" applyFont="1" applyFill="1" applyAlignment="1" applyProtection="1">
      <alignment horizontal="left" vertical="top" wrapText="1"/>
    </xf>
    <xf numFmtId="0" fontId="46" fillId="16" borderId="0" xfId="1" applyFont="1" applyFill="1" applyBorder="1" applyAlignment="1" applyProtection="1">
      <alignment horizontal="left" vertical="center" wrapText="1"/>
      <protection hidden="1"/>
    </xf>
    <xf numFmtId="0" fontId="41" fillId="12" borderId="50" xfId="1" applyFont="1" applyFill="1" applyBorder="1" applyAlignment="1" applyProtection="1">
      <alignment horizontal="left" vertical="center"/>
      <protection locked="0" hidden="1"/>
    </xf>
    <xf numFmtId="0" fontId="41" fillId="12" borderId="51" xfId="1" applyFont="1" applyFill="1" applyBorder="1" applyAlignment="1" applyProtection="1">
      <alignment horizontal="left" vertical="center"/>
      <protection locked="0" hidden="1"/>
    </xf>
    <xf numFmtId="0" fontId="41" fillId="12" borderId="52" xfId="1" applyFont="1" applyFill="1" applyBorder="1" applyAlignment="1" applyProtection="1">
      <alignment horizontal="left" vertical="center"/>
      <protection locked="0" hidden="1"/>
    </xf>
    <xf numFmtId="0" fontId="46" fillId="11" borderId="0" xfId="1" quotePrefix="1" applyFont="1" applyFill="1" applyBorder="1" applyAlignment="1" applyProtection="1">
      <alignment horizontal="justify" vertical="center" wrapText="1"/>
      <protection hidden="1"/>
    </xf>
    <xf numFmtId="0" fontId="46" fillId="11" borderId="0" xfId="1" applyFont="1" applyFill="1" applyBorder="1" applyAlignment="1" applyProtection="1">
      <alignment horizontal="justify" vertical="center" wrapText="1"/>
      <protection hidden="1"/>
    </xf>
    <xf numFmtId="0" fontId="1" fillId="16" borderId="0" xfId="0" applyFont="1" applyFill="1" applyAlignment="1" applyProtection="1">
      <alignment horizontal="left" wrapText="1"/>
    </xf>
    <xf numFmtId="0" fontId="1" fillId="16" borderId="0" xfId="0" applyFont="1" applyFill="1" applyAlignment="1" applyProtection="1">
      <alignment horizontal="left" vertical="center" wrapText="1"/>
    </xf>
    <xf numFmtId="0" fontId="27" fillId="0" borderId="50" xfId="1" applyFont="1" applyFill="1" applyBorder="1" applyAlignment="1" applyProtection="1">
      <alignment horizontal="center" vertical="center"/>
      <protection hidden="1"/>
    </xf>
    <xf numFmtId="0" fontId="27" fillId="0" borderId="51" xfId="1" applyFont="1" applyFill="1" applyBorder="1" applyAlignment="1" applyProtection="1">
      <alignment horizontal="center" vertical="center"/>
      <protection hidden="1"/>
    </xf>
    <xf numFmtId="44" fontId="27" fillId="12" borderId="51" xfId="8" applyFont="1" applyFill="1" applyBorder="1" applyAlignment="1" applyProtection="1">
      <alignment horizontal="center" vertical="center"/>
      <protection hidden="1"/>
    </xf>
    <xf numFmtId="44" fontId="27" fillId="12" borderId="52" xfId="8" applyFont="1" applyFill="1" applyBorder="1" applyAlignment="1" applyProtection="1">
      <alignment horizontal="center" vertical="center"/>
      <protection hidden="1"/>
    </xf>
    <xf numFmtId="169" fontId="30" fillId="12" borderId="62" xfId="1" applyNumberFormat="1" applyFont="1" applyFill="1" applyBorder="1" applyAlignment="1" applyProtection="1">
      <alignment horizontal="center" vertical="center"/>
      <protection hidden="1"/>
    </xf>
    <xf numFmtId="169" fontId="30" fillId="12" borderId="63" xfId="1" applyNumberFormat="1" applyFont="1" applyFill="1" applyBorder="1" applyAlignment="1" applyProtection="1">
      <alignment horizontal="center" vertical="center"/>
      <protection hidden="1"/>
    </xf>
    <xf numFmtId="169" fontId="30" fillId="12" borderId="64" xfId="1" applyNumberFormat="1" applyFont="1" applyFill="1" applyBorder="1" applyAlignment="1" applyProtection="1">
      <alignment horizontal="center" vertical="center"/>
      <protection hidden="1"/>
    </xf>
    <xf numFmtId="169" fontId="30" fillId="12" borderId="67" xfId="1" applyNumberFormat="1" applyFont="1" applyFill="1" applyBorder="1" applyAlignment="1" applyProtection="1">
      <alignment horizontal="center" vertical="center"/>
      <protection hidden="1"/>
    </xf>
    <xf numFmtId="169" fontId="30" fillId="12" borderId="68" xfId="1" applyNumberFormat="1" applyFont="1" applyFill="1" applyBorder="1" applyAlignment="1" applyProtection="1">
      <alignment horizontal="center" vertical="center"/>
      <protection hidden="1"/>
    </xf>
    <xf numFmtId="169" fontId="30" fillId="12" borderId="69" xfId="1" applyNumberFormat="1" applyFont="1" applyFill="1" applyBorder="1" applyAlignment="1" applyProtection="1">
      <alignment horizontal="center" vertical="center"/>
      <protection hidden="1"/>
    </xf>
    <xf numFmtId="170" fontId="24" fillId="13" borderId="50" xfId="1" applyNumberFormat="1" applyFont="1" applyFill="1" applyBorder="1" applyAlignment="1" applyProtection="1">
      <alignment horizontal="center" vertical="center"/>
      <protection hidden="1"/>
    </xf>
    <xf numFmtId="170" fontId="24" fillId="13" borderId="51" xfId="1" applyNumberFormat="1" applyFont="1" applyFill="1" applyBorder="1" applyAlignment="1" applyProtection="1">
      <alignment horizontal="center" vertical="center"/>
      <protection hidden="1"/>
    </xf>
    <xf numFmtId="170" fontId="24" fillId="13" borderId="52" xfId="1" applyNumberFormat="1" applyFont="1" applyFill="1" applyBorder="1" applyAlignment="1" applyProtection="1">
      <alignment horizontal="center" vertical="center"/>
      <protection hidden="1"/>
    </xf>
    <xf numFmtId="0" fontId="27" fillId="12" borderId="50" xfId="1" applyFont="1" applyFill="1" applyBorder="1" applyAlignment="1" applyProtection="1">
      <alignment horizontal="left"/>
      <protection hidden="1"/>
    </xf>
    <xf numFmtId="0" fontId="18" fillId="0" borderId="52" xfId="1" applyFont="1" applyBorder="1" applyAlignment="1" applyProtection="1">
      <alignment horizontal="left"/>
    </xf>
    <xf numFmtId="44" fontId="27" fillId="12" borderId="51" xfId="8" applyFont="1" applyFill="1" applyBorder="1" applyAlignment="1" applyProtection="1">
      <alignment horizontal="center"/>
      <protection hidden="1"/>
    </xf>
    <xf numFmtId="44" fontId="27" fillId="12" borderId="52" xfId="8" applyFont="1" applyFill="1" applyBorder="1" applyAlignment="1" applyProtection="1">
      <alignment horizontal="center"/>
      <protection hidden="1"/>
    </xf>
    <xf numFmtId="0" fontId="27" fillId="0" borderId="53" xfId="1" applyFont="1" applyFill="1" applyBorder="1" applyAlignment="1" applyProtection="1">
      <alignment horizontal="left"/>
      <protection hidden="1"/>
    </xf>
    <xf numFmtId="0" fontId="18" fillId="0" borderId="53" xfId="1" applyFont="1" applyFill="1" applyBorder="1" applyAlignment="1" applyProtection="1">
      <alignment horizontal="left"/>
      <protection hidden="1"/>
    </xf>
    <xf numFmtId="169" fontId="25" fillId="0" borderId="50" xfId="9" applyNumberFormat="1" applyFont="1" applyFill="1" applyBorder="1" applyAlignment="1" applyProtection="1">
      <alignment horizontal="center" vertical="center"/>
      <protection locked="0" hidden="1"/>
    </xf>
    <xf numFmtId="169" fontId="25" fillId="0" borderId="52" xfId="9" applyNumberFormat="1" applyFont="1" applyFill="1" applyBorder="1" applyAlignment="1" applyProtection="1">
      <alignment horizontal="center" vertical="center"/>
      <protection locked="0" hidden="1"/>
    </xf>
    <xf numFmtId="0" fontId="28" fillId="0" borderId="0" xfId="0" applyFont="1" applyFill="1" applyBorder="1" applyAlignment="1" applyProtection="1">
      <alignment horizontal="center" vertical="center" wrapText="1"/>
      <protection hidden="1"/>
    </xf>
    <xf numFmtId="0" fontId="32" fillId="0" borderId="54" xfId="1" applyFont="1" applyBorder="1" applyAlignment="1" applyProtection="1">
      <alignment horizontal="left" wrapText="1"/>
    </xf>
    <xf numFmtId="0" fontId="32" fillId="0" borderId="55" xfId="1" applyFont="1" applyBorder="1" applyAlignment="1" applyProtection="1">
      <alignment horizontal="left" wrapText="1"/>
    </xf>
    <xf numFmtId="0" fontId="27" fillId="12" borderId="53" xfId="1" applyFont="1" applyFill="1" applyBorder="1" applyAlignment="1" applyProtection="1">
      <alignment horizontal="left"/>
      <protection hidden="1"/>
    </xf>
    <xf numFmtId="0" fontId="18" fillId="0" borderId="53" xfId="1" applyFont="1" applyBorder="1" applyAlignment="1" applyProtection="1">
      <alignment horizontal="left"/>
      <protection hidden="1"/>
    </xf>
    <xf numFmtId="0" fontId="33" fillId="0" borderId="54" xfId="1" applyFont="1" applyBorder="1" applyAlignment="1" applyProtection="1">
      <alignment horizontal="center" wrapText="1"/>
    </xf>
    <xf numFmtId="0" fontId="33" fillId="0" borderId="55" xfId="1" applyFont="1" applyBorder="1" applyAlignment="1" applyProtection="1">
      <alignment horizontal="center" wrapText="1"/>
    </xf>
    <xf numFmtId="166" fontId="25" fillId="0" borderId="53" xfId="1" applyNumberFormat="1" applyFont="1" applyFill="1" applyBorder="1" applyAlignment="1" applyProtection="1">
      <alignment horizontal="center" vertical="center"/>
      <protection locked="0" hidden="1"/>
    </xf>
    <xf numFmtId="0" fontId="29" fillId="13" borderId="50" xfId="1" applyFont="1" applyFill="1" applyBorder="1" applyAlignment="1" applyProtection="1">
      <alignment horizontal="center"/>
      <protection hidden="1"/>
    </xf>
    <xf numFmtId="0" fontId="29" fillId="13" borderId="51" xfId="1" applyFont="1" applyFill="1" applyBorder="1" applyAlignment="1" applyProtection="1">
      <alignment horizontal="center"/>
      <protection hidden="1"/>
    </xf>
    <xf numFmtId="0" fontId="29" fillId="13" borderId="52" xfId="1" applyFont="1" applyFill="1" applyBorder="1" applyAlignment="1" applyProtection="1">
      <alignment horizontal="center"/>
      <protection hidden="1"/>
    </xf>
    <xf numFmtId="0" fontId="27" fillId="12" borderId="52" xfId="1" applyFont="1" applyFill="1" applyBorder="1" applyAlignment="1" applyProtection="1">
      <alignment horizontal="left"/>
      <protection hidden="1"/>
    </xf>
    <xf numFmtId="0" fontId="49" fillId="13" borderId="50" xfId="1" applyFont="1" applyFill="1" applyBorder="1" applyAlignment="1" applyProtection="1">
      <alignment horizontal="left" vertical="center" wrapText="1"/>
      <protection locked="0" hidden="1"/>
    </xf>
    <xf numFmtId="0" fontId="49" fillId="13" borderId="52" xfId="1" applyFont="1" applyFill="1" applyBorder="1" applyAlignment="1" applyProtection="1">
      <alignment horizontal="left" vertical="center" wrapText="1"/>
      <protection locked="0" hidden="1"/>
    </xf>
    <xf numFmtId="0" fontId="16" fillId="11" borderId="0" xfId="1" applyFont="1" applyFill="1" applyBorder="1" applyAlignment="1" applyProtection="1">
      <alignment horizontal="center" vertical="center" textRotation="90"/>
      <protection locked="0" hidden="1"/>
    </xf>
    <xf numFmtId="0" fontId="23" fillId="13" borderId="50" xfId="1" applyFont="1" applyFill="1" applyBorder="1" applyAlignment="1" applyProtection="1">
      <alignment horizontal="center" vertical="center"/>
      <protection hidden="1"/>
    </xf>
    <xf numFmtId="0" fontId="23" fillId="13" borderId="51" xfId="1" applyFont="1" applyFill="1" applyBorder="1" applyAlignment="1" applyProtection="1">
      <alignment horizontal="center" vertical="center"/>
      <protection hidden="1"/>
    </xf>
    <xf numFmtId="0" fontId="23" fillId="13" borderId="52" xfId="1" applyFont="1" applyFill="1" applyBorder="1" applyAlignment="1" applyProtection="1">
      <alignment horizontal="center" vertical="center"/>
      <protection hidden="1"/>
    </xf>
    <xf numFmtId="0" fontId="25" fillId="11" borderId="50" xfId="1" applyFont="1" applyFill="1" applyBorder="1" applyAlignment="1" applyProtection="1">
      <alignment horizontal="left"/>
      <protection locked="0" hidden="1"/>
    </xf>
    <xf numFmtId="0" fontId="25" fillId="11" borderId="51" xfId="1" applyFont="1" applyFill="1" applyBorder="1" applyAlignment="1" applyProtection="1">
      <alignment horizontal="left"/>
      <protection locked="0" hidden="1"/>
    </xf>
    <xf numFmtId="0" fontId="25" fillId="11" borderId="52" xfId="1" applyFont="1" applyFill="1" applyBorder="1" applyAlignment="1" applyProtection="1">
      <alignment horizontal="left"/>
      <protection locked="0" hidden="1"/>
    </xf>
    <xf numFmtId="0" fontId="25" fillId="11" borderId="50" xfId="1" applyFont="1" applyFill="1" applyBorder="1" applyAlignment="1" applyProtection="1">
      <alignment horizontal="left" vertical="center"/>
      <protection locked="0" hidden="1"/>
    </xf>
    <xf numFmtId="0" fontId="25" fillId="11" borderId="51" xfId="1" applyFont="1" applyFill="1" applyBorder="1" applyAlignment="1" applyProtection="1">
      <alignment horizontal="left" vertical="center"/>
      <protection locked="0" hidden="1"/>
    </xf>
    <xf numFmtId="0" fontId="25" fillId="11" borderId="52" xfId="1" applyFont="1" applyFill="1" applyBorder="1" applyAlignment="1" applyProtection="1">
      <alignment horizontal="left" vertical="center"/>
      <protection locked="0" hidden="1"/>
    </xf>
    <xf numFmtId="0" fontId="29" fillId="13" borderId="50" xfId="1" applyFont="1" applyFill="1" applyBorder="1" applyAlignment="1" applyProtection="1">
      <alignment horizontal="center" vertical="center"/>
      <protection hidden="1"/>
    </xf>
    <xf numFmtId="0" fontId="29" fillId="13" borderId="51" xfId="1" applyFont="1" applyFill="1" applyBorder="1" applyAlignment="1" applyProtection="1">
      <alignment horizontal="center" vertical="center"/>
      <protection hidden="1"/>
    </xf>
    <xf numFmtId="0" fontId="29" fillId="13" borderId="52" xfId="1" applyFont="1" applyFill="1" applyBorder="1" applyAlignment="1" applyProtection="1">
      <alignment horizontal="center" vertical="center"/>
      <protection hidden="1"/>
    </xf>
    <xf numFmtId="9" fontId="25" fillId="12" borderId="50" xfId="3" applyFont="1" applyFill="1" applyBorder="1" applyAlignment="1" applyProtection="1">
      <alignment horizontal="center" vertical="center"/>
      <protection locked="0" hidden="1"/>
    </xf>
    <xf numFmtId="9" fontId="25" fillId="12" borderId="52" xfId="3" applyFont="1" applyFill="1" applyBorder="1" applyAlignment="1" applyProtection="1">
      <alignment horizontal="center" vertical="center"/>
      <protection locked="0" hidden="1"/>
    </xf>
    <xf numFmtId="0" fontId="67" fillId="22" borderId="81" xfId="0" applyFont="1" applyFill="1" applyBorder="1" applyAlignment="1">
      <alignment horizontal="center" vertical="center"/>
    </xf>
    <xf numFmtId="0" fontId="67" fillId="22" borderId="82" xfId="0" applyFont="1" applyFill="1" applyBorder="1" applyAlignment="1">
      <alignment horizontal="center" vertical="center"/>
    </xf>
    <xf numFmtId="0" fontId="67" fillId="22" borderId="83" xfId="0" applyFont="1" applyFill="1" applyBorder="1" applyAlignment="1">
      <alignment horizontal="center" vertical="center"/>
    </xf>
    <xf numFmtId="0" fontId="67" fillId="22" borderId="94" xfId="0" applyFont="1" applyFill="1" applyBorder="1" applyAlignment="1">
      <alignment horizontal="center" vertical="center"/>
    </xf>
    <xf numFmtId="0" fontId="67" fillId="22" borderId="95" xfId="0" applyFont="1" applyFill="1" applyBorder="1" applyAlignment="1">
      <alignment horizontal="center" vertical="center"/>
    </xf>
    <xf numFmtId="0" fontId="67" fillId="22" borderId="96" xfId="0" applyFont="1" applyFill="1" applyBorder="1" applyAlignment="1">
      <alignment horizontal="center" vertical="center"/>
    </xf>
    <xf numFmtId="0" fontId="67" fillId="22" borderId="85" xfId="0" applyFont="1" applyFill="1" applyBorder="1" applyAlignment="1">
      <alignment horizontal="right" vertical="center"/>
    </xf>
    <xf numFmtId="0" fontId="69" fillId="0" borderId="82" xfId="0" applyFont="1" applyBorder="1" applyAlignment="1" applyProtection="1">
      <alignment horizontal="center" vertical="center"/>
      <protection hidden="1"/>
    </xf>
    <xf numFmtId="0" fontId="69" fillId="0" borderId="83" xfId="0" applyFont="1" applyBorder="1" applyAlignment="1" applyProtection="1">
      <alignment horizontal="center" vertical="center"/>
      <protection hidden="1"/>
    </xf>
    <xf numFmtId="0" fontId="68" fillId="23" borderId="85" xfId="0" applyFont="1" applyFill="1" applyBorder="1" applyAlignment="1" applyProtection="1">
      <alignment horizontal="center" vertical="center"/>
      <protection locked="0"/>
    </xf>
    <xf numFmtId="0" fontId="68" fillId="0" borderId="98" xfId="0" applyFont="1" applyBorder="1" applyAlignment="1" applyProtection="1">
      <alignment horizontal="center" vertical="center"/>
      <protection hidden="1"/>
    </xf>
    <xf numFmtId="0" fontId="68" fillId="0" borderId="97" xfId="0" applyFont="1" applyBorder="1" applyAlignment="1" applyProtection="1">
      <alignment horizontal="center" vertical="center"/>
      <protection hidden="1"/>
    </xf>
    <xf numFmtId="0" fontId="68" fillId="0" borderId="78" xfId="0" applyFont="1" applyBorder="1" applyAlignment="1">
      <alignment horizontal="left" vertical="center" wrapText="1"/>
    </xf>
    <xf numFmtId="0" fontId="68" fillId="0" borderId="0" xfId="0" applyFont="1" applyBorder="1" applyAlignment="1">
      <alignment horizontal="left" vertical="center" wrapText="1"/>
    </xf>
    <xf numFmtId="0" fontId="67" fillId="22" borderId="78" xfId="0" applyFont="1" applyFill="1" applyBorder="1" applyAlignment="1">
      <alignment horizontal="right" vertical="center"/>
    </xf>
    <xf numFmtId="0" fontId="67" fillId="22" borderId="102" xfId="0" applyFont="1" applyFill="1" applyBorder="1" applyAlignment="1">
      <alignment horizontal="right" vertical="center"/>
    </xf>
    <xf numFmtId="0" fontId="68" fillId="0" borderId="103" xfId="0" applyFont="1" applyFill="1" applyBorder="1" applyAlignment="1" applyProtection="1">
      <alignment horizontal="center" vertical="center"/>
      <protection hidden="1"/>
    </xf>
    <xf numFmtId="0" fontId="68" fillId="0" borderId="104" xfId="0" applyFont="1" applyFill="1" applyBorder="1" applyAlignment="1" applyProtection="1">
      <alignment horizontal="center" vertical="center"/>
      <protection hidden="1"/>
    </xf>
    <xf numFmtId="3" fontId="68" fillId="0" borderId="90" xfId="0" applyNumberFormat="1" applyFont="1" applyBorder="1" applyAlignment="1" applyProtection="1">
      <alignment horizontal="center" vertical="center"/>
      <protection hidden="1"/>
    </xf>
    <xf numFmtId="0" fontId="68" fillId="0" borderId="91" xfId="0" applyFont="1" applyBorder="1" applyAlignment="1" applyProtection="1">
      <alignment horizontal="center" vertical="center"/>
      <protection hidden="1"/>
    </xf>
    <xf numFmtId="170" fontId="69" fillId="0" borderId="92" xfId="0" applyNumberFormat="1" applyFont="1" applyBorder="1" applyAlignment="1" applyProtection="1">
      <alignment horizontal="center" vertical="center"/>
      <protection hidden="1"/>
    </xf>
    <xf numFmtId="170" fontId="69" fillId="0" borderId="93" xfId="0" applyNumberFormat="1" applyFont="1" applyBorder="1" applyAlignment="1" applyProtection="1">
      <alignment horizontal="center" vertical="center"/>
      <protection hidden="1"/>
    </xf>
    <xf numFmtId="9" fontId="68" fillId="0" borderId="88" xfId="10" applyFont="1" applyBorder="1" applyAlignment="1" applyProtection="1">
      <alignment horizontal="center" vertical="center"/>
      <protection hidden="1"/>
    </xf>
    <xf numFmtId="9" fontId="68" fillId="0" borderId="89" xfId="10" applyFont="1" applyBorder="1" applyAlignment="1" applyProtection="1">
      <alignment horizontal="center" vertical="center"/>
      <protection hidden="1"/>
    </xf>
    <xf numFmtId="0" fontId="69" fillId="0" borderId="87" xfId="0" applyFont="1" applyBorder="1" applyAlignment="1" applyProtection="1">
      <alignment horizontal="center" vertical="center" wrapText="1"/>
      <protection hidden="1"/>
    </xf>
    <xf numFmtId="0" fontId="69" fillId="0" borderId="88" xfId="0" applyFont="1" applyBorder="1" applyAlignment="1" applyProtection="1">
      <alignment horizontal="center" vertical="center" wrapText="1"/>
      <protection hidden="1"/>
    </xf>
    <xf numFmtId="170" fontId="68" fillId="0" borderId="88" xfId="0" applyNumberFormat="1" applyFont="1" applyBorder="1" applyAlignment="1" applyProtection="1">
      <alignment horizontal="center" vertical="center"/>
      <protection hidden="1"/>
    </xf>
    <xf numFmtId="170" fontId="68" fillId="0" borderId="89" xfId="0" applyNumberFormat="1" applyFont="1" applyBorder="1" applyAlignment="1" applyProtection="1">
      <alignment horizontal="center" vertical="center"/>
      <protection hidden="1"/>
    </xf>
    <xf numFmtId="0" fontId="69" fillId="0" borderId="87" xfId="0" applyFont="1" applyBorder="1" applyAlignment="1" applyProtection="1">
      <alignment horizontal="center" vertical="center"/>
      <protection hidden="1"/>
    </xf>
    <xf numFmtId="0" fontId="69" fillId="0" borderId="88" xfId="0" applyFont="1" applyBorder="1" applyAlignment="1" applyProtection="1">
      <alignment horizontal="center" vertical="center"/>
      <protection hidden="1"/>
    </xf>
    <xf numFmtId="170" fontId="68" fillId="0" borderId="88" xfId="0" applyNumberFormat="1" applyFont="1" applyBorder="1" applyAlignment="1" applyProtection="1">
      <alignment horizontal="center" vertical="center" wrapText="1"/>
      <protection hidden="1"/>
    </xf>
    <xf numFmtId="170" fontId="68" fillId="0" borderId="89" xfId="0" applyNumberFormat="1" applyFont="1" applyBorder="1" applyAlignment="1" applyProtection="1">
      <alignment horizontal="center" vertical="center" wrapText="1"/>
      <protection hidden="1"/>
    </xf>
    <xf numFmtId="3" fontId="68" fillId="0" borderId="88" xfId="0" applyNumberFormat="1" applyFont="1" applyBorder="1" applyAlignment="1" applyProtection="1">
      <alignment horizontal="center" vertical="center"/>
      <protection hidden="1"/>
    </xf>
    <xf numFmtId="3" fontId="68" fillId="0" borderId="89" xfId="0" applyNumberFormat="1" applyFont="1" applyBorder="1" applyAlignment="1" applyProtection="1">
      <alignment horizontal="center" vertical="center"/>
      <protection hidden="1"/>
    </xf>
    <xf numFmtId="0" fontId="69" fillId="0" borderId="84" xfId="0" applyFont="1" applyBorder="1" applyAlignment="1" applyProtection="1">
      <alignment horizontal="center" vertical="center" wrapText="1"/>
      <protection hidden="1"/>
    </xf>
    <xf numFmtId="0" fontId="69" fillId="0" borderId="85" xfId="0" applyFont="1" applyBorder="1" applyAlignment="1" applyProtection="1">
      <alignment horizontal="center" vertical="center" wrapText="1"/>
      <protection hidden="1"/>
    </xf>
    <xf numFmtId="170" fontId="68" fillId="0" borderId="85" xfId="0" applyNumberFormat="1" applyFont="1" applyBorder="1" applyAlignment="1" applyProtection="1">
      <alignment horizontal="center" vertical="center"/>
      <protection hidden="1"/>
    </xf>
    <xf numFmtId="170" fontId="68" fillId="0" borderId="86" xfId="0" applyNumberFormat="1" applyFont="1" applyBorder="1" applyAlignment="1" applyProtection="1">
      <alignment horizontal="center" vertical="center"/>
      <protection hidden="1"/>
    </xf>
    <xf numFmtId="0" fontId="68" fillId="0" borderId="0" xfId="0" applyFont="1" applyAlignment="1" applyProtection="1">
      <alignment horizontal="left" vertical="center" wrapText="1"/>
      <protection hidden="1"/>
    </xf>
    <xf numFmtId="0" fontId="69" fillId="0" borderId="0" xfId="0" applyFont="1" applyAlignment="1" applyProtection="1">
      <alignment horizontal="left" vertical="center" wrapText="1"/>
      <protection hidden="1"/>
    </xf>
    <xf numFmtId="0" fontId="67" fillId="0" borderId="0" xfId="0" applyFont="1" applyFill="1" applyBorder="1" applyAlignment="1" applyProtection="1">
      <alignment horizontal="center" vertical="center" wrapText="1"/>
      <protection hidden="1"/>
    </xf>
    <xf numFmtId="0" fontId="66" fillId="0" borderId="80" xfId="0" applyFont="1" applyBorder="1" applyAlignment="1" applyProtection="1">
      <alignment horizontal="left" vertical="center"/>
      <protection locked="0"/>
    </xf>
    <xf numFmtId="0" fontId="68" fillId="0" borderId="0" xfId="0" applyFont="1" applyAlignment="1">
      <alignment horizontal="left" vertical="center" wrapText="1"/>
    </xf>
    <xf numFmtId="0" fontId="68" fillId="23" borderId="80" xfId="0" applyFont="1" applyFill="1" applyBorder="1" applyAlignment="1" applyProtection="1">
      <alignment horizontal="center" vertical="center" wrapText="1"/>
      <protection locked="0" hidden="1"/>
    </xf>
    <xf numFmtId="0" fontId="68" fillId="23" borderId="99" xfId="0" applyFont="1" applyFill="1" applyBorder="1" applyAlignment="1" applyProtection="1">
      <alignment horizontal="center" vertical="center" wrapText="1"/>
      <protection locked="0" hidden="1"/>
    </xf>
    <xf numFmtId="0" fontId="69" fillId="0" borderId="0" xfId="0" applyFont="1" applyAlignment="1">
      <alignment horizontal="center" vertical="center" wrapText="1"/>
    </xf>
    <xf numFmtId="0" fontId="66" fillId="0" borderId="79" xfId="0" applyFont="1" applyBorder="1" applyAlignment="1" applyProtection="1">
      <alignment horizontal="left" vertical="center"/>
      <protection locked="0"/>
    </xf>
    <xf numFmtId="0" fontId="12" fillId="3" borderId="10" xfId="4" applyFont="1" applyFill="1" applyBorder="1" applyAlignment="1" applyProtection="1">
      <alignment horizontal="center" vertical="center"/>
      <protection hidden="1"/>
    </xf>
    <xf numFmtId="0" fontId="12" fillId="3" borderId="11" xfId="4" applyFont="1" applyFill="1" applyBorder="1" applyAlignment="1" applyProtection="1">
      <alignment horizontal="center" vertical="center"/>
      <protection hidden="1"/>
    </xf>
    <xf numFmtId="0" fontId="12" fillId="3" borderId="3" xfId="4" applyFont="1" applyFill="1" applyBorder="1" applyAlignment="1" applyProtection="1">
      <alignment horizontal="center" vertical="center"/>
      <protection hidden="1"/>
    </xf>
    <xf numFmtId="0" fontId="12" fillId="3" borderId="4" xfId="4" applyFont="1" applyFill="1" applyBorder="1" applyAlignment="1" applyProtection="1">
      <alignment horizontal="center" vertical="center"/>
      <protection hidden="1"/>
    </xf>
    <xf numFmtId="0" fontId="12" fillId="3" borderId="5" xfId="4" applyFont="1" applyFill="1" applyBorder="1" applyAlignment="1" applyProtection="1">
      <alignment horizontal="center" vertical="center"/>
      <protection hidden="1"/>
    </xf>
    <xf numFmtId="0" fontId="12" fillId="3" borderId="6" xfId="4" applyFont="1" applyFill="1" applyBorder="1" applyAlignment="1" applyProtection="1">
      <alignment horizontal="center" vertical="center"/>
      <protection hidden="1"/>
    </xf>
    <xf numFmtId="0" fontId="12" fillId="3" borderId="7" xfId="4" applyFont="1" applyFill="1" applyBorder="1" applyAlignment="1" applyProtection="1">
      <alignment horizontal="center" vertical="center"/>
      <protection hidden="1"/>
    </xf>
    <xf numFmtId="0" fontId="12" fillId="3" borderId="8" xfId="4" applyFont="1" applyFill="1" applyBorder="1" applyAlignment="1" applyProtection="1">
      <alignment horizontal="center" vertical="center"/>
      <protection hidden="1"/>
    </xf>
    <xf numFmtId="0" fontId="11" fillId="0" borderId="6" xfId="4" applyFont="1" applyFill="1" applyBorder="1" applyAlignment="1" applyProtection="1">
      <alignment horizontal="center" vertical="center"/>
      <protection hidden="1"/>
    </xf>
    <xf numFmtId="0" fontId="11" fillId="0" borderId="8" xfId="4" applyFont="1" applyFill="1" applyBorder="1" applyAlignment="1" applyProtection="1">
      <alignment horizontal="center" vertical="center"/>
      <protection hidden="1"/>
    </xf>
    <xf numFmtId="0" fontId="12" fillId="3" borderId="48" xfId="4" applyFont="1" applyFill="1" applyBorder="1" applyAlignment="1" applyProtection="1">
      <alignment horizontal="center" vertical="center"/>
      <protection hidden="1"/>
    </xf>
    <xf numFmtId="0" fontId="12" fillId="3" borderId="72" xfId="4" applyFont="1" applyFill="1" applyBorder="1" applyAlignment="1" applyProtection="1">
      <alignment horizontal="center" vertical="center"/>
      <protection hidden="1"/>
    </xf>
    <xf numFmtId="0" fontId="2" fillId="3" borderId="12" xfId="1" applyFont="1" applyFill="1" applyBorder="1" applyAlignment="1">
      <alignment horizontal="center" vertical="center"/>
    </xf>
    <xf numFmtId="0" fontId="2" fillId="3" borderId="13" xfId="1" applyFont="1" applyFill="1" applyBorder="1" applyAlignment="1">
      <alignment horizontal="center" vertical="center"/>
    </xf>
    <xf numFmtId="0" fontId="2" fillId="3" borderId="14" xfId="1" applyFont="1" applyFill="1" applyBorder="1" applyAlignment="1">
      <alignment horizontal="center" vertical="center"/>
    </xf>
    <xf numFmtId="0" fontId="4" fillId="0" borderId="1" xfId="1" applyFont="1" applyBorder="1" applyAlignment="1">
      <alignment horizontal="center"/>
    </xf>
    <xf numFmtId="0" fontId="11" fillId="18" borderId="0" xfId="4" applyFont="1" applyFill="1" applyAlignment="1">
      <alignment horizontal="center" vertical="center"/>
    </xf>
    <xf numFmtId="0" fontId="11" fillId="2" borderId="0" xfId="4" applyFont="1" applyFill="1" applyAlignment="1">
      <alignment horizontal="center" vertical="center"/>
    </xf>
    <xf numFmtId="0" fontId="2" fillId="3" borderId="1" xfId="1" applyFont="1" applyFill="1" applyBorder="1" applyAlignment="1">
      <alignment horizontal="center"/>
    </xf>
    <xf numFmtId="0" fontId="2" fillId="19" borderId="73" xfId="0" applyFont="1" applyFill="1" applyBorder="1" applyAlignment="1">
      <alignment horizontal="center" vertical="center" wrapText="1"/>
    </xf>
    <xf numFmtId="0" fontId="2" fillId="19" borderId="73" xfId="0" applyFont="1" applyFill="1" applyBorder="1" applyAlignment="1">
      <alignment horizontal="center" vertical="center"/>
    </xf>
  </cellXfs>
  <cellStyles count="11">
    <cellStyle name="Millares" xfId="9" builtinId="3"/>
    <cellStyle name="Millares 2 2" xfId="5"/>
    <cellStyle name="Millares 3" xfId="6"/>
    <cellStyle name="Moneda 2" xfId="8"/>
    <cellStyle name="Moneda 3" xfId="2"/>
    <cellStyle name="Normal" xfId="0" builtinId="0"/>
    <cellStyle name="Normal 2" xfId="4"/>
    <cellStyle name="Normal 3" xfId="1"/>
    <cellStyle name="Porcentaje" xfId="10" builtinId="5"/>
    <cellStyle name="Porcentaje 2" xfId="7"/>
    <cellStyle name="Porcentual 2" xfId="3"/>
  </cellStyles>
  <dxfs count="40">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ont>
        <color theme="0"/>
      </font>
      <fill>
        <patternFill patternType="none">
          <bgColor auto="1"/>
        </patternFill>
      </fill>
      <border>
        <left/>
        <right/>
        <top/>
        <bottom/>
        <vertical/>
        <horizontal/>
      </border>
    </dxf>
    <dxf>
      <font>
        <color theme="0"/>
      </font>
      <fill>
        <patternFill patternType="none">
          <bgColor auto="1"/>
        </patternFill>
      </fill>
      <border>
        <right/>
        <top/>
        <bottom/>
      </border>
    </dxf>
    <dxf>
      <font>
        <color theme="0"/>
      </font>
      <fill>
        <patternFill patternType="none">
          <bgColor auto="1"/>
        </patternFill>
      </fill>
      <border>
        <left/>
        <right/>
        <top/>
        <bottom/>
        <vertical/>
        <horizontal/>
      </border>
    </dxf>
    <dxf>
      <font>
        <color theme="0"/>
      </font>
      <fill>
        <patternFill patternType="none">
          <bgColor auto="1"/>
        </patternFill>
      </fill>
      <border>
        <left/>
        <right/>
        <bottom/>
        <vertical/>
        <horizontal/>
      </border>
    </dxf>
    <dxf>
      <font>
        <color theme="0"/>
      </font>
      <fill>
        <patternFill patternType="none">
          <bgColor auto="1"/>
        </patternFill>
      </fill>
      <border>
        <left/>
        <right/>
        <bottom/>
        <vertical/>
        <horizontal/>
      </border>
    </dxf>
    <dxf>
      <font>
        <color theme="0"/>
      </font>
      <fill>
        <patternFill patternType="none">
          <bgColor auto="1"/>
        </patternFill>
      </fill>
      <border>
        <left/>
        <right/>
        <bottom/>
        <vertical/>
        <horizontal/>
      </border>
    </dxf>
    <dxf>
      <font>
        <color theme="0"/>
      </font>
      <fill>
        <patternFill patternType="none">
          <bgColor auto="1"/>
        </patternFill>
      </fill>
      <border>
        <left/>
        <right/>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right/>
        <top/>
        <bottom/>
      </border>
    </dxf>
    <dxf>
      <font>
        <color theme="0"/>
      </font>
      <fill>
        <patternFill>
          <bgColor theme="0"/>
        </patternFill>
      </fill>
      <border>
        <left/>
        <right/>
        <top/>
        <bottom/>
        <vertical/>
        <horizontal/>
      </border>
    </dxf>
    <dxf>
      <font>
        <color theme="0"/>
      </font>
      <fill>
        <patternFill>
          <bgColor theme="0"/>
        </patternFill>
      </fill>
      <border>
        <left/>
        <right/>
        <bottom/>
        <vertical/>
        <horizontal/>
      </border>
    </dxf>
    <dxf>
      <font>
        <color theme="0"/>
      </font>
      <fill>
        <patternFill>
          <bgColor theme="0"/>
        </patternFill>
      </fill>
      <border>
        <left/>
        <right/>
        <bottom/>
        <vertical/>
        <horizontal/>
      </border>
    </dxf>
    <dxf>
      <font>
        <color theme="0"/>
      </font>
      <fill>
        <patternFill patternType="none">
          <bgColor auto="1"/>
        </patternFill>
      </fill>
      <border>
        <left/>
        <right/>
        <bottom/>
        <vertical/>
        <horizontal/>
      </border>
    </dxf>
    <dxf>
      <font>
        <color theme="0"/>
      </font>
      <fill>
        <patternFill patternType="none">
          <bgColor auto="1"/>
        </patternFill>
      </fill>
      <border>
        <left/>
        <right/>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border>
    </dxf>
    <dxf>
      <font>
        <color auto="1"/>
      </font>
      <border>
        <left style="thin">
          <color rgb="FF4D4F53"/>
        </left>
        <right style="thin">
          <color rgb="FF4D4F53"/>
        </right>
        <top style="thin">
          <color rgb="FF4D4F53"/>
        </top>
        <bottom style="thin">
          <color rgb="FF4D4F53"/>
        </bottom>
        <vertical/>
        <horizontal/>
      </border>
    </dxf>
    <dxf>
      <font>
        <color auto="1"/>
      </font>
      <border>
        <left style="thin">
          <color rgb="FF4D4F53"/>
        </left>
        <right style="thin">
          <color rgb="FF4D4F53"/>
        </right>
        <top style="thin">
          <color rgb="FF4D4F53"/>
        </top>
        <bottom style="thin">
          <color rgb="FF4D4F53"/>
        </bottom>
        <vertical/>
        <horizontal/>
      </border>
    </dxf>
    <dxf>
      <font>
        <color auto="1"/>
      </font>
      <border>
        <left style="thin">
          <color rgb="FF4D4F53"/>
        </left>
        <right style="thin">
          <color rgb="FF4D4F53"/>
        </right>
        <top style="thin">
          <color rgb="FF4D4F53"/>
        </top>
        <bottom style="thin">
          <color rgb="FF4D4F53"/>
        </bottom>
        <vertical/>
        <horizontal/>
      </border>
    </dxf>
    <dxf>
      <font>
        <color auto="1"/>
      </font>
      <border>
        <left style="thin">
          <color rgb="FF4D4F53"/>
        </left>
        <right style="thin">
          <color rgb="FF4D4F53"/>
        </right>
        <top style="thin">
          <color rgb="FF4D4F53"/>
        </top>
        <bottom style="thin">
          <color rgb="FF4D4F53"/>
        </bottom>
      </border>
    </dxf>
    <dxf>
      <font>
        <color auto="1"/>
      </font>
      <border>
        <left style="thin">
          <color rgb="FF4D4F53"/>
        </left>
        <right style="thin">
          <color rgb="FF4D4F53"/>
        </right>
        <top style="thin">
          <color rgb="FF4D4F53"/>
        </top>
        <bottom style="thin">
          <color rgb="FF4D4F53"/>
        </bottom>
        <vertical/>
        <horizontal/>
      </border>
    </dxf>
    <dxf>
      <font>
        <color auto="1"/>
      </font>
      <border>
        <left style="thin">
          <color rgb="FF4D4F53"/>
        </left>
        <right style="thin">
          <color rgb="FF4D4F53"/>
        </right>
        <top style="thin">
          <color rgb="FF4D4F53"/>
        </top>
        <bottom style="thin">
          <color rgb="FF4D4F53"/>
        </bottom>
        <vertical/>
        <horizontal/>
      </border>
    </dxf>
    <dxf>
      <font>
        <color auto="1"/>
      </font>
      <border>
        <left style="thin">
          <color rgb="FF4D4F53"/>
        </left>
        <right style="thin">
          <color rgb="FF4D4F53"/>
        </right>
        <top style="thin">
          <color rgb="FF4D4F53"/>
        </top>
        <bottom style="thin">
          <color rgb="FF4D4F53"/>
        </bottom>
        <vertical/>
        <horizontal/>
      </border>
    </dxf>
    <dxf>
      <font>
        <color auto="1"/>
      </font>
      <border>
        <left style="thin">
          <color rgb="FF4D4F53"/>
        </left>
        <right style="thin">
          <color rgb="FF4D4F53"/>
        </right>
        <top style="thin">
          <color rgb="FF4D4F53"/>
        </top>
        <bottom style="thin">
          <color rgb="FF4D4F53"/>
        </bottom>
        <vertical/>
        <horizontal/>
      </border>
    </dxf>
    <dxf>
      <font>
        <color auto="1"/>
      </font>
      <border>
        <left style="thin">
          <color rgb="FF4D4F53"/>
        </left>
        <right style="thin">
          <color rgb="FF4D4F53"/>
        </right>
        <top style="thin">
          <color rgb="FF4D4F53"/>
        </top>
        <bottom style="thin">
          <color rgb="FF4D4F53"/>
        </bottom>
        <vertical/>
        <horizontal/>
      </border>
    </dxf>
    <dxf>
      <font>
        <b val="0"/>
        <i val="0"/>
        <color auto="1"/>
      </font>
      <border>
        <left style="thin">
          <color rgb="FF4D4F53"/>
        </left>
        <right style="thin">
          <color rgb="FF4D4F53"/>
        </right>
        <top style="thin">
          <color rgb="FF4D4F53"/>
        </top>
        <bottom style="thin">
          <color rgb="FF4D4F53"/>
        </bottom>
        <vertical/>
        <horizontal/>
      </border>
    </dxf>
    <dxf>
      <font>
        <color theme="0"/>
      </font>
      <fill>
        <patternFill>
          <bgColor theme="0"/>
        </patternFill>
      </fill>
      <border>
        <right style="thin">
          <color theme="0"/>
        </right>
        <top style="thin">
          <color theme="0"/>
        </top>
        <bottom style="thin">
          <color theme="0"/>
        </bottom>
        <vertical/>
        <horizontal/>
      </border>
    </dxf>
    <dxf>
      <font>
        <color theme="0"/>
      </font>
      <fill>
        <patternFill patternType="none">
          <bgColor auto="1"/>
        </patternFill>
      </fill>
      <border>
        <right style="thin">
          <color theme="0"/>
        </right>
        <top/>
        <bottom style="thin">
          <color theme="0"/>
        </bottom>
        <vertical/>
        <horizontal/>
      </border>
    </dxf>
    <dxf>
      <font>
        <color theme="0"/>
      </font>
      <fill>
        <patternFill patternType="none">
          <bgColor auto="1"/>
        </patternFill>
      </fill>
      <border>
        <right style="thin">
          <color theme="0"/>
        </right>
        <top style="thin">
          <color theme="0"/>
        </top>
        <bottom style="thin">
          <color theme="0"/>
        </bottom>
        <vertical/>
        <horizontal/>
      </border>
    </dxf>
    <dxf>
      <font>
        <color theme="0"/>
      </font>
      <fill>
        <patternFill patternType="none">
          <bgColor auto="1"/>
        </patternFill>
      </fill>
      <border>
        <right/>
        <top/>
        <bottom/>
      </border>
    </dxf>
    <dxf>
      <font>
        <color theme="0"/>
      </font>
      <fill>
        <patternFill patternType="none">
          <bgColor auto="1"/>
        </patternFill>
      </fill>
      <border>
        <right/>
        <top/>
        <bottom/>
        <vertical/>
        <horizontal/>
      </border>
    </dxf>
    <dxf>
      <font>
        <color theme="0"/>
      </font>
      <fill>
        <patternFill patternType="none">
          <bgColor auto="1"/>
        </patternFill>
      </fill>
      <border>
        <right/>
        <top/>
        <bottom/>
        <vertical/>
        <horizontal/>
      </border>
    </dxf>
    <dxf>
      <font>
        <color theme="0"/>
      </font>
      <fill>
        <patternFill>
          <bgColor theme="0"/>
        </patternFill>
      </fill>
      <border>
        <right/>
        <top/>
        <bottom/>
        <vertical/>
        <horizontal/>
      </border>
    </dxf>
    <dxf>
      <font>
        <b/>
        <i val="0"/>
        <color rgb="FF000066"/>
      </font>
      <border>
        <left style="thin">
          <color rgb="FF4D4F53"/>
        </left>
        <right style="thin">
          <color rgb="FF4D4F53"/>
        </right>
        <top style="thin">
          <color rgb="FF4D4F53"/>
        </top>
        <bottom style="thin">
          <color rgb="FF4D4F53"/>
        </bottom>
        <vertical/>
        <horizontal/>
      </border>
    </dxf>
  </dxfs>
  <tableStyles count="0" defaultTableStyle="TableStyleMedium2" defaultPivotStyle="PivotStyleLight16"/>
  <colors>
    <mruColors>
      <color rgb="FF003B7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9.jpg"/></Relationships>
</file>

<file path=xl/drawings/_rels/drawing4.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10.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7.jpeg"/></Relationships>
</file>

<file path=xl/drawings/drawing1.xml><?xml version="1.0" encoding="utf-8"?>
<xdr:wsDr xmlns:xdr="http://schemas.openxmlformats.org/drawingml/2006/spreadsheetDrawing" xmlns:a="http://schemas.openxmlformats.org/drawingml/2006/main">
  <xdr:twoCellAnchor editAs="oneCell">
    <xdr:from>
      <xdr:col>2</xdr:col>
      <xdr:colOff>114300</xdr:colOff>
      <xdr:row>0</xdr:row>
      <xdr:rowOff>152400</xdr:rowOff>
    </xdr:from>
    <xdr:to>
      <xdr:col>4</xdr:col>
      <xdr:colOff>28575</xdr:colOff>
      <xdr:row>4</xdr:row>
      <xdr:rowOff>28575</xdr:rowOff>
    </xdr:to>
    <xdr:pic>
      <xdr:nvPicPr>
        <xdr:cNvPr id="2" name="1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76325" y="152400"/>
          <a:ext cx="18764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380999</xdr:colOff>
      <xdr:row>0</xdr:row>
      <xdr:rowOff>31750</xdr:rowOff>
    </xdr:from>
    <xdr:to>
      <xdr:col>11</xdr:col>
      <xdr:colOff>762000</xdr:colOff>
      <xdr:row>4</xdr:row>
      <xdr:rowOff>148981</xdr:rowOff>
    </xdr:to>
    <xdr:pic>
      <xdr:nvPicPr>
        <xdr:cNvPr id="4" name="Imagen 3"/>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876" t="16441" r="2925" b="23275"/>
        <a:stretch/>
      </xdr:blipFill>
      <xdr:spPr>
        <a:xfrm>
          <a:off x="8270874" y="31750"/>
          <a:ext cx="2603501" cy="110148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12</xdr:col>
          <xdr:colOff>1009650</xdr:colOff>
          <xdr:row>9</xdr:row>
          <xdr:rowOff>28575</xdr:rowOff>
        </xdr:from>
        <xdr:to>
          <xdr:col>12</xdr:col>
          <xdr:colOff>2600325</xdr:colOff>
          <xdr:row>10</xdr:row>
          <xdr:rowOff>114300</xdr:rowOff>
        </xdr:to>
        <xdr:sp macro="" textlink="">
          <xdr:nvSpPr>
            <xdr:cNvPr id="1029" name="CommandButton1"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209550</xdr:colOff>
          <xdr:row>0</xdr:row>
          <xdr:rowOff>209550</xdr:rowOff>
        </xdr:from>
        <xdr:to>
          <xdr:col>8</xdr:col>
          <xdr:colOff>2286000</xdr:colOff>
          <xdr:row>3</xdr:row>
          <xdr:rowOff>381000</xdr:rowOff>
        </xdr:to>
        <xdr:sp macro="" textlink="">
          <xdr:nvSpPr>
            <xdr:cNvPr id="5123" name="CommandButton1" hidden="1">
              <a:extLst>
                <a:ext uri="{63B3BB69-23CF-44E3-9099-C40C66FF867C}">
                  <a14:compatExt spid="_x0000_s51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209550</xdr:colOff>
          <xdr:row>7</xdr:row>
          <xdr:rowOff>361950</xdr:rowOff>
        </xdr:from>
        <xdr:to>
          <xdr:col>8</xdr:col>
          <xdr:colOff>2286000</xdr:colOff>
          <xdr:row>9</xdr:row>
          <xdr:rowOff>219075</xdr:rowOff>
        </xdr:to>
        <xdr:sp macro="" textlink="">
          <xdr:nvSpPr>
            <xdr:cNvPr id="5125" name="CommandButton2" hidden="1">
              <a:extLst>
                <a:ext uri="{63B3BB69-23CF-44E3-9099-C40C66FF867C}">
                  <a14:compatExt spid="_x0000_s51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209550</xdr:colOff>
          <xdr:row>4</xdr:row>
          <xdr:rowOff>238125</xdr:rowOff>
        </xdr:from>
        <xdr:to>
          <xdr:col>8</xdr:col>
          <xdr:colOff>2286000</xdr:colOff>
          <xdr:row>6</xdr:row>
          <xdr:rowOff>409575</xdr:rowOff>
        </xdr:to>
        <xdr:sp macro="" textlink="">
          <xdr:nvSpPr>
            <xdr:cNvPr id="5129" name="CommandButton3" hidden="1">
              <a:extLst>
                <a:ext uri="{63B3BB69-23CF-44E3-9099-C40C66FF867C}">
                  <a14:compatExt spid="_x0000_s5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4</xdr:colOff>
      <xdr:row>0</xdr:row>
      <xdr:rowOff>0</xdr:rowOff>
    </xdr:from>
    <xdr:to>
      <xdr:col>6</xdr:col>
      <xdr:colOff>735277</xdr:colOff>
      <xdr:row>14</xdr:row>
      <xdr:rowOff>93536</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 y="0"/>
          <a:ext cx="6450273" cy="9360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566805</xdr:colOff>
      <xdr:row>50</xdr:row>
      <xdr:rowOff>13048</xdr:rowOff>
    </xdr:to>
    <xdr:pic>
      <xdr:nvPicPr>
        <xdr:cNvPr id="4" name="Imagen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4950915" cy="9799007"/>
        </a:xfrm>
        <a:prstGeom prst="rect">
          <a:avLst/>
        </a:prstGeom>
      </xdr:spPr>
    </xdr:pic>
    <xdr:clientData/>
  </xdr:twoCellAnchor>
  <xdr:twoCellAnchor editAs="oneCell">
    <xdr:from>
      <xdr:col>0</xdr:col>
      <xdr:colOff>0</xdr:colOff>
      <xdr:row>50</xdr:row>
      <xdr:rowOff>39144</xdr:rowOff>
    </xdr:from>
    <xdr:to>
      <xdr:col>3</xdr:col>
      <xdr:colOff>608810</xdr:colOff>
      <xdr:row>99</xdr:row>
      <xdr:rowOff>182671</xdr:rowOff>
    </xdr:to>
    <xdr:pic>
      <xdr:nvPicPr>
        <xdr:cNvPr id="5" name="Imagen 4"/>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9825103"/>
          <a:ext cx="4992920" cy="9733767"/>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Plan Seguro S.A. de C.V." refreshedDate="42893.778237962964" createdVersion="5" refreshedVersion="3" minRefreshableVersion="3" recordCount="33">
  <cacheSource type="worksheet">
    <worksheetSource ref="A1:E34" sheet="RESUMEN_REGIONES"/>
  </cacheSource>
  <cacheFields count="5">
    <cacheField name="REGIÓN" numFmtId="0">
      <sharedItems count="33">
        <s v="Aguascalientes"/>
        <s v="Baja California Norte"/>
        <s v="Baja California Sur"/>
        <s v="Campeche"/>
        <s v="Chiapas"/>
        <s v="Chihuahua"/>
        <s v="Coahuila"/>
        <s v="Colima"/>
        <s v="D.F. y Zona Metropolitana"/>
        <s v="Durango"/>
        <s v="Estado de México"/>
        <s v="Guanajuato"/>
        <s v="Guerrero"/>
        <s v="Hidalgo"/>
        <s v="Jalisco"/>
        <s v="Michoacán"/>
        <s v="Morelos"/>
        <s v="Nayarit"/>
        <s v="Nuevo León"/>
        <s v="Oaxaca"/>
        <s v="Puebla"/>
        <s v="Querétaro"/>
        <s v="Quintana Roo"/>
        <s v="San Luís Potosí"/>
        <s v="Sinaloa"/>
        <s v="Sonora"/>
        <s v="Tabasco"/>
        <s v="Tamaulipas"/>
        <s v="Tlaxcala"/>
        <s v="Veracruz"/>
        <s v="Yucatán"/>
        <s v="Zacatecas"/>
        <s v="CHAVEZ REZA"/>
      </sharedItems>
    </cacheField>
    <cacheField name="ESTADOS" numFmtId="0">
      <sharedItems count="11">
        <s v="BAJIO"/>
        <s v="NUEVA NOROESTE"/>
        <s v="SURESTE"/>
        <s v="SUR"/>
        <s v="NORESTE"/>
        <s v="OCCIDENTE"/>
        <s v="LINEA"/>
        <s v="ESTADO DE MÉXICO"/>
        <s v="OCCIDENTE_2"/>
        <s v="CHAVEZ REZA"/>
        <s v="OCCIDENTE 2" u="1"/>
      </sharedItems>
    </cacheField>
    <cacheField name="FACTOR" numFmtId="0">
      <sharedItems containsSemiMixedTypes="0" containsString="0" containsNumber="1" minValue="0.4274" maxValue="1"/>
    </cacheField>
    <cacheField name="TARIFA" numFmtId="0">
      <sharedItems containsSemiMixedTypes="0" containsString="0" containsNumber="1" containsInteger="1" minValue="1" maxValue="5"/>
    </cacheField>
    <cacheField name="DESCUENTO HDI" numFmtId="0">
      <sharedItems containsString="0" containsBlank="1" containsNumber="1" minValue="0.1" maxValue="0.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3">
  <r>
    <x v="0"/>
    <x v="0"/>
    <n v="1"/>
    <n v="2"/>
    <m/>
  </r>
  <r>
    <x v="1"/>
    <x v="1"/>
    <n v="0.49159999999999998"/>
    <n v="1"/>
    <m/>
  </r>
  <r>
    <x v="2"/>
    <x v="1"/>
    <n v="0.49159999999999998"/>
    <n v="1"/>
    <m/>
  </r>
  <r>
    <x v="3"/>
    <x v="2"/>
    <n v="0.4274"/>
    <n v="1"/>
    <n v="0.1"/>
  </r>
  <r>
    <x v="4"/>
    <x v="3"/>
    <n v="0.56979999999999997"/>
    <n v="1"/>
    <n v="0.1"/>
  </r>
  <r>
    <x v="5"/>
    <x v="1"/>
    <n v="0.49159999999999998"/>
    <n v="1"/>
    <m/>
  </r>
  <r>
    <x v="6"/>
    <x v="4"/>
    <n v="1"/>
    <n v="4"/>
    <m/>
  </r>
  <r>
    <x v="7"/>
    <x v="5"/>
    <n v="1"/>
    <n v="2"/>
    <m/>
  </r>
  <r>
    <x v="8"/>
    <x v="6"/>
    <n v="1"/>
    <n v="1"/>
    <n v="0.1"/>
  </r>
  <r>
    <x v="9"/>
    <x v="4"/>
    <n v="1"/>
    <n v="4"/>
    <m/>
  </r>
  <r>
    <x v="10"/>
    <x v="7"/>
    <n v="1"/>
    <n v="1"/>
    <m/>
  </r>
  <r>
    <x v="11"/>
    <x v="0"/>
    <n v="1"/>
    <n v="2"/>
    <m/>
  </r>
  <r>
    <x v="12"/>
    <x v="3"/>
    <n v="0.56979999999999997"/>
    <n v="1"/>
    <n v="0.1"/>
  </r>
  <r>
    <x v="13"/>
    <x v="7"/>
    <n v="1"/>
    <n v="1"/>
    <m/>
  </r>
  <r>
    <x v="14"/>
    <x v="5"/>
    <n v="1"/>
    <n v="2"/>
    <m/>
  </r>
  <r>
    <x v="15"/>
    <x v="8"/>
    <n v="1"/>
    <n v="2"/>
    <m/>
  </r>
  <r>
    <x v="16"/>
    <x v="7"/>
    <n v="1"/>
    <n v="1"/>
    <m/>
  </r>
  <r>
    <x v="17"/>
    <x v="5"/>
    <n v="1"/>
    <n v="2"/>
    <m/>
  </r>
  <r>
    <x v="18"/>
    <x v="4"/>
    <n v="1"/>
    <n v="5"/>
    <m/>
  </r>
  <r>
    <x v="19"/>
    <x v="3"/>
    <n v="0.56979999999999997"/>
    <n v="1"/>
    <n v="0.1"/>
  </r>
  <r>
    <x v="20"/>
    <x v="3"/>
    <n v="0.56979999999999997"/>
    <n v="1"/>
    <n v="0.1"/>
  </r>
  <r>
    <x v="21"/>
    <x v="0"/>
    <n v="1"/>
    <n v="2"/>
    <m/>
  </r>
  <r>
    <x v="22"/>
    <x v="2"/>
    <n v="0.4274"/>
    <n v="1"/>
    <n v="0.1"/>
  </r>
  <r>
    <x v="23"/>
    <x v="0"/>
    <n v="1"/>
    <n v="2"/>
    <m/>
  </r>
  <r>
    <x v="24"/>
    <x v="8"/>
    <n v="1"/>
    <n v="2"/>
    <m/>
  </r>
  <r>
    <x v="25"/>
    <x v="1"/>
    <n v="0.49159999999999998"/>
    <n v="1"/>
    <m/>
  </r>
  <r>
    <x v="26"/>
    <x v="2"/>
    <n v="0.4274"/>
    <n v="1"/>
    <n v="0.1"/>
  </r>
  <r>
    <x v="27"/>
    <x v="4"/>
    <n v="1"/>
    <n v="4"/>
    <m/>
  </r>
  <r>
    <x v="28"/>
    <x v="3"/>
    <n v="0.56979999999999997"/>
    <n v="1"/>
    <n v="0.1"/>
  </r>
  <r>
    <x v="29"/>
    <x v="3"/>
    <n v="0.56979999999999997"/>
    <n v="1"/>
    <n v="0.1"/>
  </r>
  <r>
    <x v="30"/>
    <x v="2"/>
    <n v="0.4274"/>
    <n v="1"/>
    <n v="0.1"/>
  </r>
  <r>
    <x v="31"/>
    <x v="0"/>
    <n v="1"/>
    <n v="2"/>
    <m/>
  </r>
  <r>
    <x v="32"/>
    <x v="9"/>
    <n v="1"/>
    <n v="3"/>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1" cacheId="0" applyNumberFormats="0" applyBorderFormats="0" applyFontFormats="0" applyPatternFormats="0" applyAlignmentFormats="0" applyWidthHeightFormats="1" dataCaption="Valores" updatedVersion="3" minRefreshableVersion="3" useAutoFormatting="1" itemPrintTitles="1" createdVersion="5" indent="0" compact="0" compactData="0" gridDropZones="1" multipleFieldFilters="0">
  <location ref="G2:N37" firstHeaderRow="2" firstDataRow="2" firstDataCol="2"/>
  <pivotFields count="5">
    <pivotField axis="axisRow" compact="0" outline="0" showAll="0" defaultSubtotal="0">
      <items count="33">
        <item x="0"/>
        <item x="1"/>
        <item x="2"/>
        <item x="3"/>
        <item x="32"/>
        <item x="4"/>
        <item x="5"/>
        <item x="6"/>
        <item x="7"/>
        <item x="8"/>
        <item x="9"/>
        <item x="10"/>
        <item x="11"/>
        <item x="12"/>
        <item x="13"/>
        <item x="14"/>
        <item x="15"/>
        <item x="16"/>
        <item x="17"/>
        <item x="18"/>
        <item x="19"/>
        <item x="20"/>
        <item x="21"/>
        <item x="22"/>
        <item x="23"/>
        <item x="24"/>
        <item x="25"/>
        <item x="26"/>
        <item x="27"/>
        <item x="28"/>
        <item x="29"/>
        <item x="30"/>
        <item x="31"/>
      </items>
    </pivotField>
    <pivotField axis="axisRow" compact="0" outline="0" showAll="0" defaultSubtotal="0">
      <items count="11">
        <item x="0"/>
        <item x="9"/>
        <item x="7"/>
        <item x="6"/>
        <item x="4"/>
        <item x="1"/>
        <item x="5"/>
        <item x="3"/>
        <item x="2"/>
        <item m="1" x="10"/>
        <item x="8"/>
      </items>
    </pivotField>
    <pivotField compact="0" outline="0" showAll="0"/>
    <pivotField compact="0" outline="0" showAll="0"/>
    <pivotField compact="0" outline="0" showAll="0"/>
  </pivotFields>
  <rowFields count="2">
    <field x="1"/>
    <field x="0"/>
  </rowFields>
  <rowItems count="34">
    <i>
      <x/>
      <x/>
    </i>
    <i r="1">
      <x v="12"/>
    </i>
    <i r="1">
      <x v="22"/>
    </i>
    <i r="1">
      <x v="24"/>
    </i>
    <i r="1">
      <x v="32"/>
    </i>
    <i>
      <x v="1"/>
      <x v="4"/>
    </i>
    <i>
      <x v="2"/>
      <x v="11"/>
    </i>
    <i r="1">
      <x v="14"/>
    </i>
    <i r="1">
      <x v="17"/>
    </i>
    <i>
      <x v="3"/>
      <x v="9"/>
    </i>
    <i>
      <x v="4"/>
      <x v="7"/>
    </i>
    <i r="1">
      <x v="10"/>
    </i>
    <i r="1">
      <x v="19"/>
    </i>
    <i r="1">
      <x v="28"/>
    </i>
    <i>
      <x v="5"/>
      <x v="1"/>
    </i>
    <i r="1">
      <x v="2"/>
    </i>
    <i r="1">
      <x v="6"/>
    </i>
    <i r="1">
      <x v="26"/>
    </i>
    <i>
      <x v="6"/>
      <x v="8"/>
    </i>
    <i r="1">
      <x v="15"/>
    </i>
    <i r="1">
      <x v="18"/>
    </i>
    <i>
      <x v="7"/>
      <x v="5"/>
    </i>
    <i r="1">
      <x v="13"/>
    </i>
    <i r="1">
      <x v="20"/>
    </i>
    <i r="1">
      <x v="21"/>
    </i>
    <i r="1">
      <x v="29"/>
    </i>
    <i r="1">
      <x v="30"/>
    </i>
    <i>
      <x v="8"/>
      <x v="3"/>
    </i>
    <i r="1">
      <x v="23"/>
    </i>
    <i r="1">
      <x v="27"/>
    </i>
    <i r="1">
      <x v="31"/>
    </i>
    <i>
      <x v="10"/>
      <x v="16"/>
    </i>
    <i r="1">
      <x v="25"/>
    </i>
    <i t="grand">
      <x/>
    </i>
  </rowItems>
  <colItems count="1">
    <i/>
  </colItems>
  <pivotTableStyleInfo name="PivotStyleLight16"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2.vml"/><Relationship Id="rId7" Type="http://schemas.openxmlformats.org/officeDocument/2006/relationships/control" Target="../activeX/activeX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image" Target="../media/image4.emf"/><Relationship Id="rId5" Type="http://schemas.openxmlformats.org/officeDocument/2006/relationships/control" Target="../activeX/activeX2.xml"/><Relationship Id="rId10" Type="http://schemas.openxmlformats.org/officeDocument/2006/relationships/image" Target="../media/image6.emf"/><Relationship Id="rId4" Type="http://schemas.openxmlformats.org/officeDocument/2006/relationships/vmlDrawing" Target="../drawings/vmlDrawing3.vml"/><Relationship Id="rId9" Type="http://schemas.openxmlformats.org/officeDocument/2006/relationships/control" Target="../activeX/activeX4.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pageSetUpPr fitToPage="1"/>
  </sheetPr>
  <dimension ref="A1:T76"/>
  <sheetViews>
    <sheetView tabSelected="1" view="pageBreakPreview" topLeftCell="H1" zoomScaleNormal="100" zoomScaleSheetLayoutView="100" workbookViewId="0">
      <selection activeCell="L24" sqref="L24"/>
    </sheetView>
  </sheetViews>
  <sheetFormatPr baseColWidth="10" defaultColWidth="0" defaultRowHeight="15" zeroHeight="1" x14ac:dyDescent="0.25"/>
  <cols>
    <col min="1" max="1" width="3" style="238" bestFit="1" customWidth="1"/>
    <col min="2" max="2" width="11.42578125" style="238" customWidth="1"/>
    <col min="3" max="3" width="18" style="238" customWidth="1"/>
    <col min="4" max="5" width="11.42578125" style="238" customWidth="1"/>
    <col min="6" max="6" width="22.7109375" style="238" customWidth="1"/>
    <col min="7" max="7" width="19" style="238" customWidth="1"/>
    <col min="8" max="8" width="20.7109375" style="238" customWidth="1"/>
    <col min="9" max="9" width="4.28515625" style="238" hidden="1" customWidth="1"/>
    <col min="10" max="10" width="19.85546875" style="238" bestFit="1" customWidth="1"/>
    <col min="11" max="11" width="33.28515625" style="238" customWidth="1"/>
    <col min="12" max="12" width="31.7109375" style="238" customWidth="1"/>
    <col min="13" max="13" width="45.5703125" style="238" bestFit="1" customWidth="1"/>
    <col min="14" max="15" width="11.42578125" style="238" customWidth="1"/>
    <col min="16" max="16384" width="11.42578125" style="238" hidden="1"/>
  </cols>
  <sheetData>
    <row r="1" spans="1:20" ht="16.5" thickBot="1" x14ac:dyDescent="0.3">
      <c r="A1" s="490" t="s">
        <v>607</v>
      </c>
      <c r="B1" s="232"/>
      <c r="C1" s="232"/>
      <c r="D1" s="232"/>
      <c r="E1" s="232"/>
      <c r="F1" s="233"/>
      <c r="G1" s="232"/>
      <c r="H1" s="232"/>
      <c r="I1" s="232"/>
      <c r="J1" s="232"/>
      <c r="K1" s="232"/>
      <c r="L1" s="232"/>
      <c r="M1" s="234"/>
      <c r="N1" s="235"/>
      <c r="O1" s="235"/>
      <c r="P1" s="236"/>
      <c r="Q1" s="237"/>
      <c r="R1" s="237"/>
      <c r="S1" s="237"/>
      <c r="T1" s="237"/>
    </row>
    <row r="2" spans="1:20" ht="24" thickBot="1" x14ac:dyDescent="0.35">
      <c r="A2" s="490"/>
      <c r="B2" s="239"/>
      <c r="C2" s="239"/>
      <c r="D2" s="239"/>
      <c r="E2" s="240"/>
      <c r="F2" s="491" t="s">
        <v>0</v>
      </c>
      <c r="G2" s="492"/>
      <c r="H2" s="492"/>
      <c r="I2" s="492"/>
      <c r="J2" s="493"/>
      <c r="K2" s="240"/>
      <c r="L2" s="241"/>
      <c r="M2" s="239"/>
      <c r="N2" s="242"/>
      <c r="O2" s="243"/>
      <c r="P2" s="244"/>
      <c r="Q2" s="239"/>
      <c r="R2" s="239"/>
      <c r="S2" s="239"/>
      <c r="T2" s="239"/>
    </row>
    <row r="3" spans="1:20" ht="16.5" thickBot="1" x14ac:dyDescent="0.3">
      <c r="A3" s="490"/>
      <c r="B3" s="245"/>
      <c r="C3" s="245"/>
      <c r="D3" s="245"/>
      <c r="E3" s="246"/>
      <c r="F3" s="233"/>
      <c r="G3" s="232"/>
      <c r="H3" s="247"/>
      <c r="I3" s="247"/>
      <c r="J3" s="233"/>
      <c r="K3" s="233"/>
      <c r="L3" s="233"/>
      <c r="M3" s="234"/>
      <c r="N3" s="235"/>
      <c r="O3" s="235"/>
      <c r="P3" s="236"/>
      <c r="Q3" s="237"/>
      <c r="R3" s="237"/>
      <c r="S3" s="237"/>
      <c r="T3" s="237"/>
    </row>
    <row r="4" spans="1:20" ht="21.75" thickBot="1" x14ac:dyDescent="0.35">
      <c r="A4" s="490"/>
      <c r="B4" s="239"/>
      <c r="C4" s="239"/>
      <c r="D4" s="239"/>
      <c r="E4" s="246"/>
      <c r="F4" s="491" t="str">
        <f>IF(AND(IF(VLOOKUP(D12,INDIVIDUAL!$E$95:$F$127,2,FALSE)="LINEA","LINEA","REGION "&amp;VLOOKUP(D12,INDIVIDUAL!$E$95:$F$127,2,FALSE))="REGION OCCIDENTE",D8="PÓLIZA NUEVA"),"VENTA NO DISPONIBLE",IF(VLOOKUP(D12,INDIVIDUAL!$E$95:$F$127,2,FALSE)="LINEA","LINEA","REGION "&amp;VLOOKUP(D12,INDIVIDUAL!$E$95:$F$127,2,FALSE)))</f>
        <v>REGION NORESTE</v>
      </c>
      <c r="G4" s="492"/>
      <c r="H4" s="492"/>
      <c r="I4" s="492"/>
      <c r="J4" s="493"/>
      <c r="K4" s="240"/>
      <c r="L4" s="248"/>
      <c r="M4" s="239"/>
      <c r="N4" s="243"/>
      <c r="O4" s="243"/>
      <c r="P4" s="244"/>
      <c r="Q4" s="239"/>
      <c r="R4" s="239"/>
      <c r="S4" s="239"/>
      <c r="T4" s="239"/>
    </row>
    <row r="5" spans="1:20" ht="16.5" thickBot="1" x14ac:dyDescent="0.3">
      <c r="A5" s="490"/>
      <c r="B5" s="233"/>
      <c r="C5" s="233"/>
      <c r="D5" s="233"/>
      <c r="E5" s="233"/>
      <c r="F5" s="233"/>
      <c r="G5" s="233"/>
      <c r="H5" s="233"/>
      <c r="I5" s="233"/>
      <c r="J5" s="233"/>
      <c r="K5" s="233"/>
      <c r="L5" s="233"/>
      <c r="M5" s="234"/>
      <c r="N5" s="235"/>
      <c r="O5" s="235"/>
      <c r="P5" s="236"/>
      <c r="Q5" s="237"/>
      <c r="R5" s="237"/>
      <c r="S5" s="237"/>
      <c r="T5" s="237"/>
    </row>
    <row r="6" spans="1:20" ht="16.5" thickBot="1" x14ac:dyDescent="0.3">
      <c r="A6" s="249"/>
      <c r="B6" s="233"/>
      <c r="C6" s="352" t="s">
        <v>2</v>
      </c>
      <c r="D6" s="494" t="s">
        <v>610</v>
      </c>
      <c r="E6" s="495"/>
      <c r="F6" s="495"/>
      <c r="G6" s="495"/>
      <c r="H6" s="496"/>
      <c r="I6" s="233"/>
      <c r="J6" s="233"/>
      <c r="K6" s="233"/>
      <c r="L6" s="233"/>
      <c r="M6" s="234"/>
      <c r="N6" s="235"/>
      <c r="O6" s="235"/>
      <c r="P6" s="236"/>
      <c r="Q6" s="237"/>
      <c r="R6" s="237"/>
      <c r="S6" s="237"/>
      <c r="T6" s="237"/>
    </row>
    <row r="7" spans="1:20" ht="16.5" thickBot="1" x14ac:dyDescent="0.3">
      <c r="A7" s="249"/>
      <c r="B7" s="233"/>
      <c r="C7" s="233"/>
      <c r="D7" s="250"/>
      <c r="E7" s="250"/>
      <c r="F7" s="250"/>
      <c r="G7" s="250"/>
      <c r="H7" s="251"/>
      <c r="I7" s="233"/>
      <c r="J7" s="233"/>
      <c r="K7" s="440" t="s">
        <v>5</v>
      </c>
      <c r="L7" s="442">
        <f ca="1">TODAY()</f>
        <v>44013</v>
      </c>
      <c r="M7" s="234"/>
      <c r="N7" s="235"/>
      <c r="O7" s="235"/>
      <c r="P7" s="236"/>
      <c r="Q7" s="237"/>
      <c r="R7" s="237"/>
      <c r="S7" s="237"/>
      <c r="T7" s="237"/>
    </row>
    <row r="8" spans="1:20" ht="16.5" thickBot="1" x14ac:dyDescent="0.3">
      <c r="A8" s="249"/>
      <c r="B8" s="233"/>
      <c r="C8" s="352" t="s">
        <v>3</v>
      </c>
      <c r="D8" s="494" t="s">
        <v>4</v>
      </c>
      <c r="E8" s="495"/>
      <c r="F8" s="495"/>
      <c r="G8" s="496"/>
      <c r="H8" s="252"/>
      <c r="I8" s="253"/>
      <c r="J8" s="253"/>
      <c r="K8" s="441"/>
      <c r="L8" s="443"/>
      <c r="M8" s="254"/>
      <c r="N8" s="235"/>
      <c r="O8" s="235"/>
      <c r="P8" s="236"/>
      <c r="Q8" s="237"/>
      <c r="R8" s="237"/>
      <c r="S8" s="237"/>
      <c r="T8" s="237"/>
    </row>
    <row r="9" spans="1:20" ht="16.5" thickBot="1" x14ac:dyDescent="0.3">
      <c r="A9" s="236"/>
      <c r="B9" s="235"/>
      <c r="C9" s="233"/>
      <c r="D9" s="250"/>
      <c r="E9" s="250"/>
      <c r="F9" s="250"/>
      <c r="G9" s="250"/>
      <c r="H9" s="251"/>
      <c r="I9" s="233"/>
      <c r="J9" s="233"/>
      <c r="K9" s="233"/>
      <c r="L9" s="233"/>
      <c r="M9" s="234"/>
      <c r="N9" s="235"/>
      <c r="O9" s="235"/>
      <c r="P9" s="236"/>
      <c r="Q9" s="237"/>
      <c r="R9" s="237"/>
      <c r="S9" s="237"/>
      <c r="T9" s="237"/>
    </row>
    <row r="10" spans="1:20" ht="44.25" customHeight="1" thickBot="1" x14ac:dyDescent="0.3">
      <c r="A10" s="236"/>
      <c r="B10" s="245"/>
      <c r="C10" s="381" t="s">
        <v>6</v>
      </c>
      <c r="D10" s="497" t="s">
        <v>7</v>
      </c>
      <c r="E10" s="498"/>
      <c r="F10" s="499"/>
      <c r="G10" s="488" t="str">
        <f>IF(D8="PÓLIZA RENOVADA", "TARIFA POR INTRODUCCIÓN:", "RECONOCIMIENTO DE ANTIGÜEDAD:")</f>
        <v>RECONOCIMIENTO DE ANTIGÜEDAD:</v>
      </c>
      <c r="H10" s="489"/>
      <c r="I10" s="1"/>
      <c r="J10" s="2" t="s">
        <v>18</v>
      </c>
      <c r="K10" s="232"/>
      <c r="L10" s="380"/>
      <c r="M10" s="234"/>
      <c r="N10" s="237"/>
      <c r="O10" s="237"/>
      <c r="P10" s="236"/>
      <c r="Q10" s="237"/>
      <c r="R10" s="237"/>
      <c r="S10" s="237"/>
      <c r="T10" s="237"/>
    </row>
    <row r="11" spans="1:20" ht="16.5" thickBot="1" x14ac:dyDescent="0.3">
      <c r="A11" s="236"/>
      <c r="B11" s="235"/>
      <c r="C11" s="233"/>
      <c r="D11" s="251"/>
      <c r="E11" s="251"/>
      <c r="F11" s="255"/>
      <c r="G11" s="255"/>
      <c r="H11" s="255"/>
      <c r="I11" s="253"/>
      <c r="J11" s="253"/>
      <c r="K11" s="233"/>
      <c r="L11" s="233"/>
      <c r="M11" s="234"/>
      <c r="N11" s="235"/>
      <c r="O11" s="235"/>
      <c r="P11" s="236"/>
      <c r="Q11" s="237"/>
      <c r="R11" s="237"/>
      <c r="S11" s="237"/>
      <c r="T11" s="237"/>
    </row>
    <row r="12" spans="1:20" ht="16.5" thickBot="1" x14ac:dyDescent="0.3">
      <c r="C12" s="352" t="s">
        <v>9</v>
      </c>
      <c r="D12" s="497" t="s">
        <v>165</v>
      </c>
      <c r="E12" s="498"/>
      <c r="F12" s="499"/>
      <c r="G12" s="256" t="s">
        <v>506</v>
      </c>
      <c r="H12" s="2"/>
      <c r="I12" s="238">
        <f>IF(AND(D8="PÓLIZA RENOVADA",D12="San Luís Potosí",D10="EDAD"),1,0)</f>
        <v>0</v>
      </c>
    </row>
    <row r="13" spans="1:20" ht="15.75" thickBot="1" x14ac:dyDescent="0.3">
      <c r="I13" s="238">
        <f>IF(AND(I12=1,H12=""),1,0)</f>
        <v>0</v>
      </c>
    </row>
    <row r="14" spans="1:20" ht="18" thickBot="1" x14ac:dyDescent="0.35">
      <c r="C14" s="500" t="s">
        <v>10</v>
      </c>
      <c r="D14" s="501"/>
      <c r="E14" s="501"/>
      <c r="F14" s="502"/>
      <c r="G14" s="308" t="s">
        <v>11</v>
      </c>
      <c r="J14" s="484" t="s">
        <v>19</v>
      </c>
      <c r="K14" s="485"/>
      <c r="L14" s="486"/>
    </row>
    <row r="15" spans="1:20" ht="16.5" thickBot="1" x14ac:dyDescent="0.3">
      <c r="C15" s="468" t="s">
        <v>12</v>
      </c>
      <c r="D15" s="487"/>
      <c r="E15" s="3" t="s">
        <v>103</v>
      </c>
      <c r="F15" s="349" t="str">
        <f>+IF(E15="Sin Límite","","UMAM")</f>
        <v/>
      </c>
      <c r="G15" s="350" t="str">
        <f>+IF(E15="Sin Límite","",E15*INDIVIDUAL!$L$110)</f>
        <v/>
      </c>
      <c r="I15" s="238">
        <f>IF(ISERROR(VLOOKUP(D12,EDO,1,FALSE))=TRUE,1,0)</f>
        <v>1</v>
      </c>
      <c r="J15" s="468" t="s">
        <v>20</v>
      </c>
      <c r="K15" s="487"/>
      <c r="L15" s="190" t="s">
        <v>79</v>
      </c>
    </row>
    <row r="16" spans="1:20" ht="16.5" thickBot="1" x14ac:dyDescent="0.3">
      <c r="C16" s="468" t="s">
        <v>13</v>
      </c>
      <c r="D16" s="469"/>
      <c r="E16" s="3" t="s">
        <v>285</v>
      </c>
      <c r="F16" s="349" t="s">
        <v>199</v>
      </c>
      <c r="G16" s="350">
        <f>+E16*INDIVIDUAL!$L$110</f>
        <v>50445.965000000004</v>
      </c>
      <c r="I16" s="238">
        <f>IF(ISERROR(VLOOKUP(E16,DED,1,FALSE))=TRUE,1,0)</f>
        <v>0</v>
      </c>
      <c r="J16" s="468" t="s">
        <v>21</v>
      </c>
      <c r="K16" s="469"/>
      <c r="L16" s="190" t="s">
        <v>8</v>
      </c>
    </row>
    <row r="17" spans="1:16" ht="16.5" thickBot="1" x14ac:dyDescent="0.3">
      <c r="C17" s="468" t="s">
        <v>14</v>
      </c>
      <c r="D17" s="469"/>
      <c r="E17" s="503">
        <v>0.1</v>
      </c>
      <c r="F17" s="504"/>
      <c r="I17" s="238">
        <f>IF(ISERROR(VLOOKUP(E18,BH,1,FALSE))=TRUE,1,0)</f>
        <v>1</v>
      </c>
      <c r="J17" s="468" t="s">
        <v>22</v>
      </c>
      <c r="K17" s="469"/>
      <c r="L17" s="190" t="s">
        <v>8</v>
      </c>
    </row>
    <row r="18" spans="1:16" ht="16.5" thickBot="1" x14ac:dyDescent="0.3">
      <c r="A18" s="257"/>
      <c r="B18" s="257"/>
      <c r="C18" s="468" t="s">
        <v>15</v>
      </c>
      <c r="D18" s="469"/>
      <c r="E18" s="503" t="s">
        <v>98</v>
      </c>
      <c r="F18" s="504"/>
      <c r="J18" s="468" t="s">
        <v>23</v>
      </c>
      <c r="K18" s="469"/>
      <c r="L18" s="190" t="s">
        <v>8</v>
      </c>
    </row>
    <row r="19" spans="1:16" ht="16.5" thickBot="1" x14ac:dyDescent="0.3">
      <c r="A19" s="257"/>
      <c r="B19" s="257"/>
      <c r="C19" s="468" t="s">
        <v>16</v>
      </c>
      <c r="D19" s="469"/>
      <c r="E19" s="4">
        <v>24</v>
      </c>
      <c r="F19" s="349" t="str">
        <f>+IF(E19="G.U.A.","","UMAM")</f>
        <v>UMAM</v>
      </c>
      <c r="G19" s="350">
        <f>IF(E19="G.U.A.",45*INDIVIDUAL!$L$110,E19*INDIVIDUAL!$L$110)</f>
        <v>63387.600000000006</v>
      </c>
      <c r="J19" s="468" t="s">
        <v>24</v>
      </c>
      <c r="K19" s="469"/>
      <c r="L19" s="190" t="s">
        <v>8</v>
      </c>
    </row>
    <row r="20" spans="1:16" ht="16.5" thickBot="1" x14ac:dyDescent="0.3">
      <c r="A20" s="257"/>
      <c r="B20" s="257"/>
      <c r="C20" s="477" t="s">
        <v>17</v>
      </c>
      <c r="D20" s="477"/>
      <c r="E20" s="481" t="s">
        <v>598</v>
      </c>
      <c r="F20" s="481"/>
      <c r="G20" s="250"/>
      <c r="J20" s="468" t="s">
        <v>25</v>
      </c>
      <c r="K20" s="469"/>
      <c r="L20" s="190" t="s">
        <v>8</v>
      </c>
    </row>
    <row r="21" spans="1:16" ht="16.5" thickBot="1" x14ac:dyDescent="0.3">
      <c r="A21" s="257"/>
      <c r="B21" s="347"/>
      <c r="C21" s="478"/>
      <c r="D21" s="478"/>
      <c r="E21" s="482"/>
      <c r="F21" s="482"/>
      <c r="G21" s="250"/>
      <c r="I21" s="238" t="str">
        <f>IF(AND(I23&gt;=4,I23&lt;=10),"SI","NO")</f>
        <v>NO</v>
      </c>
      <c r="J21" s="468" t="s">
        <v>26</v>
      </c>
      <c r="K21" s="469"/>
      <c r="L21" s="190" t="s">
        <v>18</v>
      </c>
    </row>
    <row r="22" spans="1:16" ht="14.25" customHeight="1" thickBot="1" x14ac:dyDescent="0.3">
      <c r="A22" s="257"/>
      <c r="B22" s="347"/>
      <c r="C22" s="479"/>
      <c r="D22" s="480"/>
      <c r="E22" s="483" t="s">
        <v>550</v>
      </c>
      <c r="F22" s="483"/>
      <c r="G22" s="258"/>
      <c r="I22" s="238">
        <f>INDIVIDUAL!C6</f>
        <v>0</v>
      </c>
      <c r="J22" s="468" t="s">
        <v>27</v>
      </c>
      <c r="K22" s="469"/>
      <c r="L22" s="190" t="s">
        <v>18</v>
      </c>
    </row>
    <row r="23" spans="1:16" ht="16.5" thickBot="1" x14ac:dyDescent="0.3">
      <c r="A23" s="259"/>
      <c r="B23" s="348" t="str">
        <f>+IF(E17=10%,"SI","NO")</f>
        <v>SI</v>
      </c>
      <c r="C23" s="472" t="str">
        <f>+IF(B23="SI", "TOPE MÁX. COASEGURO"," ")</f>
        <v>TOPE MÁX. COASEGURO</v>
      </c>
      <c r="D23" s="473"/>
      <c r="E23" s="474">
        <v>40000</v>
      </c>
      <c r="F23" s="475"/>
      <c r="G23" s="232"/>
      <c r="H23" s="260"/>
      <c r="I23" s="188">
        <f>VALUE(E16)</f>
        <v>19.100000000000001</v>
      </c>
      <c r="J23" s="261"/>
      <c r="K23" s="262"/>
      <c r="L23" s="263"/>
      <c r="M23" s="234"/>
      <c r="N23" s="260"/>
      <c r="O23" s="235"/>
      <c r="P23" s="236"/>
    </row>
    <row r="24" spans="1:16" ht="15.75" x14ac:dyDescent="0.25">
      <c r="A24" s="259"/>
      <c r="B24" s="348"/>
      <c r="C24" s="299"/>
      <c r="D24" s="299"/>
      <c r="E24" s="232"/>
      <c r="F24" s="232"/>
      <c r="G24" s="232"/>
      <c r="H24" s="261"/>
      <c r="I24" s="264"/>
      <c r="J24" s="261"/>
      <c r="K24" s="262"/>
      <c r="L24" s="263"/>
      <c r="M24" s="234"/>
      <c r="N24" s="260"/>
      <c r="O24" s="235"/>
      <c r="P24" s="236"/>
    </row>
    <row r="25" spans="1:16" ht="15.75" customHeight="1" x14ac:dyDescent="0.25">
      <c r="A25" s="236"/>
      <c r="B25" s="265"/>
      <c r="C25" s="266"/>
      <c r="D25" s="267"/>
      <c r="E25" s="267"/>
      <c r="F25" s="267"/>
      <c r="G25" s="268"/>
      <c r="H25" s="261"/>
      <c r="I25" s="261"/>
      <c r="J25" s="476" t="str">
        <f>+IF(L19="NO","","CÁNCER FEMENINO (ICF)")</f>
        <v/>
      </c>
      <c r="K25" s="476"/>
      <c r="L25" s="333"/>
      <c r="M25" s="234"/>
      <c r="N25" s="260"/>
      <c r="O25" s="235"/>
      <c r="P25" s="236"/>
    </row>
    <row r="26" spans="1:16" ht="15.75" x14ac:dyDescent="0.25">
      <c r="A26" s="236"/>
      <c r="B26" s="237"/>
      <c r="C26" s="232"/>
      <c r="D26" s="232"/>
      <c r="E26" s="296" t="s">
        <v>28</v>
      </c>
      <c r="F26" s="296" t="s">
        <v>29</v>
      </c>
      <c r="G26" s="296" t="s">
        <v>7</v>
      </c>
      <c r="H26" s="296" t="s">
        <v>30</v>
      </c>
      <c r="I26" s="5" t="str">
        <f>IF(OR(I27="SI",I28="SI",I29="SI",I30="SI",I31="SI",I32="SI",I33="SI",I34="SI",I35="SI",I36="SI"),"SI","NO")</f>
        <v>NO</v>
      </c>
      <c r="J26" s="296" t="str">
        <f>+IF(L19="NO","","SUMA ASEGURADA")</f>
        <v/>
      </c>
      <c r="K26" s="296" t="str">
        <f>+IF(L19="NO","","PRIMA")</f>
        <v/>
      </c>
      <c r="L26" s="296" t="s">
        <v>31</v>
      </c>
      <c r="M26" s="234"/>
      <c r="N26" s="260"/>
      <c r="O26" s="235"/>
      <c r="P26" s="236"/>
    </row>
    <row r="27" spans="1:16" ht="15.75" x14ac:dyDescent="0.25">
      <c r="A27" s="236"/>
      <c r="B27" s="237"/>
      <c r="C27" s="333">
        <f>IF(OR(G27&gt;65,G27&lt;20),0,1)</f>
        <v>1</v>
      </c>
      <c r="D27" s="333">
        <f>IF(AND($L$18&lt;&gt;"NO",C27=0),0,1)</f>
        <v>1</v>
      </c>
      <c r="E27" s="353">
        <v>1</v>
      </c>
      <c r="F27" s="6" t="s">
        <v>121</v>
      </c>
      <c r="G27" s="7">
        <v>51</v>
      </c>
      <c r="H27" s="297">
        <f ca="1">IFERROR(IF(OR(G27="",F27="",$I$13=1),"",VLOOKUP(G27,INDIVIDUAL!$A$136:$C$236,VLOOKUP(F27,INDIVIDUAL!$K$114:$L$115,2,FALSE),FALSE)),"")</f>
        <v>15573.37</v>
      </c>
      <c r="I27" s="334" t="str">
        <f>IF(AND($L$19="SI",F27="F",G27&gt;19,G27&lt;56),"SI","NO")</f>
        <v>NO</v>
      </c>
      <c r="J27" s="335">
        <v>300000</v>
      </c>
      <c r="K27" s="298" t="str">
        <f ca="1">+IF(OR(I27="NO",H27=0),"",IF(ISERROR(VLOOKUP(J27,SA_1,1,FALSE))=FALSE,HLOOKUP(J27,INDIVIDUAL!$AB$9:$AG$19,INDIVIDUAL!AC42,FALSE),0))</f>
        <v/>
      </c>
      <c r="L27" s="298">
        <f t="shared" ref="L27:L36" ca="1" si="0">IFERROR(IF(OR(I27="NO",H27=0),H27,H27+K27),0)</f>
        <v>15573.37</v>
      </c>
      <c r="M27" s="336"/>
      <c r="N27" s="260"/>
      <c r="O27" s="235"/>
      <c r="P27" s="236"/>
    </row>
    <row r="28" spans="1:16" ht="15.75" x14ac:dyDescent="0.25">
      <c r="A28" s="249"/>
      <c r="B28" s="232"/>
      <c r="C28" s="333">
        <f t="shared" ref="C28:C36" si="1">IF(OR(G28&gt;65,G28&lt;20),0,1)</f>
        <v>1</v>
      </c>
      <c r="D28" s="333">
        <f t="shared" ref="D28:D36" si="2">IF(AND($L$18&lt;&gt;"NO",C28=0),0,1)</f>
        <v>1</v>
      </c>
      <c r="E28" s="353">
        <v>2</v>
      </c>
      <c r="F28" s="6" t="s">
        <v>119</v>
      </c>
      <c r="G28" s="7">
        <v>49</v>
      </c>
      <c r="H28" s="297">
        <f ca="1">IFERROR(IF(OR(G28="",F28="",$I$13=1),"",VLOOKUP(G28,INDIVIDUAL!$A$136:$C$236,VLOOKUP(F28,INDIVIDUAL!$K$114:$L$115,2,FALSE),FALSE)),"")</f>
        <v>15653.71</v>
      </c>
      <c r="I28" s="334" t="str">
        <f t="shared" ref="I28:I32" si="3">IF(AND($L$19="SI",F28="F",G28&gt;19,G28&lt;56),"SI","NO")</f>
        <v>NO</v>
      </c>
      <c r="J28" s="335" t="s">
        <v>550</v>
      </c>
      <c r="K28" s="298" t="str">
        <f ca="1">+IF(OR(I28="NO",H28=0),"",IF(ISERROR(VLOOKUP(J28,SA_2,1,FALSE))=FALSE,HLOOKUP(J28,INDIVIDUAL!$AB$9:$AG$19,INDIVIDUAL!AC50,FALSE),0))</f>
        <v/>
      </c>
      <c r="L28" s="298">
        <f t="shared" ca="1" si="0"/>
        <v>15653.71</v>
      </c>
      <c r="M28" s="336"/>
      <c r="N28" s="260"/>
      <c r="O28" s="235"/>
      <c r="P28" s="236"/>
    </row>
    <row r="29" spans="1:16" ht="15.75" x14ac:dyDescent="0.25">
      <c r="A29" s="249"/>
      <c r="B29" s="232"/>
      <c r="C29" s="333">
        <f t="shared" si="1"/>
        <v>1</v>
      </c>
      <c r="D29" s="333">
        <f t="shared" si="2"/>
        <v>1</v>
      </c>
      <c r="E29" s="353">
        <v>3</v>
      </c>
      <c r="F29" s="6" t="s">
        <v>121</v>
      </c>
      <c r="G29" s="7">
        <v>24</v>
      </c>
      <c r="H29" s="297">
        <f ca="1">IFERROR(IF(OR(G29="",F29="",$I$13=1),"",VLOOKUP(G29,INDIVIDUAL!$A$136:$C$236,VLOOKUP(F29,INDIVIDUAL!$K$114:$L$115,2,FALSE),FALSE)),"")</f>
        <v>5356.75</v>
      </c>
      <c r="I29" s="334" t="str">
        <f t="shared" si="3"/>
        <v>NO</v>
      </c>
      <c r="J29" s="335"/>
      <c r="K29" s="298" t="str">
        <f ca="1">+IF(OR(I29="NO",H29=0),"",IF(ISERROR(VLOOKUP(J29,SA_3,1,FALSE))=FALSE,HLOOKUP(J29,INDIVIDUAL!$AB$9:$AG$19,INDIVIDUAL!AC58,FALSE),0))</f>
        <v/>
      </c>
      <c r="L29" s="298">
        <f t="shared" ca="1" si="0"/>
        <v>5356.75</v>
      </c>
      <c r="M29" s="336"/>
      <c r="N29" s="260"/>
      <c r="O29" s="235"/>
      <c r="P29" s="236"/>
    </row>
    <row r="30" spans="1:16" ht="15.75" x14ac:dyDescent="0.25">
      <c r="A30" s="249"/>
      <c r="B30" s="232"/>
      <c r="C30" s="333">
        <f t="shared" si="1"/>
        <v>1</v>
      </c>
      <c r="D30" s="333">
        <f t="shared" si="2"/>
        <v>1</v>
      </c>
      <c r="E30" s="353">
        <v>4</v>
      </c>
      <c r="F30" s="6" t="s">
        <v>121</v>
      </c>
      <c r="G30" s="7">
        <v>20</v>
      </c>
      <c r="H30" s="297">
        <f ca="1">IFERROR(IF(OR(G30="",F30="",$I$13=1),"",VLOOKUP(G30,INDIVIDUAL!$A$136:$C$236,VLOOKUP(F30,INDIVIDUAL!$K$114:$L$115,2,FALSE),FALSE)),"")</f>
        <v>5123.17</v>
      </c>
      <c r="I30" s="334" t="str">
        <f t="shared" si="3"/>
        <v>NO</v>
      </c>
      <c r="J30" s="335" t="s">
        <v>550</v>
      </c>
      <c r="K30" s="298" t="str">
        <f ca="1">+IF(OR(I30="NO",H30=0),"",IF(ISERROR(VLOOKUP(J30,SA_4,1,FALSE))=FALSE,HLOOKUP(J30,INDIVIDUAL!$AB$9:$AG$19,INDIVIDUAL!AC66,FALSE),0))</f>
        <v/>
      </c>
      <c r="L30" s="298">
        <f t="shared" ca="1" si="0"/>
        <v>5123.17</v>
      </c>
      <c r="M30" s="336"/>
      <c r="N30" s="260"/>
      <c r="O30" s="235"/>
      <c r="P30" s="236"/>
    </row>
    <row r="31" spans="1:16" ht="15.75" x14ac:dyDescent="0.25">
      <c r="A31" s="249"/>
      <c r="B31" s="232"/>
      <c r="C31" s="333">
        <f t="shared" si="1"/>
        <v>1</v>
      </c>
      <c r="D31" s="333">
        <f t="shared" si="2"/>
        <v>1</v>
      </c>
      <c r="E31" s="353">
        <v>5</v>
      </c>
      <c r="F31" s="6" t="s">
        <v>121</v>
      </c>
      <c r="G31" s="7">
        <v>20</v>
      </c>
      <c r="H31" s="297">
        <f ca="1">IFERROR(IF(OR(G31="",F31="",$I$13=1),"",VLOOKUP(G31,INDIVIDUAL!$A$136:$C$236,VLOOKUP(F31,INDIVIDUAL!$K$114:$L$115,2,FALSE),FALSE)),"")</f>
        <v>5123.17</v>
      </c>
      <c r="I31" s="334" t="str">
        <f t="shared" si="3"/>
        <v>NO</v>
      </c>
      <c r="J31" s="335"/>
      <c r="K31" s="298" t="str">
        <f ca="1">+IF(OR(I31="NO",H31=0),"",IF(ISERROR(VLOOKUP(J31,SA_5,1,FALSE))=FALSE,HLOOKUP(J31,INDIVIDUAL!$AB$9:$AG$19,INDIVIDUAL!AC74,FALSE),0))</f>
        <v/>
      </c>
      <c r="L31" s="298">
        <f t="shared" ca="1" si="0"/>
        <v>5123.17</v>
      </c>
      <c r="M31" s="336"/>
      <c r="N31" s="260"/>
      <c r="O31" s="235"/>
      <c r="P31" s="236"/>
    </row>
    <row r="32" spans="1:16" ht="15.75" x14ac:dyDescent="0.25">
      <c r="A32" s="249"/>
      <c r="B32" s="232"/>
      <c r="C32" s="333">
        <f t="shared" si="1"/>
        <v>0</v>
      </c>
      <c r="D32" s="333">
        <f t="shared" si="2"/>
        <v>1</v>
      </c>
      <c r="E32" s="353">
        <v>6</v>
      </c>
      <c r="F32" s="6"/>
      <c r="G32" s="7"/>
      <c r="H32" s="297" t="str">
        <f>IFERROR(IF(OR(G32="",F32="",$I$13=1),"",VLOOKUP(G32,INDIVIDUAL!$A$136:$C$236,VLOOKUP(F32,INDIVIDUAL!$K$114:$L$115,2,FALSE),FALSE)),"")</f>
        <v/>
      </c>
      <c r="I32" s="334" t="str">
        <f t="shared" si="3"/>
        <v>NO</v>
      </c>
      <c r="J32" s="335" t="s">
        <v>550</v>
      </c>
      <c r="K32" s="298" t="str">
        <f>+IF(OR(I32="NO",H32=0),"",IF(ISERROR(VLOOKUP(J32,SA_6,1,FALSE))=FALSE,HLOOKUP(J32,INDIVIDUAL!$AB$9:$AG$19,INDIVIDUAL!AC82,FALSE),0))</f>
        <v/>
      </c>
      <c r="L32" s="298" t="str">
        <f t="shared" si="0"/>
        <v/>
      </c>
      <c r="M32" s="336"/>
      <c r="N32" s="260"/>
      <c r="O32" s="235"/>
      <c r="P32" s="236"/>
    </row>
    <row r="33" spans="1:16" ht="15.75" x14ac:dyDescent="0.25">
      <c r="A33" s="249"/>
      <c r="B33" s="232"/>
      <c r="C33" s="333">
        <f t="shared" si="1"/>
        <v>0</v>
      </c>
      <c r="D33" s="333">
        <f t="shared" si="2"/>
        <v>1</v>
      </c>
      <c r="E33" s="353">
        <v>7</v>
      </c>
      <c r="F33" s="6"/>
      <c r="G33" s="7"/>
      <c r="H33" s="297" t="str">
        <f>IFERROR(IF(OR(G33="",F33="",$I$13=1),"",VLOOKUP(G33,INDIVIDUAL!$A$136:$C$236,VLOOKUP(F33,INDIVIDUAL!$K$114:$L$115,2,FALSE),FALSE)),"")</f>
        <v/>
      </c>
      <c r="I33" s="334" t="str">
        <f>IF(AND($L$19="SI",F33="F",G33&gt;19,G33&lt;56),"SI","NO")</f>
        <v>NO</v>
      </c>
      <c r="J33" s="335"/>
      <c r="K33" s="298" t="str">
        <f>+IF(OR(I33="NO",H33=0),"",IF(ISERROR(VLOOKUP(J33,SA_7,1,FALSE))=FALSE,HLOOKUP(J33,INDIVIDUAL!$AB$9:$AG$19,INDIVIDUAL!AC90,FALSE),0))</f>
        <v/>
      </c>
      <c r="L33" s="298" t="str">
        <f t="shared" si="0"/>
        <v/>
      </c>
      <c r="M33" s="336"/>
      <c r="N33" s="260"/>
      <c r="O33" s="235"/>
      <c r="P33" s="236"/>
    </row>
    <row r="34" spans="1:16" ht="15.75" x14ac:dyDescent="0.25">
      <c r="A34" s="249"/>
      <c r="B34" s="232"/>
      <c r="C34" s="333">
        <f t="shared" si="1"/>
        <v>0</v>
      </c>
      <c r="D34" s="333">
        <f t="shared" si="2"/>
        <v>1</v>
      </c>
      <c r="E34" s="353">
        <v>8</v>
      </c>
      <c r="F34" s="6"/>
      <c r="G34" s="7"/>
      <c r="H34" s="297" t="str">
        <f>IFERROR(IF(OR(G34="",F34="",$I$13=1),"",VLOOKUP(G34,INDIVIDUAL!$A$136:$C$236,VLOOKUP(F34,INDIVIDUAL!$K$114:$L$115,2,FALSE),FALSE)),"")</f>
        <v/>
      </c>
      <c r="I34" s="334" t="str">
        <f>IF(AND($L$19="SI",F34="F",G34&gt;19,G34&lt;56),"SI","NO")</f>
        <v>NO</v>
      </c>
      <c r="J34" s="335"/>
      <c r="K34" s="298" t="str">
        <f>+IF(OR(I34="NO",H34=0),"",IF(ISERROR(VLOOKUP(J34,SA_8,1,FALSE))=FALSE,HLOOKUP(J34,INDIVIDUAL!$AB$9:$AG$19,INDIVIDUAL!AC98,FALSE),0))</f>
        <v/>
      </c>
      <c r="L34" s="298" t="str">
        <f t="shared" si="0"/>
        <v/>
      </c>
      <c r="M34" s="336"/>
      <c r="N34" s="260"/>
      <c r="O34" s="235"/>
      <c r="P34" s="236"/>
    </row>
    <row r="35" spans="1:16" ht="15.75" x14ac:dyDescent="0.25">
      <c r="A35" s="249"/>
      <c r="B35" s="232"/>
      <c r="C35" s="333"/>
      <c r="D35" s="333">
        <f t="shared" si="2"/>
        <v>1</v>
      </c>
      <c r="E35" s="353">
        <v>9</v>
      </c>
      <c r="F35" s="6"/>
      <c r="G35" s="7"/>
      <c r="H35" s="297" t="str">
        <f>IFERROR(IF(OR(G35="",F35="",$I$13=1),"",VLOOKUP(G35,INDIVIDUAL!$A$136:$C$236,VLOOKUP(F35,INDIVIDUAL!$K$114:$L$115,2,FALSE),FALSE)),"")</f>
        <v/>
      </c>
      <c r="I35" s="334" t="str">
        <f>IF(AND($L$19="SI",F35="F",G35&gt;19,G35&lt;56),"SI","NO")</f>
        <v>NO</v>
      </c>
      <c r="J35" s="335"/>
      <c r="K35" s="298" t="str">
        <f>+IF(OR(I35="NO",H35=0),"",IF(ISERROR(VLOOKUP(J35,SA_9,1,FALSE))=FALSE,HLOOKUP(J35,INDIVIDUAL!$AB$9:$AG$19,INDIVIDUAL!AC106,FALSE),0))</f>
        <v/>
      </c>
      <c r="L35" s="298" t="str">
        <f t="shared" si="0"/>
        <v/>
      </c>
      <c r="M35" s="336"/>
      <c r="N35" s="260"/>
      <c r="O35" s="235"/>
      <c r="P35" s="236"/>
    </row>
    <row r="36" spans="1:16" ht="15.75" x14ac:dyDescent="0.25">
      <c r="A36" s="249"/>
      <c r="B36" s="232"/>
      <c r="C36" s="333">
        <f t="shared" si="1"/>
        <v>0</v>
      </c>
      <c r="D36" s="333">
        <f t="shared" si="2"/>
        <v>1</v>
      </c>
      <c r="E36" s="353">
        <v>10</v>
      </c>
      <c r="F36" s="6"/>
      <c r="G36" s="7"/>
      <c r="H36" s="297" t="str">
        <f>IFERROR(IF(OR(G36="",F36="",$I$13=1),"",VLOOKUP(G36,INDIVIDUAL!$A$136:$C$236,VLOOKUP(F36,INDIVIDUAL!$K$114:$L$115,2,FALSE),FALSE)),"")</f>
        <v/>
      </c>
      <c r="I36" s="334" t="str">
        <f>IF(AND($L$19="SI",F36="F",G36&gt;19,G36&lt;56),"SI","NO")</f>
        <v>NO</v>
      </c>
      <c r="J36" s="335"/>
      <c r="K36" s="298" t="str">
        <f>+IF(OR(I36="NO",H36=0),"",IF(ISERROR(VLOOKUP(J36,SA_10,1,FALSE))=FALSE,HLOOKUP(J36,INDIVIDUAL!$AB$9:$AG$19,INDIVIDUAL!AC114,FALSE),0))</f>
        <v/>
      </c>
      <c r="L36" s="298" t="str">
        <f t="shared" si="0"/>
        <v/>
      </c>
      <c r="M36" s="336"/>
      <c r="N36" s="260"/>
      <c r="O36" s="235"/>
      <c r="P36" s="236"/>
    </row>
    <row r="37" spans="1:16" ht="15.75" x14ac:dyDescent="0.25">
      <c r="A37" s="249"/>
      <c r="B37" s="267"/>
      <c r="C37" s="267"/>
      <c r="D37" s="269"/>
      <c r="E37" s="270"/>
      <c r="F37" s="270"/>
      <c r="G37" s="270"/>
      <c r="H37" s="342">
        <f ca="1">SUM(H27:H36)</f>
        <v>46830.17</v>
      </c>
      <c r="I37" s="5" t="str">
        <f>IF(OR(I38="SI",I39="SI",I40="SI",I41="SI",I42="SI",I43="SI",I44="SI",I45="SI",I46="SI",I47="SI"),"SI","NO")</f>
        <v>NO</v>
      </c>
      <c r="J37" s="260"/>
      <c r="K37" s="295"/>
      <c r="L37" s="342">
        <f ca="1">IFERROR(SUM(L27:L36),0)</f>
        <v>46830.17</v>
      </c>
      <c r="M37" s="234"/>
      <c r="N37" s="260"/>
      <c r="O37" s="235"/>
      <c r="P37" s="236"/>
    </row>
    <row r="38" spans="1:16" ht="15.75" x14ac:dyDescent="0.25">
      <c r="A38" s="249"/>
      <c r="B38" s="267"/>
      <c r="C38" s="267"/>
      <c r="D38" s="267"/>
      <c r="E38" s="271"/>
      <c r="F38" s="271"/>
      <c r="G38" s="271"/>
      <c r="H38" s="261"/>
      <c r="I38" s="186" t="str">
        <f t="shared" ref="I38:I47" si="4">IF(AND($L$18&lt;&gt;"NO",G27&gt;19,G27&lt;66),"SI","NO")</f>
        <v>NO</v>
      </c>
      <c r="J38" s="261"/>
      <c r="K38" s="261"/>
      <c r="L38" s="261"/>
      <c r="M38" s="234"/>
      <c r="N38" s="260"/>
      <c r="O38" s="235"/>
      <c r="P38" s="236"/>
    </row>
    <row r="39" spans="1:16" ht="16.5" thickBot="1" x14ac:dyDescent="0.3">
      <c r="A39" s="249"/>
      <c r="B39" s="267"/>
      <c r="C39" s="267"/>
      <c r="D39" s="267"/>
      <c r="E39" s="267"/>
      <c r="F39" s="232"/>
      <c r="G39" s="232"/>
      <c r="H39" s="232"/>
      <c r="I39" s="186" t="str">
        <f t="shared" si="4"/>
        <v>NO</v>
      </c>
      <c r="J39" s="261"/>
      <c r="K39" s="262"/>
      <c r="L39" s="263"/>
      <c r="M39" s="234"/>
      <c r="N39" s="260"/>
      <c r="O39" s="235"/>
      <c r="P39" s="236"/>
    </row>
    <row r="40" spans="1:16" ht="16.5" thickBot="1" x14ac:dyDescent="0.3">
      <c r="A40" s="272"/>
      <c r="B40" s="273"/>
      <c r="C40" s="274"/>
      <c r="D40" s="300" t="s">
        <v>31</v>
      </c>
      <c r="E40" s="301"/>
      <c r="F40" s="302"/>
      <c r="G40" s="470">
        <f ca="1">IFERROR(IF(I26="SI",L37,H37),0)</f>
        <v>46830.17</v>
      </c>
      <c r="H40" s="471"/>
      <c r="I40" s="337" t="str">
        <f t="shared" si="4"/>
        <v>NO</v>
      </c>
      <c r="J40" s="274"/>
      <c r="K40" s="274"/>
      <c r="L40" s="303" t="s">
        <v>509</v>
      </c>
      <c r="M40" s="275" t="s">
        <v>165</v>
      </c>
      <c r="N40" s="276"/>
      <c r="O40" s="277"/>
      <c r="P40" s="278"/>
    </row>
    <row r="41" spans="1:16" ht="16.5" customHeight="1" thickBot="1" x14ac:dyDescent="0.3">
      <c r="A41" s="272"/>
      <c r="B41" s="273"/>
      <c r="C41" s="274"/>
      <c r="D41" s="300" t="s">
        <v>32</v>
      </c>
      <c r="E41" s="301"/>
      <c r="F41" s="304"/>
      <c r="G41" s="470">
        <f ca="1">IF(H37=0,"",INDIVIDUAL!V11)</f>
        <v>1150</v>
      </c>
      <c r="H41" s="471"/>
      <c r="I41" s="337" t="str">
        <f t="shared" si="4"/>
        <v>NO</v>
      </c>
      <c r="J41" s="274"/>
      <c r="K41" s="274"/>
      <c r="N41" s="276"/>
      <c r="O41" s="277"/>
      <c r="P41" s="278"/>
    </row>
    <row r="42" spans="1:16" ht="16.5" thickBot="1" x14ac:dyDescent="0.3">
      <c r="A42" s="272"/>
      <c r="B42" s="273"/>
      <c r="C42" s="274"/>
      <c r="D42" s="300" t="s">
        <v>33</v>
      </c>
      <c r="E42" s="301"/>
      <c r="F42" s="305">
        <v>0.16</v>
      </c>
      <c r="G42" s="470">
        <f ca="1">IF(H37=0,"",(G41+G40)*F42)</f>
        <v>7676.8271999999997</v>
      </c>
      <c r="H42" s="471"/>
      <c r="I42" s="337" t="str">
        <f t="shared" si="4"/>
        <v>NO</v>
      </c>
      <c r="J42" s="274"/>
      <c r="K42" s="274"/>
      <c r="N42" s="276"/>
      <c r="O42" s="277"/>
      <c r="P42" s="278"/>
    </row>
    <row r="43" spans="1:16" ht="16.5" thickBot="1" x14ac:dyDescent="0.3">
      <c r="A43" s="272"/>
      <c r="B43" s="273"/>
      <c r="C43" s="232"/>
      <c r="D43" s="306"/>
      <c r="E43" s="306"/>
      <c r="F43" s="306"/>
      <c r="G43" s="306"/>
      <c r="H43" s="306"/>
      <c r="I43" s="186" t="str">
        <f t="shared" si="4"/>
        <v>NO</v>
      </c>
      <c r="J43" s="274"/>
      <c r="K43" s="274"/>
      <c r="L43" s="274"/>
      <c r="M43" s="234"/>
      <c r="N43" s="276"/>
      <c r="O43" s="277"/>
      <c r="P43" s="278"/>
    </row>
    <row r="44" spans="1:16" ht="16.5" thickBot="1" x14ac:dyDescent="0.3">
      <c r="A44" s="272"/>
      <c r="B44" s="273"/>
      <c r="C44" s="274"/>
      <c r="D44" s="455" t="s">
        <v>34</v>
      </c>
      <c r="E44" s="456"/>
      <c r="F44" s="456"/>
      <c r="G44" s="457">
        <f ca="1">IF(H37=0,"",+G42+G41+G40)</f>
        <v>55656.997199999998</v>
      </c>
      <c r="H44" s="458"/>
      <c r="I44" s="337" t="str">
        <f t="shared" si="4"/>
        <v>NO</v>
      </c>
      <c r="J44" s="274"/>
      <c r="K44" s="274"/>
      <c r="L44" s="274"/>
      <c r="M44" s="234"/>
      <c r="N44" s="276"/>
      <c r="O44" s="277"/>
      <c r="P44" s="278"/>
    </row>
    <row r="45" spans="1:16" ht="15.75" x14ac:dyDescent="0.25">
      <c r="A45" s="272"/>
      <c r="B45" s="274"/>
      <c r="C45" s="274"/>
      <c r="D45" s="274"/>
      <c r="E45" s="274"/>
      <c r="F45" s="274"/>
      <c r="G45" s="274"/>
      <c r="H45" s="274"/>
      <c r="I45" s="186" t="str">
        <f t="shared" si="4"/>
        <v>NO</v>
      </c>
      <c r="J45" s="338"/>
      <c r="K45" s="232"/>
      <c r="L45" s="232"/>
      <c r="M45" s="234"/>
      <c r="N45" s="276"/>
      <c r="O45" s="277"/>
      <c r="P45" s="278"/>
    </row>
    <row r="46" spans="1:16" ht="16.5" thickBot="1" x14ac:dyDescent="0.3">
      <c r="A46" s="249"/>
      <c r="B46" s="233"/>
      <c r="C46" s="233"/>
      <c r="D46" s="232"/>
      <c r="E46" s="232"/>
      <c r="F46" s="232"/>
      <c r="G46" s="267"/>
      <c r="H46" s="232"/>
      <c r="I46" s="339" t="str">
        <f t="shared" si="4"/>
        <v>NO</v>
      </c>
      <c r="J46" s="261"/>
      <c r="K46" s="261"/>
      <c r="L46" s="261"/>
      <c r="M46" s="234"/>
      <c r="N46" s="260"/>
      <c r="O46" s="235"/>
      <c r="P46" s="236"/>
    </row>
    <row r="47" spans="1:16" ht="19.5" thickBot="1" x14ac:dyDescent="0.35">
      <c r="A47" s="279"/>
      <c r="B47" s="248"/>
      <c r="C47" s="280"/>
      <c r="D47" s="307"/>
      <c r="E47" s="307"/>
      <c r="F47" s="307"/>
      <c r="G47" s="308" t="s">
        <v>35</v>
      </c>
      <c r="H47" s="308" t="s">
        <v>36</v>
      </c>
      <c r="I47" s="309" t="str">
        <f t="shared" si="4"/>
        <v>NO</v>
      </c>
      <c r="J47" s="308" t="s">
        <v>37</v>
      </c>
      <c r="K47" s="308" t="s">
        <v>38</v>
      </c>
      <c r="L47" s="280"/>
      <c r="M47" s="239"/>
      <c r="N47" s="281"/>
      <c r="O47" s="243"/>
      <c r="P47" s="244"/>
    </row>
    <row r="48" spans="1:16" ht="18.75" x14ac:dyDescent="0.3">
      <c r="A48" s="279"/>
      <c r="B48" s="248"/>
      <c r="C48" s="280"/>
      <c r="D48" s="459" t="s">
        <v>39</v>
      </c>
      <c r="E48" s="460"/>
      <c r="F48" s="461"/>
      <c r="G48" s="310">
        <f ca="1">IF(H37=0,"",($G$40+$G$41+$G$42))</f>
        <v>55656.997199999998</v>
      </c>
      <c r="H48" s="310">
        <f ca="1">IF(H37=0,"",(((($G$40)*(1.05)/2)+$G$41)*(1+$F$42)))</f>
        <v>29853.573529999998</v>
      </c>
      <c r="I48" s="311"/>
      <c r="J48" s="310">
        <f ca="1">IF(H37=0,"",(((($G$40)*(1.1)/4)+$G$41)*(1+$F$42)))</f>
        <v>16272.82423</v>
      </c>
      <c r="K48" s="310">
        <f ca="1">IF(H37=0,"",(((($G$40)*(1.15)/12)+$G$41)*(1+$F$42)))</f>
        <v>6539.9538983333323</v>
      </c>
      <c r="L48" s="280"/>
      <c r="M48" s="239"/>
      <c r="N48" s="281"/>
      <c r="O48" s="243"/>
      <c r="P48" s="244"/>
    </row>
    <row r="49" spans="1:16" ht="19.5" thickBot="1" x14ac:dyDescent="0.35">
      <c r="A49" s="279"/>
      <c r="B49" s="248"/>
      <c r="C49" s="280"/>
      <c r="D49" s="462" t="s">
        <v>40</v>
      </c>
      <c r="E49" s="463"/>
      <c r="F49" s="464"/>
      <c r="G49" s="312"/>
      <c r="H49" s="312">
        <f ca="1">IF(H37=0,"",(((($G$40)*(1.05)/2))*(1+$F$42)))</f>
        <v>28519.573529999998</v>
      </c>
      <c r="I49" s="313"/>
      <c r="J49" s="312">
        <f ca="1">IF(H37=0,"",(((($G$40)*(1.1)/4))*(1+$F$42)))</f>
        <v>14938.82423</v>
      </c>
      <c r="K49" s="312">
        <f ca="1">IF(H37=0,"",(((($G$40)*(1.15)/12))*(1+$F$42)))</f>
        <v>5205.9538983333323</v>
      </c>
      <c r="L49" s="280"/>
      <c r="M49" s="239"/>
      <c r="N49" s="281"/>
      <c r="O49" s="243"/>
      <c r="P49" s="244"/>
    </row>
    <row r="50" spans="1:16" ht="19.5" thickBot="1" x14ac:dyDescent="0.35">
      <c r="A50" s="279"/>
      <c r="B50" s="248"/>
      <c r="C50" s="280"/>
      <c r="D50" s="465" t="s">
        <v>41</v>
      </c>
      <c r="E50" s="466"/>
      <c r="F50" s="467"/>
      <c r="G50" s="314">
        <f ca="1">G48</f>
        <v>55656.997199999998</v>
      </c>
      <c r="H50" s="314">
        <f ca="1">IFERROR(H48+H49,"")</f>
        <v>58373.147059999996</v>
      </c>
      <c r="I50" s="315"/>
      <c r="J50" s="314">
        <f ca="1">IFERROR(J48+(3*J49),"")</f>
        <v>61089.296920000001</v>
      </c>
      <c r="K50" s="314">
        <f ca="1">IFERROR(K48+(11*K49),"")</f>
        <v>63805.446779999991</v>
      </c>
      <c r="L50" s="280"/>
      <c r="M50" s="239"/>
      <c r="N50" s="281"/>
      <c r="O50" s="243"/>
      <c r="P50" s="244"/>
    </row>
    <row r="51" spans="1:16" ht="18.75" x14ac:dyDescent="0.3">
      <c r="A51" s="279"/>
      <c r="B51" s="248"/>
      <c r="C51" s="248"/>
      <c r="D51" s="280"/>
      <c r="E51" s="280"/>
      <c r="F51" s="280"/>
      <c r="G51" s="340"/>
      <c r="H51" s="340"/>
      <c r="I51" s="340"/>
      <c r="J51" s="340"/>
      <c r="K51" s="340"/>
      <c r="L51" s="340"/>
      <c r="M51" s="239"/>
      <c r="N51" s="282"/>
      <c r="O51" s="282"/>
      <c r="P51" s="244"/>
    </row>
    <row r="52" spans="1:16" ht="19.5" thickBot="1" x14ac:dyDescent="0.35">
      <c r="A52" s="279"/>
      <c r="B52" s="248"/>
      <c r="C52" s="248"/>
      <c r="D52" s="280"/>
      <c r="E52" s="280"/>
      <c r="F52" s="280"/>
      <c r="G52" s="280"/>
      <c r="H52" s="280"/>
      <c r="I52" s="280"/>
      <c r="J52" s="280"/>
      <c r="K52" s="340"/>
      <c r="L52" s="340"/>
      <c r="M52" s="239"/>
      <c r="N52" s="282"/>
      <c r="O52" s="282"/>
      <c r="P52" s="244"/>
    </row>
    <row r="53" spans="1:16" ht="19.5" thickBot="1" x14ac:dyDescent="0.35">
      <c r="A53" s="283"/>
      <c r="B53" s="284"/>
      <c r="C53" s="351" t="s">
        <v>42</v>
      </c>
      <c r="D53" s="448" t="s">
        <v>609</v>
      </c>
      <c r="E53" s="449"/>
      <c r="F53" s="449"/>
      <c r="G53" s="449"/>
      <c r="H53" s="449"/>
      <c r="I53" s="449"/>
      <c r="J53" s="450"/>
      <c r="K53" s="280"/>
      <c r="L53" s="284"/>
      <c r="M53" s="239"/>
      <c r="N53" s="282"/>
      <c r="O53" s="285"/>
      <c r="P53" s="286"/>
    </row>
    <row r="54" spans="1:16" ht="18.75" x14ac:dyDescent="0.3">
      <c r="A54" s="287"/>
      <c r="B54" s="288"/>
      <c r="C54" s="288"/>
      <c r="D54" s="288"/>
      <c r="E54" s="288"/>
      <c r="F54" s="289"/>
      <c r="G54" s="289"/>
      <c r="H54" s="289"/>
      <c r="I54" s="289"/>
      <c r="J54" s="289"/>
      <c r="K54" s="289"/>
      <c r="L54" s="289"/>
      <c r="M54" s="239"/>
      <c r="N54" s="282"/>
      <c r="O54" s="282"/>
      <c r="P54" s="290"/>
    </row>
    <row r="55" spans="1:16" ht="18.75" x14ac:dyDescent="0.3">
      <c r="A55" s="287"/>
      <c r="B55" s="316" t="s">
        <v>43</v>
      </c>
      <c r="C55" s="317"/>
      <c r="D55" s="317"/>
      <c r="E55" s="317"/>
      <c r="F55" s="318"/>
      <c r="G55" s="318"/>
      <c r="H55" s="318"/>
      <c r="I55" s="318"/>
      <c r="J55" s="318"/>
      <c r="K55" s="318"/>
      <c r="L55" s="318"/>
      <c r="M55" s="319"/>
      <c r="N55" s="343"/>
      <c r="O55" s="282"/>
      <c r="P55" s="290"/>
    </row>
    <row r="56" spans="1:16" ht="18.75" x14ac:dyDescent="0.3">
      <c r="A56" s="287"/>
      <c r="B56" s="316" t="s">
        <v>551</v>
      </c>
      <c r="C56" s="316"/>
      <c r="D56" s="316"/>
      <c r="E56" s="316"/>
      <c r="F56" s="316"/>
      <c r="G56" s="320"/>
      <c r="H56" s="320"/>
      <c r="I56" s="320"/>
      <c r="J56" s="321"/>
      <c r="K56" s="320"/>
      <c r="L56" s="320"/>
      <c r="M56" s="319"/>
      <c r="N56" s="344"/>
      <c r="O56" s="291"/>
      <c r="P56" s="290"/>
    </row>
    <row r="57" spans="1:16" ht="18.75" x14ac:dyDescent="0.3">
      <c r="A57" s="279"/>
      <c r="B57" s="316" t="s">
        <v>44</v>
      </c>
      <c r="C57" s="316"/>
      <c r="D57" s="316"/>
      <c r="E57" s="316"/>
      <c r="F57" s="316"/>
      <c r="G57" s="322"/>
      <c r="H57" s="322"/>
      <c r="I57" s="322"/>
      <c r="J57" s="322"/>
      <c r="K57" s="322"/>
      <c r="L57" s="322"/>
      <c r="M57" s="319"/>
      <c r="N57" s="345"/>
      <c r="O57" s="243"/>
      <c r="P57" s="292"/>
    </row>
    <row r="58" spans="1:16" ht="18.75" x14ac:dyDescent="0.3">
      <c r="A58" s="279"/>
      <c r="B58" s="316" t="s">
        <v>508</v>
      </c>
      <c r="C58" s="316"/>
      <c r="D58" s="316"/>
      <c r="E58" s="316"/>
      <c r="F58" s="316"/>
      <c r="G58" s="322"/>
      <c r="H58" s="322"/>
      <c r="I58" s="322"/>
      <c r="J58" s="322"/>
      <c r="K58" s="322"/>
      <c r="L58" s="322"/>
      <c r="M58" s="319"/>
      <c r="N58" s="345"/>
      <c r="O58" s="243"/>
      <c r="P58" s="292"/>
    </row>
    <row r="59" spans="1:16" ht="18.75" x14ac:dyDescent="0.3">
      <c r="A59" s="279"/>
      <c r="B59" s="451" t="str">
        <f>IF(E23=50000,"El Tope Máximo de Coaseguro por padecimiento es de $50,000.00 pesos M.N., si la opcion de Coaseguro contratada es del 10%",IF(E23=40000,"El Tope Máximo de Coaseguro por padecimiento es de $40,000.00 pesos M.N., si la opcion de Coaseguro contratada es del 10%",IF(E23=30000,"El Tope Máximo de Coaseguro por padecimiento es de $30,000.00 pesos M.N., si la opcion de Coaseguro contratada es del 10%","")))</f>
        <v>El Tope Máximo de Coaseguro por padecimiento es de $40,000.00 pesos M.N., si la opcion de Coaseguro contratada es del 10%</v>
      </c>
      <c r="C59" s="452"/>
      <c r="D59" s="452"/>
      <c r="E59" s="452"/>
      <c r="F59" s="452"/>
      <c r="G59" s="452"/>
      <c r="H59" s="452"/>
      <c r="I59" s="452"/>
      <c r="J59" s="452"/>
      <c r="K59" s="452"/>
      <c r="L59" s="452"/>
      <c r="M59" s="323"/>
      <c r="N59" s="345"/>
      <c r="O59" s="243"/>
      <c r="P59" s="292"/>
    </row>
    <row r="60" spans="1:16" ht="18.75" x14ac:dyDescent="0.3">
      <c r="A60" s="279"/>
      <c r="B60" s="452" t="str">
        <f>IF(L17="NO","Esta cotización incluye en la Cobertura Básica Atención Dental.","")</f>
        <v>Esta cotización incluye en la Cobertura Básica Atención Dental.</v>
      </c>
      <c r="C60" s="452"/>
      <c r="D60" s="452"/>
      <c r="E60" s="452"/>
      <c r="F60" s="452"/>
      <c r="G60" s="452"/>
      <c r="H60" s="452"/>
      <c r="I60" s="452"/>
      <c r="J60" s="452"/>
      <c r="K60" s="452"/>
      <c r="L60" s="452"/>
      <c r="M60" s="323"/>
      <c r="N60" s="345"/>
      <c r="O60" s="243"/>
      <c r="P60" s="292"/>
    </row>
    <row r="61" spans="1:16" ht="18.75" x14ac:dyDescent="0.3">
      <c r="A61" s="279"/>
      <c r="B61" s="452" t="str">
        <f>IF(AND(D8="PÓLIZA RENOVADA",OR(D12="Estado de México",D12="Hidalgo",D12="Morelos")),"Para Base 2000 y Cero aplica Tarifa de Línea.","")</f>
        <v/>
      </c>
      <c r="C61" s="452"/>
      <c r="D61" s="452"/>
      <c r="E61" s="452"/>
      <c r="F61" s="452"/>
      <c r="G61" s="452"/>
      <c r="H61" s="452"/>
      <c r="I61" s="452"/>
      <c r="J61" s="452"/>
      <c r="K61" s="452"/>
      <c r="L61" s="452"/>
      <c r="M61" s="323"/>
      <c r="N61" s="345"/>
      <c r="O61" s="243"/>
      <c r="P61" s="292"/>
    </row>
    <row r="62" spans="1:16" ht="71.25" customHeight="1" x14ac:dyDescent="0.3">
      <c r="A62" s="279"/>
      <c r="B62" s="452" t="s">
        <v>526</v>
      </c>
      <c r="C62" s="452"/>
      <c r="D62" s="452"/>
      <c r="E62" s="452"/>
      <c r="F62" s="452"/>
      <c r="G62" s="452"/>
      <c r="H62" s="452"/>
      <c r="I62" s="452"/>
      <c r="J62" s="452"/>
      <c r="K62" s="452"/>
      <c r="L62" s="452"/>
      <c r="M62" s="323"/>
      <c r="N62" s="345"/>
      <c r="O62" s="243"/>
      <c r="P62" s="292"/>
    </row>
    <row r="63" spans="1:16" ht="18.75" x14ac:dyDescent="0.3">
      <c r="A63" s="279"/>
      <c r="B63" s="324"/>
      <c r="C63" s="324"/>
      <c r="D63" s="324"/>
      <c r="E63" s="324"/>
      <c r="F63" s="324"/>
      <c r="G63" s="324"/>
      <c r="H63" s="324"/>
      <c r="I63" s="324"/>
      <c r="J63" s="324"/>
      <c r="K63" s="324"/>
      <c r="L63" s="324"/>
      <c r="M63" s="323"/>
      <c r="N63" s="345"/>
      <c r="O63" s="243"/>
      <c r="P63" s="292"/>
    </row>
    <row r="64" spans="1:16" ht="15.75" x14ac:dyDescent="0.25">
      <c r="A64" s="341"/>
      <c r="B64" s="447" t="str">
        <f>IF(OR(B65&lt;&gt;"",B66&lt;&gt;"",B67&lt;&gt;"",B68&lt;&gt;"",B69&lt;&gt;"",B70&lt;&gt;"",B71&lt;&gt;"",B72&lt;&gt;""),"DESCRIPCIÓN DE COBERTURAS OPCIONALES CON COSTO INCLUIDAS EN LA PRESENTE COTIZACIÓN:","")</f>
        <v>DESCRIPCIÓN DE COBERTURAS OPCIONALES CON COSTO INCLUIDAS EN LA PRESENTE COTIZACIÓN:</v>
      </c>
      <c r="C64" s="447"/>
      <c r="D64" s="447"/>
      <c r="E64" s="447"/>
      <c r="F64" s="447"/>
      <c r="G64" s="447"/>
      <c r="H64" s="447"/>
      <c r="I64" s="447"/>
      <c r="J64" s="447"/>
      <c r="K64" s="447"/>
      <c r="L64" s="447"/>
      <c r="M64" s="325"/>
      <c r="N64" s="346"/>
      <c r="O64" s="293"/>
      <c r="P64" s="294"/>
    </row>
    <row r="65" spans="2:14" ht="35.25" customHeight="1" x14ac:dyDescent="0.25">
      <c r="B65" s="453" t="str">
        <f>IF(L15&lt;&gt;"NO","- Emergencia en el Extranjero: Se cubre hasta "&amp;L15&amp;" con deducible de "&amp;IF(L15="SA 50,000 dlls","50 dlls","100 dlls")&amp;" y coaseguro del 0%, de acuerdo a Condiciones Generales y/o Endoso. La prima correspondiente se encuentra incluida en la presente cotización.","")</f>
        <v>- Emergencia en el Extranjero: Se cubre hasta SA 100,000 dlls con deducible de 100 dlls y coaseguro del 0%, de acuerdo a Condiciones Generales y/o Endoso. La prima correspondiente se encuentra incluida en la presente cotización.</v>
      </c>
      <c r="C65" s="453"/>
      <c r="D65" s="453"/>
      <c r="E65" s="453"/>
      <c r="F65" s="453"/>
      <c r="G65" s="453"/>
      <c r="H65" s="453"/>
      <c r="I65" s="453"/>
      <c r="J65" s="453"/>
      <c r="K65" s="453"/>
      <c r="L65" s="453"/>
      <c r="M65" s="327"/>
      <c r="N65" s="326"/>
    </row>
    <row r="66" spans="2:14" ht="51.75" customHeight="1" x14ac:dyDescent="0.25">
      <c r="B66" s="454" t="str">
        <f>IF(L16="NO","","- Cobertura en el Extranjero para "&amp;IF(L16="A","toda el área comprendida dentro de la franja fronteriza norte de 20 Km",IF(L16="B","los estados de: Baja California Norte y Sur, Sonora, Chihuahua, Coahuila, Nuevo León y Tamaulipas (exceptuando la franja fronteriza norte), así como Campeche, Yucatán y Quintana Roo","el todo el País excepto los estados: Campeche, Yucatán, Quintana Roo, Baja California Norte y Sur, Sonora, Chihuahua, Coahuila, Nuevo León, Tamaulipas y la franja fronteriza norte de 20 km"))&amp;": Se cubre hasta la Suma Asegurada contratada con Deducible contratado y adicionando 20% al Coaseguro contratado.")</f>
        <v/>
      </c>
      <c r="C66" s="454"/>
      <c r="D66" s="454"/>
      <c r="E66" s="454"/>
      <c r="F66" s="454"/>
      <c r="G66" s="454"/>
      <c r="H66" s="454"/>
      <c r="I66" s="454"/>
      <c r="J66" s="454"/>
      <c r="K66" s="454"/>
      <c r="L66" s="454"/>
      <c r="M66" s="327"/>
      <c r="N66" s="326"/>
    </row>
    <row r="67" spans="2:14" ht="25.5" customHeight="1" x14ac:dyDescent="0.25">
      <c r="B67" s="453" t="str">
        <f>IF(L17&lt;&gt;"NO","- Asistencia Dental: Esta cotización incluye en la Atención Dental y "&amp;L17&amp;".","")</f>
        <v/>
      </c>
      <c r="C67" s="453"/>
      <c r="D67" s="453"/>
      <c r="E67" s="453"/>
      <c r="F67" s="453"/>
      <c r="G67" s="453"/>
      <c r="H67" s="453"/>
      <c r="I67" s="453"/>
      <c r="J67" s="453"/>
      <c r="K67" s="453"/>
      <c r="L67" s="453"/>
      <c r="M67" s="327"/>
      <c r="N67" s="326"/>
    </row>
    <row r="68" spans="2:14" ht="30" customHeight="1" x14ac:dyDescent="0.25">
      <c r="B68" s="444" t="str">
        <f>IF(I37&lt;&gt;"NO","- Indemnización Diaria por Hospitalización por Accidente ("&amp;J18&amp;"): Se cubre la Indemnización Diaria por Hospitalización por Accidente para asegurado entre 20 y 65 años y de acuerdo a Condiciones Generales y/o Endoso. La prima correspondiente se encuentra incluida en la presente cotización.","")</f>
        <v/>
      </c>
      <c r="C68" s="444"/>
      <c r="D68" s="444"/>
      <c r="E68" s="444"/>
      <c r="F68" s="444"/>
      <c r="G68" s="444"/>
      <c r="H68" s="444"/>
      <c r="I68" s="444"/>
      <c r="J68" s="444"/>
      <c r="K68" s="444"/>
      <c r="L68" s="444"/>
      <c r="M68" s="354"/>
      <c r="N68" s="326"/>
    </row>
    <row r="69" spans="2:14" ht="35.25" customHeight="1" x14ac:dyDescent="0.25">
      <c r="B69" s="453" t="str">
        <f>IF(I26&lt;&gt;"NO","- Indemnización por Cáncer Femenino ("&amp;J19&amp;"): Se cubre la Indemnización por Cáncer Femenino a las aseguradas que contraten la cobertura y que cuenten con edad mínima de 20 años de acuerdo a Condiciones Generales y/o Endoso. La prima correspondiente"&amp;" se encuentra incluida en la prima de las mujeres que cumplan con la elegibilidad. ","")</f>
        <v/>
      </c>
      <c r="C69" s="453"/>
      <c r="D69" s="453"/>
      <c r="E69" s="453"/>
      <c r="F69" s="453"/>
      <c r="G69" s="453"/>
      <c r="H69" s="453"/>
      <c r="I69" s="453"/>
      <c r="J69" s="453"/>
      <c r="K69" s="453"/>
      <c r="L69" s="453"/>
      <c r="M69" s="453"/>
      <c r="N69" s="326"/>
    </row>
    <row r="70" spans="2:14" ht="44.25" customHeight="1" x14ac:dyDescent="0.25">
      <c r="B70" s="453" t="str">
        <f>IF(L20="NO","","- Incremento de Suma Asegurada para Parto y Cesárea: Se aumenta la Suma Asegurada de la Cobertura Parto y Cesárea a quedar en: "&amp;MID(L20,4,7)&amp;", para aquellas Aseguradas que cuenten con dos años de cobertura continúa en el producto con Plan Seguro y que cuenten con edad mínima de 20 años y máxima de 37 años, de acuerdo a Condiciones Generales. "&amp;"La prima correspondiente se encuentra incluida en la prima de las mujeres que cumplan con la elegibilidad.")</f>
        <v/>
      </c>
      <c r="C70" s="453"/>
      <c r="D70" s="453"/>
      <c r="E70" s="453"/>
      <c r="F70" s="453"/>
      <c r="G70" s="453"/>
      <c r="H70" s="453"/>
      <c r="I70" s="453"/>
      <c r="J70" s="453"/>
      <c r="K70" s="453"/>
      <c r="L70" s="453"/>
      <c r="M70" s="453"/>
      <c r="N70" s="326"/>
    </row>
    <row r="71" spans="2:14" ht="33.75" customHeight="1" x14ac:dyDescent="0.25">
      <c r="B71" s="453" t="str">
        <f>IF(L21="NO","","- Reducción de Coaseguro para Padecimientos de Nariz y Senos paranasales derivados de un Accidente: Se reduce el coaseguro a quedar en 30% para Padecimientos de Nariz y Senos paranasales derivados por Accidente, de acuerdo a Condiciones Generales. "&amp;"La prima correspondiente se encuentra incluida en la presente cotización.")</f>
        <v>- Reducción de Coaseguro para Padecimientos de Nariz y Senos paranasales derivados de un Accidente: Se reduce el coaseguro a quedar en 30% para Padecimientos de Nariz y Senos paranasales derivados por Accidente, de acuerdo a Condiciones Generales. La prima correspondiente se encuentra incluida en la presente cotización.</v>
      </c>
      <c r="C71" s="453"/>
      <c r="D71" s="453"/>
      <c r="E71" s="453"/>
      <c r="F71" s="453"/>
      <c r="G71" s="453"/>
      <c r="H71" s="453"/>
      <c r="I71" s="453"/>
      <c r="J71" s="453"/>
      <c r="K71" s="453"/>
      <c r="L71" s="453"/>
      <c r="M71" s="453"/>
      <c r="N71" s="326"/>
    </row>
    <row r="72" spans="2:14" ht="45" customHeight="1" x14ac:dyDescent="0.25">
      <c r="B72" s="453" t="str">
        <f>IF(AND(I23&gt;=4,I23&lt;=10,L22="SI"),"- Eliminación de Deducible por Accidente: Se cubre el gasto erogado por accidente sin que este tenga que rebasar el deducible contratado siempre y"&amp;" cuando el monto total de los gastos sin I.V.A. generados por el siniestro sea superior a 1 UMAM "&amp;",la primera atención y gasto médico se realicen durante los siguientes diez días naturales a partir de la fecha en que ocurra el accidente, de acuerdo a Condiciones Generales."&amp;" La prima correspondiente se encuentra incluida en la presente cotización.","")</f>
        <v/>
      </c>
      <c r="C72" s="453" t="e">
        <f>IF(AND(J22&lt;=7,M21=SI),"- Eliminación de Deducible por Accidente: Se cubre el gasto erogado por accidente sin que este tenga que rebasar el deducible contratado siempre y"&amp;" cuando el monto total de los gastos sin I.V.A. generados por el siniestro sea superior a a 1 UMAM como franquicia"&amp;"y la primera atención y gasto médico se realicen durante los siguientes diez días naturales a partir de la fecha en que ocurra el accidente, de acuerdo a Condiciones Generales."&amp;" La prima correspondiente se encuentra incluida en la presente cotización.","")</f>
        <v>#NAME?</v>
      </c>
      <c r="D72" s="453" t="e">
        <f>IF(AND(K22&lt;=7,N21=SI),"- Eliminación de Deducible por Accidente: Se cubre el gasto erogado por accidente sin que este tenga que rebasar el deducible contratado siempre y"&amp;" cuando el monto total de los gastos sin I.V.A. generados por el siniestro sea superior a a 1 UMAM como franquicia"&amp;"y la primera atención y gasto médico se realicen durante los siguientes diez días naturales a partir de la fecha en que ocurra el accidente, de acuerdo a Condiciones Generales."&amp;" La prima correspondiente se encuentra incluida en la presente cotización.","")</f>
        <v>#NAME?</v>
      </c>
      <c r="E72" s="453" t="e">
        <f>IF(AND(L22&lt;=7,O21=SI),"- Eliminación de Deducible por Accidente: Se cubre el gasto erogado por accidente sin que este tenga que rebasar el deducible contratado siempre y"&amp;" cuando el monto total de los gastos sin I.V.A. generados por el siniestro sea superior a a 1 UMAM como franquicia"&amp;"y la primera atención y gasto médico se realicen durante los siguientes diez días naturales a partir de la fecha en que ocurra el accidente, de acuerdo a Condiciones Generales."&amp;" La prima correspondiente se encuentra incluida en la presente cotización.","")</f>
        <v>#NAME?</v>
      </c>
      <c r="F72" s="453" t="e">
        <f>IF(AND(M22&lt;=7,P21=SI),"- Eliminación de Deducible por Accidente: Se cubre el gasto erogado por accidente sin que este tenga que rebasar el deducible contratado siempre y"&amp;" cuando el monto total de los gastos sin I.V.A. generados por el siniestro sea superior a a 1 UMAM como franquicia"&amp;"y la primera atención y gasto médico se realicen durante los siguientes diez días naturales a partir de la fecha en que ocurra el accidente, de acuerdo a Condiciones Generales."&amp;" La prima correspondiente se encuentra incluida en la presente cotización.","")</f>
        <v>#NAME?</v>
      </c>
      <c r="G72" s="453" t="e">
        <f>IF(AND(N22&lt;=7,Q21=SI),"- Eliminación de Deducible por Accidente: Se cubre el gasto erogado por accidente sin que este tenga que rebasar el deducible contratado siempre y"&amp;" cuando el monto total de los gastos sin I.V.A. generados por el siniestro sea superior a a 1 UMAM como franquicia"&amp;"y la primera atención y gasto médico se realicen durante los siguientes diez días naturales a partir de la fecha en que ocurra el accidente, de acuerdo a Condiciones Generales."&amp;" La prima correspondiente se encuentra incluida en la presente cotización.","")</f>
        <v>#NAME?</v>
      </c>
      <c r="H72" s="453" t="e">
        <f>IF(AND(O22&lt;=7,R21=SI),"- Eliminación de Deducible por Accidente: Se cubre el gasto erogado por accidente sin que este tenga que rebasar el deducible contratado siempre y"&amp;" cuando el monto total de los gastos sin I.V.A. generados por el siniestro sea superior a a 1 UMAM como franquicia"&amp;"y la primera atención y gasto médico se realicen durante los siguientes diez días naturales a partir de la fecha en que ocurra el accidente, de acuerdo a Condiciones Generales."&amp;" La prima correspondiente se encuentra incluida en la presente cotización.","")</f>
        <v>#NAME?</v>
      </c>
      <c r="I72" s="453" t="e">
        <f>IF(AND(P22&lt;=7,S21=SI),"- Eliminación de Deducible por Accidente: Se cubre el gasto erogado por accidente sin que este tenga que rebasar el deducible contratado siempre y"&amp;" cuando el monto total de los gastos sin I.V.A. generados por el siniestro sea superior a a 1 UMAM como franquicia"&amp;"y la primera atención y gasto médico se realicen durante los siguientes diez días naturales a partir de la fecha en que ocurra el accidente, de acuerdo a Condiciones Generales."&amp;" La prima correspondiente se encuentra incluida en la presente cotización.","")</f>
        <v>#NAME?</v>
      </c>
      <c r="J72" s="453" t="e">
        <f>IF(AND(Q22&lt;=7,T21=SI),"- Eliminación de Deducible por Accidente: Se cubre el gasto erogado por accidente sin que este tenga que rebasar el deducible contratado siempre y"&amp;" cuando el monto total de los gastos sin I.V.A. generados por el siniestro sea superior a a 1 UMAM como franquicia"&amp;"y la primera atención y gasto médico se realicen durante los siguientes diez días naturales a partir de la fecha en que ocurra el accidente, de acuerdo a Condiciones Generales."&amp;" La prima correspondiente se encuentra incluida en la presente cotización.","")</f>
        <v>#NAME?</v>
      </c>
      <c r="K72" s="453" t="e">
        <f>IF(AND(R22&lt;=7,U21=SI),"- Eliminación de Deducible por Accidente: Se cubre el gasto erogado por accidente sin que este tenga que rebasar el deducible contratado siempre y"&amp;" cuando el monto total de los gastos sin I.V.A. generados por el siniestro sea superior a a 1 UMAM como franquicia"&amp;"y la primera atención y gasto médico se realicen durante los siguientes diez días naturales a partir de la fecha en que ocurra el accidente, de acuerdo a Condiciones Generales."&amp;" La prima correspondiente se encuentra incluida en la presente cotización.","")</f>
        <v>#NAME?</v>
      </c>
      <c r="L72" s="453" t="e">
        <f>IF(AND(S22&lt;=7,V21=SI),"- Eliminación de Deducible por Accidente: Se cubre el gasto erogado por accidente sin que este tenga que rebasar el deducible contratado siempre y"&amp;" cuando el monto total de los gastos sin I.V.A. generados por el siniestro sea superior a a 1 UMAM como franquicia"&amp;"y la primera atención y gasto médico se realicen durante los siguientes diez días naturales a partir de la fecha en que ocurra el accidente, de acuerdo a Condiciones Generales."&amp;" La prima correspondiente se encuentra incluida en la presente cotización.","")</f>
        <v>#NAME?</v>
      </c>
      <c r="M72" s="453" t="e">
        <f>IF(AND(T22&lt;=7,W21=SI),"- Eliminación de Deducible por Accidente: Se cubre el gasto erogado por accidente sin que este tenga que rebasar el deducible contratado siempre y"&amp;" cuando el monto total de los gastos sin I.V.A. generados por el siniestro sea superior a a 1 UMAM como franquicia"&amp;"y la primera atención y gasto médico se realicen durante los siguientes diez días naturales a partir de la fecha en que ocurra el accidente, de acuerdo a Condiciones Generales."&amp;" La prima correspondiente se encuentra incluida en la presente cotización.","")</f>
        <v>#NAME?</v>
      </c>
      <c r="N72" s="326"/>
    </row>
    <row r="73" spans="2:14" ht="43.5" customHeight="1" x14ac:dyDescent="0.25">
      <c r="B73" s="445" t="s">
        <v>221</v>
      </c>
      <c r="C73" s="445"/>
      <c r="D73" s="445"/>
      <c r="E73" s="445"/>
      <c r="F73" s="445"/>
      <c r="G73" s="445"/>
      <c r="H73" s="445"/>
      <c r="I73" s="445"/>
      <c r="J73" s="445"/>
      <c r="K73" s="445"/>
      <c r="L73" s="445"/>
      <c r="M73" s="355"/>
      <c r="N73" s="326"/>
    </row>
    <row r="74" spans="2:14" ht="43.5" customHeight="1" x14ac:dyDescent="0.25">
      <c r="B74" s="446" t="str">
        <f>INDIVIDUAL!F179</f>
        <v>No hay penalización por zona de atención.</v>
      </c>
      <c r="C74" s="446"/>
      <c r="D74" s="446"/>
      <c r="E74" s="446"/>
      <c r="F74" s="446"/>
      <c r="G74" s="446"/>
      <c r="H74" s="446"/>
      <c r="I74" s="446"/>
      <c r="J74" s="446"/>
      <c r="K74" s="446"/>
      <c r="L74" s="446"/>
      <c r="M74" s="446"/>
      <c r="N74" s="446"/>
    </row>
    <row r="75" spans="2:14" ht="43.5" customHeight="1" x14ac:dyDescent="0.25">
      <c r="B75" s="446"/>
      <c r="C75" s="446"/>
      <c r="D75" s="446"/>
      <c r="E75" s="446"/>
      <c r="F75" s="446"/>
      <c r="G75" s="446"/>
      <c r="H75" s="446"/>
      <c r="I75" s="446"/>
      <c r="J75" s="446"/>
      <c r="K75" s="446"/>
      <c r="L75" s="446"/>
      <c r="M75" s="446"/>
      <c r="N75" s="446"/>
    </row>
    <row r="76" spans="2:14" ht="15" customHeight="1" x14ac:dyDescent="0.25">
      <c r="B76" s="446"/>
      <c r="C76" s="446"/>
      <c r="D76" s="446"/>
      <c r="E76" s="446"/>
      <c r="F76" s="446"/>
      <c r="G76" s="446"/>
      <c r="H76" s="446"/>
      <c r="I76" s="446"/>
      <c r="J76" s="446"/>
      <c r="K76" s="446"/>
      <c r="L76" s="446"/>
      <c r="M76" s="446"/>
      <c r="N76" s="446"/>
    </row>
  </sheetData>
  <sheetProtection password="A357" sheet="1" objects="1" scenarios="1" selectLockedCells="1"/>
  <mergeCells count="58">
    <mergeCell ref="D12:F12"/>
    <mergeCell ref="C14:F14"/>
    <mergeCell ref="C15:D15"/>
    <mergeCell ref="C19:D19"/>
    <mergeCell ref="D10:F10"/>
    <mergeCell ref="C16:D16"/>
    <mergeCell ref="C17:D17"/>
    <mergeCell ref="C18:D18"/>
    <mergeCell ref="E17:F17"/>
    <mergeCell ref="E18:F18"/>
    <mergeCell ref="G10:H10"/>
    <mergeCell ref="A1:A5"/>
    <mergeCell ref="F2:J2"/>
    <mergeCell ref="F4:J4"/>
    <mergeCell ref="D6:H6"/>
    <mergeCell ref="D8:G8"/>
    <mergeCell ref="J14:L14"/>
    <mergeCell ref="J19:K19"/>
    <mergeCell ref="J15:K15"/>
    <mergeCell ref="J16:K16"/>
    <mergeCell ref="J17:K17"/>
    <mergeCell ref="J18:K18"/>
    <mergeCell ref="J20:K20"/>
    <mergeCell ref="J21:K21"/>
    <mergeCell ref="J22:K22"/>
    <mergeCell ref="G42:H42"/>
    <mergeCell ref="C23:D23"/>
    <mergeCell ref="E23:F23"/>
    <mergeCell ref="J25:K25"/>
    <mergeCell ref="G40:H40"/>
    <mergeCell ref="G41:H41"/>
    <mergeCell ref="C20:D21"/>
    <mergeCell ref="C22:D22"/>
    <mergeCell ref="E20:F21"/>
    <mergeCell ref="E22:F22"/>
    <mergeCell ref="B67:L67"/>
    <mergeCell ref="B69:M69"/>
    <mergeCell ref="D44:F44"/>
    <mergeCell ref="G44:H44"/>
    <mergeCell ref="D48:F48"/>
    <mergeCell ref="D49:F49"/>
    <mergeCell ref="D50:F50"/>
    <mergeCell ref="K7:K8"/>
    <mergeCell ref="L7:L8"/>
    <mergeCell ref="B68:L68"/>
    <mergeCell ref="B73:L73"/>
    <mergeCell ref="B74:N76"/>
    <mergeCell ref="B64:L64"/>
    <mergeCell ref="D53:J53"/>
    <mergeCell ref="B59:L59"/>
    <mergeCell ref="B60:L60"/>
    <mergeCell ref="B61:L61"/>
    <mergeCell ref="B62:L62"/>
    <mergeCell ref="B70:M70"/>
    <mergeCell ref="B71:M71"/>
    <mergeCell ref="B72:M72"/>
    <mergeCell ref="B65:L65"/>
    <mergeCell ref="B66:L66"/>
  </mergeCells>
  <conditionalFormatting sqref="J25:K25">
    <cfRule type="expression" dxfId="39" priority="35">
      <formula>$I$26="SI"</formula>
    </cfRule>
  </conditionalFormatting>
  <conditionalFormatting sqref="J26">
    <cfRule type="expression" dxfId="38" priority="34">
      <formula>$I$26="NO"</formula>
    </cfRule>
  </conditionalFormatting>
  <conditionalFormatting sqref="J27">
    <cfRule type="expression" dxfId="37" priority="33">
      <formula>$I$27="SI"</formula>
    </cfRule>
  </conditionalFormatting>
  <conditionalFormatting sqref="J28">
    <cfRule type="expression" dxfId="36" priority="32">
      <formula>$I$28="SI"</formula>
    </cfRule>
  </conditionalFormatting>
  <conditionalFormatting sqref="J29">
    <cfRule type="expression" dxfId="35" priority="31">
      <formula>$I$29="SI"</formula>
    </cfRule>
  </conditionalFormatting>
  <conditionalFormatting sqref="J30">
    <cfRule type="expression" dxfId="34" priority="30">
      <formula>$I$30="SI"</formula>
    </cfRule>
  </conditionalFormatting>
  <conditionalFormatting sqref="J31">
    <cfRule type="expression" dxfId="33" priority="29">
      <formula>$I$31="SI"</formula>
    </cfRule>
  </conditionalFormatting>
  <conditionalFormatting sqref="J32">
    <cfRule type="expression" dxfId="32" priority="28">
      <formula>$I$32="SI"</formula>
    </cfRule>
  </conditionalFormatting>
  <conditionalFormatting sqref="J27:L27">
    <cfRule type="expression" dxfId="31" priority="27">
      <formula>$I$27="SI"</formula>
    </cfRule>
  </conditionalFormatting>
  <conditionalFormatting sqref="J28:L28">
    <cfRule type="expression" dxfId="30" priority="26">
      <formula>$I$28="SI"</formula>
    </cfRule>
  </conditionalFormatting>
  <conditionalFormatting sqref="J29:L29">
    <cfRule type="expression" dxfId="29" priority="25">
      <formula>$I$29="SI"</formula>
    </cfRule>
  </conditionalFormatting>
  <conditionalFormatting sqref="J30:L30">
    <cfRule type="expression" dxfId="28" priority="24">
      <formula>$I$30="SI"</formula>
    </cfRule>
  </conditionalFormatting>
  <conditionalFormatting sqref="J31:L31">
    <cfRule type="expression" dxfId="27" priority="23">
      <formula>$I$31="SI"</formula>
    </cfRule>
  </conditionalFormatting>
  <conditionalFormatting sqref="J32:L32">
    <cfRule type="expression" dxfId="26" priority="22">
      <formula>$I$32="SI"</formula>
    </cfRule>
  </conditionalFormatting>
  <conditionalFormatting sqref="J33:L33">
    <cfRule type="expression" dxfId="25" priority="21">
      <formula>$I$33="SI"</formula>
    </cfRule>
  </conditionalFormatting>
  <conditionalFormatting sqref="J34:L34">
    <cfRule type="expression" dxfId="24" priority="20">
      <formula>$I$34="SI"</formula>
    </cfRule>
  </conditionalFormatting>
  <conditionalFormatting sqref="J35:L35">
    <cfRule type="expression" dxfId="23" priority="19">
      <formula>$I$35="SI"</formula>
    </cfRule>
  </conditionalFormatting>
  <conditionalFormatting sqref="J36:L36">
    <cfRule type="expression" dxfId="22" priority="18">
      <formula>$I$36="SI"</formula>
    </cfRule>
  </conditionalFormatting>
  <conditionalFormatting sqref="K26">
    <cfRule type="expression" dxfId="21" priority="17">
      <formula>$I$26="NO"</formula>
    </cfRule>
  </conditionalFormatting>
  <conditionalFormatting sqref="L26">
    <cfRule type="expression" dxfId="20" priority="16">
      <formula>$I$26="NO"</formula>
    </cfRule>
  </conditionalFormatting>
  <conditionalFormatting sqref="L37">
    <cfRule type="expression" dxfId="19" priority="15">
      <formula>$I$26&lt;&gt;"SI"</formula>
    </cfRule>
  </conditionalFormatting>
  <conditionalFormatting sqref="C22:D22">
    <cfRule type="expression" dxfId="18" priority="13">
      <formula>$C$22&lt;&gt;"TOPE MÁX. COASEGURO"</formula>
    </cfRule>
    <cfRule type="expression" dxfId="17" priority="14">
      <formula>$B$19="NO"</formula>
    </cfRule>
  </conditionalFormatting>
  <conditionalFormatting sqref="E22:F22">
    <cfRule type="expression" dxfId="16" priority="11">
      <formula>$B$22&lt;&gt;"SI"</formula>
    </cfRule>
    <cfRule type="expression" dxfId="15" priority="12">
      <formula>$B$19="NO"</formula>
    </cfRule>
  </conditionalFormatting>
  <conditionalFormatting sqref="H37">
    <cfRule type="expression" dxfId="14" priority="10">
      <formula>$I$26="SI"</formula>
    </cfRule>
  </conditionalFormatting>
  <conditionalFormatting sqref="G10:H10">
    <cfRule type="expression" dxfId="13" priority="9">
      <formula>$I$22=0</formula>
    </cfRule>
  </conditionalFormatting>
  <conditionalFormatting sqref="J10">
    <cfRule type="expression" dxfId="12" priority="8">
      <formula>$I$22=0</formula>
    </cfRule>
  </conditionalFormatting>
  <conditionalFormatting sqref="C23:D23">
    <cfRule type="expression" dxfId="11" priority="7">
      <formula>$B$23&lt;&gt;"SI"</formula>
    </cfRule>
  </conditionalFormatting>
  <conditionalFormatting sqref="E23:F23">
    <cfRule type="expression" dxfId="10" priority="6">
      <formula>$B$23&lt;&gt;"SI"</formula>
    </cfRule>
  </conditionalFormatting>
  <conditionalFormatting sqref="J22:K22">
    <cfRule type="expression" dxfId="9" priority="5">
      <formula>$I$21="NO"</formula>
    </cfRule>
  </conditionalFormatting>
  <conditionalFormatting sqref="L22">
    <cfRule type="expression" dxfId="8" priority="4">
      <formula>$I$21="NO"</formula>
    </cfRule>
  </conditionalFormatting>
  <conditionalFormatting sqref="H12">
    <cfRule type="expression" dxfId="7" priority="3">
      <formula>$I$22=0</formula>
    </cfRule>
  </conditionalFormatting>
  <conditionalFormatting sqref="G12:H12">
    <cfRule type="expression" dxfId="6" priority="2">
      <formula>$I$12=0</formula>
    </cfRule>
  </conditionalFormatting>
  <conditionalFormatting sqref="H12">
    <cfRule type="expression" dxfId="5" priority="1">
      <formula>$I$12=0</formula>
    </cfRule>
  </conditionalFormatting>
  <dataValidations count="30">
    <dataValidation type="list" allowBlank="1" showInputMessage="1" showErrorMessage="1" sqref="G27:G36">
      <formula1>EDAD</formula1>
    </dataValidation>
    <dataValidation type="list" allowBlank="1" showInputMessage="1" showErrorMessage="1" sqref="F27:F36">
      <formula1>SEXO</formula1>
    </dataValidation>
    <dataValidation type="list" allowBlank="1" showInputMessage="1" showErrorMessage="1" sqref="E15">
      <formula1>SA</formula1>
    </dataValidation>
    <dataValidation type="list" allowBlank="1" showInputMessage="1" showErrorMessage="1" sqref="E16">
      <formula1>DED</formula1>
    </dataValidation>
    <dataValidation type="list" allowBlank="1" showInputMessage="1" showErrorMessage="1" sqref="E17:F17">
      <formula1>COA</formula1>
    </dataValidation>
    <dataValidation type="list" allowBlank="1" showInputMessage="1" showErrorMessage="1" sqref="L15">
      <formula1>EE</formula1>
    </dataValidation>
    <dataValidation type="list" allowBlank="1" showInputMessage="1" showErrorMessage="1" sqref="L16">
      <formula1>CE</formula1>
    </dataValidation>
    <dataValidation type="list" allowBlank="1" showInputMessage="1" showErrorMessage="1" sqref="L17">
      <formula1>DENTAL</formula1>
    </dataValidation>
    <dataValidation type="list" allowBlank="1" showInputMessage="1" showErrorMessage="1" sqref="E19">
      <formula1>THQ</formula1>
    </dataValidation>
    <dataValidation type="list" allowBlank="1" showInputMessage="1" showErrorMessage="1" sqref="E23:F23">
      <formula1>TMC</formula1>
    </dataValidation>
    <dataValidation type="list" allowBlank="1" showInputMessage="1" showErrorMessage="1" sqref="D12:F12">
      <formula1>EDOS</formula1>
    </dataValidation>
    <dataValidation type="list" allowBlank="1" showInputMessage="1" showErrorMessage="1" sqref="D10:F10">
      <formula1>TARIFA</formula1>
    </dataValidation>
    <dataValidation type="list" allowBlank="1" showInputMessage="1" showErrorMessage="1" sqref="J10">
      <formula1>ANTI</formula1>
    </dataValidation>
    <dataValidation type="list" allowBlank="1" showInputMessage="1" showErrorMessage="1" sqref="L18">
      <formula1>IDHA</formula1>
    </dataValidation>
    <dataValidation type="list" allowBlank="1" showInputMessage="1" showErrorMessage="1" sqref="L19">
      <formula1>ICF</formula1>
    </dataValidation>
    <dataValidation type="list" allowBlank="1" showInputMessage="1" showErrorMessage="1" sqref="L20">
      <formula1>PARTO</formula1>
    </dataValidation>
    <dataValidation type="list" allowBlank="1" showInputMessage="1" showErrorMessage="1" sqref="L21">
      <formula1>NARIZ</formula1>
    </dataValidation>
    <dataValidation type="list" allowBlank="1" showInputMessage="1" showErrorMessage="1" sqref="L22">
      <formula1>DEDXACC</formula1>
    </dataValidation>
    <dataValidation type="list" allowBlank="1" showInputMessage="1" showErrorMessage="1" sqref="J27">
      <formula1>SA_1</formula1>
    </dataValidation>
    <dataValidation type="list" allowBlank="1" showInputMessage="1" showErrorMessage="1" sqref="J28">
      <formula1>SA_2</formula1>
    </dataValidation>
    <dataValidation type="list" allowBlank="1" showInputMessage="1" showErrorMessage="1" sqref="J29">
      <formula1>SA_3</formula1>
    </dataValidation>
    <dataValidation type="list" allowBlank="1" showInputMessage="1" showErrorMessage="1" sqref="J30">
      <formula1>SA_4</formula1>
    </dataValidation>
    <dataValidation type="list" allowBlank="1" showInputMessage="1" showErrorMessage="1" sqref="J31">
      <formula1>SA_5</formula1>
    </dataValidation>
    <dataValidation type="list" allowBlank="1" showInputMessage="1" showErrorMessage="1" sqref="J32">
      <formula1>SA_6</formula1>
    </dataValidation>
    <dataValidation type="list" allowBlank="1" showInputMessage="1" showErrorMessage="1" sqref="J33">
      <formula1>SA_7</formula1>
    </dataValidation>
    <dataValidation type="list" allowBlank="1" showInputMessage="1" showErrorMessage="1" sqref="J34">
      <formula1>SA_8</formula1>
    </dataValidation>
    <dataValidation type="list" allowBlank="1" showInputMessage="1" showErrorMessage="1" sqref="J35">
      <formula1>SA_9</formula1>
    </dataValidation>
    <dataValidation type="list" allowBlank="1" showInputMessage="1" showErrorMessage="1" sqref="J36">
      <formula1>SA_10</formula1>
    </dataValidation>
    <dataValidation type="list" allowBlank="1" showInputMessage="1" showErrorMessage="1" sqref="D8:G8">
      <formula1>POLIZA</formula1>
    </dataValidation>
    <dataValidation type="list" allowBlank="1" showInputMessage="1" showErrorMessage="1" sqref="M40">
      <formula1>ESTADOS</formula1>
    </dataValidation>
  </dataValidations>
  <pageMargins left="0.70866141732283472" right="0.70866141732283472" top="0.74803149606299213" bottom="0.74803149606299213" header="0.31496062992125984" footer="0.31496062992125984"/>
  <pageSetup scale="34" orientation="portrait" r:id="rId1"/>
  <ignoredErrors>
    <ignoredError sqref="C28:C34 C27 D27:D36 C36 L7" unlockedFormula="1"/>
  </ignoredErrors>
  <drawing r:id="rId2"/>
  <legacyDrawing r:id="rId3"/>
  <controls>
    <mc:AlternateContent xmlns:mc="http://schemas.openxmlformats.org/markup-compatibility/2006">
      <mc:Choice Requires="x14">
        <control shapeId="1029" r:id="rId4" name="CommandButton1">
          <controlPr defaultSize="0" autoLine="0" r:id="rId5">
            <anchor moveWithCells="1">
              <from>
                <xdr:col>12</xdr:col>
                <xdr:colOff>1009650</xdr:colOff>
                <xdr:row>9</xdr:row>
                <xdr:rowOff>28575</xdr:rowOff>
              </from>
              <to>
                <xdr:col>12</xdr:col>
                <xdr:colOff>2600325</xdr:colOff>
                <xdr:row>10</xdr:row>
                <xdr:rowOff>114300</xdr:rowOff>
              </to>
            </anchor>
          </controlPr>
        </control>
      </mc:Choice>
      <mc:Fallback>
        <control shapeId="1029" r:id="rId4" name="CommandButton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INDIVIDUAL!R50:R56</xm:f>
          </x14:formula1>
          <xm:sqref>E18:F18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pageSetUpPr fitToPage="1"/>
  </sheetPr>
  <dimension ref="A1:K104"/>
  <sheetViews>
    <sheetView showGridLines="0" view="pageBreakPreview" zoomScale="40" zoomScaleNormal="40" zoomScaleSheetLayoutView="40" zoomScalePageLayoutView="30" workbookViewId="0">
      <selection activeCell="G13" sqref="G13:H14"/>
    </sheetView>
  </sheetViews>
  <sheetFormatPr baseColWidth="10" defaultColWidth="50.7109375" defaultRowHeight="23.25" x14ac:dyDescent="0.25"/>
  <cols>
    <col min="1" max="1" width="48" style="370" customWidth="1"/>
    <col min="2" max="3" width="38.7109375" style="370" customWidth="1"/>
    <col min="4" max="4" width="45.5703125" style="370" customWidth="1"/>
    <col min="5" max="5" width="49.85546875" style="370" customWidth="1"/>
    <col min="6" max="7" width="38.7109375" style="370" customWidth="1"/>
    <col min="8" max="8" width="59.28515625" style="370" customWidth="1"/>
    <col min="9" max="9" width="36.7109375" style="369" customWidth="1"/>
    <col min="10" max="10" width="25.140625" style="369" bestFit="1" customWidth="1"/>
    <col min="11" max="11" width="50.7109375" style="369"/>
    <col min="12" max="12" width="8.140625" style="369" customWidth="1"/>
    <col min="13" max="16384" width="50.7109375" style="369"/>
  </cols>
  <sheetData>
    <row r="1" spans="1:11" ht="19.5" customHeight="1" x14ac:dyDescent="0.25">
      <c r="A1" s="384"/>
      <c r="B1" s="384"/>
      <c r="C1" s="384"/>
      <c r="D1" s="384"/>
      <c r="E1" s="384"/>
      <c r="F1" s="384"/>
      <c r="G1" s="384"/>
      <c r="H1" s="384"/>
      <c r="I1" s="379"/>
    </row>
    <row r="2" spans="1:11" ht="19.5" customHeight="1" x14ac:dyDescent="0.25">
      <c r="A2" s="384"/>
      <c r="B2" s="384"/>
      <c r="C2" s="384"/>
      <c r="D2" s="384"/>
      <c r="E2" s="384"/>
      <c r="F2" s="384"/>
      <c r="G2" s="384"/>
      <c r="H2" s="384"/>
      <c r="I2" s="373"/>
      <c r="J2" s="375"/>
    </row>
    <row r="3" spans="1:11" ht="36" x14ac:dyDescent="0.25">
      <c r="A3" s="384"/>
      <c r="B3" s="384"/>
      <c r="C3" s="384"/>
      <c r="D3" s="384"/>
      <c r="E3" s="384"/>
      <c r="F3" s="384"/>
      <c r="G3" s="384"/>
      <c r="H3" s="384"/>
      <c r="I3" s="373"/>
      <c r="J3" s="376" t="s">
        <v>599</v>
      </c>
    </row>
    <row r="4" spans="1:11" ht="36" x14ac:dyDescent="0.25">
      <c r="A4" s="384"/>
      <c r="B4" s="384"/>
      <c r="C4" s="384"/>
      <c r="D4" s="384"/>
      <c r="E4" s="384"/>
      <c r="F4" s="384"/>
      <c r="G4" s="385" t="s">
        <v>5</v>
      </c>
      <c r="H4" s="386">
        <f ca="1">+TODAY()</f>
        <v>44013</v>
      </c>
      <c r="I4" s="373"/>
      <c r="J4" s="377"/>
    </row>
    <row r="5" spans="1:11" ht="36" x14ac:dyDescent="0.25">
      <c r="A5" s="384"/>
      <c r="B5" s="384"/>
      <c r="C5" s="384"/>
      <c r="D5" s="384"/>
      <c r="E5" s="384"/>
      <c r="F5" s="387"/>
      <c r="G5" s="388"/>
      <c r="H5" s="384"/>
      <c r="J5" s="376"/>
    </row>
    <row r="6" spans="1:11" s="373" customFormat="1" ht="36" x14ac:dyDescent="0.25">
      <c r="A6" s="389" t="s">
        <v>552</v>
      </c>
      <c r="B6" s="512" t="str">
        <f>+'GOLDEN SALUD IND'!$D$6</f>
        <v>SIN NOMBRE</v>
      </c>
      <c r="C6" s="512"/>
      <c r="D6" s="512"/>
      <c r="E6" s="512"/>
      <c r="F6" s="512"/>
      <c r="G6" s="512"/>
      <c r="H6" s="513"/>
      <c r="I6" s="369"/>
      <c r="J6" s="376" t="s">
        <v>597</v>
      </c>
      <c r="K6" s="375"/>
    </row>
    <row r="7" spans="1:11" s="373" customFormat="1" ht="36" x14ac:dyDescent="0.25">
      <c r="A7" s="390" t="s">
        <v>553</v>
      </c>
      <c r="B7" s="514" t="s">
        <v>594</v>
      </c>
      <c r="C7" s="514"/>
      <c r="D7" s="511" t="s">
        <v>554</v>
      </c>
      <c r="E7" s="511"/>
      <c r="F7" s="511"/>
      <c r="G7" s="515" t="str">
        <f>+'GOLDEN SALUD IND'!$M$40</f>
        <v>Nuevo León</v>
      </c>
      <c r="H7" s="516"/>
      <c r="I7" s="369"/>
      <c r="J7" s="369"/>
      <c r="K7" s="375"/>
    </row>
    <row r="8" spans="1:11" s="373" customFormat="1" ht="36" x14ac:dyDescent="0.25">
      <c r="A8" s="391"/>
      <c r="B8" s="384"/>
      <c r="C8" s="384"/>
      <c r="D8" s="519" t="s">
        <v>595</v>
      </c>
      <c r="E8" s="519"/>
      <c r="F8" s="520"/>
      <c r="G8" s="521" t="str">
        <f>+'GOLDEN SALUD IND'!$D$12</f>
        <v>Nuevo León</v>
      </c>
      <c r="H8" s="522"/>
      <c r="I8" s="371"/>
      <c r="J8" s="371"/>
      <c r="K8" s="375"/>
    </row>
    <row r="9" spans="1:11" ht="60" customHeight="1" x14ac:dyDescent="0.25">
      <c r="A9" s="517" t="s">
        <v>555</v>
      </c>
      <c r="B9" s="517"/>
      <c r="C9" s="517"/>
      <c r="D9" s="517"/>
      <c r="E9" s="517"/>
      <c r="F9" s="517"/>
      <c r="G9" s="517"/>
      <c r="H9" s="517"/>
      <c r="I9" s="371"/>
      <c r="J9" s="371"/>
      <c r="K9" s="378"/>
    </row>
    <row r="10" spans="1:11" ht="48" customHeight="1" x14ac:dyDescent="0.25">
      <c r="A10" s="518"/>
      <c r="B10" s="518"/>
      <c r="C10" s="518"/>
      <c r="D10" s="518"/>
      <c r="E10" s="518"/>
      <c r="F10" s="518"/>
      <c r="G10" s="518"/>
      <c r="H10" s="518"/>
      <c r="I10" s="371"/>
      <c r="J10" s="371"/>
      <c r="K10" s="378"/>
    </row>
    <row r="11" spans="1:11" ht="19.5" customHeight="1" x14ac:dyDescent="0.25">
      <c r="A11" s="384"/>
      <c r="B11" s="384"/>
      <c r="C11" s="384"/>
      <c r="D11" s="384"/>
      <c r="E11" s="384"/>
      <c r="F11" s="384"/>
      <c r="G11" s="384"/>
      <c r="H11" s="384"/>
      <c r="I11" s="371"/>
      <c r="J11" s="371"/>
    </row>
    <row r="12" spans="1:11" s="371" customFormat="1" ht="75" customHeight="1" x14ac:dyDescent="0.25">
      <c r="A12" s="505" t="s">
        <v>556</v>
      </c>
      <c r="B12" s="506"/>
      <c r="C12" s="506"/>
      <c r="D12" s="507"/>
      <c r="E12" s="508" t="s">
        <v>563</v>
      </c>
      <c r="F12" s="509"/>
      <c r="G12" s="509"/>
      <c r="H12" s="510"/>
    </row>
    <row r="13" spans="1:11" s="371" customFormat="1" ht="33" customHeight="1" x14ac:dyDescent="0.25">
      <c r="A13" s="533" t="s">
        <v>557</v>
      </c>
      <c r="B13" s="534"/>
      <c r="C13" s="523" t="str">
        <f>+IF('GOLDEN SALUD IND'!E15="Sin Límite","Sin Límite",CONCATENATE('GOLDEN SALUD IND'!$E$15," ","UMAM"))</f>
        <v>Sin Límite</v>
      </c>
      <c r="D13" s="524"/>
      <c r="E13" s="533" t="s">
        <v>570</v>
      </c>
      <c r="F13" s="534"/>
      <c r="G13" s="537" t="str">
        <f>+IF(INDIVIDUAL!$S$24=0,"NO",IF(INDIVIDUAL!$S$24=1,"50 mil dólares","100 mil dólares"))</f>
        <v>100 mil dólares</v>
      </c>
      <c r="H13" s="538"/>
    </row>
    <row r="14" spans="1:11" s="371" customFormat="1" ht="35.25" customHeight="1" x14ac:dyDescent="0.25">
      <c r="A14" s="533"/>
      <c r="B14" s="534"/>
      <c r="C14" s="525" t="str">
        <f>+'GOLDEN SALUD IND'!$G$15</f>
        <v/>
      </c>
      <c r="D14" s="526"/>
      <c r="E14" s="533"/>
      <c r="F14" s="534"/>
      <c r="G14" s="537"/>
      <c r="H14" s="538"/>
    </row>
    <row r="15" spans="1:11" s="371" customFormat="1" ht="38.25" customHeight="1" x14ac:dyDescent="0.25">
      <c r="A15" s="533" t="s">
        <v>558</v>
      </c>
      <c r="B15" s="534"/>
      <c r="C15" s="523" t="str">
        <f>+CONCATENATE('GOLDEN SALUD IND'!$E$16," ","UMAM")</f>
        <v>19.1 UMAM</v>
      </c>
      <c r="D15" s="524"/>
      <c r="E15" s="533" t="s">
        <v>601</v>
      </c>
      <c r="F15" s="534"/>
      <c r="G15" s="537" t="str">
        <f>+'GOLDEN SALUD IND'!$L$16</f>
        <v>NO</v>
      </c>
      <c r="H15" s="538"/>
    </row>
    <row r="16" spans="1:11" s="371" customFormat="1" ht="28.5" customHeight="1" x14ac:dyDescent="0.25">
      <c r="A16" s="533"/>
      <c r="B16" s="534"/>
      <c r="C16" s="525">
        <f>+'GOLDEN SALUD IND'!$G$16</f>
        <v>50445.965000000004</v>
      </c>
      <c r="D16" s="526"/>
      <c r="E16" s="533"/>
      <c r="F16" s="534"/>
      <c r="G16" s="537"/>
      <c r="H16" s="538"/>
    </row>
    <row r="17" spans="1:10" s="371" customFormat="1" ht="25.5" customHeight="1" x14ac:dyDescent="0.25">
      <c r="A17" s="533" t="s">
        <v>559</v>
      </c>
      <c r="B17" s="534"/>
      <c r="C17" s="527">
        <f>+'GOLDEN SALUD IND'!$E$17</f>
        <v>0.1</v>
      </c>
      <c r="D17" s="528"/>
      <c r="E17" s="529" t="s">
        <v>602</v>
      </c>
      <c r="F17" s="530"/>
      <c r="G17" s="527" t="str">
        <f>+'GOLDEN SALUD IND'!$L$18</f>
        <v>NO</v>
      </c>
      <c r="H17" s="528"/>
    </row>
    <row r="18" spans="1:10" s="371" customFormat="1" ht="57.75" customHeight="1" x14ac:dyDescent="0.25">
      <c r="A18" s="533"/>
      <c r="B18" s="534"/>
      <c r="C18" s="527"/>
      <c r="D18" s="528"/>
      <c r="E18" s="529"/>
      <c r="F18" s="530"/>
      <c r="G18" s="527"/>
      <c r="H18" s="528"/>
    </row>
    <row r="19" spans="1:10" s="371" customFormat="1" ht="20.100000000000001" customHeight="1" x14ac:dyDescent="0.25">
      <c r="A19" s="533" t="s">
        <v>560</v>
      </c>
      <c r="B19" s="534"/>
      <c r="C19" s="531">
        <f>+IF(C17&lt;&gt;10%,"NO",'GOLDEN SALUD IND'!E$23)</f>
        <v>40000</v>
      </c>
      <c r="D19" s="532"/>
      <c r="E19" s="529" t="s">
        <v>603</v>
      </c>
      <c r="F19" s="530"/>
      <c r="G19" s="531" t="str">
        <f>+'GOLDEN SALUD IND'!$L$19</f>
        <v>NO</v>
      </c>
      <c r="H19" s="532"/>
    </row>
    <row r="20" spans="1:10" s="371" customFormat="1" ht="65.25" customHeight="1" x14ac:dyDescent="0.25">
      <c r="A20" s="533"/>
      <c r="B20" s="534"/>
      <c r="C20" s="531"/>
      <c r="D20" s="532"/>
      <c r="E20" s="529"/>
      <c r="F20" s="530"/>
      <c r="G20" s="531"/>
      <c r="H20" s="532"/>
    </row>
    <row r="21" spans="1:10" s="371" customFormat="1" ht="20.100000000000001" customHeight="1" x14ac:dyDescent="0.25">
      <c r="A21" s="533" t="s">
        <v>561</v>
      </c>
      <c r="B21" s="534"/>
      <c r="C21" s="531" t="str">
        <f>+'GOLDEN SALUD IND'!$E$18</f>
        <v>0</v>
      </c>
      <c r="D21" s="532"/>
      <c r="E21" s="529" t="s">
        <v>596</v>
      </c>
      <c r="F21" s="530"/>
      <c r="G21" s="531" t="str">
        <f>+'GOLDEN SALUD IND'!L20</f>
        <v>NO</v>
      </c>
      <c r="H21" s="532"/>
    </row>
    <row r="22" spans="1:10" s="371" customFormat="1" ht="90" customHeight="1" x14ac:dyDescent="0.25">
      <c r="A22" s="533"/>
      <c r="B22" s="534"/>
      <c r="C22" s="531"/>
      <c r="D22" s="532"/>
      <c r="E22" s="529"/>
      <c r="F22" s="530"/>
      <c r="G22" s="531"/>
      <c r="H22" s="532"/>
    </row>
    <row r="23" spans="1:10" s="371" customFormat="1" ht="29.25" customHeight="1" x14ac:dyDescent="0.25">
      <c r="A23" s="529" t="s">
        <v>562</v>
      </c>
      <c r="B23" s="530"/>
      <c r="C23" s="523" t="str">
        <f>+CONCATENATE('GOLDEN SALUD IND'!$E$19," ","UMAM")</f>
        <v>24 UMAM</v>
      </c>
      <c r="D23" s="524"/>
      <c r="E23" s="529" t="s">
        <v>569</v>
      </c>
      <c r="F23" s="530"/>
      <c r="G23" s="537" t="str">
        <f>+'GOLDEN SALUD IND'!L21</f>
        <v>SI</v>
      </c>
      <c r="H23" s="538"/>
    </row>
    <row r="24" spans="1:10" s="371" customFormat="1" ht="113.25" customHeight="1" x14ac:dyDescent="0.25">
      <c r="A24" s="529"/>
      <c r="B24" s="530"/>
      <c r="C24" s="525">
        <f>+'GOLDEN SALUD IND'!$G$19</f>
        <v>63387.600000000006</v>
      </c>
      <c r="D24" s="526"/>
      <c r="E24" s="529"/>
      <c r="F24" s="530"/>
      <c r="G24" s="537"/>
      <c r="H24" s="538"/>
    </row>
    <row r="25" spans="1:10" s="371" customFormat="1" ht="20.100000000000001" customHeight="1" x14ac:dyDescent="0.25">
      <c r="A25" s="529" t="s">
        <v>564</v>
      </c>
      <c r="B25" s="530"/>
      <c r="C25" s="535" t="str">
        <f>+'GOLDEN SALUD IND'!E20</f>
        <v>AMPARADA 
CON COASEGURO DEL 50%</v>
      </c>
      <c r="D25" s="536"/>
      <c r="E25" s="529" t="str">
        <f>IF('GOLDEN SALUD IND'!J22="","","Eliminación de Deducible por Accidente4")</f>
        <v>Eliminación de Deducible por Accidente4</v>
      </c>
      <c r="F25" s="530"/>
      <c r="G25" s="531" t="str">
        <f>+'GOLDEN SALUD IND'!$L$22</f>
        <v>SI</v>
      </c>
      <c r="H25" s="532"/>
    </row>
    <row r="26" spans="1:10" s="371" customFormat="1" ht="57.75" customHeight="1" x14ac:dyDescent="0.25">
      <c r="A26" s="529"/>
      <c r="B26" s="530"/>
      <c r="C26" s="535"/>
      <c r="D26" s="536"/>
      <c r="E26" s="539"/>
      <c r="F26" s="540"/>
      <c r="G26" s="541"/>
      <c r="H26" s="542"/>
    </row>
    <row r="27" spans="1:10" s="371" customFormat="1" ht="20.100000000000001" customHeight="1" x14ac:dyDescent="0.25">
      <c r="A27" s="529" t="s">
        <v>566</v>
      </c>
      <c r="B27" s="530"/>
      <c r="C27" s="531" t="s">
        <v>565</v>
      </c>
      <c r="D27" s="532"/>
      <c r="E27" s="408"/>
      <c r="F27" s="408"/>
      <c r="G27" s="408"/>
      <c r="H27" s="408"/>
    </row>
    <row r="28" spans="1:10" s="371" customFormat="1" ht="19.5" customHeight="1" x14ac:dyDescent="0.25">
      <c r="A28" s="529"/>
      <c r="B28" s="530"/>
      <c r="C28" s="531"/>
      <c r="D28" s="532"/>
      <c r="E28" s="408"/>
      <c r="F28" s="408"/>
      <c r="G28" s="408"/>
      <c r="H28" s="408"/>
    </row>
    <row r="29" spans="1:10" s="371" customFormat="1" ht="20.100000000000001" customHeight="1" x14ac:dyDescent="0.25">
      <c r="A29" s="529" t="s">
        <v>567</v>
      </c>
      <c r="B29" s="530"/>
      <c r="C29" s="531" t="s">
        <v>565</v>
      </c>
      <c r="D29" s="532"/>
      <c r="E29" s="408"/>
      <c r="F29" s="408"/>
      <c r="G29" s="408"/>
      <c r="H29" s="408"/>
      <c r="I29" s="369"/>
      <c r="J29" s="369"/>
    </row>
    <row r="30" spans="1:10" s="371" customFormat="1" ht="20.100000000000001" customHeight="1" x14ac:dyDescent="0.25">
      <c r="A30" s="529"/>
      <c r="B30" s="530"/>
      <c r="C30" s="531"/>
      <c r="D30" s="532"/>
      <c r="E30" s="408"/>
      <c r="F30" s="408"/>
      <c r="G30" s="408"/>
      <c r="H30" s="408"/>
      <c r="I30" s="369"/>
      <c r="J30" s="369"/>
    </row>
    <row r="31" spans="1:10" s="371" customFormat="1" ht="20.100000000000001" customHeight="1" x14ac:dyDescent="0.25">
      <c r="A31" s="529" t="s">
        <v>568</v>
      </c>
      <c r="B31" s="530"/>
      <c r="C31" s="531" t="str">
        <f>+IF('GOLDEN SALUD IND'!$L$17="NO","AMPARADA",'GOLDEN SALUD IND'!$L$17)</f>
        <v>AMPARADA</v>
      </c>
      <c r="D31" s="532"/>
      <c r="E31" s="408"/>
      <c r="F31" s="408"/>
      <c r="G31" s="408"/>
      <c r="H31" s="408"/>
      <c r="I31" s="369"/>
      <c r="J31" s="369"/>
    </row>
    <row r="32" spans="1:10" s="371" customFormat="1" ht="20.100000000000001" customHeight="1" x14ac:dyDescent="0.25">
      <c r="A32" s="539"/>
      <c r="B32" s="540"/>
      <c r="C32" s="541"/>
      <c r="D32" s="542"/>
      <c r="E32" s="408"/>
      <c r="F32" s="408"/>
      <c r="G32" s="408"/>
      <c r="H32" s="408"/>
      <c r="I32" s="369"/>
      <c r="J32" s="369"/>
    </row>
    <row r="33" spans="1:10" ht="47.25" customHeight="1" x14ac:dyDescent="0.25">
      <c r="A33" s="433" t="s">
        <v>608</v>
      </c>
      <c r="B33" s="384"/>
      <c r="C33" s="384"/>
      <c r="D33" s="434"/>
      <c r="E33" s="384"/>
      <c r="F33" s="384"/>
      <c r="G33" s="384"/>
      <c r="H33" s="384"/>
    </row>
    <row r="34" spans="1:10" ht="33.75" customHeight="1" x14ac:dyDescent="0.25">
      <c r="A34" s="433" t="s">
        <v>589</v>
      </c>
      <c r="B34" s="384"/>
      <c r="C34" s="384"/>
      <c r="D34" s="384"/>
      <c r="E34" s="384"/>
      <c r="F34" s="384"/>
      <c r="G34" s="384"/>
      <c r="H34" s="384"/>
    </row>
    <row r="35" spans="1:10" ht="24.75" customHeight="1" x14ac:dyDescent="0.25">
      <c r="A35" s="547" t="s">
        <v>590</v>
      </c>
      <c r="B35" s="547"/>
      <c r="C35" s="547"/>
      <c r="D35" s="547"/>
      <c r="E35" s="547"/>
      <c r="F35" s="547"/>
      <c r="G35" s="547"/>
      <c r="H35" s="547"/>
    </row>
    <row r="36" spans="1:10" ht="77.25" customHeight="1" x14ac:dyDescent="0.25">
      <c r="A36" s="547"/>
      <c r="B36" s="547"/>
      <c r="C36" s="547"/>
      <c r="D36" s="547"/>
      <c r="E36" s="547"/>
      <c r="F36" s="547"/>
      <c r="G36" s="547"/>
      <c r="H36" s="547"/>
    </row>
    <row r="37" spans="1:10" ht="38.25" customHeight="1" x14ac:dyDescent="0.25">
      <c r="A37" s="433" t="s">
        <v>591</v>
      </c>
      <c r="B37" s="384"/>
      <c r="C37" s="384"/>
      <c r="D37" s="384"/>
      <c r="E37" s="384"/>
      <c r="F37" s="384"/>
      <c r="G37" s="384"/>
      <c r="H37" s="384"/>
    </row>
    <row r="38" spans="1:10" ht="36" x14ac:dyDescent="0.25">
      <c r="A38" s="433" t="s">
        <v>592</v>
      </c>
      <c r="B38" s="384"/>
      <c r="C38" s="384"/>
      <c r="D38" s="384"/>
      <c r="E38" s="384"/>
      <c r="F38" s="384"/>
      <c r="G38" s="384"/>
      <c r="H38" s="384"/>
      <c r="I38" s="371"/>
      <c r="J38" s="371"/>
    </row>
    <row r="39" spans="1:10" ht="38.25" customHeight="1" x14ac:dyDescent="0.25">
      <c r="A39" s="433" t="s">
        <v>593</v>
      </c>
      <c r="B39" s="384"/>
      <c r="C39" s="384"/>
      <c r="D39" s="384"/>
      <c r="E39" s="384"/>
      <c r="F39" s="384"/>
      <c r="G39" s="384"/>
      <c r="H39" s="384"/>
      <c r="I39" s="371"/>
      <c r="J39" s="371"/>
    </row>
    <row r="40" spans="1:10" ht="20.100000000000001" customHeight="1" x14ac:dyDescent="0.25">
      <c r="A40" s="384"/>
      <c r="B40" s="384"/>
      <c r="C40" s="384"/>
      <c r="D40" s="384"/>
      <c r="E40" s="384"/>
      <c r="F40" s="384"/>
      <c r="G40" s="384"/>
      <c r="H40" s="384"/>
      <c r="I40" s="371"/>
      <c r="J40" s="371"/>
    </row>
    <row r="41" spans="1:10" ht="20.100000000000001" customHeight="1" x14ac:dyDescent="0.55000000000000004">
      <c r="A41" s="384"/>
      <c r="B41" s="384"/>
      <c r="C41" s="384"/>
      <c r="D41" s="384"/>
      <c r="E41" s="545" t="str">
        <f>+IF(G35="NO","","CÁNCER FEMENINO (ICF)")</f>
        <v>CÁNCER FEMENINO (ICF)</v>
      </c>
      <c r="F41" s="545"/>
      <c r="G41" s="435"/>
      <c r="H41" s="384"/>
      <c r="I41" s="371"/>
      <c r="J41" s="371"/>
    </row>
    <row r="42" spans="1:10" s="371" customFormat="1" ht="64.5" customHeight="1" x14ac:dyDescent="0.25">
      <c r="A42" s="392" t="s">
        <v>573</v>
      </c>
      <c r="B42" s="393" t="s">
        <v>29</v>
      </c>
      <c r="C42" s="393" t="s">
        <v>7</v>
      </c>
      <c r="D42" s="394" t="s">
        <v>574</v>
      </c>
      <c r="E42" s="395"/>
      <c r="F42" s="396"/>
      <c r="G42" s="396"/>
      <c r="H42" s="397"/>
    </row>
    <row r="43" spans="1:10" s="371" customFormat="1" ht="34.5" customHeight="1" x14ac:dyDescent="0.25">
      <c r="A43" s="398">
        <v>1</v>
      </c>
      <c r="B43" s="399" t="str">
        <f>+IF('GOLDEN SALUD IND'!$F27&lt;&gt;0,'GOLDEN SALUD IND'!$F27," ")</f>
        <v>M</v>
      </c>
      <c r="C43" s="400">
        <f>+IF('GOLDEN SALUD IND'!$G27&lt;&gt;0,'GOLDEN SALUD IND'!$G27," ")</f>
        <v>51</v>
      </c>
      <c r="D43" s="401">
        <f ca="1">+IF('GOLDEN SALUD IND'!$H27&lt;&gt;0,'GOLDEN SALUD IND'!$H27," ")</f>
        <v>15573.37</v>
      </c>
      <c r="E43" s="402"/>
      <c r="F43" s="402"/>
      <c r="G43" s="402"/>
      <c r="H43" s="397"/>
    </row>
    <row r="44" spans="1:10" s="371" customFormat="1" ht="34.5" customHeight="1" x14ac:dyDescent="0.25">
      <c r="A44" s="398">
        <v>2</v>
      </c>
      <c r="B44" s="399" t="str">
        <f>+IF('GOLDEN SALUD IND'!$F28&lt;&gt;0,'GOLDEN SALUD IND'!$F28," ")</f>
        <v>F</v>
      </c>
      <c r="C44" s="400">
        <f>+IF('GOLDEN SALUD IND'!$G28&lt;&gt;0,'GOLDEN SALUD IND'!$G28," ")</f>
        <v>49</v>
      </c>
      <c r="D44" s="401">
        <f ca="1">+IF('GOLDEN SALUD IND'!$H28&lt;&gt;0,'GOLDEN SALUD IND'!$H28," ")</f>
        <v>15653.71</v>
      </c>
      <c r="E44" s="402"/>
      <c r="F44" s="402"/>
      <c r="G44" s="403"/>
      <c r="H44" s="397"/>
    </row>
    <row r="45" spans="1:10" s="371" customFormat="1" ht="34.5" customHeight="1" x14ac:dyDescent="0.25">
      <c r="A45" s="398">
        <v>3</v>
      </c>
      <c r="B45" s="399" t="str">
        <f>+IF('GOLDEN SALUD IND'!$F29&lt;&gt;0,'GOLDEN SALUD IND'!$F29," ")</f>
        <v>M</v>
      </c>
      <c r="C45" s="400">
        <f>+IF('GOLDEN SALUD IND'!$G29&lt;&gt;0,'GOLDEN SALUD IND'!$G29," ")</f>
        <v>24</v>
      </c>
      <c r="D45" s="401">
        <f ca="1">+IF('GOLDEN SALUD IND'!$H29&lt;&gt;0,'GOLDEN SALUD IND'!$H29," ")</f>
        <v>5356.75</v>
      </c>
      <c r="E45" s="402"/>
      <c r="F45" s="402"/>
      <c r="G45" s="403"/>
      <c r="H45" s="397"/>
    </row>
    <row r="46" spans="1:10" s="371" customFormat="1" ht="34.5" customHeight="1" x14ac:dyDescent="0.25">
      <c r="A46" s="398">
        <v>4</v>
      </c>
      <c r="B46" s="399" t="str">
        <f>+IF('GOLDEN SALUD IND'!$F30&lt;&gt;0,'GOLDEN SALUD IND'!$F30," ")</f>
        <v>M</v>
      </c>
      <c r="C46" s="400">
        <f>+IF('GOLDEN SALUD IND'!$G30&lt;&gt;0,'GOLDEN SALUD IND'!$G30," ")</f>
        <v>20</v>
      </c>
      <c r="D46" s="401">
        <f ca="1">+IF('GOLDEN SALUD IND'!$H30&lt;&gt;0,'GOLDEN SALUD IND'!$H30," ")</f>
        <v>5123.17</v>
      </c>
      <c r="E46" s="402"/>
      <c r="F46" s="402"/>
      <c r="G46" s="403"/>
      <c r="H46" s="397"/>
    </row>
    <row r="47" spans="1:10" s="371" customFormat="1" ht="34.5" customHeight="1" x14ac:dyDescent="0.25">
      <c r="A47" s="398">
        <v>5</v>
      </c>
      <c r="B47" s="399" t="str">
        <f>+IF('GOLDEN SALUD IND'!$F31&lt;&gt;0,'GOLDEN SALUD IND'!$F31," ")</f>
        <v>M</v>
      </c>
      <c r="C47" s="400">
        <f>+IF('GOLDEN SALUD IND'!$G31&lt;&gt;0,'GOLDEN SALUD IND'!$G31," ")</f>
        <v>20</v>
      </c>
      <c r="D47" s="401">
        <f ca="1">+IF('GOLDEN SALUD IND'!$H31&lt;&gt;0,'GOLDEN SALUD IND'!$H31," ")</f>
        <v>5123.17</v>
      </c>
      <c r="E47" s="402"/>
      <c r="F47" s="402"/>
      <c r="G47" s="403"/>
      <c r="H47" s="397"/>
    </row>
    <row r="48" spans="1:10" s="371" customFormat="1" ht="34.5" customHeight="1" x14ac:dyDescent="0.25">
      <c r="A48" s="398">
        <v>6</v>
      </c>
      <c r="B48" s="399" t="str">
        <f>+IF('GOLDEN SALUD IND'!$F32&lt;&gt;0,'GOLDEN SALUD IND'!$F32," ")</f>
        <v xml:space="preserve"> </v>
      </c>
      <c r="C48" s="400" t="str">
        <f>+IF('GOLDEN SALUD IND'!$G32&lt;&gt;0,'GOLDEN SALUD IND'!$G32," ")</f>
        <v xml:space="preserve"> </v>
      </c>
      <c r="D48" s="401" t="str">
        <f>+IF('GOLDEN SALUD IND'!$H32&lt;&gt;0,'GOLDEN SALUD IND'!$H32," ")</f>
        <v/>
      </c>
      <c r="E48" s="402"/>
      <c r="F48" s="402"/>
      <c r="G48" s="403"/>
      <c r="H48" s="397"/>
    </row>
    <row r="49" spans="1:10" s="371" customFormat="1" ht="34.5" customHeight="1" x14ac:dyDescent="0.25">
      <c r="A49" s="398">
        <v>7</v>
      </c>
      <c r="B49" s="399" t="str">
        <f>+IF('GOLDEN SALUD IND'!$F33&lt;&gt;0,'GOLDEN SALUD IND'!$F33," ")</f>
        <v xml:space="preserve"> </v>
      </c>
      <c r="C49" s="400" t="str">
        <f>+IF('GOLDEN SALUD IND'!$G33&lt;&gt;0,'GOLDEN SALUD IND'!$G33," ")</f>
        <v xml:space="preserve"> </v>
      </c>
      <c r="D49" s="401" t="str">
        <f>+IF('GOLDEN SALUD IND'!$H33&lt;&gt;0,'GOLDEN SALUD IND'!$H33," ")</f>
        <v/>
      </c>
      <c r="E49" s="402"/>
      <c r="F49" s="402"/>
      <c r="G49" s="403"/>
      <c r="H49" s="397"/>
    </row>
    <row r="50" spans="1:10" s="371" customFormat="1" ht="34.5" customHeight="1" x14ac:dyDescent="0.25">
      <c r="A50" s="398">
        <v>8</v>
      </c>
      <c r="B50" s="399" t="str">
        <f>+IF('GOLDEN SALUD IND'!$F34&lt;&gt;0,'GOLDEN SALUD IND'!$F34," ")</f>
        <v xml:space="preserve"> </v>
      </c>
      <c r="C50" s="400" t="str">
        <f>+IF('GOLDEN SALUD IND'!$G34&lt;&gt;0,'GOLDEN SALUD IND'!$G34," ")</f>
        <v xml:space="preserve"> </v>
      </c>
      <c r="D50" s="401" t="str">
        <f>+IF('GOLDEN SALUD IND'!$H34&lt;&gt;0,'GOLDEN SALUD IND'!$H34," ")</f>
        <v/>
      </c>
      <c r="E50" s="402"/>
      <c r="F50" s="402"/>
      <c r="G50" s="403"/>
      <c r="H50" s="397"/>
    </row>
    <row r="51" spans="1:10" s="371" customFormat="1" ht="34.5" customHeight="1" x14ac:dyDescent="0.25">
      <c r="A51" s="398">
        <v>9</v>
      </c>
      <c r="B51" s="399" t="str">
        <f>+IF('GOLDEN SALUD IND'!$F35&lt;&gt;0,'GOLDEN SALUD IND'!$F35," ")</f>
        <v xml:space="preserve"> </v>
      </c>
      <c r="C51" s="400" t="str">
        <f>+IF('GOLDEN SALUD IND'!$G35&lt;&gt;0,'GOLDEN SALUD IND'!$G35," ")</f>
        <v xml:space="preserve"> </v>
      </c>
      <c r="D51" s="401" t="str">
        <f>+IF('GOLDEN SALUD IND'!$H35&lt;&gt;0,'GOLDEN SALUD IND'!$H35," ")</f>
        <v/>
      </c>
      <c r="E51" s="402"/>
      <c r="F51" s="402"/>
      <c r="G51" s="403"/>
      <c r="H51" s="397"/>
    </row>
    <row r="52" spans="1:10" s="371" customFormat="1" ht="34.5" customHeight="1" x14ac:dyDescent="0.25">
      <c r="A52" s="404">
        <v>10</v>
      </c>
      <c r="B52" s="405" t="str">
        <f>+IF('GOLDEN SALUD IND'!$F36&lt;&gt;0,'GOLDEN SALUD IND'!$F36," ")</f>
        <v xml:space="preserve"> </v>
      </c>
      <c r="C52" s="405" t="str">
        <f>+IF('GOLDEN SALUD IND'!$G36&lt;&gt;0,'GOLDEN SALUD IND'!$G36," ")</f>
        <v xml:space="preserve"> </v>
      </c>
      <c r="D52" s="406" t="str">
        <f>+IF('GOLDEN SALUD IND'!$H36&lt;&gt;0,'GOLDEN SALUD IND'!$H36," ")</f>
        <v/>
      </c>
      <c r="E52" s="403"/>
      <c r="F52" s="402"/>
      <c r="G52" s="403"/>
      <c r="H52" s="397"/>
    </row>
    <row r="53" spans="1:10" s="371" customFormat="1" ht="34.5" customHeight="1" x14ac:dyDescent="0.55000000000000004">
      <c r="A53" s="407"/>
      <c r="B53" s="408"/>
      <c r="C53" s="409" t="s">
        <v>31</v>
      </c>
      <c r="D53" s="410">
        <f ca="1">+'GOLDEN SALUD IND'!$G$40</f>
        <v>46830.17</v>
      </c>
      <c r="E53" s="411"/>
      <c r="F53" s="412"/>
      <c r="G53" s="413"/>
      <c r="H53" s="397"/>
    </row>
    <row r="54" spans="1:10" s="371" customFormat="1" ht="74.25" customHeight="1" x14ac:dyDescent="0.25">
      <c r="A54" s="414"/>
      <c r="B54" s="408"/>
      <c r="C54" s="415" t="s">
        <v>575</v>
      </c>
      <c r="D54" s="416">
        <f ca="1">+'GOLDEN SALUD IND'!$G$41</f>
        <v>1150</v>
      </c>
      <c r="E54" s="397"/>
      <c r="F54" s="397"/>
      <c r="G54" s="397"/>
      <c r="H54" s="397"/>
    </row>
    <row r="55" spans="1:10" s="371" customFormat="1" ht="69" customHeight="1" x14ac:dyDescent="0.25">
      <c r="A55" s="408"/>
      <c r="B55" s="408"/>
      <c r="C55" s="417" t="s">
        <v>576</v>
      </c>
      <c r="D55" s="416">
        <f ca="1">+'GOLDEN SALUD IND'!$G$42</f>
        <v>7676.8271999999997</v>
      </c>
      <c r="E55" s="384"/>
      <c r="F55" s="418" t="s">
        <v>572</v>
      </c>
      <c r="G55" s="548" t="s">
        <v>578</v>
      </c>
      <c r="H55" s="549"/>
    </row>
    <row r="56" spans="1:10" s="371" customFormat="1" ht="34.5" customHeight="1" x14ac:dyDescent="0.55000000000000004">
      <c r="A56" s="408"/>
      <c r="B56" s="408"/>
      <c r="C56" s="419" t="s">
        <v>577</v>
      </c>
      <c r="D56" s="420">
        <f ca="1">+SUM($D$53:$D$55)</f>
        <v>55656.997199999998</v>
      </c>
      <c r="E56" s="384"/>
      <c r="F56" s="421"/>
      <c r="G56" s="422"/>
      <c r="H56" s="421"/>
    </row>
    <row r="57" spans="1:10" s="371" customFormat="1" ht="68.25" customHeight="1" x14ac:dyDescent="0.25">
      <c r="A57" s="384"/>
      <c r="B57" s="384"/>
      <c r="C57" s="384"/>
      <c r="D57" s="423"/>
      <c r="E57" s="384"/>
      <c r="F57" s="408"/>
      <c r="G57" s="424" t="s">
        <v>582</v>
      </c>
      <c r="H57" s="418" t="s">
        <v>583</v>
      </c>
    </row>
    <row r="58" spans="1:10" s="371" customFormat="1" ht="34.5" customHeight="1" x14ac:dyDescent="0.25">
      <c r="A58" s="384"/>
      <c r="B58" s="384"/>
      <c r="C58" s="384"/>
      <c r="D58" s="423"/>
      <c r="E58" s="384"/>
      <c r="F58" s="425" t="s">
        <v>578</v>
      </c>
      <c r="G58" s="426">
        <f ca="1">+'GOLDEN SALUD IND'!$G$48</f>
        <v>55656.997199999998</v>
      </c>
      <c r="H58" s="427"/>
      <c r="I58" s="369"/>
      <c r="J58" s="369"/>
    </row>
    <row r="59" spans="1:10" s="371" customFormat="1" ht="34.5" customHeight="1" x14ac:dyDescent="0.25">
      <c r="A59" s="384"/>
      <c r="B59" s="384"/>
      <c r="C59" s="384"/>
      <c r="D59" s="423"/>
      <c r="E59" s="428"/>
      <c r="F59" s="398" t="s">
        <v>579</v>
      </c>
      <c r="G59" s="429">
        <f ca="1">+'GOLDEN SALUD IND'!$H$48</f>
        <v>29853.573529999998</v>
      </c>
      <c r="H59" s="430">
        <f ca="1">+'GOLDEN SALUD IND'!$H$49</f>
        <v>28519.573529999998</v>
      </c>
      <c r="I59" s="369"/>
      <c r="J59" s="369"/>
    </row>
    <row r="60" spans="1:10" s="371" customFormat="1" ht="34.5" customHeight="1" x14ac:dyDescent="0.25">
      <c r="A60" s="384"/>
      <c r="B60" s="384"/>
      <c r="C60" s="384"/>
      <c r="D60" s="423"/>
      <c r="E60" s="384"/>
      <c r="F60" s="398" t="s">
        <v>580</v>
      </c>
      <c r="G60" s="429">
        <f ca="1">+'GOLDEN SALUD IND'!$J$48</f>
        <v>16272.82423</v>
      </c>
      <c r="H60" s="430">
        <f ca="1">+'GOLDEN SALUD IND'!$J$49</f>
        <v>14938.82423</v>
      </c>
      <c r="I60" s="369"/>
      <c r="J60" s="369"/>
    </row>
    <row r="61" spans="1:10" s="371" customFormat="1" ht="34.5" customHeight="1" x14ac:dyDescent="0.25">
      <c r="A61" s="384"/>
      <c r="B61" s="384"/>
      <c r="C61" s="384"/>
      <c r="D61" s="423"/>
      <c r="E61" s="384"/>
      <c r="F61" s="404" t="s">
        <v>581</v>
      </c>
      <c r="G61" s="431">
        <f ca="1">+'GOLDEN SALUD IND'!$K$48</f>
        <v>6539.9538983333323</v>
      </c>
      <c r="H61" s="432">
        <f ca="1">+'GOLDEN SALUD IND'!$K$49</f>
        <v>5205.9538983333323</v>
      </c>
      <c r="I61" s="369"/>
      <c r="J61" s="369"/>
    </row>
    <row r="62" spans="1:10" ht="20.25" customHeight="1" x14ac:dyDescent="0.25">
      <c r="A62" s="384"/>
      <c r="B62" s="384"/>
      <c r="C62" s="384"/>
      <c r="D62" s="423"/>
      <c r="E62" s="384"/>
      <c r="F62" s="434"/>
      <c r="G62" s="384"/>
      <c r="H62" s="384"/>
    </row>
    <row r="63" spans="1:10" ht="36" x14ac:dyDescent="0.25">
      <c r="A63" s="384"/>
      <c r="B63" s="384"/>
      <c r="C63" s="384"/>
      <c r="D63" s="384"/>
      <c r="E63" s="384"/>
      <c r="F63" s="384"/>
      <c r="G63" s="384"/>
      <c r="H63" s="384"/>
    </row>
    <row r="64" spans="1:10" ht="18" customHeight="1" x14ac:dyDescent="0.25">
      <c r="A64" s="543" t="str">
        <f>+'GOLDEN SALUD IND'!B74</f>
        <v>No hay penalización por zona de atención.</v>
      </c>
      <c r="B64" s="543"/>
      <c r="C64" s="543"/>
      <c r="D64" s="543"/>
      <c r="E64" s="543"/>
      <c r="F64" s="543"/>
      <c r="G64" s="543"/>
      <c r="H64" s="543"/>
    </row>
    <row r="65" spans="1:8" ht="18" customHeight="1" x14ac:dyDescent="0.25">
      <c r="A65" s="543"/>
      <c r="B65" s="543"/>
      <c r="C65" s="543"/>
      <c r="D65" s="543"/>
      <c r="E65" s="543"/>
      <c r="F65" s="543"/>
      <c r="G65" s="543"/>
      <c r="H65" s="543"/>
    </row>
    <row r="66" spans="1:8" ht="18" customHeight="1" x14ac:dyDescent="0.25">
      <c r="A66" s="543"/>
      <c r="B66" s="543"/>
      <c r="C66" s="543"/>
      <c r="D66" s="543"/>
      <c r="E66" s="543"/>
      <c r="F66" s="543"/>
      <c r="G66" s="543"/>
      <c r="H66" s="543"/>
    </row>
    <row r="67" spans="1:8" ht="140.25" customHeight="1" x14ac:dyDescent="0.25">
      <c r="A67" s="543"/>
      <c r="B67" s="543"/>
      <c r="C67" s="543"/>
      <c r="D67" s="543"/>
      <c r="E67" s="543"/>
      <c r="F67" s="543"/>
      <c r="G67" s="543"/>
      <c r="H67" s="543"/>
    </row>
    <row r="68" spans="1:8" x14ac:dyDescent="0.25">
      <c r="A68" s="543" t="s">
        <v>604</v>
      </c>
      <c r="B68" s="543"/>
      <c r="C68" s="543"/>
      <c r="D68" s="543"/>
      <c r="E68" s="543"/>
      <c r="F68" s="543"/>
      <c r="G68" s="543"/>
      <c r="H68" s="543"/>
    </row>
    <row r="69" spans="1:8" ht="98.25" customHeight="1" x14ac:dyDescent="0.25">
      <c r="A69" s="543"/>
      <c r="B69" s="543"/>
      <c r="C69" s="543"/>
      <c r="D69" s="543"/>
      <c r="E69" s="543"/>
      <c r="F69" s="543"/>
      <c r="G69" s="543"/>
      <c r="H69" s="543"/>
    </row>
    <row r="70" spans="1:8" ht="36" x14ac:dyDescent="0.25">
      <c r="A70" s="543"/>
      <c r="B70" s="543"/>
      <c r="C70" s="543"/>
      <c r="D70" s="543"/>
      <c r="E70" s="543"/>
      <c r="F70" s="543"/>
      <c r="G70" s="543"/>
      <c r="H70" s="543"/>
    </row>
    <row r="71" spans="1:8" ht="36" x14ac:dyDescent="0.25">
      <c r="A71" s="544" t="str">
        <f>+'GOLDEN SALUD IND'!B64</f>
        <v>DESCRIPCIÓN DE COBERTURAS OPCIONALES CON COSTO INCLUIDAS EN LA PRESENTE COTIZACIÓN:</v>
      </c>
      <c r="B71" s="544"/>
      <c r="C71" s="544"/>
      <c r="D71" s="544"/>
      <c r="E71" s="544"/>
      <c r="F71" s="544"/>
      <c r="G71" s="544"/>
      <c r="H71" s="544"/>
    </row>
    <row r="72" spans="1:8" ht="52.5" customHeight="1" x14ac:dyDescent="0.25">
      <c r="A72" s="543" t="str">
        <f>+'GOLDEN SALUD IND'!B65</f>
        <v>- Emergencia en el Extranjero: Se cubre hasta SA 100,000 dlls con deducible de 100 dlls y coaseguro del 0%, de acuerdo a Condiciones Generales y/o Endoso. La prima correspondiente se encuentra incluida en la presente cotización.</v>
      </c>
      <c r="B72" s="543"/>
      <c r="C72" s="543"/>
      <c r="D72" s="543"/>
      <c r="E72" s="543"/>
      <c r="F72" s="543"/>
      <c r="G72" s="543"/>
      <c r="H72" s="543"/>
    </row>
    <row r="73" spans="1:8" ht="39" customHeight="1" x14ac:dyDescent="0.25">
      <c r="A73" s="543"/>
      <c r="B73" s="543"/>
      <c r="C73" s="543"/>
      <c r="D73" s="543"/>
      <c r="E73" s="543"/>
      <c r="F73" s="543"/>
      <c r="G73" s="543"/>
      <c r="H73" s="543"/>
    </row>
    <row r="74" spans="1:8" x14ac:dyDescent="0.25">
      <c r="A74" s="543" t="str">
        <f>+'GOLDEN SALUD IND'!B66</f>
        <v/>
      </c>
      <c r="B74" s="543"/>
      <c r="C74" s="543"/>
      <c r="D74" s="543"/>
      <c r="E74" s="543"/>
      <c r="F74" s="543"/>
      <c r="G74" s="543"/>
      <c r="H74" s="543"/>
    </row>
    <row r="75" spans="1:8" ht="42.75" customHeight="1" x14ac:dyDescent="0.25">
      <c r="A75" s="543"/>
      <c r="B75" s="543"/>
      <c r="C75" s="543"/>
      <c r="D75" s="543"/>
      <c r="E75" s="543"/>
      <c r="F75" s="543"/>
      <c r="G75" s="543"/>
      <c r="H75" s="543"/>
    </row>
    <row r="76" spans="1:8" ht="49.5" customHeight="1" x14ac:dyDescent="0.25">
      <c r="A76" s="543"/>
      <c r="B76" s="543"/>
      <c r="C76" s="543"/>
      <c r="D76" s="543"/>
      <c r="E76" s="543"/>
      <c r="F76" s="543"/>
      <c r="G76" s="543"/>
      <c r="H76" s="543"/>
    </row>
    <row r="77" spans="1:8" ht="66.75" customHeight="1" x14ac:dyDescent="0.25">
      <c r="A77" s="543" t="str">
        <f>+'GOLDEN SALUD IND'!B67</f>
        <v/>
      </c>
      <c r="B77" s="543"/>
      <c r="C77" s="543"/>
      <c r="D77" s="543"/>
      <c r="E77" s="543"/>
      <c r="F77" s="543"/>
      <c r="G77" s="543"/>
      <c r="H77" s="543"/>
    </row>
    <row r="78" spans="1:8" ht="80.25" customHeight="1" x14ac:dyDescent="0.25">
      <c r="A78" s="543" t="str">
        <f>+'GOLDEN SALUD IND'!B68</f>
        <v/>
      </c>
      <c r="B78" s="543"/>
      <c r="C78" s="543"/>
      <c r="D78" s="543"/>
      <c r="E78" s="543"/>
      <c r="F78" s="543"/>
      <c r="G78" s="543"/>
      <c r="H78" s="543"/>
    </row>
    <row r="79" spans="1:8" ht="42.75" customHeight="1" x14ac:dyDescent="0.25">
      <c r="A79" s="543"/>
      <c r="B79" s="543"/>
      <c r="C79" s="543"/>
      <c r="D79" s="543"/>
      <c r="E79" s="543"/>
      <c r="F79" s="543"/>
      <c r="G79" s="543"/>
      <c r="H79" s="543"/>
    </row>
    <row r="80" spans="1:8" ht="133.5" customHeight="1" x14ac:dyDescent="0.25">
      <c r="A80" s="543" t="str">
        <f>+'GOLDEN SALUD IND'!B69</f>
        <v/>
      </c>
      <c r="B80" s="543"/>
      <c r="C80" s="543"/>
      <c r="D80" s="543"/>
      <c r="E80" s="543"/>
      <c r="F80" s="543"/>
      <c r="G80" s="543"/>
      <c r="H80" s="543"/>
    </row>
    <row r="81" spans="1:10" x14ac:dyDescent="0.25">
      <c r="A81" s="543"/>
      <c r="B81" s="543"/>
      <c r="C81" s="543"/>
      <c r="D81" s="543"/>
      <c r="E81" s="543"/>
      <c r="F81" s="543"/>
      <c r="G81" s="543"/>
      <c r="H81" s="543"/>
    </row>
    <row r="82" spans="1:10" ht="18" customHeight="1" x14ac:dyDescent="0.25">
      <c r="A82" s="543" t="str">
        <f>+'GOLDEN SALUD IND'!B72</f>
        <v/>
      </c>
      <c r="B82" s="543"/>
      <c r="C82" s="543"/>
      <c r="D82" s="543"/>
      <c r="E82" s="543"/>
      <c r="F82" s="543"/>
      <c r="G82" s="543"/>
      <c r="H82" s="543"/>
    </row>
    <row r="83" spans="1:10" ht="42.75" customHeight="1" x14ac:dyDescent="0.25">
      <c r="A83" s="543"/>
      <c r="B83" s="543"/>
      <c r="C83" s="543"/>
      <c r="D83" s="543"/>
      <c r="E83" s="543"/>
      <c r="F83" s="543"/>
      <c r="G83" s="543"/>
      <c r="H83" s="543"/>
    </row>
    <row r="84" spans="1:10" ht="54" customHeight="1" x14ac:dyDescent="0.25">
      <c r="A84" s="543"/>
      <c r="B84" s="543"/>
      <c r="C84" s="543"/>
      <c r="D84" s="543"/>
      <c r="E84" s="543"/>
      <c r="F84" s="543"/>
      <c r="G84" s="543"/>
      <c r="H84" s="543"/>
    </row>
    <row r="85" spans="1:10" ht="21.75" customHeight="1" x14ac:dyDescent="0.25">
      <c r="A85" s="543"/>
      <c r="B85" s="543"/>
      <c r="C85" s="543"/>
      <c r="D85" s="543"/>
      <c r="E85" s="543"/>
      <c r="F85" s="543"/>
      <c r="G85" s="543"/>
      <c r="H85" s="543"/>
    </row>
    <row r="86" spans="1:10" ht="18" customHeight="1" x14ac:dyDescent="0.25">
      <c r="A86" s="436"/>
      <c r="B86" s="436"/>
      <c r="C86" s="436"/>
      <c r="D86" s="436"/>
      <c r="E86" s="436"/>
      <c r="F86" s="436"/>
      <c r="G86" s="436"/>
      <c r="H86" s="436"/>
    </row>
    <row r="87" spans="1:10" ht="18" customHeight="1" x14ac:dyDescent="0.25">
      <c r="A87" s="436"/>
      <c r="B87" s="439"/>
      <c r="C87" s="439"/>
      <c r="D87" s="439"/>
      <c r="E87" s="436"/>
      <c r="F87" s="436"/>
      <c r="G87" s="436"/>
      <c r="H87" s="436"/>
    </row>
    <row r="88" spans="1:10" ht="36" x14ac:dyDescent="0.55000000000000004">
      <c r="A88" s="437" t="s">
        <v>584</v>
      </c>
      <c r="B88" s="543" t="str">
        <f>IF(+'GOLDEN SALUD IND'!$D$53="","",+'GOLDEN SALUD IND'!$D$53)</f>
        <v xml:space="preserve">GRUPO ONIX AGENTE DE SEGUROS SA DE CV </v>
      </c>
      <c r="C88" s="543"/>
      <c r="D88" s="543"/>
      <c r="E88" s="438" t="s">
        <v>586</v>
      </c>
      <c r="F88" s="551"/>
      <c r="G88" s="551"/>
      <c r="H88" s="551"/>
    </row>
    <row r="89" spans="1:10" ht="42.75" customHeight="1" x14ac:dyDescent="0.25">
      <c r="A89" s="438" t="s">
        <v>585</v>
      </c>
      <c r="B89" s="546"/>
      <c r="C89" s="546"/>
      <c r="D89" s="546"/>
      <c r="E89" s="438" t="s">
        <v>587</v>
      </c>
      <c r="F89" s="546"/>
      <c r="G89" s="546"/>
      <c r="H89" s="546"/>
    </row>
    <row r="90" spans="1:10" ht="36" x14ac:dyDescent="0.25">
      <c r="A90" s="384"/>
      <c r="B90" s="384"/>
      <c r="C90" s="384"/>
      <c r="D90" s="384"/>
      <c r="E90" s="384"/>
      <c r="F90" s="384"/>
      <c r="G90" s="384"/>
      <c r="H90" s="384"/>
      <c r="I90" s="373"/>
      <c r="J90" s="373"/>
    </row>
    <row r="91" spans="1:10" ht="36" x14ac:dyDescent="0.25">
      <c r="A91" s="384"/>
      <c r="B91" s="384"/>
      <c r="C91" s="384"/>
      <c r="D91" s="384"/>
      <c r="E91" s="384"/>
      <c r="F91" s="384"/>
      <c r="G91" s="384"/>
      <c r="H91" s="384"/>
    </row>
    <row r="92" spans="1:10" ht="36" x14ac:dyDescent="0.25">
      <c r="A92" s="384"/>
      <c r="B92" s="384"/>
      <c r="C92" s="384"/>
      <c r="D92" s="384"/>
      <c r="E92" s="384"/>
      <c r="F92" s="384"/>
      <c r="G92" s="384"/>
      <c r="H92" s="384"/>
    </row>
    <row r="93" spans="1:10" s="373" customFormat="1" ht="36" x14ac:dyDescent="0.25">
      <c r="A93" s="550" t="s">
        <v>588</v>
      </c>
      <c r="B93" s="550"/>
      <c r="C93" s="550"/>
      <c r="D93" s="550"/>
      <c r="E93" s="550"/>
      <c r="F93" s="550"/>
      <c r="G93" s="550"/>
      <c r="H93" s="550"/>
      <c r="I93" s="369"/>
      <c r="J93" s="369"/>
    </row>
    <row r="94" spans="1:10" ht="36" x14ac:dyDescent="0.25">
      <c r="A94" s="384"/>
      <c r="B94" s="384"/>
      <c r="C94" s="384"/>
      <c r="D94" s="384"/>
      <c r="E94" s="384"/>
      <c r="F94" s="384"/>
      <c r="G94" s="384"/>
      <c r="H94" s="384"/>
    </row>
    <row r="95" spans="1:10" ht="36" x14ac:dyDescent="0.25">
      <c r="A95" s="384"/>
      <c r="B95" s="384"/>
      <c r="C95" s="384"/>
      <c r="D95" s="384"/>
      <c r="E95" s="384"/>
      <c r="F95" s="384"/>
      <c r="G95" s="384"/>
      <c r="H95" s="384"/>
    </row>
    <row r="96" spans="1:10" ht="36" x14ac:dyDescent="0.25">
      <c r="A96" s="384"/>
      <c r="B96" s="384"/>
      <c r="C96" s="384"/>
      <c r="D96" s="384"/>
      <c r="E96" s="384"/>
      <c r="F96" s="384"/>
      <c r="G96" s="384"/>
      <c r="H96" s="384"/>
    </row>
    <row r="97" spans="1:8" ht="36" x14ac:dyDescent="0.25">
      <c r="A97" s="384"/>
      <c r="B97" s="384"/>
      <c r="C97" s="384"/>
      <c r="D97" s="384"/>
      <c r="E97" s="384"/>
      <c r="F97" s="384"/>
      <c r="G97" s="384"/>
      <c r="H97" s="384"/>
    </row>
    <row r="98" spans="1:8" ht="36" x14ac:dyDescent="0.25">
      <c r="A98" s="384"/>
      <c r="B98" s="384"/>
      <c r="C98" s="384"/>
      <c r="D98" s="384"/>
      <c r="E98" s="384"/>
      <c r="F98" s="384"/>
      <c r="G98" s="384"/>
      <c r="H98" s="384"/>
    </row>
    <row r="99" spans="1:8" ht="36" x14ac:dyDescent="0.25">
      <c r="A99" s="384"/>
      <c r="B99" s="384"/>
      <c r="C99" s="384"/>
      <c r="D99" s="384"/>
      <c r="E99" s="384"/>
      <c r="F99" s="384"/>
      <c r="G99" s="384"/>
      <c r="H99" s="438" t="s">
        <v>605</v>
      </c>
    </row>
    <row r="100" spans="1:8" ht="30" x14ac:dyDescent="0.25">
      <c r="A100" s="374"/>
      <c r="B100" s="374"/>
      <c r="C100" s="374"/>
      <c r="D100" s="374"/>
      <c r="E100" s="374"/>
      <c r="F100" s="374"/>
      <c r="G100" s="374"/>
      <c r="H100" s="382"/>
    </row>
    <row r="104" spans="1:8" x14ac:dyDescent="0.25">
      <c r="F104" s="370" t="s">
        <v>600</v>
      </c>
    </row>
  </sheetData>
  <sheetProtection algorithmName="SHA-512" hashValue="3SStEJrYq+YafP9/FLImiQXJYvRKJzvL/QiAS/qMsmRksmNWK2WSpBdJouQMfqO6h/tS6Tu2dzSH76Pzx9vSUw==" saltValue="JNGLYw7fiPDnVvnmlQ8t1Q==" spinCount="100000" sheet="1" objects="1" scenarios="1"/>
  <dataConsolidate/>
  <mergeCells count="64">
    <mergeCell ref="F89:H89"/>
    <mergeCell ref="A35:H36"/>
    <mergeCell ref="G55:H55"/>
    <mergeCell ref="A68:H69"/>
    <mergeCell ref="A93:H93"/>
    <mergeCell ref="A78:H79"/>
    <mergeCell ref="A82:H85"/>
    <mergeCell ref="A74:H76"/>
    <mergeCell ref="A77:H77"/>
    <mergeCell ref="A72:H73"/>
    <mergeCell ref="A80:H81"/>
    <mergeCell ref="B88:D88"/>
    <mergeCell ref="B89:D89"/>
    <mergeCell ref="F88:H88"/>
    <mergeCell ref="A31:B32"/>
    <mergeCell ref="C31:D32"/>
    <mergeCell ref="A64:H67"/>
    <mergeCell ref="A70:H70"/>
    <mergeCell ref="A71:H71"/>
    <mergeCell ref="E41:F41"/>
    <mergeCell ref="G13:H14"/>
    <mergeCell ref="G15:H16"/>
    <mergeCell ref="G23:H24"/>
    <mergeCell ref="E25:F26"/>
    <mergeCell ref="G25:H26"/>
    <mergeCell ref="E23:F24"/>
    <mergeCell ref="E17:F18"/>
    <mergeCell ref="G17:H18"/>
    <mergeCell ref="E19:F20"/>
    <mergeCell ref="G19:H20"/>
    <mergeCell ref="E21:F22"/>
    <mergeCell ref="G21:H22"/>
    <mergeCell ref="E13:F14"/>
    <mergeCell ref="E15:F16"/>
    <mergeCell ref="A25:B26"/>
    <mergeCell ref="C25:D26"/>
    <mergeCell ref="A27:B28"/>
    <mergeCell ref="C27:D28"/>
    <mergeCell ref="A29:B30"/>
    <mergeCell ref="C29:D30"/>
    <mergeCell ref="A13:B14"/>
    <mergeCell ref="A15:B16"/>
    <mergeCell ref="A17:B18"/>
    <mergeCell ref="A19:B20"/>
    <mergeCell ref="A21:B22"/>
    <mergeCell ref="A23:B24"/>
    <mergeCell ref="C23:D23"/>
    <mergeCell ref="C24:D24"/>
    <mergeCell ref="C19:D20"/>
    <mergeCell ref="C21:D22"/>
    <mergeCell ref="C13:D13"/>
    <mergeCell ref="C14:D14"/>
    <mergeCell ref="C15:D15"/>
    <mergeCell ref="C16:D16"/>
    <mergeCell ref="C17:D18"/>
    <mergeCell ref="A12:D12"/>
    <mergeCell ref="E12:H12"/>
    <mergeCell ref="D7:F7"/>
    <mergeCell ref="B6:H6"/>
    <mergeCell ref="B7:C7"/>
    <mergeCell ref="G7:H7"/>
    <mergeCell ref="A9:H10"/>
    <mergeCell ref="D8:F8"/>
    <mergeCell ref="G8:H8"/>
  </mergeCells>
  <conditionalFormatting sqref="F58:H61">
    <cfRule type="expression" dxfId="4" priority="32">
      <formula>+VLOOKUP($G$55,$F$58:$H$61,1,FALSE)</formula>
    </cfRule>
  </conditionalFormatting>
  <conditionalFormatting sqref="F58:H58">
    <cfRule type="expression" dxfId="3" priority="31">
      <formula>+$G$55="ANUAL"</formula>
    </cfRule>
  </conditionalFormatting>
  <conditionalFormatting sqref="F59:H59">
    <cfRule type="expression" dxfId="2" priority="30">
      <formula>+$G$55="SEMESTRAL"</formula>
    </cfRule>
  </conditionalFormatting>
  <conditionalFormatting sqref="F60:H60">
    <cfRule type="expression" dxfId="1" priority="29">
      <formula>+$G$55="TRIMESTRAL"</formula>
    </cfRule>
  </conditionalFormatting>
  <conditionalFormatting sqref="F61:H61">
    <cfRule type="expression" dxfId="0" priority="28">
      <formula>+$G$55="MENSUAL"</formula>
    </cfRule>
  </conditionalFormatting>
  <dataValidations count="1">
    <dataValidation type="list" allowBlank="1" showInputMessage="1" showErrorMessage="1" sqref="G55:H55">
      <formula1>PAGO</formula1>
    </dataValidation>
  </dataValidations>
  <printOptions horizontalCentered="1" verticalCentered="1"/>
  <pageMargins left="0.97" right="0.95" top="0.74803149606299213" bottom="0.9055118110236221" header="0.31496062992125984" footer="0.70866141732283472"/>
  <pageSetup paperSize="9" scale="18" orientation="portrait" r:id="rId1"/>
  <headerFooter>
    <oddHeader xml:space="preserve">&amp;L&amp;G&amp;C&amp;"Arial,Negrita"&amp;36&amp;K003B71
Propuesta de Seguro Individual de Salud&amp;R
</oddHeader>
    <oddFooter>&amp;L&amp;G</oddFooter>
  </headerFooter>
  <drawing r:id="rId2"/>
  <legacyDrawing r:id="rId3"/>
  <legacyDrawingHF r:id="rId4"/>
  <controls>
    <mc:AlternateContent xmlns:mc="http://schemas.openxmlformats.org/markup-compatibility/2006">
      <mc:Choice Requires="x14">
        <control shapeId="5123" r:id="rId5" name="CommandButton1">
          <controlPr defaultSize="0" autoLine="0" r:id="rId6">
            <anchor moveWithCells="1">
              <from>
                <xdr:col>8</xdr:col>
                <xdr:colOff>209550</xdr:colOff>
                <xdr:row>0</xdr:row>
                <xdr:rowOff>209550</xdr:rowOff>
              </from>
              <to>
                <xdr:col>8</xdr:col>
                <xdr:colOff>2286000</xdr:colOff>
                <xdr:row>3</xdr:row>
                <xdr:rowOff>381000</xdr:rowOff>
              </to>
            </anchor>
          </controlPr>
        </control>
      </mc:Choice>
      <mc:Fallback>
        <control shapeId="5123" r:id="rId5" name="CommandButton1"/>
      </mc:Fallback>
    </mc:AlternateContent>
    <mc:AlternateContent xmlns:mc="http://schemas.openxmlformats.org/markup-compatibility/2006">
      <mc:Choice Requires="x14">
        <control shapeId="5125" r:id="rId7" name="CommandButton2">
          <controlPr defaultSize="0" autoLine="0" r:id="rId8">
            <anchor moveWithCells="1">
              <from>
                <xdr:col>8</xdr:col>
                <xdr:colOff>209550</xdr:colOff>
                <xdr:row>7</xdr:row>
                <xdr:rowOff>361950</xdr:rowOff>
              </from>
              <to>
                <xdr:col>8</xdr:col>
                <xdr:colOff>2286000</xdr:colOff>
                <xdr:row>9</xdr:row>
                <xdr:rowOff>219075</xdr:rowOff>
              </to>
            </anchor>
          </controlPr>
        </control>
      </mc:Choice>
      <mc:Fallback>
        <control shapeId="5125" r:id="rId7" name="CommandButton2"/>
      </mc:Fallback>
    </mc:AlternateContent>
    <mc:AlternateContent xmlns:mc="http://schemas.openxmlformats.org/markup-compatibility/2006">
      <mc:Choice Requires="x14">
        <control shapeId="5129" r:id="rId9" name="CommandButton3">
          <controlPr defaultSize="0" autoLine="0" r:id="rId10">
            <anchor moveWithCells="1">
              <from>
                <xdr:col>8</xdr:col>
                <xdr:colOff>209550</xdr:colOff>
                <xdr:row>4</xdr:row>
                <xdr:rowOff>238125</xdr:rowOff>
              </from>
              <to>
                <xdr:col>8</xdr:col>
                <xdr:colOff>2286000</xdr:colOff>
                <xdr:row>6</xdr:row>
                <xdr:rowOff>409575</xdr:rowOff>
              </to>
            </anchor>
          </controlPr>
        </control>
      </mc:Choice>
      <mc:Fallback>
        <control shapeId="5129" r:id="rId9" name="CommandButton3"/>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F20"/>
  <sheetViews>
    <sheetView view="pageBreakPreview" zoomScale="70" zoomScaleNormal="100" zoomScaleSheetLayoutView="70" workbookViewId="0">
      <selection activeCell="G13" sqref="G13:H14"/>
    </sheetView>
  </sheetViews>
  <sheetFormatPr baseColWidth="10" defaultRowHeight="15" x14ac:dyDescent="0.25"/>
  <cols>
    <col min="1" max="1" width="43" customWidth="1"/>
    <col min="5" max="5" width="8.28515625" customWidth="1"/>
    <col min="6" max="6" width="14.28515625" hidden="1" customWidth="1"/>
  </cols>
  <sheetData>
    <row r="1" spans="1:5" ht="28.5" x14ac:dyDescent="0.45">
      <c r="A1" s="372"/>
      <c r="B1" s="372"/>
      <c r="C1" s="372"/>
      <c r="D1" s="372"/>
      <c r="E1" s="372"/>
    </row>
    <row r="2" spans="1:5" ht="28.5" x14ac:dyDescent="0.45">
      <c r="A2" s="372"/>
      <c r="B2" s="372"/>
      <c r="C2" s="372"/>
      <c r="D2" s="372"/>
      <c r="E2" s="372"/>
    </row>
    <row r="3" spans="1:5" ht="28.5" x14ac:dyDescent="0.45">
      <c r="A3" s="372"/>
      <c r="B3" s="372"/>
      <c r="C3" s="372"/>
      <c r="D3" s="372"/>
      <c r="E3" s="372"/>
    </row>
    <row r="4" spans="1:5" ht="28.5" x14ac:dyDescent="0.45">
      <c r="A4" s="372"/>
      <c r="B4" s="372"/>
      <c r="C4" s="372"/>
      <c r="D4" s="372"/>
      <c r="E4" s="372"/>
    </row>
    <row r="5" spans="1:5" ht="28.5" x14ac:dyDescent="0.45">
      <c r="A5" s="372"/>
      <c r="B5" s="372"/>
      <c r="C5" s="372"/>
      <c r="D5" s="372"/>
      <c r="E5" s="372"/>
    </row>
    <row r="6" spans="1:5" ht="28.5" x14ac:dyDescent="0.45">
      <c r="A6" s="372"/>
      <c r="B6" s="372"/>
      <c r="C6" s="372"/>
      <c r="D6" s="372"/>
      <c r="E6" s="372"/>
    </row>
    <row r="7" spans="1:5" ht="28.5" x14ac:dyDescent="0.45">
      <c r="A7" s="372"/>
      <c r="B7" s="372"/>
      <c r="C7" s="372"/>
      <c r="D7" s="372"/>
      <c r="E7" s="372"/>
    </row>
    <row r="8" spans="1:5" ht="48" customHeight="1" x14ac:dyDescent="0.45">
      <c r="A8" s="372"/>
      <c r="B8" s="372"/>
      <c r="C8" s="372"/>
      <c r="D8" s="372"/>
      <c r="E8" s="372"/>
    </row>
    <row r="9" spans="1:5" ht="313.5" x14ac:dyDescent="0.45">
      <c r="A9" s="383" t="s">
        <v>555</v>
      </c>
      <c r="B9" s="372"/>
      <c r="C9" s="372"/>
      <c r="D9" s="372"/>
      <c r="E9" s="372"/>
    </row>
    <row r="10" spans="1:5" ht="28.5" x14ac:dyDescent="0.45">
      <c r="A10" s="372"/>
      <c r="B10" s="372"/>
      <c r="C10" s="372"/>
      <c r="D10" s="372"/>
      <c r="E10" s="372"/>
    </row>
    <row r="11" spans="1:5" ht="33" customHeight="1" x14ac:dyDescent="0.45">
      <c r="A11" s="372"/>
      <c r="B11" s="372"/>
      <c r="C11" s="372"/>
      <c r="D11" s="372"/>
      <c r="E11" s="372"/>
    </row>
    <row r="12" spans="1:5" ht="35.25" customHeight="1" x14ac:dyDescent="0.45">
      <c r="A12" s="372"/>
      <c r="B12" s="372"/>
      <c r="C12" s="372"/>
      <c r="D12" s="372"/>
      <c r="E12" s="372"/>
    </row>
    <row r="13" spans="1:5" ht="38.25" customHeight="1" x14ac:dyDescent="0.45">
      <c r="A13" s="372"/>
      <c r="B13" s="372"/>
      <c r="C13" s="372"/>
      <c r="D13" s="372"/>
      <c r="E13" s="372"/>
    </row>
    <row r="14" spans="1:5" ht="28.5" x14ac:dyDescent="0.45">
      <c r="A14" s="372"/>
      <c r="B14" s="372"/>
      <c r="C14" s="372"/>
      <c r="D14" s="372"/>
      <c r="E14" s="372"/>
    </row>
    <row r="15" spans="1:5" ht="28.5" x14ac:dyDescent="0.45">
      <c r="A15" s="372"/>
      <c r="B15" s="372"/>
      <c r="C15" s="372"/>
      <c r="D15" s="372"/>
      <c r="E15" s="372"/>
    </row>
    <row r="16" spans="1:5" ht="46.5" customHeight="1" x14ac:dyDescent="0.45">
      <c r="A16" s="372"/>
      <c r="B16" s="372"/>
      <c r="C16" s="372"/>
      <c r="D16" s="372"/>
      <c r="E16" s="372"/>
    </row>
    <row r="17" spans="1:5" ht="28.5" x14ac:dyDescent="0.45">
      <c r="A17" s="372"/>
      <c r="B17" s="372"/>
      <c r="C17" s="372"/>
      <c r="D17" s="372"/>
      <c r="E17" s="372"/>
    </row>
    <row r="18" spans="1:5" ht="48" customHeight="1" x14ac:dyDescent="0.45">
      <c r="A18" s="372"/>
      <c r="B18" s="372"/>
      <c r="C18" s="372"/>
      <c r="D18" s="372"/>
      <c r="E18" s="372"/>
    </row>
    <row r="19" spans="1:5" ht="28.5" x14ac:dyDescent="0.45">
      <c r="A19" s="372"/>
      <c r="B19" s="372"/>
      <c r="C19" s="372"/>
      <c r="D19" s="372"/>
      <c r="E19" s="372"/>
    </row>
    <row r="20" spans="1:5" ht="76.5" customHeight="1" x14ac:dyDescent="0.45">
      <c r="A20" s="372"/>
      <c r="B20" s="372"/>
      <c r="C20" s="372"/>
      <c r="D20" s="372"/>
      <c r="E20" s="372"/>
    </row>
  </sheetData>
  <printOptions horizontalCentered="1"/>
  <pageMargins left="0.25" right="0.25" top="0.75" bottom="0.75" header="0.3" footer="0.3"/>
  <pageSetup paperSize="9" fitToWidth="0" fitToHeight="0" orientation="portrait" r:id="rId1"/>
  <headerFooter>
    <oddHeader xml:space="preserve">&amp;L&amp;G&amp;C&amp;"Arial,Negrita"&amp;16&amp;K003B71
Propuesta de Seguro Individual de Salud&amp;R
</oddHeader>
    <oddFooter>&amp;L&amp;G</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
  <sheetViews>
    <sheetView view="pageBreakPreview" topLeftCell="A61" zoomScale="73" zoomScaleNormal="100" zoomScaleSheetLayoutView="73" workbookViewId="0">
      <selection activeCell="G13" sqref="G13:H14"/>
    </sheetView>
  </sheetViews>
  <sheetFormatPr baseColWidth="10" defaultRowHeight="15" x14ac:dyDescent="0.25"/>
  <cols>
    <col min="1" max="1" width="43" customWidth="1"/>
    <col min="4" max="4" width="9.28515625" customWidth="1"/>
    <col min="7" max="7" width="5.7109375" customWidth="1"/>
  </cols>
  <sheetData>
    <row r="1" spans="1:8" ht="15" customHeight="1" x14ac:dyDescent="0.45">
      <c r="A1" s="372"/>
      <c r="B1" s="372"/>
      <c r="C1" s="372"/>
      <c r="D1" s="372"/>
      <c r="E1" s="372"/>
      <c r="F1" s="372"/>
      <c r="G1" s="372"/>
      <c r="H1" s="372"/>
    </row>
    <row r="2" spans="1:8" ht="15" customHeight="1" x14ac:dyDescent="0.45">
      <c r="A2" s="372"/>
      <c r="B2" s="372"/>
      <c r="C2" s="372"/>
      <c r="D2" s="372"/>
      <c r="E2" s="372"/>
      <c r="F2" s="372"/>
      <c r="G2" s="372"/>
      <c r="H2" s="372"/>
    </row>
    <row r="3" spans="1:8" ht="15" customHeight="1" x14ac:dyDescent="0.45">
      <c r="A3" s="372"/>
      <c r="B3" s="372"/>
      <c r="C3" s="372"/>
      <c r="D3" s="372"/>
      <c r="E3" s="372"/>
      <c r="F3" s="372"/>
      <c r="G3" s="372"/>
      <c r="H3" s="372"/>
    </row>
    <row r="4" spans="1:8" ht="15" customHeight="1" x14ac:dyDescent="0.45">
      <c r="A4" s="372"/>
      <c r="B4" s="372"/>
      <c r="C4" s="372"/>
      <c r="D4" s="372"/>
      <c r="E4" s="372"/>
      <c r="F4" s="372"/>
      <c r="G4" s="372"/>
      <c r="H4" s="372"/>
    </row>
    <row r="5" spans="1:8" ht="15" customHeight="1" x14ac:dyDescent="0.45">
      <c r="A5" s="372"/>
      <c r="B5" s="372"/>
      <c r="C5" s="372"/>
      <c r="D5" s="372"/>
      <c r="E5" s="372"/>
      <c r="F5" s="372"/>
      <c r="G5" s="372"/>
      <c r="H5" s="372"/>
    </row>
    <row r="6" spans="1:8" ht="15" customHeight="1" x14ac:dyDescent="0.45">
      <c r="A6" s="372"/>
      <c r="B6" s="372"/>
      <c r="C6" s="372"/>
      <c r="D6" s="372"/>
      <c r="E6" s="372"/>
      <c r="F6" s="372"/>
      <c r="G6" s="372"/>
      <c r="H6" s="372"/>
    </row>
    <row r="7" spans="1:8" ht="15" customHeight="1" x14ac:dyDescent="0.45">
      <c r="A7" s="372"/>
      <c r="B7" s="372"/>
      <c r="C7" s="372"/>
      <c r="D7" s="372"/>
      <c r="E7" s="372"/>
      <c r="F7" s="372"/>
      <c r="G7" s="372"/>
      <c r="H7" s="372"/>
    </row>
    <row r="8" spans="1:8" ht="15" customHeight="1" x14ac:dyDescent="0.45">
      <c r="A8" s="372"/>
      <c r="B8" s="372"/>
      <c r="C8" s="372"/>
      <c r="D8" s="372"/>
      <c r="E8" s="372"/>
      <c r="F8" s="372"/>
      <c r="G8" s="372"/>
      <c r="H8" s="372"/>
    </row>
    <row r="9" spans="1:8" ht="15" customHeight="1" x14ac:dyDescent="0.45">
      <c r="A9" s="372"/>
      <c r="B9" s="372"/>
      <c r="C9" s="372"/>
      <c r="D9" s="372"/>
      <c r="E9" s="372"/>
      <c r="F9" s="372"/>
      <c r="G9" s="372"/>
      <c r="H9" s="372"/>
    </row>
    <row r="10" spans="1:8" ht="15" customHeight="1" x14ac:dyDescent="0.45">
      <c r="A10" s="372"/>
      <c r="B10" s="372"/>
      <c r="C10" s="372"/>
      <c r="D10" s="372"/>
      <c r="E10" s="372"/>
      <c r="F10" s="372"/>
      <c r="G10" s="372"/>
      <c r="H10" s="372"/>
    </row>
    <row r="11" spans="1:8" ht="15" customHeight="1" x14ac:dyDescent="0.45">
      <c r="A11" s="372"/>
      <c r="B11" s="372"/>
      <c r="C11" s="372"/>
      <c r="D11" s="372"/>
      <c r="E11" s="372"/>
      <c r="F11" s="372"/>
      <c r="G11" s="372"/>
      <c r="H11" s="372"/>
    </row>
    <row r="12" spans="1:8" ht="15" customHeight="1" x14ac:dyDescent="0.45">
      <c r="A12" s="372"/>
      <c r="B12" s="372"/>
      <c r="C12" s="372"/>
      <c r="D12" s="372"/>
      <c r="E12" s="372"/>
      <c r="F12" s="372"/>
      <c r="G12" s="372"/>
      <c r="H12" s="372"/>
    </row>
    <row r="13" spans="1:8" ht="15" customHeight="1" x14ac:dyDescent="0.45">
      <c r="A13" s="372"/>
      <c r="B13" s="372"/>
      <c r="C13" s="372"/>
      <c r="D13" s="372"/>
      <c r="E13" s="372"/>
      <c r="F13" s="372"/>
      <c r="G13" s="372"/>
      <c r="H13" s="372"/>
    </row>
    <row r="14" spans="1:8" ht="15" customHeight="1" x14ac:dyDescent="0.45">
      <c r="A14" s="372"/>
      <c r="B14" s="372"/>
      <c r="C14" s="372"/>
      <c r="D14" s="372"/>
      <c r="E14" s="372"/>
      <c r="F14" s="372"/>
      <c r="G14" s="372"/>
      <c r="H14" s="372"/>
    </row>
    <row r="15" spans="1:8" ht="15" customHeight="1" x14ac:dyDescent="0.45">
      <c r="A15" s="372"/>
      <c r="B15" s="372"/>
      <c r="C15" s="372"/>
      <c r="D15" s="372"/>
      <c r="E15" s="372"/>
      <c r="F15" s="372"/>
      <c r="G15" s="372"/>
      <c r="H15" s="372"/>
    </row>
    <row r="16" spans="1:8" ht="15" customHeight="1" x14ac:dyDescent="0.45">
      <c r="A16" s="372"/>
      <c r="B16" s="372"/>
      <c r="C16" s="372"/>
      <c r="D16" s="372"/>
      <c r="E16" s="372"/>
      <c r="F16" s="372"/>
      <c r="G16" s="372"/>
      <c r="H16" s="372"/>
    </row>
    <row r="17" spans="1:8" ht="15" customHeight="1" x14ac:dyDescent="0.45">
      <c r="A17" s="372"/>
      <c r="B17" s="372"/>
      <c r="C17" s="372"/>
      <c r="D17" s="372"/>
      <c r="E17" s="372"/>
      <c r="F17" s="372"/>
      <c r="G17" s="372"/>
      <c r="H17" s="372"/>
    </row>
    <row r="18" spans="1:8" ht="15" customHeight="1" x14ac:dyDescent="0.45">
      <c r="A18" s="372"/>
      <c r="B18" s="372"/>
      <c r="C18" s="372"/>
      <c r="D18" s="372"/>
      <c r="E18" s="372"/>
      <c r="F18" s="372"/>
      <c r="G18" s="372"/>
      <c r="H18" s="372"/>
    </row>
    <row r="19" spans="1:8" ht="15" customHeight="1" x14ac:dyDescent="0.45">
      <c r="A19" s="372"/>
      <c r="B19" s="372"/>
      <c r="C19" s="372"/>
      <c r="D19" s="372"/>
      <c r="E19" s="372"/>
      <c r="F19" s="372"/>
      <c r="G19" s="372"/>
      <c r="H19" s="372"/>
    </row>
    <row r="20" spans="1:8" ht="15" customHeight="1" x14ac:dyDescent="0.45">
      <c r="A20" s="372"/>
      <c r="B20" s="372"/>
      <c r="C20" s="372"/>
      <c r="D20" s="372"/>
      <c r="E20" s="372"/>
      <c r="F20" s="372"/>
      <c r="G20" s="372"/>
      <c r="H20" s="372"/>
    </row>
    <row r="21" spans="1:8" ht="15" customHeight="1" x14ac:dyDescent="0.45">
      <c r="A21" s="372"/>
      <c r="B21" s="372"/>
      <c r="C21" s="372"/>
      <c r="D21" s="372"/>
      <c r="E21" s="372"/>
      <c r="F21" s="372"/>
      <c r="G21" s="372"/>
      <c r="H21" s="372"/>
    </row>
    <row r="22" spans="1:8" ht="15" customHeight="1" x14ac:dyDescent="0.45">
      <c r="A22" s="372"/>
      <c r="B22" s="372"/>
      <c r="C22" s="372"/>
      <c r="D22" s="372"/>
      <c r="E22" s="372"/>
      <c r="F22" s="372"/>
      <c r="G22" s="372"/>
      <c r="H22" s="372"/>
    </row>
    <row r="23" spans="1:8" ht="15" customHeight="1" x14ac:dyDescent="0.45">
      <c r="A23" s="372"/>
      <c r="B23" s="372"/>
      <c r="C23" s="372"/>
      <c r="D23" s="372"/>
      <c r="E23" s="372"/>
      <c r="F23" s="372"/>
      <c r="G23" s="372"/>
      <c r="H23" s="372"/>
    </row>
    <row r="24" spans="1:8" ht="15" customHeight="1" x14ac:dyDescent="0.45">
      <c r="A24" s="372"/>
      <c r="B24" s="372"/>
      <c r="C24" s="372"/>
      <c r="D24" s="372"/>
      <c r="E24" s="372"/>
      <c r="F24" s="372"/>
      <c r="G24" s="372"/>
      <c r="H24" s="372"/>
    </row>
    <row r="25" spans="1:8" ht="15" customHeight="1" x14ac:dyDescent="0.45">
      <c r="A25" s="372"/>
      <c r="B25" s="372"/>
      <c r="C25" s="372"/>
      <c r="D25" s="372"/>
      <c r="E25" s="372"/>
      <c r="F25" s="372"/>
      <c r="G25" s="372"/>
      <c r="H25" s="372"/>
    </row>
    <row r="26" spans="1:8" ht="15" customHeight="1" x14ac:dyDescent="0.45">
      <c r="A26" s="372"/>
      <c r="B26" s="372"/>
      <c r="C26" s="372"/>
      <c r="D26" s="372"/>
      <c r="E26" s="372"/>
      <c r="F26" s="372"/>
      <c r="G26" s="372"/>
      <c r="H26" s="372"/>
    </row>
    <row r="27" spans="1:8" ht="15" customHeight="1" x14ac:dyDescent="0.45">
      <c r="A27" s="372"/>
      <c r="B27" s="372"/>
      <c r="C27" s="372"/>
      <c r="D27" s="372"/>
      <c r="E27" s="372"/>
      <c r="F27" s="372"/>
      <c r="G27" s="372"/>
      <c r="H27" s="372"/>
    </row>
    <row r="28" spans="1:8" ht="15" customHeight="1" x14ac:dyDescent="0.45">
      <c r="A28" s="372"/>
      <c r="B28" s="372"/>
      <c r="C28" s="372"/>
      <c r="D28" s="372"/>
      <c r="E28" s="372"/>
      <c r="F28" s="372"/>
      <c r="G28" s="372"/>
      <c r="H28" s="372"/>
    </row>
    <row r="29" spans="1:8" ht="15" customHeight="1" x14ac:dyDescent="0.45">
      <c r="A29" s="372"/>
      <c r="B29" s="372"/>
      <c r="C29" s="372"/>
      <c r="D29" s="372"/>
      <c r="E29" s="372"/>
      <c r="F29" s="372"/>
      <c r="G29" s="372"/>
      <c r="H29" s="372"/>
    </row>
    <row r="30" spans="1:8" ht="15" customHeight="1" x14ac:dyDescent="0.45">
      <c r="A30" s="372"/>
      <c r="B30" s="372"/>
      <c r="C30" s="372"/>
      <c r="D30" s="372"/>
      <c r="E30" s="372"/>
      <c r="F30" s="372"/>
      <c r="G30" s="372"/>
      <c r="H30" s="372"/>
    </row>
    <row r="31" spans="1:8" ht="15" customHeight="1" x14ac:dyDescent="0.45">
      <c r="A31" s="372"/>
      <c r="B31" s="372"/>
      <c r="C31" s="372"/>
      <c r="D31" s="372"/>
      <c r="E31" s="372"/>
      <c r="F31" s="372"/>
      <c r="G31" s="372"/>
      <c r="H31" s="372"/>
    </row>
    <row r="32" spans="1:8" ht="15" customHeight="1" x14ac:dyDescent="0.45">
      <c r="A32" s="372"/>
      <c r="B32" s="372"/>
      <c r="C32" s="372"/>
      <c r="D32" s="372"/>
      <c r="E32" s="372"/>
      <c r="F32" s="372"/>
      <c r="G32" s="372"/>
      <c r="H32" s="372"/>
    </row>
    <row r="33" ht="15" customHeight="1" x14ac:dyDescent="0.25"/>
    <row r="34" ht="15" customHeight="1" x14ac:dyDescent="0.25"/>
    <row r="35" ht="15" customHeight="1" x14ac:dyDescent="0.25"/>
    <row r="36" ht="15" customHeight="1" x14ac:dyDescent="0.25"/>
    <row r="37" ht="15" customHeight="1" x14ac:dyDescent="0.25"/>
    <row r="38" ht="15" customHeight="1" x14ac:dyDescent="0.25"/>
  </sheetData>
  <printOptions horizontalCentered="1"/>
  <pageMargins left="0.25" right="0.25" top="0.75" bottom="0.75" header="0.3" footer="0.3"/>
  <pageSetup paperSize="9" fitToWidth="0" fitToHeight="0" orientation="portrait" r:id="rId1"/>
  <headerFooter>
    <oddHeader xml:space="preserve">&amp;L&amp;G&amp;C&amp;"Arial,Negrita"&amp;16&amp;K003B71
Propuesta de Seguro Individual de Salud&amp;R
</oddHeader>
    <oddFooter>&amp;L&amp;G</oddFooter>
  </headerFooter>
  <rowBreaks count="1" manualBreakCount="1">
    <brk id="50" max="3" man="1"/>
  </rowBreak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CU236"/>
  <sheetViews>
    <sheetView topLeftCell="K41" zoomScale="85" zoomScaleNormal="85" workbookViewId="0">
      <selection activeCell="R52" sqref="R52"/>
    </sheetView>
  </sheetViews>
  <sheetFormatPr baseColWidth="10" defaultRowHeight="15" x14ac:dyDescent="0.25"/>
  <cols>
    <col min="1" max="1" width="15" customWidth="1"/>
    <col min="4" max="4" width="11.85546875" bestFit="1" customWidth="1"/>
    <col min="5" max="5" width="20.85546875" bestFit="1" customWidth="1"/>
    <col min="6" max="6" width="17.7109375" bestFit="1" customWidth="1"/>
    <col min="8" max="8" width="11.85546875" bestFit="1" customWidth="1"/>
    <col min="9" max="9" width="18" customWidth="1"/>
    <col min="10" max="10" width="11.85546875" customWidth="1"/>
    <col min="11" max="11" width="14.5703125" bestFit="1" customWidth="1"/>
    <col min="16" max="16" width="13.85546875" customWidth="1"/>
    <col min="17" max="17" width="17.85546875" customWidth="1"/>
    <col min="19" max="19" width="20.5703125" bestFit="1" customWidth="1"/>
    <col min="20" max="20" width="19.85546875" bestFit="1" customWidth="1"/>
    <col min="43" max="43" width="7.140625" customWidth="1"/>
    <col min="44" max="45" width="11.85546875" customWidth="1"/>
    <col min="46" max="47" width="9.85546875" bestFit="1" customWidth="1"/>
    <col min="48" max="50" width="10.28515625" bestFit="1" customWidth="1"/>
    <col min="51" max="59" width="9.85546875" bestFit="1" customWidth="1"/>
    <col min="61" max="61" width="6.140625" bestFit="1" customWidth="1"/>
    <col min="62" max="62" width="9.5703125" bestFit="1" customWidth="1"/>
    <col min="63" max="63" width="8.7109375" bestFit="1" customWidth="1"/>
    <col min="64" max="65" width="9.85546875" bestFit="1" customWidth="1"/>
    <col min="66" max="67" width="10.28515625" bestFit="1" customWidth="1"/>
    <col min="68" max="73" width="9.85546875" bestFit="1" customWidth="1"/>
    <col min="76" max="77" width="11.85546875" bestFit="1" customWidth="1"/>
    <col min="78" max="79" width="11.28515625" bestFit="1" customWidth="1"/>
    <col min="80" max="81" width="11.85546875" bestFit="1" customWidth="1"/>
    <col min="86" max="86" width="11.85546875" bestFit="1" customWidth="1"/>
  </cols>
  <sheetData>
    <row r="1" spans="1:87" x14ac:dyDescent="0.25">
      <c r="A1" s="9"/>
      <c r="B1" s="9"/>
      <c r="C1" s="9"/>
      <c r="D1" s="9"/>
      <c r="E1" s="9"/>
      <c r="F1" s="9"/>
      <c r="G1" s="9"/>
      <c r="H1" s="9"/>
      <c r="I1" s="9"/>
      <c r="J1" s="9"/>
      <c r="K1" s="9"/>
      <c r="L1" s="9"/>
      <c r="M1" s="9"/>
      <c r="N1" s="9"/>
      <c r="O1" s="9"/>
      <c r="P1" s="9"/>
      <c r="Q1" s="9"/>
      <c r="R1" s="8"/>
      <c r="S1" s="8"/>
      <c r="T1" s="9"/>
      <c r="U1" s="9"/>
      <c r="V1" s="9"/>
      <c r="W1" s="9"/>
      <c r="X1" s="9"/>
      <c r="Y1" s="10"/>
      <c r="Z1" s="10"/>
      <c r="AA1" s="10"/>
      <c r="AB1" s="10"/>
      <c r="AC1" s="10"/>
      <c r="AD1" s="10"/>
      <c r="AE1" s="10"/>
      <c r="AF1" s="10"/>
      <c r="AG1" s="10"/>
      <c r="AH1" s="10"/>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9"/>
      <c r="BY1" s="9"/>
      <c r="BZ1" s="9"/>
      <c r="CA1" s="9"/>
      <c r="CB1" s="9"/>
      <c r="CC1" s="9"/>
      <c r="CD1" s="9"/>
      <c r="CE1" s="9"/>
      <c r="CF1" s="9"/>
      <c r="CG1" s="9"/>
      <c r="CH1" s="9"/>
      <c r="CI1" s="9"/>
    </row>
    <row r="2" spans="1:87" x14ac:dyDescent="0.25">
      <c r="A2" s="11" t="s">
        <v>218</v>
      </c>
      <c r="B2" s="9"/>
      <c r="C2" s="9"/>
      <c r="D2" s="9"/>
      <c r="E2" s="9"/>
      <c r="F2" s="9"/>
      <c r="G2" s="9"/>
      <c r="H2" s="9"/>
      <c r="I2" s="9"/>
      <c r="J2" s="9"/>
      <c r="K2" s="9"/>
      <c r="L2" s="9"/>
      <c r="M2" s="9"/>
      <c r="N2" s="9"/>
      <c r="O2" s="9"/>
      <c r="P2" s="9"/>
      <c r="Q2" s="9"/>
      <c r="R2" s="8"/>
      <c r="S2" s="8"/>
      <c r="T2" s="9"/>
      <c r="U2" s="9"/>
      <c r="V2" s="9"/>
      <c r="W2" s="9"/>
      <c r="X2" s="9"/>
      <c r="Y2" s="10"/>
      <c r="Z2" s="10"/>
      <c r="AA2" s="10"/>
      <c r="AB2" s="10"/>
      <c r="AC2" s="10"/>
      <c r="AD2" s="10"/>
      <c r="AE2" s="10"/>
      <c r="AF2" s="10"/>
      <c r="AG2" s="10"/>
      <c r="AH2" s="10"/>
      <c r="AI2" s="9"/>
      <c r="AJ2" s="9"/>
      <c r="AK2" s="9"/>
      <c r="AL2" s="9"/>
      <c r="AM2" s="9"/>
      <c r="AN2" s="9"/>
      <c r="AO2" s="9"/>
      <c r="AP2" s="9"/>
      <c r="AQ2" s="9"/>
      <c r="AR2" s="9"/>
      <c r="AS2" s="9"/>
      <c r="AT2" s="9"/>
      <c r="AU2" s="9"/>
      <c r="AV2" s="9"/>
      <c r="AW2" s="9"/>
      <c r="AX2" s="9"/>
      <c r="AY2" s="9"/>
      <c r="AZ2" s="9"/>
      <c r="BA2" s="9"/>
      <c r="BB2" s="9"/>
      <c r="BC2" s="9"/>
      <c r="BD2" s="9"/>
      <c r="BE2" s="9"/>
      <c r="BF2" s="9"/>
      <c r="BG2" s="9"/>
      <c r="BH2" s="9"/>
      <c r="BI2" s="9"/>
      <c r="BJ2" s="9"/>
      <c r="BK2" s="9"/>
      <c r="BL2" s="9"/>
      <c r="BM2" s="9"/>
      <c r="BN2" s="9"/>
      <c r="BO2" s="9"/>
      <c r="BP2" s="9"/>
      <c r="BQ2" s="9"/>
      <c r="BR2" s="9"/>
      <c r="BS2" s="9"/>
      <c r="BT2" s="9"/>
      <c r="BU2" s="9"/>
      <c r="BV2" s="9"/>
      <c r="BW2" s="9"/>
      <c r="BX2" s="9"/>
      <c r="BY2" s="9"/>
      <c r="BZ2" s="9"/>
      <c r="CA2" s="9"/>
      <c r="CB2" s="9"/>
      <c r="CC2" s="9"/>
      <c r="CD2" s="9"/>
      <c r="CE2" s="9"/>
      <c r="CF2" s="9"/>
      <c r="CG2" s="9"/>
      <c r="CH2" s="9"/>
      <c r="CI2" s="9"/>
    </row>
    <row r="3" spans="1:87" x14ac:dyDescent="0.25">
      <c r="A3" s="12" t="s">
        <v>507</v>
      </c>
      <c r="B3" s="9">
        <f>IF(AND('GOLDEN SALUD IND'!D8="PÓLIZA RENOVADA",'GOLDEN SALUD IND'!D12="San Luís Potosí",'GOLDEN SALUD IND'!D10="EDAD"),'GOLDEN SALUD IND'!H12,0)</f>
        <v>0</v>
      </c>
      <c r="C3" s="9"/>
      <c r="D3" s="9"/>
      <c r="E3" s="9"/>
      <c r="F3" s="9"/>
      <c r="G3" s="9"/>
      <c r="H3" s="9"/>
      <c r="I3" s="9"/>
      <c r="J3" s="9"/>
      <c r="K3" s="9"/>
      <c r="L3" s="9"/>
      <c r="M3" s="9"/>
      <c r="N3" s="9"/>
      <c r="O3" s="9"/>
      <c r="P3" s="9"/>
      <c r="Q3" s="9"/>
      <c r="R3" s="8"/>
      <c r="S3" s="8"/>
      <c r="T3" s="9"/>
      <c r="U3" s="9"/>
      <c r="V3" s="9"/>
      <c r="W3" s="9"/>
      <c r="X3" s="9"/>
      <c r="Y3" s="10"/>
      <c r="Z3" s="10"/>
      <c r="AA3" s="10"/>
      <c r="AB3" s="10"/>
      <c r="AC3" s="10"/>
      <c r="AD3" s="10"/>
      <c r="AE3" s="10"/>
      <c r="AF3" s="10"/>
      <c r="AG3" s="10"/>
      <c r="AH3" s="10"/>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c r="BS3" s="9"/>
      <c r="BT3" s="9"/>
      <c r="BU3" s="9"/>
      <c r="BV3" s="9"/>
      <c r="BW3" s="9"/>
      <c r="BX3" s="9"/>
      <c r="BY3" s="9"/>
      <c r="BZ3" s="9"/>
      <c r="CA3" s="9"/>
      <c r="CB3" s="9"/>
      <c r="CC3" s="9"/>
      <c r="CD3" s="9"/>
      <c r="CE3" s="9"/>
      <c r="CF3" s="9"/>
      <c r="CG3" s="9"/>
      <c r="CH3" s="9"/>
      <c r="CI3" s="9"/>
    </row>
    <row r="4" spans="1:87" x14ac:dyDescent="0.25">
      <c r="A4" s="12" t="s">
        <v>45</v>
      </c>
      <c r="B4" s="9">
        <f>IF('GOLDEN SALUD IND'!D8="PÓLIZA NUEVA",1,2)</f>
        <v>1</v>
      </c>
      <c r="C4" s="9"/>
      <c r="D4" s="9"/>
      <c r="E4" s="9"/>
      <c r="F4" s="9"/>
      <c r="G4" s="9"/>
      <c r="H4" s="9"/>
      <c r="I4" s="9"/>
      <c r="J4" s="9"/>
      <c r="K4" s="9"/>
      <c r="L4" s="9"/>
      <c r="M4" s="9"/>
      <c r="N4" s="9"/>
      <c r="O4" s="9"/>
      <c r="P4" s="9"/>
      <c r="Q4" s="9"/>
      <c r="R4" s="8"/>
      <c r="S4" s="8"/>
      <c r="T4" s="9"/>
      <c r="U4" s="9"/>
      <c r="V4" s="9"/>
      <c r="W4" s="9"/>
      <c r="X4" s="9"/>
      <c r="Y4" s="10"/>
      <c r="Z4" s="10"/>
      <c r="AA4" s="10"/>
      <c r="AB4" s="10"/>
      <c r="AC4" s="10"/>
      <c r="AD4" s="10"/>
      <c r="AE4" s="10"/>
      <c r="AF4" s="10"/>
      <c r="AG4" s="10"/>
      <c r="AH4" s="10"/>
      <c r="AI4" s="9"/>
      <c r="AJ4" s="9"/>
      <c r="AK4" s="9"/>
      <c r="AL4" s="9"/>
      <c r="AM4" s="9"/>
      <c r="AN4" s="191"/>
      <c r="AO4" s="191"/>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c r="BS4" s="9"/>
      <c r="BT4" s="9"/>
      <c r="BU4" s="9"/>
      <c r="BV4" s="9"/>
      <c r="BW4" s="9"/>
      <c r="BX4" s="9"/>
      <c r="BY4" s="9"/>
      <c r="BZ4" s="9"/>
      <c r="CA4" s="9"/>
      <c r="CB4" s="9"/>
      <c r="CC4" s="9"/>
      <c r="CD4" s="9"/>
      <c r="CE4" s="9"/>
      <c r="CF4" s="9"/>
      <c r="CG4" s="9"/>
      <c r="CH4" s="9"/>
      <c r="CI4" s="9"/>
    </row>
    <row r="5" spans="1:87" x14ac:dyDescent="0.25">
      <c r="A5" s="12" t="s">
        <v>46</v>
      </c>
      <c r="B5" s="9">
        <f>IF('GOLDEN SALUD IND'!D10="EDAD",2,0)</f>
        <v>2</v>
      </c>
      <c r="C5" s="12" t="s">
        <v>47</v>
      </c>
      <c r="D5" s="9"/>
      <c r="E5" s="9"/>
      <c r="F5" s="9"/>
      <c r="G5" s="9"/>
      <c r="H5" s="9"/>
      <c r="I5" s="9"/>
      <c r="J5" s="9"/>
      <c r="K5" s="9"/>
      <c r="L5" s="9"/>
      <c r="M5" s="9"/>
      <c r="N5" s="9"/>
      <c r="O5" s="9"/>
      <c r="P5" s="9"/>
      <c r="Q5" s="9"/>
      <c r="R5" s="8"/>
      <c r="S5" s="8"/>
      <c r="T5" s="9"/>
      <c r="U5" s="9"/>
      <c r="V5" s="9"/>
      <c r="W5" s="9"/>
      <c r="X5" s="9"/>
      <c r="Y5" s="10"/>
      <c r="Z5" s="10"/>
      <c r="AA5" s="10"/>
      <c r="AB5" s="10"/>
      <c r="AC5" s="10"/>
      <c r="AD5" s="10"/>
      <c r="AE5" s="10"/>
      <c r="AF5" s="10"/>
      <c r="AG5" s="10"/>
      <c r="AH5" s="10"/>
      <c r="AI5" s="9"/>
      <c r="AJ5" s="9"/>
      <c r="AK5" s="9"/>
      <c r="AL5" s="9"/>
      <c r="AM5" s="9"/>
      <c r="AN5" s="191"/>
      <c r="AO5" s="191"/>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c r="BS5" s="9"/>
      <c r="BT5" s="9"/>
      <c r="BU5" s="9"/>
      <c r="BV5" s="9"/>
      <c r="BW5" s="9"/>
      <c r="BX5" s="9"/>
      <c r="BY5" s="9"/>
      <c r="BZ5" s="9"/>
      <c r="CA5" s="9"/>
      <c r="CB5" s="9"/>
      <c r="CC5" s="9"/>
      <c r="CD5" s="9"/>
      <c r="CE5" s="9"/>
      <c r="CF5" s="9"/>
      <c r="CG5" s="9"/>
      <c r="CH5" s="9"/>
      <c r="CI5" s="9"/>
    </row>
    <row r="6" spans="1:87" ht="15.75" thickBot="1" x14ac:dyDescent="0.3">
      <c r="A6" s="12" t="s">
        <v>48</v>
      </c>
      <c r="B6" s="9">
        <f>IF('GOLDEN SALUD IND'!D8="PÓLIZA NUEVA", IF(OR('GOLDEN SALUD IND'!J10="SI",B115="San Luís Potosí"),1,1-IF('GOLDEN SALUD IND'!J10="NO",C6,0)), IF(OR('GOLDEN SALUD IND'!J10="NO",B115="San Luís Potosí"),1,1-IF('GOLDEN SALUD IND'!J10="SI",C6,0)))</f>
        <v>1</v>
      </c>
      <c r="C6" s="9">
        <f>IF('GOLDEN SALUD IND'!D10&lt;&gt;"QUINQUENAL",VLOOKUP('GOLDEN SALUD IND'!D12,E93:I125,5,FALSE),0)</f>
        <v>0</v>
      </c>
      <c r="D6" s="9"/>
      <c r="E6" s="9"/>
      <c r="F6" s="9"/>
      <c r="G6" s="9"/>
      <c r="H6" s="9"/>
      <c r="I6" s="9"/>
      <c r="J6" s="9"/>
      <c r="K6" s="9"/>
      <c r="L6" s="9"/>
      <c r="M6" s="9"/>
      <c r="N6" s="9"/>
      <c r="O6" s="9"/>
      <c r="P6" s="9"/>
      <c r="Q6" s="9"/>
      <c r="R6" s="8"/>
      <c r="S6" s="8"/>
      <c r="T6" s="9"/>
      <c r="U6" s="9"/>
      <c r="V6" s="9"/>
      <c r="W6" s="9"/>
      <c r="X6" s="9"/>
      <c r="Y6" s="10"/>
      <c r="Z6" s="10"/>
      <c r="AA6" s="10"/>
      <c r="AB6" s="10"/>
      <c r="AC6" s="10"/>
      <c r="AD6" s="10"/>
      <c r="AE6" s="10"/>
      <c r="AF6" s="10"/>
      <c r="AG6" s="10"/>
      <c r="AH6" s="10"/>
      <c r="AI6" s="9"/>
      <c r="AJ6" s="9"/>
      <c r="AK6" s="9"/>
      <c r="AL6" s="9"/>
      <c r="AM6" s="9"/>
      <c r="AN6" s="191"/>
      <c r="AO6" s="191"/>
      <c r="AP6" s="9"/>
      <c r="AR6" s="9"/>
      <c r="AS6" s="9"/>
      <c r="AT6" s="191"/>
      <c r="AU6" s="191"/>
      <c r="AV6" s="9"/>
      <c r="AW6" s="9"/>
      <c r="AX6" s="9"/>
      <c r="AY6" s="9"/>
      <c r="AZ6" s="9"/>
      <c r="BA6" s="9"/>
      <c r="BB6" s="191"/>
      <c r="BC6" s="9"/>
      <c r="BD6" s="9"/>
      <c r="BE6" s="9"/>
      <c r="BF6" s="9"/>
      <c r="BG6" s="9"/>
      <c r="BH6" s="9"/>
      <c r="BI6" s="9"/>
      <c r="BJ6" s="9"/>
      <c r="BK6" s="9"/>
      <c r="BL6" s="9"/>
      <c r="BM6" s="9"/>
      <c r="BN6" s="9"/>
      <c r="BO6" s="9"/>
      <c r="BP6" s="9"/>
      <c r="BQ6" s="9"/>
      <c r="BR6" s="9"/>
      <c r="BS6" s="9"/>
      <c r="BT6" s="9"/>
      <c r="BU6" s="9"/>
      <c r="BV6" s="9"/>
      <c r="BX6" s="9"/>
      <c r="BY6" s="9"/>
      <c r="BZ6" s="9"/>
      <c r="CA6" s="9"/>
      <c r="CB6" s="9"/>
      <c r="CC6" s="9"/>
      <c r="CD6" s="9"/>
      <c r="CE6" s="9"/>
      <c r="CF6" s="9"/>
      <c r="CG6" s="9"/>
      <c r="CH6" s="9"/>
      <c r="CI6" s="9"/>
    </row>
    <row r="7" spans="1:87" ht="15.75" thickBot="1" x14ac:dyDescent="0.3">
      <c r="A7" s="12" t="s">
        <v>49</v>
      </c>
      <c r="B7" s="9">
        <f>VLOOKUP('GOLDEN SALUD IND'!D12,E95:H127,4,FALSE)</f>
        <v>5</v>
      </c>
      <c r="C7" s="9"/>
      <c r="D7" s="9"/>
      <c r="E7" s="9"/>
      <c r="F7" s="9"/>
      <c r="G7" s="9"/>
      <c r="H7" s="9"/>
      <c r="I7" s="9"/>
      <c r="J7" s="9"/>
      <c r="K7" s="9"/>
      <c r="L7" s="9"/>
      <c r="M7" s="9"/>
      <c r="N7" s="9"/>
      <c r="O7" s="9"/>
      <c r="P7" s="9"/>
      <c r="Q7" s="9"/>
      <c r="R7" s="8"/>
      <c r="S7" s="8"/>
      <c r="T7" s="9"/>
      <c r="U7" s="9"/>
      <c r="V7" s="9"/>
      <c r="W7" s="9"/>
      <c r="X7" s="9"/>
      <c r="Y7" s="10"/>
      <c r="Z7" s="10"/>
      <c r="AA7" s="10"/>
      <c r="AB7" s="567" t="s">
        <v>50</v>
      </c>
      <c r="AC7" s="567"/>
      <c r="AD7" s="567"/>
      <c r="AE7" s="567"/>
      <c r="AF7" s="567"/>
      <c r="AG7" s="567"/>
      <c r="AH7" s="10"/>
      <c r="AI7" s="9"/>
      <c r="AJ7" s="9"/>
      <c r="AK7" s="9"/>
      <c r="AL7" s="9"/>
      <c r="AM7" s="9"/>
      <c r="AN7" s="191"/>
      <c r="AO7" s="191"/>
      <c r="AP7" s="9"/>
      <c r="AQ7" s="568" t="s">
        <v>51</v>
      </c>
      <c r="AR7" s="568"/>
      <c r="AS7" s="568"/>
      <c r="AT7" s="568"/>
      <c r="AU7" s="568"/>
      <c r="AV7" s="568"/>
      <c r="AW7" s="568"/>
      <c r="AX7" s="568"/>
      <c r="AY7" s="568"/>
      <c r="AZ7" s="568"/>
      <c r="BA7" s="568"/>
      <c r="BB7" s="568"/>
      <c r="BC7" s="568"/>
      <c r="BD7" s="568"/>
      <c r="BE7" s="568"/>
      <c r="BF7" s="214"/>
      <c r="BG7" s="214"/>
      <c r="BH7" s="9"/>
      <c r="BI7" s="569" t="s">
        <v>52</v>
      </c>
      <c r="BJ7" s="569"/>
      <c r="BK7" s="569"/>
      <c r="BL7" s="569"/>
      <c r="BM7" s="569"/>
      <c r="BN7" s="569"/>
      <c r="BO7" s="569"/>
      <c r="BP7" s="569"/>
      <c r="BQ7" s="569"/>
      <c r="BR7" s="569"/>
      <c r="BS7" s="569"/>
      <c r="BT7" s="204"/>
      <c r="BU7" s="204"/>
      <c r="BV7" s="9"/>
      <c r="BW7" s="568" t="s">
        <v>53</v>
      </c>
      <c r="BX7" s="568"/>
      <c r="BY7" s="568"/>
      <c r="BZ7" s="568"/>
      <c r="CA7" s="568"/>
      <c r="CB7" s="568"/>
      <c r="CC7" s="568"/>
      <c r="CD7" s="568"/>
      <c r="CE7" s="568"/>
      <c r="CF7" s="568"/>
      <c r="CG7" s="568"/>
      <c r="CH7" s="214"/>
      <c r="CI7" s="214"/>
    </row>
    <row r="8" spans="1:87" ht="15.75" thickBot="1" x14ac:dyDescent="0.3">
      <c r="A8" s="12" t="s">
        <v>54</v>
      </c>
      <c r="B8" s="9">
        <f>VLOOKUP('GOLDEN SALUD IND'!D12,E95:H130,3,FALSE)</f>
        <v>1</v>
      </c>
      <c r="C8" s="9"/>
      <c r="D8" s="9"/>
      <c r="E8" s="12" t="s">
        <v>55</v>
      </c>
      <c r="F8" s="12"/>
      <c r="G8" s="9"/>
      <c r="H8" s="9"/>
      <c r="I8" s="9"/>
      <c r="J8" s="9"/>
      <c r="K8" s="13" t="s">
        <v>55</v>
      </c>
      <c r="L8" s="9"/>
      <c r="M8" s="9"/>
      <c r="N8" s="9"/>
      <c r="O8" s="9"/>
      <c r="P8" s="12" t="s">
        <v>55</v>
      </c>
      <c r="Q8" s="9"/>
      <c r="R8" s="8"/>
      <c r="S8" s="8"/>
      <c r="T8" s="9"/>
      <c r="U8" s="206" t="s">
        <v>55</v>
      </c>
      <c r="V8" s="9"/>
      <c r="W8" s="9"/>
      <c r="X8" s="9"/>
      <c r="Y8" s="10"/>
      <c r="Z8" s="10"/>
      <c r="AA8" s="10"/>
      <c r="AB8" s="570" t="s">
        <v>56</v>
      </c>
      <c r="AC8" s="570"/>
      <c r="AD8" s="570"/>
      <c r="AE8" s="570"/>
      <c r="AF8" s="570"/>
      <c r="AG8" s="570"/>
      <c r="AH8" s="14" t="s">
        <v>57</v>
      </c>
      <c r="AI8" s="9"/>
      <c r="AJ8" s="9"/>
      <c r="AK8" s="9"/>
      <c r="AL8" s="9"/>
      <c r="AM8" s="9"/>
      <c r="AN8" s="191"/>
      <c r="AO8" s="191"/>
      <c r="AP8" s="9"/>
      <c r="AQ8" s="12"/>
      <c r="AR8" s="15">
        <v>1</v>
      </c>
      <c r="AS8" s="15"/>
      <c r="AT8" s="9">
        <v>2</v>
      </c>
      <c r="AU8" s="9"/>
      <c r="AV8" s="9">
        <v>3</v>
      </c>
      <c r="AW8" s="9"/>
      <c r="AX8" s="9">
        <v>4</v>
      </c>
      <c r="AY8" s="9"/>
      <c r="AZ8" s="9">
        <v>5</v>
      </c>
      <c r="BA8" s="9"/>
      <c r="BB8" s="9">
        <v>6</v>
      </c>
      <c r="BC8" s="9"/>
      <c r="BD8" s="9">
        <v>7</v>
      </c>
      <c r="BE8" s="9"/>
      <c r="BF8" s="9">
        <v>8</v>
      </c>
      <c r="BG8" s="9"/>
      <c r="BH8" s="9"/>
      <c r="BI8" s="12"/>
      <c r="BJ8" s="9">
        <v>1</v>
      </c>
      <c r="BK8" s="9"/>
      <c r="BL8" s="9">
        <v>2</v>
      </c>
      <c r="BM8" s="9"/>
      <c r="BN8" s="9">
        <v>3</v>
      </c>
      <c r="BO8" s="9"/>
      <c r="BP8" s="9">
        <v>4</v>
      </c>
      <c r="BQ8" s="9"/>
      <c r="BR8" s="9">
        <v>5</v>
      </c>
      <c r="BS8" s="9"/>
      <c r="BT8" s="9">
        <v>6</v>
      </c>
      <c r="BU8" s="9"/>
      <c r="BV8" s="9"/>
      <c r="BW8" s="9"/>
      <c r="BX8" s="9">
        <v>1</v>
      </c>
      <c r="BY8" s="9"/>
      <c r="BZ8" s="9">
        <v>2</v>
      </c>
      <c r="CA8" s="9"/>
      <c r="CB8" s="9">
        <v>3</v>
      </c>
      <c r="CC8" s="9"/>
      <c r="CD8" s="9">
        <v>4</v>
      </c>
      <c r="CE8" s="9"/>
      <c r="CF8" s="9">
        <v>5</v>
      </c>
      <c r="CG8" s="9"/>
      <c r="CH8" s="9">
        <v>6</v>
      </c>
      <c r="CI8" s="9"/>
    </row>
    <row r="9" spans="1:87" ht="15.75" thickBot="1" x14ac:dyDescent="0.3">
      <c r="A9" s="554" t="s">
        <v>58</v>
      </c>
      <c r="B9" s="555"/>
      <c r="C9" s="556"/>
      <c r="D9" s="8"/>
      <c r="E9" s="557" t="s">
        <v>12</v>
      </c>
      <c r="F9" s="558"/>
      <c r="G9" s="558"/>
      <c r="H9" s="559"/>
      <c r="I9" s="16" t="s">
        <v>59</v>
      </c>
      <c r="J9" s="8"/>
      <c r="K9" s="557" t="s">
        <v>13</v>
      </c>
      <c r="L9" s="558"/>
      <c r="O9" s="8"/>
      <c r="P9" s="552" t="s">
        <v>14</v>
      </c>
      <c r="Q9" s="553"/>
      <c r="R9" s="8"/>
      <c r="S9" s="8"/>
      <c r="T9" s="8"/>
      <c r="U9" s="557" t="s">
        <v>60</v>
      </c>
      <c r="V9" s="559"/>
      <c r="W9" s="8"/>
      <c r="X9" s="8"/>
      <c r="Y9" s="564" t="s">
        <v>61</v>
      </c>
      <c r="Z9" s="565"/>
      <c r="AA9" s="566"/>
      <c r="AB9" s="18">
        <v>250000</v>
      </c>
      <c r="AC9" s="18">
        <v>300000</v>
      </c>
      <c r="AD9" s="18">
        <v>350000</v>
      </c>
      <c r="AE9" s="18">
        <v>400000</v>
      </c>
      <c r="AF9" s="18">
        <v>450000</v>
      </c>
      <c r="AG9" s="18">
        <v>500000</v>
      </c>
      <c r="AH9" s="18">
        <v>1</v>
      </c>
      <c r="AI9" s="8"/>
      <c r="AJ9" s="8"/>
      <c r="AK9" s="8"/>
      <c r="AL9" s="8"/>
      <c r="AM9" s="8"/>
      <c r="AN9" s="191"/>
      <c r="AO9" s="191"/>
      <c r="AP9" s="8"/>
      <c r="AQ9" s="8"/>
      <c r="AR9" s="557" t="s">
        <v>62</v>
      </c>
      <c r="AS9" s="559"/>
      <c r="AT9" s="557" t="s">
        <v>304</v>
      </c>
      <c r="AU9" s="559"/>
      <c r="AV9" s="557" t="s">
        <v>63</v>
      </c>
      <c r="AW9" s="559"/>
      <c r="AX9" s="557" t="s">
        <v>64</v>
      </c>
      <c r="AY9" s="559"/>
      <c r="AZ9" s="557" t="s">
        <v>65</v>
      </c>
      <c r="BA9" s="559"/>
      <c r="BB9" s="557" t="s">
        <v>216</v>
      </c>
      <c r="BC9" s="559"/>
      <c r="BD9" s="557" t="s">
        <v>217</v>
      </c>
      <c r="BE9" s="559"/>
      <c r="BF9" s="557" t="s">
        <v>149</v>
      </c>
      <c r="BG9" s="559"/>
      <c r="BH9" s="8"/>
      <c r="BI9" s="8"/>
      <c r="BJ9" s="557" t="s">
        <v>62</v>
      </c>
      <c r="BK9" s="559"/>
      <c r="BL9" s="557" t="s">
        <v>305</v>
      </c>
      <c r="BM9" s="559"/>
      <c r="BN9" s="557" t="s">
        <v>63</v>
      </c>
      <c r="BO9" s="559"/>
      <c r="BP9" s="557" t="s">
        <v>64</v>
      </c>
      <c r="BQ9" s="559"/>
      <c r="BR9" s="557" t="s">
        <v>65</v>
      </c>
      <c r="BS9" s="559"/>
      <c r="BT9" s="557" t="s">
        <v>149</v>
      </c>
      <c r="BU9" s="559"/>
      <c r="BV9" s="8"/>
      <c r="BW9" s="8"/>
      <c r="BX9" s="557" t="s">
        <v>1</v>
      </c>
      <c r="BY9" s="559"/>
      <c r="BZ9" s="557" t="s">
        <v>304</v>
      </c>
      <c r="CA9" s="559"/>
      <c r="CB9" s="557" t="s">
        <v>63</v>
      </c>
      <c r="CC9" s="559"/>
      <c r="CD9" s="557" t="s">
        <v>64</v>
      </c>
      <c r="CE9" s="559"/>
      <c r="CF9" s="557" t="s">
        <v>65</v>
      </c>
      <c r="CG9" s="559"/>
      <c r="CH9" s="557" t="s">
        <v>149</v>
      </c>
      <c r="CI9" s="559"/>
    </row>
    <row r="10" spans="1:87" ht="15.75" thickBot="1" x14ac:dyDescent="0.3">
      <c r="A10" s="16" t="s">
        <v>66</v>
      </c>
      <c r="B10" s="16" t="s">
        <v>67</v>
      </c>
      <c r="C10" s="16" t="s">
        <v>68</v>
      </c>
      <c r="D10" s="8"/>
      <c r="E10" s="16" t="s">
        <v>199</v>
      </c>
      <c r="F10" s="16" t="s">
        <v>69</v>
      </c>
      <c r="G10" s="16" t="s">
        <v>199</v>
      </c>
      <c r="H10" s="16" t="s">
        <v>69</v>
      </c>
      <c r="I10" s="16">
        <f>IF(B5&lt;&gt;2,10,21)</f>
        <v>21</v>
      </c>
      <c r="J10" s="8"/>
      <c r="K10" s="16" t="s">
        <v>199</v>
      </c>
      <c r="L10" s="16" t="s">
        <v>69</v>
      </c>
      <c r="O10" s="8"/>
      <c r="P10" s="16" t="s">
        <v>70</v>
      </c>
      <c r="Q10" s="16" t="s">
        <v>69</v>
      </c>
      <c r="R10" s="8"/>
      <c r="S10" s="8"/>
      <c r="T10" s="8"/>
      <c r="U10" s="19" t="s">
        <v>71</v>
      </c>
      <c r="V10" s="20">
        <v>1102</v>
      </c>
      <c r="W10" s="8"/>
      <c r="X10" s="8"/>
      <c r="Y10" s="21">
        <v>18</v>
      </c>
      <c r="Z10" s="361" t="s">
        <v>72</v>
      </c>
      <c r="AA10" s="22">
        <v>20</v>
      </c>
      <c r="AB10" s="23">
        <v>251</v>
      </c>
      <c r="AC10" s="24">
        <v>301</v>
      </c>
      <c r="AD10" s="24">
        <v>352</v>
      </c>
      <c r="AE10" s="24">
        <v>402</v>
      </c>
      <c r="AF10" s="24">
        <v>452</v>
      </c>
      <c r="AG10" s="25">
        <v>502</v>
      </c>
      <c r="AH10" s="25">
        <v>2</v>
      </c>
      <c r="AI10" s="8"/>
      <c r="AJ10" s="8"/>
      <c r="AK10" s="8"/>
      <c r="AL10" s="8"/>
      <c r="AM10" s="8"/>
      <c r="AN10" s="8"/>
      <c r="AO10" s="8"/>
      <c r="AP10" s="8"/>
      <c r="AQ10" s="16" t="s">
        <v>66</v>
      </c>
      <c r="AR10" s="16" t="s">
        <v>67</v>
      </c>
      <c r="AS10" s="16" t="s">
        <v>68</v>
      </c>
      <c r="AT10" s="16" t="s">
        <v>67</v>
      </c>
      <c r="AU10" s="16" t="s">
        <v>68</v>
      </c>
      <c r="AV10" s="16" t="s">
        <v>67</v>
      </c>
      <c r="AW10" s="16" t="s">
        <v>68</v>
      </c>
      <c r="AX10" s="16" t="s">
        <v>67</v>
      </c>
      <c r="AY10" s="16" t="s">
        <v>68</v>
      </c>
      <c r="AZ10" s="16" t="s">
        <v>67</v>
      </c>
      <c r="BA10" s="16" t="s">
        <v>68</v>
      </c>
      <c r="BB10" s="16" t="s">
        <v>67</v>
      </c>
      <c r="BC10" s="16" t="s">
        <v>68</v>
      </c>
      <c r="BD10" s="16" t="s">
        <v>67</v>
      </c>
      <c r="BE10" s="16" t="s">
        <v>68</v>
      </c>
      <c r="BF10" s="16" t="s">
        <v>67</v>
      </c>
      <c r="BG10" s="16" t="s">
        <v>68</v>
      </c>
      <c r="BH10" s="8"/>
      <c r="BI10" s="16" t="s">
        <v>66</v>
      </c>
      <c r="BJ10" s="16" t="s">
        <v>67</v>
      </c>
      <c r="BK10" s="16" t="s">
        <v>68</v>
      </c>
      <c r="BL10" s="16" t="s">
        <v>67</v>
      </c>
      <c r="BM10" s="16" t="s">
        <v>68</v>
      </c>
      <c r="BN10" s="16" t="s">
        <v>67</v>
      </c>
      <c r="BO10" s="16" t="s">
        <v>68</v>
      </c>
      <c r="BP10" s="16" t="s">
        <v>67</v>
      </c>
      <c r="BQ10" s="16" t="s">
        <v>68</v>
      </c>
      <c r="BR10" s="16" t="s">
        <v>67</v>
      </c>
      <c r="BS10" s="16" t="s">
        <v>68</v>
      </c>
      <c r="BT10" s="16" t="s">
        <v>67</v>
      </c>
      <c r="BU10" s="16" t="s">
        <v>68</v>
      </c>
      <c r="BV10" s="8"/>
      <c r="BW10" s="16" t="s">
        <v>7</v>
      </c>
      <c r="BX10" s="16" t="s">
        <v>73</v>
      </c>
      <c r="BY10" s="16" t="s">
        <v>74</v>
      </c>
      <c r="BZ10" s="16" t="s">
        <v>73</v>
      </c>
      <c r="CA10" s="16" t="s">
        <v>74</v>
      </c>
      <c r="CB10" s="16" t="s">
        <v>73</v>
      </c>
      <c r="CC10" s="16" t="s">
        <v>74</v>
      </c>
      <c r="CD10" s="16" t="s">
        <v>73</v>
      </c>
      <c r="CE10" s="16" t="s">
        <v>74</v>
      </c>
      <c r="CF10" s="16" t="s">
        <v>73</v>
      </c>
      <c r="CG10" s="16" t="s">
        <v>74</v>
      </c>
      <c r="CH10" s="16" t="s">
        <v>73</v>
      </c>
      <c r="CI10" s="16" t="s">
        <v>74</v>
      </c>
    </row>
    <row r="11" spans="1:87" ht="15.75" thickBot="1" x14ac:dyDescent="0.3">
      <c r="A11" s="26">
        <v>0</v>
      </c>
      <c r="B11" s="27">
        <f>ROUND(IF($B$5=2,IF($B$7=1,AR11,IF($B$7=2,AT11,IF($B$7=3,AV11,IF($B$7=4,AX11,IF($B$7=5,AZ11,IF($B$7=6,BB11,IF($B$7=7,BD11,IF($B$7=8,BF11)))))))),IF($B$7=1,BJ11,IF($B$7=2,BL11,IF($B$7=3,BN11,IF($B$7=4,BP11,IF($B$7=5,BR11,BT11))))))*$B$8*$B$6,2)</f>
        <v>5976.21</v>
      </c>
      <c r="C11" s="27">
        <f>ROUND(IF($B$5=2,IF($B$7=1,AS11,IF($B$7=2,AU11,IF($B$7=3,AW11,IF($B$7=4,AY11,IF($B$7=5,BA11,IF($B$7=6,BC11,IF($B$7=7,BE11,BG11))))))),IF($B$7=1,BK11,IF($B$7=2,BM11,IF($B$7=3,BO11,IF($B$7=4,BQ11,IF($B$7=5,BS11,BU11))))))*$B$8*$B$6,2)</f>
        <v>5676.77</v>
      </c>
      <c r="D11" s="8"/>
      <c r="E11" s="28">
        <v>19</v>
      </c>
      <c r="F11" s="29">
        <v>0.29409999999999997</v>
      </c>
      <c r="G11" s="30">
        <f ca="1">IF(AND($B$4&lt;&gt;2, IF(I11&lt;&gt;"",INDIRECT("e"&amp;I11,TRUE),"")="26,738 UMAM"),"Sin Límite",IF(I11&lt;&gt;"",INDIRECT("e"&amp;I11,TRUE),""))</f>
        <v>125</v>
      </c>
      <c r="H11" s="31">
        <f ca="1">IF(G11&lt;&gt;"",IF(ISERROR(VLOOKUP(G11,$E$10:$F$86,2,FALSE))=TRUE,IF(G11="Sin Límite",$F$84,0),VLOOKUP(G11,$E$10:$F$86,2,FALSE)),0)</f>
        <v>0.68930000000000002</v>
      </c>
      <c r="I11" s="28">
        <f ca="1">IF(I10&lt;73,IF(INDIRECT("E"&amp;(I10+1),TRUE)&lt;&gt;"",I10+1,IF(INDIRECT("E"&amp;(I10+2),TRUE)&lt;&gt;"",I10+2,I10+3)),"")</f>
        <v>22</v>
      </c>
      <c r="J11" s="32"/>
      <c r="K11" s="125">
        <v>0.8</v>
      </c>
      <c r="L11" s="29">
        <v>1</v>
      </c>
      <c r="O11" s="8"/>
      <c r="P11" s="36">
        <v>0</v>
      </c>
      <c r="Q11" s="29">
        <v>1.1100000000000001</v>
      </c>
      <c r="R11" s="8"/>
      <c r="S11" s="8"/>
      <c r="T11" s="8"/>
      <c r="U11" s="37" t="s">
        <v>75</v>
      </c>
      <c r="V11" s="38">
        <v>1150</v>
      </c>
      <c r="W11" s="8"/>
      <c r="X11" s="8"/>
      <c r="Y11" s="39">
        <v>21</v>
      </c>
      <c r="Z11" s="362" t="s">
        <v>72</v>
      </c>
      <c r="AA11" s="40">
        <v>25</v>
      </c>
      <c r="AB11" s="41">
        <v>239</v>
      </c>
      <c r="AC11" s="42">
        <v>287</v>
      </c>
      <c r="AD11" s="42">
        <v>335</v>
      </c>
      <c r="AE11" s="42">
        <v>382</v>
      </c>
      <c r="AF11" s="42">
        <v>430</v>
      </c>
      <c r="AG11" s="43">
        <v>478</v>
      </c>
      <c r="AH11" s="43">
        <v>3</v>
      </c>
      <c r="AI11" s="8"/>
      <c r="AJ11" s="8"/>
      <c r="AK11" s="8"/>
      <c r="AL11" s="8"/>
      <c r="AM11" s="8"/>
      <c r="AO11">
        <f>BD11/BB11</f>
        <v>0.89594546858032531</v>
      </c>
      <c r="AP11" s="8">
        <f t="shared" ref="AP11:AP73" si="0">BE11/BC11</f>
        <v>0.89591270595559802</v>
      </c>
      <c r="AQ11" s="26">
        <v>0</v>
      </c>
      <c r="AR11" s="192">
        <v>9280.1772000000019</v>
      </c>
      <c r="AS11" s="192">
        <v>8814.4434000000019</v>
      </c>
      <c r="AT11" s="44">
        <v>4955.1242490000013</v>
      </c>
      <c r="AU11" s="44">
        <v>4706.4371850000007</v>
      </c>
      <c r="AV11" s="44">
        <v>8235.3440790000004</v>
      </c>
      <c r="AW11" s="44">
        <v>7822.0114920000024</v>
      </c>
      <c r="AX11" s="44">
        <v>5619.8052360000001</v>
      </c>
      <c r="AY11" s="44">
        <v>5338.2211020000004</v>
      </c>
      <c r="AZ11" s="44">
        <v>5976.2146802643165</v>
      </c>
      <c r="BA11" s="44">
        <v>5676.7724105286343</v>
      </c>
      <c r="BB11" s="44">
        <v>4708.6549650000006</v>
      </c>
      <c r="BC11" s="44">
        <v>4472.5599630000015</v>
      </c>
      <c r="BD11" s="44">
        <v>4218.6980790000007</v>
      </c>
      <c r="BE11" s="44">
        <v>4007.0232990000009</v>
      </c>
      <c r="BF11" s="44">
        <v>5426.3074602449997</v>
      </c>
      <c r="BG11" s="44">
        <v>5153.9727209249995</v>
      </c>
      <c r="BH11" s="8"/>
      <c r="BI11" s="26">
        <v>0</v>
      </c>
      <c r="BJ11" s="45">
        <f>VLOOKUP(BI11,$BW$11:$CE$28,2,TRUE)</f>
        <v>0</v>
      </c>
      <c r="BK11" s="45">
        <f>VLOOKUP(BI11,$BW$11:$CE$28,3,TRUE)</f>
        <v>0</v>
      </c>
      <c r="BL11" s="27">
        <f>VLOOKUP(BI11,$BW$11:$CE$28,4,TRUE)</f>
        <v>0</v>
      </c>
      <c r="BM11" s="27">
        <f>VLOOKUP(BI11,$BW$11:$CE$28,5,TRUE)</f>
        <v>0</v>
      </c>
      <c r="BN11" s="27">
        <f>VLOOKUP(BI11,$BW$11:$CE$28,6,TRUE)</f>
        <v>0</v>
      </c>
      <c r="BO11" s="27">
        <f>VLOOKUP(BI11,$BW$11:$CE$28,7,TRUE)</f>
        <v>0</v>
      </c>
      <c r="BP11" s="27">
        <f>VLOOKUP(BI11,$BW$11:$CE$28,8,TRUE)</f>
        <v>0</v>
      </c>
      <c r="BQ11" s="27">
        <f>VLOOKUP(BI11,$BW$11:$CE$28,9,TRUE)</f>
        <v>0</v>
      </c>
      <c r="BR11" s="27">
        <f>VLOOKUP(BI11,$BW$11:$CG$28,10,TRUE)</f>
        <v>0</v>
      </c>
      <c r="BS11" s="27">
        <f>VLOOKUP(BI11,$BW$11:$CG$28,11,TRUE)</f>
        <v>0</v>
      </c>
      <c r="BT11" s="27">
        <f>VLOOKUP(BI11,$BW$11:$CI$28,12,TRUE)</f>
        <v>0</v>
      </c>
      <c r="BU11" s="27">
        <f>VLOOKUP(BI11,$BW$11:$CI$28,13,TRUE)</f>
        <v>0</v>
      </c>
      <c r="BV11" s="8"/>
      <c r="BW11" s="46">
        <v>0</v>
      </c>
      <c r="BX11" s="192">
        <v>0</v>
      </c>
      <c r="BY11" s="192">
        <v>0</v>
      </c>
      <c r="BZ11" s="192">
        <v>0</v>
      </c>
      <c r="CA11" s="192">
        <v>0</v>
      </c>
      <c r="CB11" s="192">
        <v>0</v>
      </c>
      <c r="CC11" s="192">
        <v>0</v>
      </c>
      <c r="CD11" s="192">
        <v>0</v>
      </c>
      <c r="CE11" s="192">
        <v>0</v>
      </c>
      <c r="CF11" s="192">
        <v>0</v>
      </c>
      <c r="CG11" s="192">
        <v>0</v>
      </c>
      <c r="CH11" s="192">
        <v>0</v>
      </c>
      <c r="CI11" s="192">
        <v>0</v>
      </c>
    </row>
    <row r="12" spans="1:87" x14ac:dyDescent="0.25">
      <c r="A12" s="47">
        <v>1</v>
      </c>
      <c r="B12" s="48">
        <f t="shared" ref="B12:B75" si="1">ROUND(IF($B$5=2,IF($B$7=1,AR12,IF($B$7=2,AT12,IF($B$7=3,AV12,IF($B$7=4,AX12,IF($B$7=5,AZ12,IF($B$7=6,BB12,IF($B$7=7,BD12,BF12))))))),IF($B$7=1,BJ12,IF($B$7=2,BL12,IF($B$7=3,BN12,IF($B$7=4,BP12,IF($B$7=5,BR12,BT12))))))*$B$8*$B$6,2)</f>
        <v>5977.92</v>
      </c>
      <c r="C12" s="48">
        <f>ROUND(IF($B$5=2,IF($B$7=1,AS12,IF($B$7=2,AU12,IF($B$7=3,AW12,IF($B$7=4,AY12,IF($B$7=5,BA12,IF($B$7=6,BC12,IF($B$7=7,BE12,BG12))))))),IF($B$7=1,BK12,IF($B$7=2,BM12,IF($B$7=3,BO12,IF($B$7=4,BQ12,IF($B$7=5,BS12,BU12))))))*$B$8*$B$6,2)</f>
        <v>5678.46</v>
      </c>
      <c r="D12" s="8"/>
      <c r="E12" s="49">
        <v>23</v>
      </c>
      <c r="F12" s="34">
        <v>0.3342</v>
      </c>
      <c r="G12" s="50">
        <f t="shared" ref="G12:G44" ca="1" si="2">IF(AND($B$4&lt;&gt;2, IF(I12&lt;&gt;"",INDIRECT("e"&amp;I12,TRUE),"")="26,738 UMAM"),"Sin Límite",IF(I12&lt;&gt;"",INDIRECT("e"&amp;I12,TRUE),""))</f>
        <v>150</v>
      </c>
      <c r="H12" s="51">
        <f t="shared" ref="H12:H73" ca="1" si="3">IF(G12&lt;&gt;"",IF(ISERROR(VLOOKUP(G12,$E$10:$F$86,2,FALSE))=TRUE,IF(G12="Sin Límite",$F$84,0),VLOOKUP(G12,$E$10:$F$86,2,FALSE)),0)</f>
        <v>0.72750000000000004</v>
      </c>
      <c r="I12" s="49">
        <f t="shared" ref="I12:I73" ca="1" si="4">IF(I11&lt;73,IF(INDIRECT("E"&amp;(I11+1),TRUE)&lt;&gt;"",I11+1,IF(INDIRECT("E"&amp;(I11+2),TRUE)&lt;&gt;"",I11+2,I11+3)),"")</f>
        <v>23</v>
      </c>
      <c r="J12" s="32"/>
      <c r="K12" s="33">
        <v>1</v>
      </c>
      <c r="L12" s="34">
        <v>0.99209999999999998</v>
      </c>
      <c r="O12" s="8"/>
      <c r="P12" s="52">
        <v>0.05</v>
      </c>
      <c r="Q12" s="34">
        <v>1.06</v>
      </c>
      <c r="R12" s="8"/>
      <c r="S12" s="8"/>
      <c r="T12" s="8"/>
      <c r="U12" s="8"/>
      <c r="V12" s="8"/>
      <c r="W12" s="8"/>
      <c r="X12" s="8"/>
      <c r="Y12" s="39">
        <v>26</v>
      </c>
      <c r="Z12" s="362" t="s">
        <v>72</v>
      </c>
      <c r="AA12" s="40">
        <v>30</v>
      </c>
      <c r="AB12" s="41">
        <v>333</v>
      </c>
      <c r="AC12" s="42">
        <v>400</v>
      </c>
      <c r="AD12" s="42">
        <v>466</v>
      </c>
      <c r="AE12" s="42">
        <v>533</v>
      </c>
      <c r="AF12" s="42">
        <v>600</v>
      </c>
      <c r="AG12" s="43">
        <v>666</v>
      </c>
      <c r="AH12" s="43">
        <v>4</v>
      </c>
      <c r="AI12" s="8"/>
      <c r="AJ12" s="8"/>
      <c r="AK12" s="8"/>
      <c r="AL12" s="8"/>
      <c r="AM12" s="8"/>
      <c r="AO12">
        <f t="shared" ref="AO12:AO75" si="5">BD12/BB12</f>
        <v>0.89597813149875094</v>
      </c>
      <c r="AP12" s="8">
        <f t="shared" si="0"/>
        <v>0.8959299074816216</v>
      </c>
      <c r="AQ12" s="47">
        <v>1</v>
      </c>
      <c r="AR12" s="193">
        <v>9282.6414000000022</v>
      </c>
      <c r="AS12" s="193">
        <v>8816.9076000000023</v>
      </c>
      <c r="AT12" s="53">
        <v>4956.602769000001</v>
      </c>
      <c r="AU12" s="53">
        <v>4707.9157050000013</v>
      </c>
      <c r="AV12" s="53">
        <v>8237.4879330000003</v>
      </c>
      <c r="AW12" s="53">
        <v>7824.1430250000021</v>
      </c>
      <c r="AX12" s="53">
        <v>5621.4069660000005</v>
      </c>
      <c r="AY12" s="53">
        <v>5339.8105110000015</v>
      </c>
      <c r="AZ12" s="53">
        <v>5977.9179923788543</v>
      </c>
      <c r="BA12" s="53">
        <v>5678.4626202422905</v>
      </c>
      <c r="BB12" s="53">
        <v>4710.1334850000012</v>
      </c>
      <c r="BC12" s="53">
        <v>4473.2992230000009</v>
      </c>
      <c r="BD12" s="53">
        <v>4220.1765990000013</v>
      </c>
      <c r="BE12" s="53">
        <v>4007.7625590000007</v>
      </c>
      <c r="BF12" s="53">
        <v>5427.9265728449991</v>
      </c>
      <c r="BG12" s="53">
        <v>5155.5918335249999</v>
      </c>
      <c r="BH12" s="8"/>
      <c r="BI12" s="47">
        <v>1</v>
      </c>
      <c r="BJ12" s="54">
        <f t="shared" ref="BJ12:BJ75" si="6">VLOOKUP(BI12,$BW$11:$CE$28,2,TRUE)</f>
        <v>0</v>
      </c>
      <c r="BK12" s="54">
        <f t="shared" ref="BK12:BK75" si="7">VLOOKUP(BI12,$BW$11:$CE$28,3,TRUE)</f>
        <v>0</v>
      </c>
      <c r="BL12" s="48">
        <f t="shared" ref="BL12:BL75" si="8">VLOOKUP(BI12,$BW$11:$CE$28,4,TRUE)</f>
        <v>0</v>
      </c>
      <c r="BM12" s="48">
        <f t="shared" ref="BM12:BM75" si="9">VLOOKUP(BI12,$BW$11:$CE$28,5,TRUE)</f>
        <v>0</v>
      </c>
      <c r="BN12" s="48">
        <f t="shared" ref="BN12:BN75" si="10">VLOOKUP(BI12,$BW$11:$CE$28,6,TRUE)</f>
        <v>0</v>
      </c>
      <c r="BO12" s="48">
        <f t="shared" ref="BO12:BO75" si="11">VLOOKUP(BI12,$BW$11:$CE$28,7,TRUE)</f>
        <v>0</v>
      </c>
      <c r="BP12" s="48">
        <f t="shared" ref="BP12:BP75" si="12">VLOOKUP(BI12,$BW$11:$CE$28,8,TRUE)</f>
        <v>0</v>
      </c>
      <c r="BQ12" s="48">
        <f t="shared" ref="BQ12:BQ75" si="13">VLOOKUP(BI12,$BW$11:$CE$28,9,TRUE)</f>
        <v>0</v>
      </c>
      <c r="BR12" s="48">
        <f t="shared" ref="BR12:BR75" si="14">VLOOKUP(BI12,$BW$11:$CG$28,10,TRUE)</f>
        <v>0</v>
      </c>
      <c r="BS12" s="48">
        <f t="shared" ref="BS12:BS75" si="15">VLOOKUP(BI12,$BW$11:$CG$28,11,TRUE)</f>
        <v>0</v>
      </c>
      <c r="BT12" s="48">
        <f t="shared" ref="BT12:BT75" si="16">VLOOKUP(BI12,$BW$11:$CI$28,12,TRUE)</f>
        <v>0</v>
      </c>
      <c r="BU12" s="48">
        <f t="shared" ref="BU12:BU75" si="17">VLOOKUP(BI12,$BW$11:$CI$28,13,TRUE)</f>
        <v>0</v>
      </c>
      <c r="BV12" s="8"/>
      <c r="BW12" s="55">
        <v>4</v>
      </c>
      <c r="BX12" s="193">
        <v>0</v>
      </c>
      <c r="BY12" s="193">
        <v>0</v>
      </c>
      <c r="BZ12" s="193">
        <v>0</v>
      </c>
      <c r="CA12" s="193">
        <v>0</v>
      </c>
      <c r="CB12" s="193">
        <v>0</v>
      </c>
      <c r="CC12" s="193">
        <v>0</v>
      </c>
      <c r="CD12" s="193">
        <v>0</v>
      </c>
      <c r="CE12" s="193">
        <v>0</v>
      </c>
      <c r="CF12" s="193">
        <v>0</v>
      </c>
      <c r="CG12" s="193">
        <v>0</v>
      </c>
      <c r="CH12" s="193">
        <v>0</v>
      </c>
      <c r="CI12" s="193">
        <v>0</v>
      </c>
    </row>
    <row r="13" spans="1:87" x14ac:dyDescent="0.25">
      <c r="A13" s="47">
        <v>2</v>
      </c>
      <c r="B13" s="48">
        <f t="shared" si="1"/>
        <v>5980.45</v>
      </c>
      <c r="C13" s="48">
        <f t="shared" ref="C13:C76" si="18">ROUND(IF($B$5=2,IF($B$7=1,AS13,IF($B$7=2,AU13,IF($B$7=3,AW13,IF($B$7=4,AY13,IF($B$7=5,BA13,IF($B$7=6,BC13,IF($B$7=7,BE13,BG13))))))),IF($B$7=1,BK13,IF($B$7=2,BM13,IF($B$7=3,BO13,IF($B$7=4,BQ13,IF($B$7=5,BS13,BU13))))))*$B$8*$B$6,2)</f>
        <v>5680.15</v>
      </c>
      <c r="D13" s="8"/>
      <c r="E13" s="49">
        <v>31</v>
      </c>
      <c r="F13" s="34">
        <v>0.39679999999999999</v>
      </c>
      <c r="G13" s="50">
        <f t="shared" ca="1" si="2"/>
        <v>153</v>
      </c>
      <c r="H13" s="51">
        <f t="shared" ca="1" si="3"/>
        <v>0.73170000000000002</v>
      </c>
      <c r="I13" s="49">
        <f t="shared" ca="1" si="4"/>
        <v>24</v>
      </c>
      <c r="J13" s="32"/>
      <c r="K13" s="33">
        <v>1.3</v>
      </c>
      <c r="L13" s="34">
        <v>0.98040000000000005</v>
      </c>
      <c r="O13" s="10"/>
      <c r="P13" s="56">
        <v>0.1</v>
      </c>
      <c r="Q13" s="57">
        <v>1</v>
      </c>
      <c r="R13" s="8"/>
      <c r="S13" s="8"/>
      <c r="T13" s="8"/>
      <c r="U13" s="8"/>
      <c r="V13" s="8"/>
      <c r="W13" s="8"/>
      <c r="X13" s="8"/>
      <c r="Y13" s="39">
        <v>31</v>
      </c>
      <c r="Z13" s="362" t="s">
        <v>72</v>
      </c>
      <c r="AA13" s="40">
        <v>35</v>
      </c>
      <c r="AB13" s="41">
        <v>542</v>
      </c>
      <c r="AC13" s="42">
        <v>650</v>
      </c>
      <c r="AD13" s="42">
        <v>759</v>
      </c>
      <c r="AE13" s="42">
        <v>867</v>
      </c>
      <c r="AF13" s="42">
        <v>975</v>
      </c>
      <c r="AG13" s="43">
        <v>1084</v>
      </c>
      <c r="AH13" s="43">
        <v>5</v>
      </c>
      <c r="AI13" s="8"/>
      <c r="AJ13" s="8"/>
      <c r="AK13" s="8"/>
      <c r="AL13" s="8"/>
      <c r="AM13" s="8"/>
      <c r="AO13">
        <f t="shared" si="5"/>
        <v>0.89586786799349483</v>
      </c>
      <c r="AP13" s="8">
        <f t="shared" si="0"/>
        <v>0.89596429348289974</v>
      </c>
      <c r="AQ13" s="47">
        <v>2</v>
      </c>
      <c r="AR13" s="193">
        <v>9287.5698000000011</v>
      </c>
      <c r="AS13" s="193">
        <v>8819.3718000000026</v>
      </c>
      <c r="AT13" s="53">
        <v>4958.8205490000009</v>
      </c>
      <c r="AU13" s="53">
        <v>4709.3942250000009</v>
      </c>
      <c r="AV13" s="53">
        <v>8241.0487020000019</v>
      </c>
      <c r="AW13" s="53">
        <v>7827.0014970000011</v>
      </c>
      <c r="AX13" s="53">
        <v>5623.7849190000015</v>
      </c>
      <c r="AY13" s="53">
        <v>5341.3999200000007</v>
      </c>
      <c r="AZ13" s="53">
        <v>5980.4467557488988</v>
      </c>
      <c r="BA13" s="53">
        <v>5680.1528299559468</v>
      </c>
      <c r="BB13" s="53">
        <v>4712.3635860000013</v>
      </c>
      <c r="BC13" s="53">
        <v>4474.7777430000006</v>
      </c>
      <c r="BD13" s="53">
        <v>4221.6551190000009</v>
      </c>
      <c r="BE13" s="53">
        <v>4009.2410790000004</v>
      </c>
      <c r="BF13" s="53">
        <v>5430.3552417450001</v>
      </c>
      <c r="BG13" s="53">
        <v>5157.2109461250002</v>
      </c>
      <c r="BH13" s="8"/>
      <c r="BI13" s="47">
        <v>2</v>
      </c>
      <c r="BJ13" s="54">
        <f t="shared" si="6"/>
        <v>0</v>
      </c>
      <c r="BK13" s="54">
        <f t="shared" si="7"/>
        <v>0</v>
      </c>
      <c r="BL13" s="48">
        <f t="shared" si="8"/>
        <v>0</v>
      </c>
      <c r="BM13" s="48">
        <f t="shared" si="9"/>
        <v>0</v>
      </c>
      <c r="BN13" s="48">
        <f t="shared" si="10"/>
        <v>0</v>
      </c>
      <c r="BO13" s="48">
        <f t="shared" si="11"/>
        <v>0</v>
      </c>
      <c r="BP13" s="48">
        <f t="shared" si="12"/>
        <v>0</v>
      </c>
      <c r="BQ13" s="48">
        <f t="shared" si="13"/>
        <v>0</v>
      </c>
      <c r="BR13" s="48">
        <f t="shared" si="14"/>
        <v>0</v>
      </c>
      <c r="BS13" s="48">
        <f t="shared" si="15"/>
        <v>0</v>
      </c>
      <c r="BT13" s="48">
        <f t="shared" si="16"/>
        <v>0</v>
      </c>
      <c r="BU13" s="48">
        <f t="shared" si="17"/>
        <v>0</v>
      </c>
      <c r="BV13" s="8"/>
      <c r="BW13" s="55">
        <v>20</v>
      </c>
      <c r="BX13" s="193">
        <v>0</v>
      </c>
      <c r="BY13" s="193">
        <v>0</v>
      </c>
      <c r="BZ13" s="193">
        <v>0</v>
      </c>
      <c r="CA13" s="193">
        <v>0</v>
      </c>
      <c r="CB13" s="193">
        <v>0</v>
      </c>
      <c r="CC13" s="193">
        <v>0</v>
      </c>
      <c r="CD13" s="193">
        <v>0</v>
      </c>
      <c r="CE13" s="193">
        <v>0</v>
      </c>
      <c r="CF13" s="193">
        <v>0</v>
      </c>
      <c r="CG13" s="193">
        <v>0</v>
      </c>
      <c r="CH13" s="193">
        <v>0</v>
      </c>
      <c r="CI13" s="193">
        <v>0</v>
      </c>
    </row>
    <row r="14" spans="1:87" x14ac:dyDescent="0.25">
      <c r="A14" s="47">
        <v>3</v>
      </c>
      <c r="B14" s="48">
        <f t="shared" si="1"/>
        <v>5983.83</v>
      </c>
      <c r="C14" s="48">
        <f t="shared" si="18"/>
        <v>5682.69</v>
      </c>
      <c r="D14" s="8"/>
      <c r="E14" s="49">
        <v>38</v>
      </c>
      <c r="F14" s="34">
        <v>0.4395</v>
      </c>
      <c r="G14" s="50">
        <f t="shared" ca="1" si="2"/>
        <v>200</v>
      </c>
      <c r="H14" s="51">
        <f t="shared" ca="1" si="3"/>
        <v>0.78779999999999994</v>
      </c>
      <c r="I14" s="49">
        <f t="shared" ca="1" si="4"/>
        <v>25</v>
      </c>
      <c r="J14" s="32"/>
      <c r="K14" s="33">
        <v>1.5</v>
      </c>
      <c r="L14" s="34">
        <v>0.97270000000000001</v>
      </c>
      <c r="O14" s="10"/>
      <c r="P14" s="56">
        <v>0.15</v>
      </c>
      <c r="Q14" s="57">
        <v>0.94</v>
      </c>
      <c r="R14" s="8"/>
      <c r="S14" s="8"/>
      <c r="T14" s="8"/>
      <c r="U14" s="8"/>
      <c r="V14" s="8"/>
      <c r="W14" s="8"/>
      <c r="X14" s="8"/>
      <c r="Y14" s="39">
        <v>36</v>
      </c>
      <c r="Z14" s="362" t="s">
        <v>72</v>
      </c>
      <c r="AA14" s="40">
        <v>40</v>
      </c>
      <c r="AB14" s="41">
        <v>855</v>
      </c>
      <c r="AC14" s="42">
        <v>1026</v>
      </c>
      <c r="AD14" s="42">
        <v>1197</v>
      </c>
      <c r="AE14" s="42">
        <v>1368</v>
      </c>
      <c r="AF14" s="42">
        <v>1539</v>
      </c>
      <c r="AG14" s="43">
        <v>1710</v>
      </c>
      <c r="AH14" s="43">
        <v>6</v>
      </c>
      <c r="AI14" s="8"/>
      <c r="AJ14" s="8"/>
      <c r="AK14" s="8"/>
      <c r="AL14" s="8"/>
      <c r="AM14" s="8"/>
      <c r="AO14">
        <f t="shared" si="5"/>
        <v>0.89605735703867873</v>
      </c>
      <c r="AP14" s="8">
        <f t="shared" si="0"/>
        <v>0.89601582990012751</v>
      </c>
      <c r="AQ14" s="47">
        <v>3</v>
      </c>
      <c r="AR14" s="193">
        <v>9291.2661000000007</v>
      </c>
      <c r="AS14" s="193">
        <v>8824.3002000000015</v>
      </c>
      <c r="AT14" s="53">
        <v>4961.0383290000009</v>
      </c>
      <c r="AU14" s="53">
        <v>4711.624326000001</v>
      </c>
      <c r="AV14" s="53">
        <v>8245.3240890000015</v>
      </c>
      <c r="AW14" s="53">
        <v>7830.5622660000017</v>
      </c>
      <c r="AX14" s="53">
        <v>5626.9637370000009</v>
      </c>
      <c r="AY14" s="53">
        <v>5343.790194000002</v>
      </c>
      <c r="AZ14" s="53">
        <v>5983.8271751762113</v>
      </c>
      <c r="BA14" s="53">
        <v>5682.6946957268729</v>
      </c>
      <c r="BB14" s="53">
        <v>4713.8421060000019</v>
      </c>
      <c r="BC14" s="53">
        <v>4476.9955230000005</v>
      </c>
      <c r="BD14" s="53">
        <v>4223.8728990000009</v>
      </c>
      <c r="BE14" s="53">
        <v>4011.4588590000008</v>
      </c>
      <c r="BF14" s="53">
        <v>5432.7839106450001</v>
      </c>
      <c r="BG14" s="53">
        <v>5159.6531076299998</v>
      </c>
      <c r="BH14" s="8"/>
      <c r="BI14" s="47">
        <v>3</v>
      </c>
      <c r="BJ14" s="54">
        <f t="shared" si="6"/>
        <v>0</v>
      </c>
      <c r="BK14" s="54">
        <f t="shared" si="7"/>
        <v>0</v>
      </c>
      <c r="BL14" s="48">
        <f t="shared" si="8"/>
        <v>0</v>
      </c>
      <c r="BM14" s="48">
        <f t="shared" si="9"/>
        <v>0</v>
      </c>
      <c r="BN14" s="48">
        <f t="shared" si="10"/>
        <v>0</v>
      </c>
      <c r="BO14" s="48">
        <f t="shared" si="11"/>
        <v>0</v>
      </c>
      <c r="BP14" s="48">
        <f t="shared" si="12"/>
        <v>0</v>
      </c>
      <c r="BQ14" s="48">
        <f t="shared" si="13"/>
        <v>0</v>
      </c>
      <c r="BR14" s="48">
        <f t="shared" si="14"/>
        <v>0</v>
      </c>
      <c r="BS14" s="48">
        <f t="shared" si="15"/>
        <v>0</v>
      </c>
      <c r="BT14" s="48">
        <f t="shared" si="16"/>
        <v>0</v>
      </c>
      <c r="BU14" s="48">
        <f t="shared" si="17"/>
        <v>0</v>
      </c>
      <c r="BV14" s="8"/>
      <c r="BW14" s="55">
        <v>25</v>
      </c>
      <c r="BX14" s="193">
        <v>0</v>
      </c>
      <c r="BY14" s="193">
        <v>0</v>
      </c>
      <c r="BZ14" s="193">
        <v>0</v>
      </c>
      <c r="CA14" s="193">
        <v>0</v>
      </c>
      <c r="CB14" s="193">
        <v>0</v>
      </c>
      <c r="CC14" s="193">
        <v>0</v>
      </c>
      <c r="CD14" s="193">
        <v>0</v>
      </c>
      <c r="CE14" s="193">
        <v>0</v>
      </c>
      <c r="CF14" s="193">
        <v>0</v>
      </c>
      <c r="CG14" s="193">
        <v>0</v>
      </c>
      <c r="CH14" s="193">
        <v>0</v>
      </c>
      <c r="CI14" s="193">
        <v>0</v>
      </c>
    </row>
    <row r="15" spans="1:87" x14ac:dyDescent="0.25">
      <c r="A15" s="47">
        <v>4</v>
      </c>
      <c r="B15" s="48">
        <f t="shared" si="1"/>
        <v>5985.53</v>
      </c>
      <c r="C15" s="48">
        <f t="shared" si="18"/>
        <v>5683.55</v>
      </c>
      <c r="D15" s="8"/>
      <c r="E15" s="49">
        <v>46</v>
      </c>
      <c r="F15" s="34">
        <v>0.47960000000000003</v>
      </c>
      <c r="G15" s="50">
        <f t="shared" ca="1" si="2"/>
        <v>220</v>
      </c>
      <c r="H15" s="51">
        <f t="shared" ca="1" si="3"/>
        <v>0.80779999999999996</v>
      </c>
      <c r="I15" s="49">
        <f t="shared" ca="1" si="4"/>
        <v>26</v>
      </c>
      <c r="J15" s="32"/>
      <c r="K15" s="33">
        <v>1.7</v>
      </c>
      <c r="L15" s="34">
        <v>0.96509999999999996</v>
      </c>
      <c r="O15" s="10"/>
      <c r="P15" s="56">
        <v>0.2</v>
      </c>
      <c r="Q15" s="57">
        <v>0.89</v>
      </c>
      <c r="R15" s="8"/>
      <c r="S15" s="8"/>
      <c r="T15" s="8"/>
      <c r="U15" s="8"/>
      <c r="V15" s="8"/>
      <c r="W15" s="8"/>
      <c r="X15" s="8"/>
      <c r="Y15" s="39">
        <v>41</v>
      </c>
      <c r="Z15" s="362" t="s">
        <v>72</v>
      </c>
      <c r="AA15" s="40">
        <v>45</v>
      </c>
      <c r="AB15" s="41">
        <v>1255</v>
      </c>
      <c r="AC15" s="42">
        <v>1506</v>
      </c>
      <c r="AD15" s="58">
        <v>1757</v>
      </c>
      <c r="AE15" s="58">
        <v>2008</v>
      </c>
      <c r="AF15" s="58">
        <v>2259</v>
      </c>
      <c r="AG15" s="59">
        <v>2510</v>
      </c>
      <c r="AH15" s="59">
        <v>7</v>
      </c>
      <c r="AI15" s="8"/>
      <c r="AJ15" s="8"/>
      <c r="AK15" s="8"/>
      <c r="AL15" s="8"/>
      <c r="AM15" s="8"/>
      <c r="AN15" s="8"/>
      <c r="AO15" s="366">
        <f t="shared" si="5"/>
        <v>0.89593578360412451</v>
      </c>
      <c r="AP15" s="366">
        <f t="shared" si="0"/>
        <v>0.89603053183058901</v>
      </c>
      <c r="AQ15" s="47">
        <v>4</v>
      </c>
      <c r="AR15" s="193">
        <v>9293.7303000000029</v>
      </c>
      <c r="AS15" s="193">
        <v>8825.5323000000008</v>
      </c>
      <c r="AT15" s="53">
        <v>4962.5168490000015</v>
      </c>
      <c r="AU15" s="53">
        <v>4712.3635860000013</v>
      </c>
      <c r="AV15" s="53">
        <v>8247.4556220000013</v>
      </c>
      <c r="AW15" s="53">
        <v>7831.9915020000008</v>
      </c>
      <c r="AX15" s="53">
        <v>5628.5654670000013</v>
      </c>
      <c r="AY15" s="53">
        <v>5344.5910590000012</v>
      </c>
      <c r="AZ15" s="53">
        <v>5985.5304872907491</v>
      </c>
      <c r="BA15" s="53">
        <v>5683.5463517841408</v>
      </c>
      <c r="BB15" s="53">
        <v>4715.3206260000006</v>
      </c>
      <c r="BC15" s="53">
        <v>4477.7471040000009</v>
      </c>
      <c r="BD15" s="53">
        <v>4224.6244800000013</v>
      </c>
      <c r="BE15" s="53">
        <v>4012.1981190000006</v>
      </c>
      <c r="BF15" s="53">
        <v>5434.4030232450004</v>
      </c>
      <c r="BG15" s="53">
        <v>5160.4626639299995</v>
      </c>
      <c r="BH15" s="8"/>
      <c r="BI15" s="47">
        <v>4</v>
      </c>
      <c r="BJ15" s="54">
        <f t="shared" si="6"/>
        <v>0</v>
      </c>
      <c r="BK15" s="54">
        <f t="shared" si="7"/>
        <v>0</v>
      </c>
      <c r="BL15" s="48">
        <f t="shared" si="8"/>
        <v>0</v>
      </c>
      <c r="BM15" s="48">
        <f t="shared" si="9"/>
        <v>0</v>
      </c>
      <c r="BN15" s="48">
        <f t="shared" si="10"/>
        <v>0</v>
      </c>
      <c r="BO15" s="48">
        <f t="shared" si="11"/>
        <v>0</v>
      </c>
      <c r="BP15" s="48">
        <f t="shared" si="12"/>
        <v>0</v>
      </c>
      <c r="BQ15" s="48">
        <f t="shared" si="13"/>
        <v>0</v>
      </c>
      <c r="BR15" s="48">
        <f t="shared" si="14"/>
        <v>0</v>
      </c>
      <c r="BS15" s="48">
        <f t="shared" si="15"/>
        <v>0</v>
      </c>
      <c r="BT15" s="48">
        <f t="shared" si="16"/>
        <v>0</v>
      </c>
      <c r="BU15" s="48">
        <f t="shared" si="17"/>
        <v>0</v>
      </c>
      <c r="BV15" s="8"/>
      <c r="BW15" s="55">
        <v>30</v>
      </c>
      <c r="BX15" s="193">
        <v>0</v>
      </c>
      <c r="BY15" s="193">
        <v>0</v>
      </c>
      <c r="BZ15" s="193">
        <v>0</v>
      </c>
      <c r="CA15" s="193">
        <v>0</v>
      </c>
      <c r="CB15" s="193">
        <v>0</v>
      </c>
      <c r="CC15" s="193">
        <v>0</v>
      </c>
      <c r="CD15" s="193">
        <v>0</v>
      </c>
      <c r="CE15" s="193">
        <v>0</v>
      </c>
      <c r="CF15" s="193">
        <v>0</v>
      </c>
      <c r="CG15" s="193">
        <v>0</v>
      </c>
      <c r="CH15" s="193">
        <v>0</v>
      </c>
      <c r="CI15" s="193">
        <v>0</v>
      </c>
    </row>
    <row r="16" spans="1:87" x14ac:dyDescent="0.25">
      <c r="A16" s="47">
        <v>5</v>
      </c>
      <c r="B16" s="48">
        <f t="shared" si="1"/>
        <v>5987.22</v>
      </c>
      <c r="C16" s="48">
        <f t="shared" si="18"/>
        <v>5685.24</v>
      </c>
      <c r="D16" s="8"/>
      <c r="E16" s="49">
        <v>53</v>
      </c>
      <c r="F16" s="34">
        <v>0.50929999999999997</v>
      </c>
      <c r="G16" s="50">
        <f t="shared" ca="1" si="2"/>
        <v>225</v>
      </c>
      <c r="H16" s="51">
        <f t="shared" ca="1" si="3"/>
        <v>0.8125</v>
      </c>
      <c r="I16" s="49">
        <f t="shared" ca="1" si="4"/>
        <v>27</v>
      </c>
      <c r="J16" s="32"/>
      <c r="K16" s="33">
        <v>1.8</v>
      </c>
      <c r="L16" s="34">
        <v>0.96130000000000004</v>
      </c>
      <c r="O16" s="10"/>
      <c r="P16" s="56">
        <v>0.25</v>
      </c>
      <c r="Q16" s="57">
        <v>0.83</v>
      </c>
      <c r="R16" s="8"/>
      <c r="S16" s="8"/>
      <c r="T16" s="8"/>
      <c r="U16" s="8"/>
      <c r="V16" s="8"/>
      <c r="W16" s="8"/>
      <c r="X16" s="8"/>
      <c r="Y16" s="39">
        <v>46</v>
      </c>
      <c r="Z16" s="362" t="s">
        <v>72</v>
      </c>
      <c r="AA16" s="40">
        <v>50</v>
      </c>
      <c r="AB16" s="41">
        <v>1688</v>
      </c>
      <c r="AC16" s="58">
        <v>2025</v>
      </c>
      <c r="AD16" s="58">
        <v>2363</v>
      </c>
      <c r="AE16" s="58">
        <v>2700</v>
      </c>
      <c r="AF16" s="60">
        <v>3038</v>
      </c>
      <c r="AG16" s="61">
        <v>3376</v>
      </c>
      <c r="AH16" s="62">
        <v>8</v>
      </c>
      <c r="AI16" s="8"/>
      <c r="AJ16" s="8"/>
      <c r="AK16" s="8"/>
      <c r="AL16" s="8"/>
      <c r="AM16" s="8"/>
      <c r="AN16" s="8"/>
      <c r="AO16" s="366">
        <f t="shared" si="5"/>
        <v>0.89596840339997808</v>
      </c>
      <c r="AP16" s="366">
        <f t="shared" si="0"/>
        <v>0.89590255925004958</v>
      </c>
      <c r="AQ16" s="47">
        <v>5</v>
      </c>
      <c r="AR16" s="193">
        <v>9296.1945000000014</v>
      </c>
      <c r="AS16" s="193">
        <v>8827.9965000000011</v>
      </c>
      <c r="AT16" s="53">
        <v>4963.9953690000002</v>
      </c>
      <c r="AU16" s="53">
        <v>4713.8421060000019</v>
      </c>
      <c r="AV16" s="53">
        <v>8250.3140940000012</v>
      </c>
      <c r="AW16" s="53">
        <v>7834.1230350000014</v>
      </c>
      <c r="AX16" s="53">
        <v>5630.1548760000014</v>
      </c>
      <c r="AY16" s="53">
        <v>5346.1804680000005</v>
      </c>
      <c r="AZ16" s="53">
        <v>5987.2206970044053</v>
      </c>
      <c r="BA16" s="53">
        <v>5685.236561497798</v>
      </c>
      <c r="BB16" s="53">
        <v>4716.7991460000012</v>
      </c>
      <c r="BC16" s="53">
        <v>4479.2256240000006</v>
      </c>
      <c r="BD16" s="53">
        <v>4226.103000000001</v>
      </c>
      <c r="BE16" s="53">
        <v>4012.949700000001</v>
      </c>
      <c r="BF16" s="53">
        <v>5436.0221358449999</v>
      </c>
      <c r="BG16" s="53">
        <v>5162.0817765299998</v>
      </c>
      <c r="BH16" s="8"/>
      <c r="BI16" s="47">
        <v>5</v>
      </c>
      <c r="BJ16" s="54">
        <f t="shared" si="6"/>
        <v>0</v>
      </c>
      <c r="BK16" s="54">
        <f t="shared" si="7"/>
        <v>0</v>
      </c>
      <c r="BL16" s="48">
        <f t="shared" si="8"/>
        <v>0</v>
      </c>
      <c r="BM16" s="48">
        <f t="shared" si="9"/>
        <v>0</v>
      </c>
      <c r="BN16" s="48">
        <f t="shared" si="10"/>
        <v>0</v>
      </c>
      <c r="BO16" s="48">
        <f t="shared" si="11"/>
        <v>0</v>
      </c>
      <c r="BP16" s="48">
        <f t="shared" si="12"/>
        <v>0</v>
      </c>
      <c r="BQ16" s="48">
        <f t="shared" si="13"/>
        <v>0</v>
      </c>
      <c r="BR16" s="48">
        <f t="shared" si="14"/>
        <v>0</v>
      </c>
      <c r="BS16" s="48">
        <f t="shared" si="15"/>
        <v>0</v>
      </c>
      <c r="BT16" s="48">
        <f t="shared" si="16"/>
        <v>0</v>
      </c>
      <c r="BU16" s="48">
        <f t="shared" si="17"/>
        <v>0</v>
      </c>
      <c r="BV16" s="8"/>
      <c r="BW16" s="55">
        <v>35</v>
      </c>
      <c r="BX16" s="193">
        <v>0</v>
      </c>
      <c r="BY16" s="193">
        <v>0</v>
      </c>
      <c r="BZ16" s="193">
        <v>0</v>
      </c>
      <c r="CA16" s="193">
        <v>0</v>
      </c>
      <c r="CB16" s="193">
        <v>0</v>
      </c>
      <c r="CC16" s="193">
        <v>0</v>
      </c>
      <c r="CD16" s="193">
        <v>0</v>
      </c>
      <c r="CE16" s="193">
        <v>0</v>
      </c>
      <c r="CF16" s="193">
        <v>0</v>
      </c>
      <c r="CG16" s="193">
        <v>0</v>
      </c>
      <c r="CH16" s="193">
        <v>0</v>
      </c>
      <c r="CI16" s="193">
        <v>0</v>
      </c>
    </row>
    <row r="17" spans="1:99" x14ac:dyDescent="0.25">
      <c r="A17" s="47">
        <v>6</v>
      </c>
      <c r="B17" s="48">
        <f t="shared" si="1"/>
        <v>5988.91</v>
      </c>
      <c r="C17" s="48">
        <f t="shared" si="18"/>
        <v>5687.77</v>
      </c>
      <c r="D17" s="8"/>
      <c r="E17" s="49">
        <v>61</v>
      </c>
      <c r="F17" s="34">
        <v>0.53879999999999995</v>
      </c>
      <c r="G17" s="50">
        <f t="shared" ca="1" si="2"/>
        <v>229</v>
      </c>
      <c r="H17" s="51">
        <f t="shared" ca="1" si="3"/>
        <v>0.81620000000000004</v>
      </c>
      <c r="I17" s="49">
        <f t="shared" ca="1" si="4"/>
        <v>28</v>
      </c>
      <c r="J17" s="32"/>
      <c r="K17" s="33">
        <v>1.9</v>
      </c>
      <c r="L17" s="34">
        <v>0.95750000000000002</v>
      </c>
      <c r="O17" s="10"/>
      <c r="P17" s="56">
        <v>0.3</v>
      </c>
      <c r="Q17" s="57">
        <v>0.78</v>
      </c>
      <c r="R17" s="8"/>
      <c r="S17" s="8"/>
      <c r="T17" s="8"/>
      <c r="U17" s="8"/>
      <c r="V17" s="8"/>
      <c r="W17" s="8"/>
      <c r="X17" s="8"/>
      <c r="Y17" s="39">
        <v>51</v>
      </c>
      <c r="Z17" s="362" t="s">
        <v>72</v>
      </c>
      <c r="AA17" s="40">
        <v>55</v>
      </c>
      <c r="AB17" s="41">
        <v>2137</v>
      </c>
      <c r="AC17" s="58">
        <v>2565</v>
      </c>
      <c r="AD17" s="58">
        <v>2992</v>
      </c>
      <c r="AE17" s="60">
        <v>3420</v>
      </c>
      <c r="AF17" s="60">
        <v>3847</v>
      </c>
      <c r="AG17" s="61">
        <v>4274</v>
      </c>
      <c r="AH17" s="62">
        <v>9</v>
      </c>
      <c r="AI17" s="8"/>
      <c r="AJ17" s="8"/>
      <c r="AK17" s="8"/>
      <c r="AL17" s="8"/>
      <c r="AM17" s="8"/>
      <c r="AN17" s="8"/>
      <c r="AO17" s="366">
        <f t="shared" si="5"/>
        <v>0.89600100275234629</v>
      </c>
      <c r="AP17" s="366">
        <f t="shared" si="0"/>
        <v>0.8959540750679087</v>
      </c>
      <c r="AQ17" s="47">
        <v>6</v>
      </c>
      <c r="AR17" s="193">
        <v>9299.890800000001</v>
      </c>
      <c r="AS17" s="193">
        <v>8832.9249000000018</v>
      </c>
      <c r="AT17" s="53">
        <v>4965.4862100000009</v>
      </c>
      <c r="AU17" s="53">
        <v>4716.0598860000009</v>
      </c>
      <c r="AV17" s="53">
        <v>8252.445627000001</v>
      </c>
      <c r="AW17" s="53">
        <v>7837.6838040000011</v>
      </c>
      <c r="AX17" s="53">
        <v>5631.7442850000016</v>
      </c>
      <c r="AY17" s="53">
        <v>5348.5584210000015</v>
      </c>
      <c r="AZ17" s="53">
        <v>5988.9109067180616</v>
      </c>
      <c r="BA17" s="53">
        <v>5687.7653248678416</v>
      </c>
      <c r="BB17" s="53">
        <v>4718.2776660000009</v>
      </c>
      <c r="BC17" s="53">
        <v>4481.4434040000006</v>
      </c>
      <c r="BD17" s="53">
        <v>4227.5815200000006</v>
      </c>
      <c r="BE17" s="53">
        <v>4015.167480000001</v>
      </c>
      <c r="BF17" s="53">
        <v>5437.6547410500007</v>
      </c>
      <c r="BG17" s="53">
        <v>5164.5104454299999</v>
      </c>
      <c r="BH17" s="8"/>
      <c r="BI17" s="47">
        <v>6</v>
      </c>
      <c r="BJ17" s="54">
        <f t="shared" si="6"/>
        <v>0</v>
      </c>
      <c r="BK17" s="54">
        <f t="shared" si="7"/>
        <v>0</v>
      </c>
      <c r="BL17" s="48">
        <f t="shared" si="8"/>
        <v>0</v>
      </c>
      <c r="BM17" s="48">
        <f t="shared" si="9"/>
        <v>0</v>
      </c>
      <c r="BN17" s="48">
        <f t="shared" si="10"/>
        <v>0</v>
      </c>
      <c r="BO17" s="48">
        <f t="shared" si="11"/>
        <v>0</v>
      </c>
      <c r="BP17" s="48">
        <f t="shared" si="12"/>
        <v>0</v>
      </c>
      <c r="BQ17" s="48">
        <f t="shared" si="13"/>
        <v>0</v>
      </c>
      <c r="BR17" s="48">
        <f t="shared" si="14"/>
        <v>0</v>
      </c>
      <c r="BS17" s="48">
        <f t="shared" si="15"/>
        <v>0</v>
      </c>
      <c r="BT17" s="48">
        <f t="shared" si="16"/>
        <v>0</v>
      </c>
      <c r="BU17" s="48">
        <f t="shared" si="17"/>
        <v>0</v>
      </c>
      <c r="BV17" s="8"/>
      <c r="BW17" s="55">
        <v>40</v>
      </c>
      <c r="BX17" s="193">
        <v>0</v>
      </c>
      <c r="BY17" s="193">
        <v>0</v>
      </c>
      <c r="BZ17" s="193">
        <v>0</v>
      </c>
      <c r="CA17" s="193">
        <v>0</v>
      </c>
      <c r="CB17" s="193">
        <v>0</v>
      </c>
      <c r="CC17" s="193">
        <v>0</v>
      </c>
      <c r="CD17" s="193">
        <v>0</v>
      </c>
      <c r="CE17" s="193">
        <v>0</v>
      </c>
      <c r="CF17" s="193">
        <v>0</v>
      </c>
      <c r="CG17" s="193">
        <v>0</v>
      </c>
      <c r="CH17" s="193">
        <v>0</v>
      </c>
      <c r="CI17" s="193">
        <v>0</v>
      </c>
    </row>
    <row r="18" spans="1:99" x14ac:dyDescent="0.25">
      <c r="A18" s="47">
        <v>7</v>
      </c>
      <c r="B18" s="48">
        <f t="shared" si="1"/>
        <v>5991.44</v>
      </c>
      <c r="C18" s="48">
        <f t="shared" si="18"/>
        <v>5689.47</v>
      </c>
      <c r="D18" s="8"/>
      <c r="E18" s="49">
        <v>69</v>
      </c>
      <c r="F18" s="34">
        <v>0.56459999999999999</v>
      </c>
      <c r="G18" s="50">
        <f t="shared" ca="1" si="2"/>
        <v>250</v>
      </c>
      <c r="H18" s="51">
        <f t="shared" ca="1" si="3"/>
        <v>0.83460000000000001</v>
      </c>
      <c r="I18" s="49">
        <f t="shared" ca="1" si="4"/>
        <v>29</v>
      </c>
      <c r="J18" s="32"/>
      <c r="K18" s="33" t="s">
        <v>227</v>
      </c>
      <c r="L18" s="34">
        <v>0.95369999999999999</v>
      </c>
      <c r="O18" s="8"/>
      <c r="P18" s="52">
        <v>0.35</v>
      </c>
      <c r="Q18" s="34">
        <v>0.72</v>
      </c>
      <c r="R18" s="8"/>
      <c r="S18" s="8"/>
      <c r="T18" s="8"/>
      <c r="U18" s="63"/>
      <c r="V18" s="8"/>
      <c r="W18" s="8"/>
      <c r="X18" s="8"/>
      <c r="Y18" s="39">
        <v>56</v>
      </c>
      <c r="Z18" s="362" t="s">
        <v>72</v>
      </c>
      <c r="AA18" s="40">
        <v>60</v>
      </c>
      <c r="AB18" s="64">
        <v>2615</v>
      </c>
      <c r="AC18" s="60">
        <v>3137</v>
      </c>
      <c r="AD18" s="60">
        <v>3660</v>
      </c>
      <c r="AE18" s="60">
        <v>4183</v>
      </c>
      <c r="AF18" s="60">
        <v>4706</v>
      </c>
      <c r="AG18" s="61">
        <v>5229</v>
      </c>
      <c r="AH18" s="62">
        <v>10</v>
      </c>
      <c r="AI18" s="8"/>
      <c r="AJ18" s="8"/>
      <c r="AK18" s="8"/>
      <c r="AL18" s="8"/>
      <c r="AM18" s="8"/>
      <c r="AN18" s="8"/>
      <c r="AO18" s="366">
        <f t="shared" si="5"/>
        <v>0.89589325704859513</v>
      </c>
      <c r="AP18" s="366">
        <f t="shared" si="0"/>
        <v>0.89598839062895075</v>
      </c>
      <c r="AQ18" s="47">
        <v>7</v>
      </c>
      <c r="AR18" s="193">
        <v>9303.5871000000006</v>
      </c>
      <c r="AS18" s="193">
        <v>8835.3891000000003</v>
      </c>
      <c r="AT18" s="53">
        <v>4967.7039900000009</v>
      </c>
      <c r="AU18" s="53">
        <v>4717.5384060000015</v>
      </c>
      <c r="AV18" s="53">
        <v>8256.0063960000025</v>
      </c>
      <c r="AW18" s="53">
        <v>7840.542276000001</v>
      </c>
      <c r="AX18" s="53">
        <v>5634.1222380000008</v>
      </c>
      <c r="AY18" s="53">
        <v>5350.1601510000019</v>
      </c>
      <c r="AZ18" s="53">
        <v>5991.4396700881061</v>
      </c>
      <c r="BA18" s="53">
        <v>5689.4686369823794</v>
      </c>
      <c r="BB18" s="53">
        <v>4720.4954460000008</v>
      </c>
      <c r="BC18" s="53">
        <v>4482.9219240000011</v>
      </c>
      <c r="BD18" s="53">
        <v>4229.0600400000012</v>
      </c>
      <c r="BE18" s="53">
        <v>4016.6460000000006</v>
      </c>
      <c r="BF18" s="53">
        <v>5440.0834099499998</v>
      </c>
      <c r="BG18" s="53">
        <v>5166.1295580300002</v>
      </c>
      <c r="BH18" s="8"/>
      <c r="BI18" s="47">
        <v>7</v>
      </c>
      <c r="BJ18" s="54">
        <f t="shared" si="6"/>
        <v>0</v>
      </c>
      <c r="BK18" s="54">
        <f t="shared" si="7"/>
        <v>0</v>
      </c>
      <c r="BL18" s="48">
        <f t="shared" si="8"/>
        <v>0</v>
      </c>
      <c r="BM18" s="48">
        <f t="shared" si="9"/>
        <v>0</v>
      </c>
      <c r="BN18" s="48">
        <f t="shared" si="10"/>
        <v>0</v>
      </c>
      <c r="BO18" s="48">
        <f t="shared" si="11"/>
        <v>0</v>
      </c>
      <c r="BP18" s="48">
        <f t="shared" si="12"/>
        <v>0</v>
      </c>
      <c r="BQ18" s="48">
        <f t="shared" si="13"/>
        <v>0</v>
      </c>
      <c r="BR18" s="48">
        <f t="shared" si="14"/>
        <v>0</v>
      </c>
      <c r="BS18" s="48">
        <f t="shared" si="15"/>
        <v>0</v>
      </c>
      <c r="BT18" s="48">
        <f t="shared" si="16"/>
        <v>0</v>
      </c>
      <c r="BU18" s="48">
        <f t="shared" si="17"/>
        <v>0</v>
      </c>
      <c r="BV18" s="8"/>
      <c r="BW18" s="55">
        <v>45</v>
      </c>
      <c r="BX18" s="193">
        <v>0</v>
      </c>
      <c r="BY18" s="193">
        <v>0</v>
      </c>
      <c r="BZ18" s="193">
        <v>0</v>
      </c>
      <c r="CA18" s="193">
        <v>0</v>
      </c>
      <c r="CB18" s="193">
        <v>0</v>
      </c>
      <c r="CC18" s="193">
        <v>0</v>
      </c>
      <c r="CD18" s="193">
        <v>0</v>
      </c>
      <c r="CE18" s="193">
        <v>0</v>
      </c>
      <c r="CF18" s="193">
        <v>0</v>
      </c>
      <c r="CG18" s="193">
        <v>0</v>
      </c>
      <c r="CH18" s="193">
        <v>0</v>
      </c>
      <c r="CI18" s="193">
        <v>0</v>
      </c>
    </row>
    <row r="19" spans="1:99" ht="15.75" thickBot="1" x14ac:dyDescent="0.3">
      <c r="A19" s="47">
        <v>8</v>
      </c>
      <c r="B19" s="48">
        <f t="shared" si="1"/>
        <v>5992.29</v>
      </c>
      <c r="C19" s="48">
        <f t="shared" si="18"/>
        <v>5691.16</v>
      </c>
      <c r="D19" s="8"/>
      <c r="E19" s="49">
        <v>75</v>
      </c>
      <c r="F19" s="34">
        <v>0.58209999999999995</v>
      </c>
      <c r="G19" s="50">
        <f t="shared" ca="1" si="2"/>
        <v>275</v>
      </c>
      <c r="H19" s="51">
        <f t="shared" ca="1" si="3"/>
        <v>0.85460000000000003</v>
      </c>
      <c r="I19" s="49">
        <f t="shared" ca="1" si="4"/>
        <v>30</v>
      </c>
      <c r="J19" s="32"/>
      <c r="K19" s="33" t="s">
        <v>228</v>
      </c>
      <c r="L19" s="34">
        <v>0.9425</v>
      </c>
      <c r="O19" s="8"/>
      <c r="P19" s="52">
        <v>0.4</v>
      </c>
      <c r="Q19" s="34">
        <v>0.67</v>
      </c>
      <c r="R19" s="8"/>
      <c r="S19" s="8"/>
      <c r="T19" s="8"/>
      <c r="U19" s="63"/>
      <c r="V19" s="8"/>
      <c r="W19" s="8"/>
      <c r="X19" s="8"/>
      <c r="Y19" s="65">
        <v>61</v>
      </c>
      <c r="Z19" s="363" t="s">
        <v>72</v>
      </c>
      <c r="AA19" s="66">
        <v>65</v>
      </c>
      <c r="AB19" s="67">
        <v>2719</v>
      </c>
      <c r="AC19" s="68">
        <v>3262</v>
      </c>
      <c r="AD19" s="68">
        <v>3806</v>
      </c>
      <c r="AE19" s="68">
        <v>4350</v>
      </c>
      <c r="AF19" s="68">
        <v>4893</v>
      </c>
      <c r="AG19" s="69">
        <v>5437</v>
      </c>
      <c r="AH19" s="70">
        <v>11</v>
      </c>
      <c r="AI19" s="8"/>
      <c r="AJ19" s="8"/>
      <c r="AK19" s="8"/>
      <c r="AL19" s="8"/>
      <c r="AM19" s="8"/>
      <c r="AN19" s="8"/>
      <c r="AO19" s="366">
        <f t="shared" si="5"/>
        <v>0.89590722023450675</v>
      </c>
      <c r="AP19" s="366">
        <f t="shared" si="0"/>
        <v>0.896005539922617</v>
      </c>
      <c r="AQ19" s="47">
        <v>8</v>
      </c>
      <c r="AR19" s="193">
        <v>9304.8192000000017</v>
      </c>
      <c r="AS19" s="193">
        <v>8836.6212000000014</v>
      </c>
      <c r="AT19" s="53">
        <v>4968.4432500000012</v>
      </c>
      <c r="AU19" s="53">
        <v>4718.2776660000009</v>
      </c>
      <c r="AV19" s="53">
        <v>8257.4356320000006</v>
      </c>
      <c r="AW19" s="53">
        <v>7841.9591910000017</v>
      </c>
      <c r="AX19" s="53">
        <v>5634.9231030000019</v>
      </c>
      <c r="AY19" s="53">
        <v>5351.7495600000011</v>
      </c>
      <c r="AZ19" s="53">
        <v>5992.291326145375</v>
      </c>
      <c r="BA19" s="53">
        <v>5691.1588466960357</v>
      </c>
      <c r="BB19" s="53">
        <v>4721.2470270000013</v>
      </c>
      <c r="BC19" s="53">
        <v>4483.6611840000005</v>
      </c>
      <c r="BD19" s="53">
        <v>4229.7993000000006</v>
      </c>
      <c r="BE19" s="53">
        <v>4017.3852600000005</v>
      </c>
      <c r="BF19" s="53">
        <v>5440.8929662500004</v>
      </c>
      <c r="BG19" s="53">
        <v>5166.9391143299999</v>
      </c>
      <c r="BH19" s="8"/>
      <c r="BI19" s="47">
        <v>8</v>
      </c>
      <c r="BJ19" s="54">
        <f t="shared" si="6"/>
        <v>0</v>
      </c>
      <c r="BK19" s="54">
        <f t="shared" si="7"/>
        <v>0</v>
      </c>
      <c r="BL19" s="48">
        <f t="shared" si="8"/>
        <v>0</v>
      </c>
      <c r="BM19" s="48">
        <f t="shared" si="9"/>
        <v>0</v>
      </c>
      <c r="BN19" s="48">
        <f t="shared" si="10"/>
        <v>0</v>
      </c>
      <c r="BO19" s="48">
        <f t="shared" si="11"/>
        <v>0</v>
      </c>
      <c r="BP19" s="48">
        <f t="shared" si="12"/>
        <v>0</v>
      </c>
      <c r="BQ19" s="48">
        <f t="shared" si="13"/>
        <v>0</v>
      </c>
      <c r="BR19" s="48">
        <f t="shared" si="14"/>
        <v>0</v>
      </c>
      <c r="BS19" s="48">
        <f t="shared" si="15"/>
        <v>0</v>
      </c>
      <c r="BT19" s="48">
        <f t="shared" si="16"/>
        <v>0</v>
      </c>
      <c r="BU19" s="48">
        <f t="shared" si="17"/>
        <v>0</v>
      </c>
      <c r="BV19" s="8"/>
      <c r="BW19" s="55">
        <v>50</v>
      </c>
      <c r="BX19" s="193">
        <v>0</v>
      </c>
      <c r="BY19" s="193">
        <v>0</v>
      </c>
      <c r="BZ19" s="193">
        <v>0</v>
      </c>
      <c r="CA19" s="193">
        <v>0</v>
      </c>
      <c r="CB19" s="193">
        <v>0</v>
      </c>
      <c r="CC19" s="193">
        <v>0</v>
      </c>
      <c r="CD19" s="193">
        <v>0</v>
      </c>
      <c r="CE19" s="193">
        <v>0</v>
      </c>
      <c r="CF19" s="193">
        <v>0</v>
      </c>
      <c r="CG19" s="193">
        <v>0</v>
      </c>
      <c r="CH19" s="193">
        <v>0</v>
      </c>
      <c r="CI19" s="193">
        <v>0</v>
      </c>
    </row>
    <row r="20" spans="1:99" x14ac:dyDescent="0.25">
      <c r="A20" s="47">
        <v>9</v>
      </c>
      <c r="B20" s="48">
        <f t="shared" si="1"/>
        <v>5997.36</v>
      </c>
      <c r="C20" s="48">
        <f t="shared" si="18"/>
        <v>5692.85</v>
      </c>
      <c r="D20" s="8"/>
      <c r="E20" s="49">
        <v>76</v>
      </c>
      <c r="F20" s="34">
        <v>0.58489999999999998</v>
      </c>
      <c r="G20" s="50">
        <f t="shared" ca="1" si="2"/>
        <v>300</v>
      </c>
      <c r="H20" s="51">
        <f t="shared" ca="1" si="3"/>
        <v>0.87290000000000001</v>
      </c>
      <c r="I20" s="49">
        <f t="shared" ca="1" si="4"/>
        <v>31</v>
      </c>
      <c r="J20" s="32"/>
      <c r="K20" s="33" t="s">
        <v>229</v>
      </c>
      <c r="L20" s="34">
        <v>0.93500000000000005</v>
      </c>
      <c r="O20" s="8"/>
      <c r="P20" s="52">
        <v>0.45</v>
      </c>
      <c r="Q20" s="34">
        <v>0.61</v>
      </c>
      <c r="R20" s="8"/>
      <c r="S20" s="8"/>
      <c r="T20" s="8"/>
      <c r="U20" s="63"/>
      <c r="V20" s="8"/>
      <c r="W20" s="8"/>
      <c r="X20" s="8"/>
      <c r="Y20" s="8"/>
      <c r="Z20" s="8"/>
      <c r="AA20" s="8"/>
      <c r="AB20" s="8"/>
      <c r="AC20" s="8"/>
      <c r="AD20" s="8"/>
      <c r="AE20" s="8"/>
      <c r="AF20" s="8"/>
      <c r="AG20" s="8"/>
      <c r="AH20" s="8"/>
      <c r="AI20" s="8"/>
      <c r="AJ20" s="8"/>
      <c r="AK20" s="8"/>
      <c r="AL20" s="8"/>
      <c r="AM20" s="8"/>
      <c r="AN20" s="8"/>
      <c r="AO20" s="366">
        <f t="shared" si="5"/>
        <v>0.89598865150578777</v>
      </c>
      <c r="AP20" s="366">
        <f t="shared" si="0"/>
        <v>0.89587499725292852</v>
      </c>
      <c r="AQ20" s="47">
        <v>9</v>
      </c>
      <c r="AR20" s="193">
        <v>9312.2118000000028</v>
      </c>
      <c r="AS20" s="193">
        <v>8839.0854000000018</v>
      </c>
      <c r="AT20" s="53">
        <v>4972.1395500000008</v>
      </c>
      <c r="AU20" s="53">
        <v>4719.7561860000005</v>
      </c>
      <c r="AV20" s="53">
        <v>8263.8548730000002</v>
      </c>
      <c r="AW20" s="53">
        <v>7844.1030450000007</v>
      </c>
      <c r="AX20" s="53">
        <v>5639.6913300000015</v>
      </c>
      <c r="AY20" s="53">
        <v>5353.3389690000022</v>
      </c>
      <c r="AZ20" s="53">
        <v>5997.3619552863447</v>
      </c>
      <c r="BA20" s="53">
        <v>5692.8490564096919</v>
      </c>
      <c r="BB20" s="53">
        <v>4724.9433270000009</v>
      </c>
      <c r="BC20" s="53">
        <v>4485.1397040000002</v>
      </c>
      <c r="BD20" s="53">
        <v>4233.4956000000011</v>
      </c>
      <c r="BE20" s="53">
        <v>4018.1245200000008</v>
      </c>
      <c r="BF20" s="53">
        <v>5444.9407477499999</v>
      </c>
      <c r="BG20" s="53">
        <v>5168.5582269299994</v>
      </c>
      <c r="BH20" s="8"/>
      <c r="BI20" s="47">
        <v>9</v>
      </c>
      <c r="BJ20" s="54">
        <f t="shared" si="6"/>
        <v>0</v>
      </c>
      <c r="BK20" s="54">
        <f t="shared" si="7"/>
        <v>0</v>
      </c>
      <c r="BL20" s="48">
        <f t="shared" si="8"/>
        <v>0</v>
      </c>
      <c r="BM20" s="48">
        <f t="shared" si="9"/>
        <v>0</v>
      </c>
      <c r="BN20" s="48">
        <f t="shared" si="10"/>
        <v>0</v>
      </c>
      <c r="BO20" s="48">
        <f t="shared" si="11"/>
        <v>0</v>
      </c>
      <c r="BP20" s="48">
        <f t="shared" si="12"/>
        <v>0</v>
      </c>
      <c r="BQ20" s="48">
        <f t="shared" si="13"/>
        <v>0</v>
      </c>
      <c r="BR20" s="48">
        <f t="shared" si="14"/>
        <v>0</v>
      </c>
      <c r="BS20" s="48">
        <f t="shared" si="15"/>
        <v>0</v>
      </c>
      <c r="BT20" s="48">
        <f t="shared" si="16"/>
        <v>0</v>
      </c>
      <c r="BU20" s="48">
        <f t="shared" si="17"/>
        <v>0</v>
      </c>
      <c r="BV20" s="8"/>
      <c r="BW20" s="55">
        <v>55</v>
      </c>
      <c r="BX20" s="193">
        <v>0</v>
      </c>
      <c r="BY20" s="193">
        <v>0</v>
      </c>
      <c r="BZ20" s="193">
        <v>0</v>
      </c>
      <c r="CA20" s="193">
        <v>0</v>
      </c>
      <c r="CB20" s="193">
        <v>0</v>
      </c>
      <c r="CC20" s="193">
        <v>0</v>
      </c>
      <c r="CD20" s="193">
        <v>0</v>
      </c>
      <c r="CE20" s="193">
        <v>0</v>
      </c>
      <c r="CF20" s="193">
        <v>0</v>
      </c>
      <c r="CG20" s="193">
        <v>0</v>
      </c>
      <c r="CH20" s="193">
        <v>0</v>
      </c>
      <c r="CI20" s="193">
        <v>0</v>
      </c>
    </row>
    <row r="21" spans="1:99" ht="15.75" thickBot="1" x14ac:dyDescent="0.3">
      <c r="A21" s="47">
        <v>10</v>
      </c>
      <c r="B21" s="48">
        <f t="shared" si="1"/>
        <v>5999.07</v>
      </c>
      <c r="C21" s="48">
        <f t="shared" si="18"/>
        <v>5694.54</v>
      </c>
      <c r="D21" s="8"/>
      <c r="E21" s="49">
        <v>100</v>
      </c>
      <c r="F21" s="34">
        <v>0.64249999999999996</v>
      </c>
      <c r="G21" s="50">
        <f t="shared" ca="1" si="2"/>
        <v>305</v>
      </c>
      <c r="H21" s="51">
        <f t="shared" ca="1" si="3"/>
        <v>0.87629999999999997</v>
      </c>
      <c r="I21" s="49">
        <f t="shared" ca="1" si="4"/>
        <v>32</v>
      </c>
      <c r="J21" s="32"/>
      <c r="K21" s="33" t="s">
        <v>230</v>
      </c>
      <c r="L21" s="34">
        <v>0.92769999999999997</v>
      </c>
      <c r="O21" s="8"/>
      <c r="P21" s="71">
        <v>0.5</v>
      </c>
      <c r="Q21" s="72">
        <v>0.56000000000000005</v>
      </c>
      <c r="R21" s="8"/>
      <c r="S21" s="8"/>
      <c r="T21" s="8"/>
      <c r="U21" s="63"/>
      <c r="V21" s="8"/>
      <c r="W21" s="8"/>
      <c r="X21" s="8"/>
      <c r="Y21" s="8"/>
      <c r="Z21" s="8"/>
      <c r="AA21" s="8"/>
      <c r="AB21" s="8"/>
      <c r="AC21" s="8"/>
      <c r="AD21" s="8"/>
      <c r="AE21" s="8"/>
      <c r="AF21" s="8"/>
      <c r="AG21" s="8"/>
      <c r="AH21" s="8"/>
      <c r="AI21" s="8"/>
      <c r="AJ21" s="8"/>
      <c r="AK21" s="8"/>
      <c r="AL21" s="8"/>
      <c r="AM21" s="8"/>
      <c r="AN21" s="8"/>
      <c r="AO21" s="366">
        <f t="shared" si="5"/>
        <v>0.895864778275683</v>
      </c>
      <c r="AP21" s="366">
        <f t="shared" si="0"/>
        <v>0.89590931060239909</v>
      </c>
      <c r="AQ21" s="47">
        <v>10</v>
      </c>
      <c r="AR21" s="193">
        <v>9314.6760000000013</v>
      </c>
      <c r="AS21" s="193">
        <v>8842.7817000000014</v>
      </c>
      <c r="AT21" s="53">
        <v>4973.6180700000004</v>
      </c>
      <c r="AU21" s="53">
        <v>4721.2470270000013</v>
      </c>
      <c r="AV21" s="53">
        <v>8265.986406</v>
      </c>
      <c r="AW21" s="53">
        <v>7846.9491960000014</v>
      </c>
      <c r="AX21" s="53">
        <v>5641.2930600000018</v>
      </c>
      <c r="AY21" s="53">
        <v>5354.9283780000014</v>
      </c>
      <c r="AZ21" s="53">
        <v>5999.0652674008816</v>
      </c>
      <c r="BA21" s="53">
        <v>5694.5392661233482</v>
      </c>
      <c r="BB21" s="53">
        <v>4726.4218470000014</v>
      </c>
      <c r="BC21" s="53">
        <v>4486.6182240000007</v>
      </c>
      <c r="BD21" s="53">
        <v>4234.2348600000005</v>
      </c>
      <c r="BE21" s="53">
        <v>4019.6030400000009</v>
      </c>
      <c r="BF21" s="53">
        <v>5446.5598603499993</v>
      </c>
      <c r="BG21" s="53">
        <v>5170.1908321349993</v>
      </c>
      <c r="BH21" s="8"/>
      <c r="BI21" s="47">
        <v>10</v>
      </c>
      <c r="BJ21" s="54">
        <f t="shared" si="6"/>
        <v>0</v>
      </c>
      <c r="BK21" s="54">
        <f t="shared" si="7"/>
        <v>0</v>
      </c>
      <c r="BL21" s="48">
        <f t="shared" si="8"/>
        <v>0</v>
      </c>
      <c r="BM21" s="48">
        <f t="shared" si="9"/>
        <v>0</v>
      </c>
      <c r="BN21" s="48">
        <f t="shared" si="10"/>
        <v>0</v>
      </c>
      <c r="BO21" s="48">
        <f t="shared" si="11"/>
        <v>0</v>
      </c>
      <c r="BP21" s="48">
        <f t="shared" si="12"/>
        <v>0</v>
      </c>
      <c r="BQ21" s="48">
        <f t="shared" si="13"/>
        <v>0</v>
      </c>
      <c r="BR21" s="48">
        <f t="shared" si="14"/>
        <v>0</v>
      </c>
      <c r="BS21" s="48">
        <f t="shared" si="15"/>
        <v>0</v>
      </c>
      <c r="BT21" s="48">
        <f t="shared" si="16"/>
        <v>0</v>
      </c>
      <c r="BU21" s="48">
        <f t="shared" si="17"/>
        <v>0</v>
      </c>
      <c r="BV21" s="8"/>
      <c r="BW21" s="55">
        <v>60</v>
      </c>
      <c r="BX21" s="193">
        <v>0</v>
      </c>
      <c r="BY21" s="193">
        <v>0</v>
      </c>
      <c r="BZ21" s="193">
        <v>0</v>
      </c>
      <c r="CA21" s="193">
        <v>0</v>
      </c>
      <c r="CB21" s="193">
        <v>0</v>
      </c>
      <c r="CC21" s="193">
        <v>0</v>
      </c>
      <c r="CD21" s="193">
        <v>0</v>
      </c>
      <c r="CE21" s="193">
        <v>0</v>
      </c>
      <c r="CF21" s="193">
        <v>0</v>
      </c>
      <c r="CG21" s="193">
        <v>0</v>
      </c>
      <c r="CH21" s="193">
        <v>0</v>
      </c>
      <c r="CI21" s="193">
        <v>0</v>
      </c>
    </row>
    <row r="22" spans="1:99" x14ac:dyDescent="0.25">
      <c r="A22" s="47">
        <v>11</v>
      </c>
      <c r="B22" s="48">
        <f t="shared" si="1"/>
        <v>6000.76</v>
      </c>
      <c r="C22" s="48">
        <f t="shared" si="18"/>
        <v>5697.08</v>
      </c>
      <c r="D22" s="8"/>
      <c r="E22" s="49">
        <v>125</v>
      </c>
      <c r="F22" s="34">
        <v>0.68930000000000002</v>
      </c>
      <c r="G22" s="50">
        <f t="shared" ca="1" si="2"/>
        <v>325</v>
      </c>
      <c r="H22" s="51">
        <f t="shared" ca="1" si="3"/>
        <v>0.88970000000000005</v>
      </c>
      <c r="I22" s="49">
        <f t="shared" ca="1" si="4"/>
        <v>33</v>
      </c>
      <c r="J22" s="32"/>
      <c r="K22" s="33" t="s">
        <v>231</v>
      </c>
      <c r="L22" s="34">
        <v>0.9204</v>
      </c>
      <c r="O22" s="8"/>
      <c r="P22" s="8"/>
      <c r="Q22" s="8"/>
      <c r="R22" s="8"/>
      <c r="S22" s="8"/>
      <c r="T22" s="8"/>
      <c r="U22" s="63"/>
      <c r="V22" s="8"/>
      <c r="W22" s="8"/>
      <c r="X22" s="8"/>
      <c r="Y22" s="8"/>
      <c r="AA22" s="8"/>
      <c r="AB22" s="8"/>
      <c r="AC22" s="8"/>
      <c r="AD22" s="8"/>
      <c r="AE22" s="8"/>
      <c r="AF22" s="8"/>
      <c r="AG22" s="8"/>
      <c r="AH22" s="8"/>
      <c r="AI22" s="8"/>
      <c r="AJ22" s="8"/>
      <c r="AK22" s="8"/>
      <c r="AL22" s="8"/>
      <c r="AM22" s="8"/>
      <c r="AN22" s="8"/>
      <c r="AO22" s="366">
        <f t="shared" si="5"/>
        <v>0.89589994970382592</v>
      </c>
      <c r="AP22" s="366">
        <f t="shared" si="0"/>
        <v>0.89595827900912639</v>
      </c>
      <c r="AQ22" s="47">
        <v>11</v>
      </c>
      <c r="AR22" s="193">
        <v>9318.3723000000009</v>
      </c>
      <c r="AS22" s="193">
        <v>8846.4780000000028</v>
      </c>
      <c r="AT22" s="53">
        <v>4975.1089110000003</v>
      </c>
      <c r="AU22" s="53">
        <v>4723.4648070000003</v>
      </c>
      <c r="AV22" s="53">
        <v>8268.8448780000017</v>
      </c>
      <c r="AW22" s="53">
        <v>7850.5099650000011</v>
      </c>
      <c r="AX22" s="53">
        <v>5642.882469000001</v>
      </c>
      <c r="AY22" s="53">
        <v>5357.3186520000008</v>
      </c>
      <c r="AZ22" s="53">
        <v>6000.7554771145378</v>
      </c>
      <c r="BA22" s="53">
        <v>5697.0811318942733</v>
      </c>
      <c r="BB22" s="53">
        <v>4727.9003670000002</v>
      </c>
      <c r="BC22" s="53">
        <v>4488.8483250000008</v>
      </c>
      <c r="BD22" s="53">
        <v>4235.7257010000003</v>
      </c>
      <c r="BE22" s="53">
        <v>4021.8208200000004</v>
      </c>
      <c r="BF22" s="53">
        <v>5448.1924655550001</v>
      </c>
      <c r="BG22" s="53">
        <v>5172.6195010350002</v>
      </c>
      <c r="BH22" s="8"/>
      <c r="BI22" s="47">
        <v>11</v>
      </c>
      <c r="BJ22" s="54">
        <f t="shared" si="6"/>
        <v>0</v>
      </c>
      <c r="BK22" s="54">
        <f t="shared" si="7"/>
        <v>0</v>
      </c>
      <c r="BL22" s="48">
        <f t="shared" si="8"/>
        <v>0</v>
      </c>
      <c r="BM22" s="48">
        <f t="shared" si="9"/>
        <v>0</v>
      </c>
      <c r="BN22" s="48">
        <f t="shared" si="10"/>
        <v>0</v>
      </c>
      <c r="BO22" s="48">
        <f t="shared" si="11"/>
        <v>0</v>
      </c>
      <c r="BP22" s="48">
        <f t="shared" si="12"/>
        <v>0</v>
      </c>
      <c r="BQ22" s="48">
        <f t="shared" si="13"/>
        <v>0</v>
      </c>
      <c r="BR22" s="48">
        <f t="shared" si="14"/>
        <v>0</v>
      </c>
      <c r="BS22" s="48">
        <f t="shared" si="15"/>
        <v>0</v>
      </c>
      <c r="BT22" s="48">
        <f t="shared" si="16"/>
        <v>0</v>
      </c>
      <c r="BU22" s="48">
        <f t="shared" si="17"/>
        <v>0</v>
      </c>
      <c r="BV22" s="8"/>
      <c r="BW22" s="55">
        <v>65</v>
      </c>
      <c r="BX22" s="193">
        <v>0</v>
      </c>
      <c r="BY22" s="193">
        <v>0</v>
      </c>
      <c r="BZ22" s="193">
        <v>0</v>
      </c>
      <c r="CA22" s="193">
        <v>0</v>
      </c>
      <c r="CB22" s="193">
        <v>0</v>
      </c>
      <c r="CC22" s="193">
        <v>0</v>
      </c>
      <c r="CD22" s="193">
        <v>0</v>
      </c>
      <c r="CE22" s="193">
        <v>0</v>
      </c>
      <c r="CF22" s="193">
        <v>0</v>
      </c>
      <c r="CG22" s="193">
        <v>0</v>
      </c>
      <c r="CH22" s="193">
        <v>0</v>
      </c>
      <c r="CI22" s="193">
        <v>0</v>
      </c>
    </row>
    <row r="23" spans="1:99" ht="15.75" thickBot="1" x14ac:dyDescent="0.3">
      <c r="A23" s="47">
        <v>12</v>
      </c>
      <c r="B23" s="48">
        <f t="shared" si="1"/>
        <v>6003.28</v>
      </c>
      <c r="C23" s="48">
        <f t="shared" si="18"/>
        <v>5697.92</v>
      </c>
      <c r="D23" s="8"/>
      <c r="E23" s="49">
        <v>150</v>
      </c>
      <c r="F23" s="34">
        <v>0.72750000000000004</v>
      </c>
      <c r="G23" s="50">
        <f t="shared" ca="1" si="2"/>
        <v>350</v>
      </c>
      <c r="H23" s="51">
        <f t="shared" ca="1" si="3"/>
        <v>0.9052</v>
      </c>
      <c r="I23" s="49">
        <f t="shared" ca="1" si="4"/>
        <v>34</v>
      </c>
      <c r="J23" s="32"/>
      <c r="K23" s="33" t="s">
        <v>232</v>
      </c>
      <c r="L23" s="34">
        <v>0.91669999999999996</v>
      </c>
      <c r="O23" s="8"/>
      <c r="P23" s="206" t="s">
        <v>55</v>
      </c>
      <c r="Q23" s="8"/>
      <c r="R23" s="8"/>
      <c r="S23" s="8"/>
      <c r="T23" s="8"/>
      <c r="U23" s="63"/>
      <c r="V23" s="8"/>
      <c r="W23" s="8"/>
      <c r="X23" s="8"/>
      <c r="Y23" s="8"/>
      <c r="Z23" s="8"/>
      <c r="AA23" s="8"/>
      <c r="AB23" s="8"/>
      <c r="AC23" s="8"/>
      <c r="AD23" s="8"/>
      <c r="AE23" s="8"/>
      <c r="AF23" s="8"/>
      <c r="AG23" s="8"/>
      <c r="AH23" s="8"/>
      <c r="AI23" s="8"/>
      <c r="AJ23" s="8"/>
      <c r="AK23" s="8"/>
      <c r="AL23" s="8"/>
      <c r="AM23" s="8"/>
      <c r="AN23" s="8"/>
      <c r="AO23" s="366">
        <f t="shared" si="5"/>
        <v>0.89594875842326405</v>
      </c>
      <c r="AP23" s="366">
        <f t="shared" si="0"/>
        <v>0.89581074961922125</v>
      </c>
      <c r="AQ23" s="47">
        <v>12</v>
      </c>
      <c r="AR23" s="193">
        <v>9322.0686000000005</v>
      </c>
      <c r="AS23" s="193">
        <v>8847.7101000000021</v>
      </c>
      <c r="AT23" s="53">
        <v>4977.3266910000011</v>
      </c>
      <c r="AU23" s="53">
        <v>4724.2040670000006</v>
      </c>
      <c r="AV23" s="53">
        <v>8272.4056470000014</v>
      </c>
      <c r="AW23" s="53">
        <v>7851.939201000001</v>
      </c>
      <c r="AX23" s="53">
        <v>5645.2604220000003</v>
      </c>
      <c r="AY23" s="53">
        <v>5358.1071960000017</v>
      </c>
      <c r="AZ23" s="53">
        <v>6003.2842404845815</v>
      </c>
      <c r="BA23" s="53">
        <v>5697.9196855506607</v>
      </c>
      <c r="BB23" s="53">
        <v>4730.118147000001</v>
      </c>
      <c r="BC23" s="53">
        <v>4489.5875850000011</v>
      </c>
      <c r="BD23" s="53">
        <v>4237.9434810000012</v>
      </c>
      <c r="BE23" s="53">
        <v>4021.8208200000004</v>
      </c>
      <c r="BF23" s="53">
        <v>5450.6211344550002</v>
      </c>
      <c r="BG23" s="53">
        <v>5173.4290573349999</v>
      </c>
      <c r="BH23" s="8"/>
      <c r="BI23" s="47">
        <v>12</v>
      </c>
      <c r="BJ23" s="54">
        <f t="shared" si="6"/>
        <v>0</v>
      </c>
      <c r="BK23" s="54">
        <f t="shared" si="7"/>
        <v>0</v>
      </c>
      <c r="BL23" s="48">
        <f t="shared" si="8"/>
        <v>0</v>
      </c>
      <c r="BM23" s="48">
        <f t="shared" si="9"/>
        <v>0</v>
      </c>
      <c r="BN23" s="48">
        <f t="shared" si="10"/>
        <v>0</v>
      </c>
      <c r="BO23" s="48">
        <f t="shared" si="11"/>
        <v>0</v>
      </c>
      <c r="BP23" s="48">
        <f t="shared" si="12"/>
        <v>0</v>
      </c>
      <c r="BQ23" s="48">
        <f t="shared" si="13"/>
        <v>0</v>
      </c>
      <c r="BR23" s="48">
        <f t="shared" si="14"/>
        <v>0</v>
      </c>
      <c r="BS23" s="48">
        <f t="shared" si="15"/>
        <v>0</v>
      </c>
      <c r="BT23" s="48">
        <f t="shared" si="16"/>
        <v>0</v>
      </c>
      <c r="BU23" s="48">
        <f t="shared" si="17"/>
        <v>0</v>
      </c>
      <c r="BV23" s="8"/>
      <c r="BW23" s="55">
        <v>70</v>
      </c>
      <c r="BX23" s="193">
        <v>0</v>
      </c>
      <c r="BY23" s="193">
        <v>0</v>
      </c>
      <c r="BZ23" s="193">
        <v>0</v>
      </c>
      <c r="CA23" s="193">
        <v>0</v>
      </c>
      <c r="CB23" s="193">
        <v>0</v>
      </c>
      <c r="CC23" s="193">
        <v>0</v>
      </c>
      <c r="CD23" s="193">
        <v>0</v>
      </c>
      <c r="CE23" s="193">
        <v>0</v>
      </c>
      <c r="CF23" s="193">
        <v>0</v>
      </c>
      <c r="CG23" s="193">
        <v>0</v>
      </c>
      <c r="CH23" s="193">
        <v>0</v>
      </c>
      <c r="CI23" s="193">
        <v>0</v>
      </c>
    </row>
    <row r="24" spans="1:99" ht="15.75" thickBot="1" x14ac:dyDescent="0.3">
      <c r="A24" s="47">
        <v>13</v>
      </c>
      <c r="B24" s="48">
        <f t="shared" si="1"/>
        <v>6004.14</v>
      </c>
      <c r="C24" s="48">
        <f t="shared" si="18"/>
        <v>5698.77</v>
      </c>
      <c r="D24" s="8"/>
      <c r="E24" s="49">
        <v>153</v>
      </c>
      <c r="F24" s="34">
        <v>0.73170000000000002</v>
      </c>
      <c r="G24" s="50">
        <f t="shared" ca="1" si="2"/>
        <v>382</v>
      </c>
      <c r="H24" s="51">
        <f t="shared" ca="1" si="3"/>
        <v>0.92359999999999998</v>
      </c>
      <c r="I24" s="49">
        <f t="shared" ca="1" si="4"/>
        <v>35</v>
      </c>
      <c r="J24" s="32"/>
      <c r="K24" s="33" t="s">
        <v>233</v>
      </c>
      <c r="L24" s="34">
        <v>0.91310000000000002</v>
      </c>
      <c r="O24" s="8"/>
      <c r="P24" s="552" t="s">
        <v>76</v>
      </c>
      <c r="Q24" s="553"/>
      <c r="R24" s="367"/>
      <c r="S24" s="367">
        <f>+VLOOKUP(S25,$P$26:$R$28,3,FALSE)</f>
        <v>2</v>
      </c>
      <c r="T24" s="8"/>
      <c r="U24" s="63"/>
      <c r="V24" s="8"/>
      <c r="W24" s="8"/>
      <c r="X24" s="8"/>
      <c r="Y24" s="8"/>
      <c r="Z24" s="8"/>
      <c r="AA24" s="8"/>
      <c r="AB24" s="8"/>
      <c r="AC24" s="8"/>
      <c r="AD24" s="8"/>
      <c r="AE24" s="8"/>
      <c r="AF24" s="8"/>
      <c r="AG24" s="8"/>
      <c r="AH24" s="8"/>
      <c r="AI24" s="8"/>
      <c r="AJ24" s="8"/>
      <c r="AK24" s="8"/>
      <c r="AL24" s="8"/>
      <c r="AM24" s="8"/>
      <c r="AN24" s="8"/>
      <c r="AO24" s="366">
        <f t="shared" si="5"/>
        <v>0.89594875842326405</v>
      </c>
      <c r="AP24" s="366">
        <f t="shared" si="0"/>
        <v>0.89597541062337904</v>
      </c>
      <c r="AQ24" s="47">
        <v>13</v>
      </c>
      <c r="AR24" s="193">
        <v>9323.3007000000016</v>
      </c>
      <c r="AS24" s="193">
        <v>8848.9422000000013</v>
      </c>
      <c r="AT24" s="53">
        <v>4978.0659510000005</v>
      </c>
      <c r="AU24" s="53">
        <v>4724.9433270000009</v>
      </c>
      <c r="AV24" s="53">
        <v>8273.8225620000012</v>
      </c>
      <c r="AW24" s="53">
        <v>7852.6538190000019</v>
      </c>
      <c r="AX24" s="53">
        <v>5646.0612870000014</v>
      </c>
      <c r="AY24" s="53">
        <v>5358.908061000001</v>
      </c>
      <c r="AZ24" s="53">
        <v>6004.1358965418513</v>
      </c>
      <c r="BA24" s="53">
        <v>5698.7713416079287</v>
      </c>
      <c r="BB24" s="53">
        <v>4730.118147000001</v>
      </c>
      <c r="BC24" s="53">
        <v>4489.5875850000011</v>
      </c>
      <c r="BD24" s="53">
        <v>4237.9434810000012</v>
      </c>
      <c r="BE24" s="53">
        <v>4022.5600800000007</v>
      </c>
      <c r="BF24" s="53">
        <v>5451.430690754999</v>
      </c>
      <c r="BG24" s="53">
        <v>5174.2386136349987</v>
      </c>
      <c r="BH24" s="8"/>
      <c r="BI24" s="47">
        <v>13</v>
      </c>
      <c r="BJ24" s="54">
        <f t="shared" si="6"/>
        <v>0</v>
      </c>
      <c r="BK24" s="54">
        <f t="shared" si="7"/>
        <v>0</v>
      </c>
      <c r="BL24" s="48">
        <f t="shared" si="8"/>
        <v>0</v>
      </c>
      <c r="BM24" s="48">
        <f t="shared" si="9"/>
        <v>0</v>
      </c>
      <c r="BN24" s="48">
        <f t="shared" si="10"/>
        <v>0</v>
      </c>
      <c r="BO24" s="48">
        <f t="shared" si="11"/>
        <v>0</v>
      </c>
      <c r="BP24" s="48">
        <f t="shared" si="12"/>
        <v>0</v>
      </c>
      <c r="BQ24" s="48">
        <f t="shared" si="13"/>
        <v>0</v>
      </c>
      <c r="BR24" s="48">
        <f t="shared" si="14"/>
        <v>0</v>
      </c>
      <c r="BS24" s="48">
        <f t="shared" si="15"/>
        <v>0</v>
      </c>
      <c r="BT24" s="48">
        <f t="shared" si="16"/>
        <v>0</v>
      </c>
      <c r="BU24" s="48">
        <f t="shared" si="17"/>
        <v>0</v>
      </c>
      <c r="BV24" s="8"/>
      <c r="BW24" s="55">
        <v>75</v>
      </c>
      <c r="BX24" s="193">
        <v>0</v>
      </c>
      <c r="BY24" s="193">
        <v>0</v>
      </c>
      <c r="BZ24" s="193">
        <v>0</v>
      </c>
      <c r="CA24" s="193">
        <v>0</v>
      </c>
      <c r="CB24" s="193">
        <v>0</v>
      </c>
      <c r="CC24" s="193">
        <v>0</v>
      </c>
      <c r="CD24" s="193">
        <v>0</v>
      </c>
      <c r="CE24" s="193">
        <v>0</v>
      </c>
      <c r="CF24" s="193">
        <v>0</v>
      </c>
      <c r="CG24" s="193">
        <v>0</v>
      </c>
      <c r="CH24" s="193">
        <v>0</v>
      </c>
      <c r="CI24" s="193">
        <v>0</v>
      </c>
    </row>
    <row r="25" spans="1:99" ht="15.75" thickBot="1" x14ac:dyDescent="0.3">
      <c r="A25" s="47">
        <v>14</v>
      </c>
      <c r="B25" s="48">
        <f t="shared" si="1"/>
        <v>6005.83</v>
      </c>
      <c r="C25" s="48">
        <f t="shared" si="18"/>
        <v>5700.46</v>
      </c>
      <c r="D25" s="8"/>
      <c r="E25" s="49">
        <v>200</v>
      </c>
      <c r="F25" s="34">
        <v>0.78779999999999994</v>
      </c>
      <c r="G25" s="50">
        <f t="shared" ca="1" si="2"/>
        <v>400</v>
      </c>
      <c r="H25" s="51">
        <f t="shared" ca="1" si="3"/>
        <v>0.93320000000000003</v>
      </c>
      <c r="I25" s="49">
        <f t="shared" ca="1" si="4"/>
        <v>36</v>
      </c>
      <c r="J25" s="32"/>
      <c r="K25" s="33" t="s">
        <v>234</v>
      </c>
      <c r="L25" s="34">
        <v>0.90600000000000003</v>
      </c>
      <c r="O25" s="8"/>
      <c r="P25" s="16" t="s">
        <v>77</v>
      </c>
      <c r="Q25" s="16" t="s">
        <v>69</v>
      </c>
      <c r="R25" s="367" t="s">
        <v>571</v>
      </c>
      <c r="S25" s="367" t="str">
        <f>VLOOKUP(B121,$P$25:$Q$28,1,FALSE)</f>
        <v>SA 100,000 dlls</v>
      </c>
      <c r="T25" s="8"/>
      <c r="U25" s="63"/>
      <c r="V25" s="8"/>
      <c r="W25" s="8"/>
      <c r="X25" s="8"/>
      <c r="Y25" s="8"/>
      <c r="Z25" s="8"/>
      <c r="AA25" s="8"/>
      <c r="AB25" s="8"/>
      <c r="AC25" s="8"/>
      <c r="AD25" s="8"/>
      <c r="AE25" s="8"/>
      <c r="AF25" s="8"/>
      <c r="AG25" s="8"/>
      <c r="AH25" s="8"/>
      <c r="AI25" s="8"/>
      <c r="AJ25" s="8"/>
      <c r="AK25" s="8"/>
      <c r="AL25" s="8"/>
      <c r="AM25" s="8"/>
      <c r="AN25" s="8"/>
      <c r="AO25" s="366">
        <f t="shared" si="5"/>
        <v>0.89597893903569537</v>
      </c>
      <c r="AP25" s="366">
        <f t="shared" si="0"/>
        <v>0.89601240037859564</v>
      </c>
      <c r="AQ25" s="47">
        <v>14</v>
      </c>
      <c r="AR25" s="193">
        <v>9325.7649000000001</v>
      </c>
      <c r="AS25" s="193">
        <v>8852.6385000000009</v>
      </c>
      <c r="AT25" s="53">
        <v>4979.5444710000011</v>
      </c>
      <c r="AU25" s="53">
        <v>4726.4218470000014</v>
      </c>
      <c r="AV25" s="53">
        <v>8275.9664160000011</v>
      </c>
      <c r="AW25" s="53">
        <v>7855.4999700000008</v>
      </c>
      <c r="AX25" s="53">
        <v>5647.6506960000006</v>
      </c>
      <c r="AY25" s="53">
        <v>5360.4974700000002</v>
      </c>
      <c r="AZ25" s="53">
        <v>6005.8261062555075</v>
      </c>
      <c r="BA25" s="53">
        <v>5700.4615513215858</v>
      </c>
      <c r="BB25" s="53">
        <v>4731.6089880000009</v>
      </c>
      <c r="BC25" s="53">
        <v>4491.0661050000008</v>
      </c>
      <c r="BD25" s="53">
        <v>4239.4220010000008</v>
      </c>
      <c r="BE25" s="53">
        <v>4024.0509210000009</v>
      </c>
      <c r="BF25" s="53">
        <v>5453.0498033550002</v>
      </c>
      <c r="BG25" s="53">
        <v>5175.857726235</v>
      </c>
      <c r="BH25" s="8"/>
      <c r="BI25" s="47">
        <v>14</v>
      </c>
      <c r="BJ25" s="54">
        <f t="shared" si="6"/>
        <v>0</v>
      </c>
      <c r="BK25" s="54">
        <f t="shared" si="7"/>
        <v>0</v>
      </c>
      <c r="BL25" s="48">
        <f t="shared" si="8"/>
        <v>0</v>
      </c>
      <c r="BM25" s="48">
        <f t="shared" si="9"/>
        <v>0</v>
      </c>
      <c r="BN25" s="48">
        <f t="shared" si="10"/>
        <v>0</v>
      </c>
      <c r="BO25" s="48">
        <f t="shared" si="11"/>
        <v>0</v>
      </c>
      <c r="BP25" s="48">
        <f t="shared" si="12"/>
        <v>0</v>
      </c>
      <c r="BQ25" s="48">
        <f t="shared" si="13"/>
        <v>0</v>
      </c>
      <c r="BR25" s="48">
        <f t="shared" si="14"/>
        <v>0</v>
      </c>
      <c r="BS25" s="48">
        <f t="shared" si="15"/>
        <v>0</v>
      </c>
      <c r="BT25" s="48">
        <f t="shared" si="16"/>
        <v>0</v>
      </c>
      <c r="BU25" s="48">
        <f t="shared" si="17"/>
        <v>0</v>
      </c>
      <c r="BV25" s="8"/>
      <c r="BW25" s="55">
        <v>80</v>
      </c>
      <c r="BX25" s="193">
        <v>0</v>
      </c>
      <c r="BY25" s="193">
        <v>0</v>
      </c>
      <c r="BZ25" s="193">
        <v>0</v>
      </c>
      <c r="CA25" s="193">
        <v>0</v>
      </c>
      <c r="CB25" s="193">
        <v>0</v>
      </c>
      <c r="CC25" s="193">
        <v>0</v>
      </c>
      <c r="CD25" s="193">
        <v>0</v>
      </c>
      <c r="CE25" s="193">
        <v>0</v>
      </c>
      <c r="CF25" s="193">
        <v>0</v>
      </c>
      <c r="CG25" s="193">
        <v>0</v>
      </c>
      <c r="CH25" s="193">
        <v>0</v>
      </c>
      <c r="CI25" s="193">
        <v>0</v>
      </c>
    </row>
    <row r="26" spans="1:99" x14ac:dyDescent="0.25">
      <c r="A26" s="47">
        <v>15</v>
      </c>
      <c r="B26" s="74">
        <f t="shared" si="1"/>
        <v>6073.5</v>
      </c>
      <c r="C26" s="74">
        <f t="shared" si="18"/>
        <v>5949.15</v>
      </c>
      <c r="D26" s="8"/>
      <c r="E26" s="49">
        <v>220</v>
      </c>
      <c r="F26" s="34">
        <v>0.80779999999999996</v>
      </c>
      <c r="G26" s="50">
        <f t="shared" ca="1" si="2"/>
        <v>442</v>
      </c>
      <c r="H26" s="51">
        <f t="shared" ca="1" si="3"/>
        <v>0.95420000000000005</v>
      </c>
      <c r="I26" s="49">
        <f t="shared" ca="1" si="4"/>
        <v>37</v>
      </c>
      <c r="J26" s="32"/>
      <c r="K26" s="33" t="s">
        <v>235</v>
      </c>
      <c r="L26" s="34">
        <v>0.89880000000000004</v>
      </c>
      <c r="O26" s="8"/>
      <c r="P26" s="75" t="s">
        <v>8</v>
      </c>
      <c r="Q26" s="76">
        <v>1</v>
      </c>
      <c r="R26" s="368">
        <v>0</v>
      </c>
      <c r="S26" s="368"/>
      <c r="T26" s="8"/>
      <c r="U26" s="8"/>
      <c r="V26" s="8"/>
      <c r="W26" s="8"/>
      <c r="X26" s="8"/>
      <c r="Y26" s="8"/>
      <c r="Z26" s="8"/>
      <c r="AA26" s="8"/>
      <c r="AB26" s="8"/>
      <c r="AC26" s="8"/>
      <c r="AD26" s="8"/>
      <c r="AE26" s="8"/>
      <c r="AF26" s="8"/>
      <c r="AG26" s="8"/>
      <c r="AH26" s="8"/>
      <c r="AI26" s="8"/>
      <c r="AJ26" s="8"/>
      <c r="AK26" s="8"/>
      <c r="AL26" s="8"/>
      <c r="AM26" s="8"/>
      <c r="AN26" s="8"/>
      <c r="AO26" s="366">
        <f t="shared" si="5"/>
        <v>0.89605590789822664</v>
      </c>
      <c r="AP26" s="366">
        <f t="shared" si="0"/>
        <v>0.8959421486082596</v>
      </c>
      <c r="AQ26" s="47">
        <v>15</v>
      </c>
      <c r="AR26" s="194">
        <v>9430.4934000000012</v>
      </c>
      <c r="AS26" s="194">
        <v>9238.2858000000015</v>
      </c>
      <c r="AT26" s="77">
        <v>5035.7898360000008</v>
      </c>
      <c r="AU26" s="77">
        <v>4932.9218070000015</v>
      </c>
      <c r="AV26" s="77">
        <v>8369.3226330000016</v>
      </c>
      <c r="AW26" s="77">
        <v>8197.5802140000014</v>
      </c>
      <c r="AX26" s="77">
        <v>5711.2886610000014</v>
      </c>
      <c r="AY26" s="77">
        <v>5594.3500500000018</v>
      </c>
      <c r="AZ26" s="77">
        <v>6073.5000068061672</v>
      </c>
      <c r="BA26" s="77">
        <v>5949.1451200440524</v>
      </c>
      <c r="BB26" s="77">
        <v>4784.8973130000013</v>
      </c>
      <c r="BC26" s="77">
        <v>4687.1917830000011</v>
      </c>
      <c r="BD26" s="77">
        <v>4287.5355060000011</v>
      </c>
      <c r="BE26" s="77">
        <v>4199.4526770000002</v>
      </c>
      <c r="BF26" s="77">
        <v>5514.6435451799989</v>
      </c>
      <c r="BG26" s="77">
        <v>5401.9937860350001</v>
      </c>
      <c r="BH26" s="8"/>
      <c r="BI26" s="47">
        <v>15</v>
      </c>
      <c r="BJ26" s="78">
        <f t="shared" si="6"/>
        <v>0</v>
      </c>
      <c r="BK26" s="78">
        <f t="shared" si="7"/>
        <v>0</v>
      </c>
      <c r="BL26" s="74">
        <f t="shared" si="8"/>
        <v>0</v>
      </c>
      <c r="BM26" s="74">
        <f t="shared" si="9"/>
        <v>0</v>
      </c>
      <c r="BN26" s="74">
        <f t="shared" si="10"/>
        <v>0</v>
      </c>
      <c r="BO26" s="74">
        <f t="shared" si="11"/>
        <v>0</v>
      </c>
      <c r="BP26" s="74">
        <f t="shared" si="12"/>
        <v>0</v>
      </c>
      <c r="BQ26" s="74">
        <f t="shared" si="13"/>
        <v>0</v>
      </c>
      <c r="BR26" s="74">
        <f t="shared" si="14"/>
        <v>0</v>
      </c>
      <c r="BS26" s="74">
        <f t="shared" si="15"/>
        <v>0</v>
      </c>
      <c r="BT26" s="74">
        <f t="shared" si="16"/>
        <v>0</v>
      </c>
      <c r="BU26" s="74">
        <f t="shared" si="17"/>
        <v>0</v>
      </c>
      <c r="BV26" s="8"/>
      <c r="BW26" s="55">
        <v>85</v>
      </c>
      <c r="BX26" s="194">
        <v>0</v>
      </c>
      <c r="BY26" s="194">
        <v>0</v>
      </c>
      <c r="BZ26" s="194">
        <v>0</v>
      </c>
      <c r="CA26" s="194">
        <v>0</v>
      </c>
      <c r="CB26" s="194">
        <v>0</v>
      </c>
      <c r="CC26" s="194">
        <v>0</v>
      </c>
      <c r="CD26" s="194">
        <v>0</v>
      </c>
      <c r="CE26" s="194">
        <v>0</v>
      </c>
      <c r="CF26" s="194">
        <v>0</v>
      </c>
      <c r="CG26" s="194">
        <v>0</v>
      </c>
      <c r="CH26" s="194">
        <v>0</v>
      </c>
      <c r="CI26" s="194">
        <v>0</v>
      </c>
    </row>
    <row r="27" spans="1:99" x14ac:dyDescent="0.25">
      <c r="A27" s="47">
        <v>16</v>
      </c>
      <c r="B27" s="74">
        <f t="shared" si="1"/>
        <v>6142.86</v>
      </c>
      <c r="C27" s="74">
        <f t="shared" si="18"/>
        <v>5956.77</v>
      </c>
      <c r="D27" s="8"/>
      <c r="E27" s="49">
        <v>225</v>
      </c>
      <c r="F27" s="34">
        <v>0.8125</v>
      </c>
      <c r="G27" s="50">
        <f t="shared" ca="1" si="2"/>
        <v>450</v>
      </c>
      <c r="H27" s="51">
        <f t="shared" ca="1" si="3"/>
        <v>0.95789999999999997</v>
      </c>
      <c r="I27" s="49">
        <f t="shared" ca="1" si="4"/>
        <v>38</v>
      </c>
      <c r="J27" s="32"/>
      <c r="K27" s="33" t="s">
        <v>236</v>
      </c>
      <c r="L27" s="34">
        <v>0.88819999999999999</v>
      </c>
      <c r="O27" s="8"/>
      <c r="P27" s="79" t="s">
        <v>78</v>
      </c>
      <c r="Q27" s="80">
        <v>1.0289999999999999</v>
      </c>
      <c r="R27" s="367">
        <v>1</v>
      </c>
      <c r="S27" s="367"/>
      <c r="T27" s="8"/>
      <c r="U27" s="8"/>
      <c r="V27" s="8"/>
      <c r="W27" s="8"/>
      <c r="X27" s="8"/>
      <c r="Y27" s="8"/>
      <c r="Z27" s="8"/>
      <c r="AA27" s="8"/>
      <c r="AB27" s="8"/>
      <c r="AC27" s="8"/>
      <c r="AD27" s="8"/>
      <c r="AE27" s="8"/>
      <c r="AF27" s="8"/>
      <c r="AG27" s="8"/>
      <c r="AH27" s="8"/>
      <c r="AI27" s="8"/>
      <c r="AJ27" s="8"/>
      <c r="AK27" s="8"/>
      <c r="AL27" s="8"/>
      <c r="AM27" s="8"/>
      <c r="AN27" s="8"/>
      <c r="AO27" s="8">
        <f t="shared" si="5"/>
        <v>0.89600761714672672</v>
      </c>
      <c r="AP27" s="8">
        <f t="shared" si="0"/>
        <v>0.89591603133597963</v>
      </c>
      <c r="AQ27" s="47">
        <v>16</v>
      </c>
      <c r="AR27" s="194">
        <v>9538.9182000000019</v>
      </c>
      <c r="AS27" s="194">
        <v>9249.3747000000021</v>
      </c>
      <c r="AT27" s="77">
        <v>5093.5260420000013</v>
      </c>
      <c r="AU27" s="77">
        <v>4938.8358870000011</v>
      </c>
      <c r="AV27" s="77">
        <v>8464.8227040000002</v>
      </c>
      <c r="AW27" s="77">
        <v>8207.5479030000024</v>
      </c>
      <c r="AX27" s="77">
        <v>5776.5160350000015</v>
      </c>
      <c r="AY27" s="77">
        <v>5601.520872000001</v>
      </c>
      <c r="AZ27" s="77">
        <v>6142.864117070485</v>
      </c>
      <c r="BA27" s="77">
        <v>5956.7707173568288</v>
      </c>
      <c r="BB27" s="77">
        <v>4839.6641580000014</v>
      </c>
      <c r="BC27" s="77">
        <v>4693.1181840000008</v>
      </c>
      <c r="BD27" s="77">
        <v>4336.3759500000006</v>
      </c>
      <c r="BE27" s="77">
        <v>4204.6398180000006</v>
      </c>
      <c r="BF27" s="77">
        <v>5577.8698922100011</v>
      </c>
      <c r="BG27" s="77">
        <v>5408.4702364349987</v>
      </c>
      <c r="BH27" s="8"/>
      <c r="BI27" s="47">
        <v>16</v>
      </c>
      <c r="BJ27" s="78">
        <f t="shared" si="6"/>
        <v>0</v>
      </c>
      <c r="BK27" s="78">
        <f t="shared" si="7"/>
        <v>0</v>
      </c>
      <c r="BL27" s="74">
        <f t="shared" si="8"/>
        <v>0</v>
      </c>
      <c r="BM27" s="74">
        <f t="shared" si="9"/>
        <v>0</v>
      </c>
      <c r="BN27" s="74">
        <f t="shared" si="10"/>
        <v>0</v>
      </c>
      <c r="BO27" s="74">
        <f t="shared" si="11"/>
        <v>0</v>
      </c>
      <c r="BP27" s="74">
        <f t="shared" si="12"/>
        <v>0</v>
      </c>
      <c r="BQ27" s="74">
        <f t="shared" si="13"/>
        <v>0</v>
      </c>
      <c r="BR27" s="74">
        <f t="shared" si="14"/>
        <v>0</v>
      </c>
      <c r="BS27" s="74">
        <f t="shared" si="15"/>
        <v>0</v>
      </c>
      <c r="BT27" s="74">
        <f t="shared" si="16"/>
        <v>0</v>
      </c>
      <c r="BU27" s="74">
        <f t="shared" si="17"/>
        <v>0</v>
      </c>
      <c r="BV27" s="8"/>
      <c r="BW27" s="55">
        <v>90</v>
      </c>
      <c r="BX27" s="194">
        <v>0</v>
      </c>
      <c r="BY27" s="194">
        <v>0</v>
      </c>
      <c r="BZ27" s="194">
        <v>0</v>
      </c>
      <c r="CA27" s="194">
        <v>0</v>
      </c>
      <c r="CB27" s="194">
        <v>0</v>
      </c>
      <c r="CC27" s="194">
        <v>0</v>
      </c>
      <c r="CD27" s="194">
        <v>0</v>
      </c>
      <c r="CE27" s="194">
        <v>0</v>
      </c>
      <c r="CF27" s="194">
        <v>0</v>
      </c>
      <c r="CG27" s="194">
        <v>0</v>
      </c>
      <c r="CH27" s="194">
        <v>0</v>
      </c>
      <c r="CI27" s="194">
        <v>0</v>
      </c>
    </row>
    <row r="28" spans="1:99" ht="15.75" thickBot="1" x14ac:dyDescent="0.3">
      <c r="A28" s="47">
        <v>17</v>
      </c>
      <c r="B28" s="74">
        <f t="shared" si="1"/>
        <v>6209.69</v>
      </c>
      <c r="C28" s="74">
        <f t="shared" si="18"/>
        <v>5969.45</v>
      </c>
      <c r="D28" s="8"/>
      <c r="E28" s="49">
        <v>229</v>
      </c>
      <c r="F28" s="34">
        <v>0.81620000000000004</v>
      </c>
      <c r="G28" s="50">
        <f t="shared" ca="1" si="2"/>
        <v>458</v>
      </c>
      <c r="H28" s="51">
        <f t="shared" ca="1" si="3"/>
        <v>0.96160000000000001</v>
      </c>
      <c r="I28" s="49">
        <f t="shared" ca="1" si="4"/>
        <v>39</v>
      </c>
      <c r="J28" s="32"/>
      <c r="K28" s="33" t="s">
        <v>237</v>
      </c>
      <c r="L28" s="34">
        <v>0.88119999999999998</v>
      </c>
      <c r="O28" s="8"/>
      <c r="P28" s="81" t="s">
        <v>79</v>
      </c>
      <c r="Q28" s="82">
        <v>1.0580000000000001</v>
      </c>
      <c r="R28" s="367">
        <v>2</v>
      </c>
      <c r="S28" s="367"/>
      <c r="T28" s="8"/>
      <c r="U28" s="8"/>
      <c r="V28" s="8"/>
      <c r="W28" s="8"/>
      <c r="X28" s="8"/>
      <c r="Y28" s="8"/>
      <c r="Z28" s="8"/>
      <c r="AA28" s="8"/>
      <c r="AB28" s="8"/>
      <c r="AC28" s="8"/>
      <c r="AD28" s="8"/>
      <c r="AE28" s="8"/>
      <c r="AF28" s="8"/>
      <c r="AG28" s="8"/>
      <c r="AH28" s="8"/>
      <c r="AI28" s="8"/>
      <c r="AJ28" s="8"/>
      <c r="AK28" s="8"/>
      <c r="AL28" s="8"/>
      <c r="AM28" s="8"/>
      <c r="AN28" s="8"/>
      <c r="AO28" s="8">
        <f t="shared" si="5"/>
        <v>0.89591576147865704</v>
      </c>
      <c r="AP28" s="8">
        <f t="shared" si="0"/>
        <v>0.89597180921440445</v>
      </c>
      <c r="AQ28" s="47">
        <v>17</v>
      </c>
      <c r="AR28" s="194">
        <v>9642.4146000000019</v>
      </c>
      <c r="AS28" s="194">
        <v>9269.0883000000013</v>
      </c>
      <c r="AT28" s="77">
        <v>5148.2928870000014</v>
      </c>
      <c r="AU28" s="77">
        <v>4949.1978480000007</v>
      </c>
      <c r="AV28" s="77">
        <v>8556.7496850000025</v>
      </c>
      <c r="AW28" s="77">
        <v>8225.3640690000011</v>
      </c>
      <c r="AX28" s="77">
        <v>5839.3531350000012</v>
      </c>
      <c r="AY28" s="77">
        <v>5613.4476000000013</v>
      </c>
      <c r="AZ28" s="77">
        <v>6209.6863615638767</v>
      </c>
      <c r="BA28" s="77">
        <v>5969.4538414096914</v>
      </c>
      <c r="BB28" s="77">
        <v>4892.2132230000016</v>
      </c>
      <c r="BC28" s="77">
        <v>4702.7408850000011</v>
      </c>
      <c r="BD28" s="77">
        <v>4383.0109350000012</v>
      </c>
      <c r="BE28" s="77">
        <v>4213.5232590000005</v>
      </c>
      <c r="BF28" s="77">
        <v>5637.8445214350004</v>
      </c>
      <c r="BG28" s="77">
        <v>5419.8175172400006</v>
      </c>
      <c r="BH28" s="8"/>
      <c r="BI28" s="47">
        <v>17</v>
      </c>
      <c r="BJ28" s="78">
        <f t="shared" si="6"/>
        <v>0</v>
      </c>
      <c r="BK28" s="78">
        <f t="shared" si="7"/>
        <v>0</v>
      </c>
      <c r="BL28" s="74">
        <f t="shared" si="8"/>
        <v>0</v>
      </c>
      <c r="BM28" s="74">
        <f t="shared" si="9"/>
        <v>0</v>
      </c>
      <c r="BN28" s="74">
        <f t="shared" si="10"/>
        <v>0</v>
      </c>
      <c r="BO28" s="74">
        <f t="shared" si="11"/>
        <v>0</v>
      </c>
      <c r="BP28" s="74">
        <f t="shared" si="12"/>
        <v>0</v>
      </c>
      <c r="BQ28" s="74">
        <f t="shared" si="13"/>
        <v>0</v>
      </c>
      <c r="BR28" s="74">
        <f t="shared" si="14"/>
        <v>0</v>
      </c>
      <c r="BS28" s="74">
        <f t="shared" si="15"/>
        <v>0</v>
      </c>
      <c r="BT28" s="74">
        <f t="shared" si="16"/>
        <v>0</v>
      </c>
      <c r="BU28" s="74">
        <f t="shared" si="17"/>
        <v>0</v>
      </c>
      <c r="BV28" s="8"/>
      <c r="BW28" s="83">
        <v>95</v>
      </c>
      <c r="BX28" s="196">
        <v>0</v>
      </c>
      <c r="BY28" s="196">
        <v>0</v>
      </c>
      <c r="BZ28" s="196">
        <v>0</v>
      </c>
      <c r="CA28" s="196">
        <v>0</v>
      </c>
      <c r="CB28" s="196">
        <v>0</v>
      </c>
      <c r="CC28" s="196">
        <v>0</v>
      </c>
      <c r="CD28" s="196">
        <v>0</v>
      </c>
      <c r="CE28" s="196">
        <v>0</v>
      </c>
      <c r="CF28" s="196">
        <v>0</v>
      </c>
      <c r="CG28" s="196">
        <v>0</v>
      </c>
      <c r="CH28" s="196">
        <v>0</v>
      </c>
      <c r="CI28" s="196">
        <v>0</v>
      </c>
    </row>
    <row r="29" spans="1:99" x14ac:dyDescent="0.25">
      <c r="A29" s="47">
        <v>18</v>
      </c>
      <c r="B29" s="48">
        <f t="shared" si="1"/>
        <v>6279.89</v>
      </c>
      <c r="C29" s="48">
        <f t="shared" si="18"/>
        <v>5974.52</v>
      </c>
      <c r="D29" s="8"/>
      <c r="E29" s="49">
        <v>250</v>
      </c>
      <c r="F29" s="34">
        <v>0.83460000000000001</v>
      </c>
      <c r="G29" s="50">
        <f t="shared" ca="1" si="2"/>
        <v>500</v>
      </c>
      <c r="H29" s="51">
        <f t="shared" ca="1" si="3"/>
        <v>0.98</v>
      </c>
      <c r="I29" s="49">
        <f t="shared" ca="1" si="4"/>
        <v>40</v>
      </c>
      <c r="J29" s="32"/>
      <c r="K29" s="33" t="s">
        <v>238</v>
      </c>
      <c r="L29" s="34">
        <v>0.87780000000000002</v>
      </c>
      <c r="O29" s="8"/>
      <c r="P29" s="8"/>
      <c r="Q29" s="8"/>
      <c r="R29" s="8"/>
      <c r="S29" s="8"/>
      <c r="T29" s="8"/>
      <c r="U29" s="8"/>
      <c r="V29" s="8"/>
      <c r="W29" s="8"/>
      <c r="X29" s="8"/>
      <c r="Y29" s="8"/>
      <c r="Z29" s="8"/>
      <c r="AA29" s="8"/>
      <c r="AB29" s="8"/>
      <c r="AC29" s="8"/>
      <c r="AD29" s="8"/>
      <c r="AE29" s="8"/>
      <c r="AF29" s="8"/>
      <c r="AG29" s="8"/>
      <c r="AH29" s="8"/>
      <c r="AI29" s="8"/>
      <c r="AJ29" s="8"/>
      <c r="AK29" s="8"/>
      <c r="AL29" s="8"/>
      <c r="AM29" s="8"/>
      <c r="AN29" s="8"/>
      <c r="AO29" s="8">
        <f t="shared" si="5"/>
        <v>0.89588562833691932</v>
      </c>
      <c r="AP29" s="8">
        <f t="shared" si="0"/>
        <v>0.89591278514311146</v>
      </c>
      <c r="AQ29" s="47">
        <v>18</v>
      </c>
      <c r="AR29" s="193">
        <v>9750.8394000000026</v>
      </c>
      <c r="AS29" s="193">
        <v>9277.7130000000016</v>
      </c>
      <c r="AT29" s="53">
        <v>5206.7560320000002</v>
      </c>
      <c r="AU29" s="53">
        <v>4953.6457290000008</v>
      </c>
      <c r="AV29" s="53">
        <v>8653.6666710000009</v>
      </c>
      <c r="AW29" s="53">
        <v>8232.4979280000025</v>
      </c>
      <c r="AX29" s="53">
        <v>5905.3690530000013</v>
      </c>
      <c r="AY29" s="53">
        <v>5618.2158270000009</v>
      </c>
      <c r="AZ29" s="53">
        <v>6279.8890254845819</v>
      </c>
      <c r="BA29" s="53">
        <v>5974.5244705506602</v>
      </c>
      <c r="BB29" s="53">
        <v>4947.719328000001</v>
      </c>
      <c r="BC29" s="53">
        <v>4707.176445000001</v>
      </c>
      <c r="BD29" s="53">
        <v>4432.5906390000009</v>
      </c>
      <c r="BE29" s="53">
        <v>4217.219559000001</v>
      </c>
      <c r="BF29" s="53">
        <v>5701.8669321599991</v>
      </c>
      <c r="BG29" s="53">
        <v>5424.6883476449984</v>
      </c>
      <c r="BH29" s="8"/>
      <c r="BI29" s="47">
        <v>18</v>
      </c>
      <c r="BJ29" s="54">
        <f t="shared" si="6"/>
        <v>0</v>
      </c>
      <c r="BK29" s="54">
        <f t="shared" si="7"/>
        <v>0</v>
      </c>
      <c r="BL29" s="48">
        <f t="shared" si="8"/>
        <v>0</v>
      </c>
      <c r="BM29" s="48">
        <f t="shared" si="9"/>
        <v>0</v>
      </c>
      <c r="BN29" s="48">
        <f t="shared" si="10"/>
        <v>0</v>
      </c>
      <c r="BO29" s="48">
        <f t="shared" si="11"/>
        <v>0</v>
      </c>
      <c r="BP29" s="48">
        <f t="shared" si="12"/>
        <v>0</v>
      </c>
      <c r="BQ29" s="48">
        <f t="shared" si="13"/>
        <v>0</v>
      </c>
      <c r="BR29" s="48">
        <f t="shared" si="14"/>
        <v>0</v>
      </c>
      <c r="BS29" s="48">
        <f t="shared" si="15"/>
        <v>0</v>
      </c>
      <c r="BT29" s="48">
        <f t="shared" si="16"/>
        <v>0</v>
      </c>
      <c r="BU29" s="48">
        <f t="shared" si="17"/>
        <v>0</v>
      </c>
      <c r="BV29" s="8"/>
      <c r="BW29" s="8"/>
      <c r="BX29" s="8"/>
      <c r="BY29" s="8"/>
      <c r="BZ29" s="8"/>
      <c r="CA29" s="8"/>
      <c r="CB29" s="8"/>
      <c r="CC29" s="8"/>
      <c r="CD29" s="8"/>
      <c r="CE29" s="8"/>
      <c r="CF29" s="8"/>
      <c r="CG29" s="8"/>
      <c r="CH29" s="8"/>
      <c r="CI29" s="8"/>
    </row>
    <row r="30" spans="1:99" ht="15.75" thickBot="1" x14ac:dyDescent="0.3">
      <c r="A30" s="47">
        <v>19</v>
      </c>
      <c r="B30" s="48">
        <f t="shared" si="1"/>
        <v>6295.97</v>
      </c>
      <c r="C30" s="48">
        <f t="shared" si="18"/>
        <v>5980.45</v>
      </c>
      <c r="D30" s="8"/>
      <c r="E30" s="49">
        <v>275</v>
      </c>
      <c r="F30" s="34">
        <v>0.85460000000000003</v>
      </c>
      <c r="G30" s="50">
        <f t="shared" ca="1" si="2"/>
        <v>535</v>
      </c>
      <c r="H30" s="51">
        <f t="shared" ca="1" si="3"/>
        <v>0.99419999999999997</v>
      </c>
      <c r="I30" s="49">
        <f t="shared" ca="1" si="4"/>
        <v>41</v>
      </c>
      <c r="J30" s="32"/>
      <c r="K30" s="33" t="s">
        <v>239</v>
      </c>
      <c r="L30" s="34">
        <v>0.86399999999999999</v>
      </c>
      <c r="O30" s="8"/>
      <c r="P30" s="73" t="s">
        <v>55</v>
      </c>
      <c r="Q30" s="8"/>
      <c r="R30" s="8"/>
      <c r="S30" s="8"/>
      <c r="T30" s="8"/>
      <c r="U30" s="8"/>
      <c r="V30" s="8"/>
      <c r="W30" s="8"/>
      <c r="X30" s="8"/>
      <c r="Y30" s="8"/>
      <c r="Z30" s="8"/>
      <c r="AA30" s="8"/>
      <c r="AB30" s="8"/>
      <c r="AC30" s="8"/>
      <c r="AD30" s="8"/>
      <c r="AE30" s="8"/>
      <c r="AF30" s="8"/>
      <c r="AG30" s="8"/>
      <c r="AH30" s="8"/>
      <c r="AI30" s="8"/>
      <c r="AJ30" s="8"/>
      <c r="AK30" s="8"/>
      <c r="AL30" s="8"/>
      <c r="AM30" s="8"/>
      <c r="AN30" s="8"/>
      <c r="AO30" s="8">
        <f t="shared" si="5"/>
        <v>0.89600063588423917</v>
      </c>
      <c r="AP30" s="8">
        <f t="shared" si="0"/>
        <v>0.89586786799349483</v>
      </c>
      <c r="AQ30" s="47">
        <v>19</v>
      </c>
      <c r="AR30" s="193">
        <v>9776.7135000000017</v>
      </c>
      <c r="AS30" s="193">
        <v>9287.5698000000011</v>
      </c>
      <c r="AT30" s="53">
        <v>5220.0873540000002</v>
      </c>
      <c r="AU30" s="53">
        <v>4958.8205490000009</v>
      </c>
      <c r="AV30" s="53">
        <v>8675.7582240000011</v>
      </c>
      <c r="AW30" s="53">
        <v>8241.0487020000019</v>
      </c>
      <c r="AX30" s="53">
        <v>5920.4869200000003</v>
      </c>
      <c r="AY30" s="53">
        <v>5623.7849190000015</v>
      </c>
      <c r="AZ30" s="53">
        <v>6295.9656713656386</v>
      </c>
      <c r="BA30" s="53">
        <v>5980.4467557488988</v>
      </c>
      <c r="BB30" s="53">
        <v>4960.2990690000006</v>
      </c>
      <c r="BC30" s="53">
        <v>4712.3635860000013</v>
      </c>
      <c r="BD30" s="53">
        <v>4444.4311200000002</v>
      </c>
      <c r="BE30" s="53">
        <v>4221.6551190000009</v>
      </c>
      <c r="BF30" s="53">
        <v>5716.4659307699994</v>
      </c>
      <c r="BG30" s="53">
        <v>5430.3552417450001</v>
      </c>
      <c r="BH30" s="8"/>
      <c r="BI30" s="47">
        <v>19</v>
      </c>
      <c r="BJ30" s="54">
        <f t="shared" si="6"/>
        <v>0</v>
      </c>
      <c r="BK30" s="54">
        <f t="shared" si="7"/>
        <v>0</v>
      </c>
      <c r="BL30" s="48">
        <f t="shared" si="8"/>
        <v>0</v>
      </c>
      <c r="BM30" s="48">
        <f t="shared" si="9"/>
        <v>0</v>
      </c>
      <c r="BN30" s="48">
        <f t="shared" si="10"/>
        <v>0</v>
      </c>
      <c r="BO30" s="48">
        <f t="shared" si="11"/>
        <v>0</v>
      </c>
      <c r="BP30" s="48">
        <f t="shared" si="12"/>
        <v>0</v>
      </c>
      <c r="BQ30" s="48">
        <f t="shared" si="13"/>
        <v>0</v>
      </c>
      <c r="BR30" s="48">
        <f t="shared" si="14"/>
        <v>0</v>
      </c>
      <c r="BS30" s="48">
        <f t="shared" si="15"/>
        <v>0</v>
      </c>
      <c r="BT30" s="48">
        <f t="shared" si="16"/>
        <v>0</v>
      </c>
      <c r="BU30" s="48">
        <f t="shared" si="17"/>
        <v>0</v>
      </c>
      <c r="BV30" s="8"/>
      <c r="BW30" s="8"/>
      <c r="BX30" s="8"/>
      <c r="BY30" s="8"/>
      <c r="BZ30" s="202"/>
      <c r="CA30" s="202"/>
      <c r="CB30" s="202"/>
      <c r="CC30" s="202"/>
      <c r="CD30" s="202"/>
      <c r="CE30" s="202"/>
      <c r="CF30" s="202"/>
      <c r="CG30" s="202"/>
      <c r="CH30" s="202"/>
      <c r="CI30" s="202"/>
    </row>
    <row r="31" spans="1:99" ht="15.75" thickBot="1" x14ac:dyDescent="0.3">
      <c r="A31" s="47">
        <v>20</v>
      </c>
      <c r="B31" s="48">
        <f t="shared" si="1"/>
        <v>6419.47</v>
      </c>
      <c r="C31" s="48">
        <f t="shared" si="18"/>
        <v>7365.17</v>
      </c>
      <c r="D31" s="8"/>
      <c r="E31" s="49">
        <v>300</v>
      </c>
      <c r="F31" s="34">
        <v>0.87290000000000001</v>
      </c>
      <c r="G31" s="50">
        <f t="shared" ca="1" si="2"/>
        <v>550</v>
      </c>
      <c r="H31" s="51">
        <f t="shared" ca="1" si="3"/>
        <v>1</v>
      </c>
      <c r="I31" s="49">
        <f t="shared" ca="1" si="4"/>
        <v>42</v>
      </c>
      <c r="J31" s="32"/>
      <c r="K31" s="33" t="s">
        <v>240</v>
      </c>
      <c r="L31" s="34">
        <v>0.86060000000000003</v>
      </c>
      <c r="O31" s="8"/>
      <c r="P31" s="552" t="s">
        <v>80</v>
      </c>
      <c r="Q31" s="553"/>
      <c r="R31" s="8"/>
      <c r="S31" s="8"/>
      <c r="T31" s="8"/>
      <c r="U31" s="8"/>
      <c r="V31" s="8"/>
      <c r="W31" s="8"/>
      <c r="X31" s="8"/>
      <c r="Y31" s="8"/>
      <c r="Z31" s="8"/>
      <c r="AA31" s="8"/>
      <c r="AB31" s="8"/>
      <c r="AC31" s="8"/>
      <c r="AD31" s="8"/>
      <c r="AE31" s="8"/>
      <c r="AF31" s="8"/>
      <c r="AG31" s="8"/>
      <c r="AH31" s="8"/>
      <c r="AI31" s="8"/>
      <c r="AJ31" s="8"/>
      <c r="AK31" s="8"/>
      <c r="AL31" s="8"/>
      <c r="AM31" s="8"/>
      <c r="AN31" s="8"/>
      <c r="AO31" s="8">
        <f t="shared" si="5"/>
        <v>0.8959479410804515</v>
      </c>
      <c r="AP31" s="8">
        <f t="shared" si="0"/>
        <v>0.89591866635240758</v>
      </c>
      <c r="AQ31" s="47">
        <v>20</v>
      </c>
      <c r="AR31" s="193">
        <v>9967.6890000000021</v>
      </c>
      <c r="AS31" s="193">
        <v>11436.352200000001</v>
      </c>
      <c r="AT31" s="53">
        <v>5322.2161230000011</v>
      </c>
      <c r="AU31" s="53">
        <v>6106.7557980000011</v>
      </c>
      <c r="AV31" s="53">
        <v>8845.3691100000015</v>
      </c>
      <c r="AW31" s="53">
        <v>10148.795379000001</v>
      </c>
      <c r="AX31" s="53">
        <v>6036.6246660000015</v>
      </c>
      <c r="AY31" s="53">
        <v>6925.9298040000003</v>
      </c>
      <c r="AZ31" s="53">
        <v>6419.4689020704845</v>
      </c>
      <c r="BA31" s="53">
        <v>7365.1739928634361</v>
      </c>
      <c r="BB31" s="53">
        <v>5057.2530180000012</v>
      </c>
      <c r="BC31" s="53">
        <v>5802.5626290000009</v>
      </c>
      <c r="BD31" s="53">
        <v>4531.0354290000005</v>
      </c>
      <c r="BE31" s="53">
        <v>5198.6241720000007</v>
      </c>
      <c r="BF31" s="53">
        <v>5828.3061336149995</v>
      </c>
      <c r="BG31" s="53">
        <v>6687.4477569899991</v>
      </c>
      <c r="BH31" s="8"/>
      <c r="BI31" s="47">
        <v>20</v>
      </c>
      <c r="BJ31" s="54">
        <f t="shared" si="6"/>
        <v>0</v>
      </c>
      <c r="BK31" s="54">
        <f t="shared" si="7"/>
        <v>0</v>
      </c>
      <c r="BL31" s="48">
        <f t="shared" si="8"/>
        <v>0</v>
      </c>
      <c r="BM31" s="48">
        <f t="shared" si="9"/>
        <v>0</v>
      </c>
      <c r="BN31" s="48">
        <f t="shared" si="10"/>
        <v>0</v>
      </c>
      <c r="BO31" s="48">
        <f t="shared" si="11"/>
        <v>0</v>
      </c>
      <c r="BP31" s="48">
        <f t="shared" si="12"/>
        <v>0</v>
      </c>
      <c r="BQ31" s="48">
        <f t="shared" si="13"/>
        <v>0</v>
      </c>
      <c r="BR31" s="48">
        <f t="shared" si="14"/>
        <v>0</v>
      </c>
      <c r="BS31" s="48">
        <f t="shared" si="15"/>
        <v>0</v>
      </c>
      <c r="BT31" s="48">
        <f t="shared" si="16"/>
        <v>0</v>
      </c>
      <c r="BU31" s="48">
        <f t="shared" si="17"/>
        <v>0</v>
      </c>
      <c r="BV31" s="8"/>
      <c r="BW31" s="8"/>
      <c r="BX31" s="8"/>
      <c r="BY31" s="8"/>
      <c r="BZ31" s="8"/>
      <c r="CA31" s="8"/>
      <c r="CB31" s="8"/>
      <c r="CC31" s="8"/>
      <c r="CD31" s="8"/>
      <c r="CE31" s="8"/>
      <c r="CF31" s="8"/>
      <c r="CG31" s="8"/>
      <c r="CH31" s="8"/>
      <c r="CI31" s="8"/>
      <c r="CK31" s="205"/>
      <c r="CL31" s="205"/>
      <c r="CM31" s="205"/>
      <c r="CN31" s="205"/>
      <c r="CO31" s="205"/>
      <c r="CP31" s="205"/>
      <c r="CQ31" s="205"/>
      <c r="CR31" s="205"/>
      <c r="CS31" s="205"/>
      <c r="CT31" s="205"/>
      <c r="CU31" s="205"/>
    </row>
    <row r="32" spans="1:99" ht="15.75" thickBot="1" x14ac:dyDescent="0.3">
      <c r="A32" s="47">
        <v>21</v>
      </c>
      <c r="B32" s="48">
        <f t="shared" si="1"/>
        <v>6491.36</v>
      </c>
      <c r="C32" s="48">
        <f t="shared" si="18"/>
        <v>7688.31</v>
      </c>
      <c r="D32" s="8"/>
      <c r="E32" s="49">
        <v>305</v>
      </c>
      <c r="F32" s="34">
        <v>0.87629999999999997</v>
      </c>
      <c r="G32" s="50">
        <f t="shared" ca="1" si="2"/>
        <v>600</v>
      </c>
      <c r="H32" s="51">
        <f t="shared" ca="1" si="3"/>
        <v>1.0182</v>
      </c>
      <c r="I32" s="49">
        <f t="shared" ca="1" si="4"/>
        <v>43</v>
      </c>
      <c r="J32" s="32"/>
      <c r="K32" s="33" t="s">
        <v>241</v>
      </c>
      <c r="L32" s="34">
        <v>0.85389999999999999</v>
      </c>
      <c r="O32" s="8"/>
      <c r="P32" s="16" t="s">
        <v>14</v>
      </c>
      <c r="Q32" s="16" t="s">
        <v>81</v>
      </c>
      <c r="R32" s="8"/>
      <c r="S32" s="8"/>
      <c r="T32" s="8"/>
      <c r="U32" s="8"/>
      <c r="V32" s="8"/>
      <c r="W32" s="8"/>
      <c r="X32" s="17" t="s">
        <v>82</v>
      </c>
      <c r="Y32" s="8"/>
      <c r="Z32" s="8"/>
      <c r="AA32" s="8"/>
      <c r="AB32" s="8"/>
      <c r="AC32" s="8"/>
      <c r="AD32" s="8"/>
      <c r="AE32" s="8"/>
      <c r="AF32" s="8"/>
      <c r="AG32" s="8"/>
      <c r="AH32" s="8"/>
      <c r="AI32" s="8"/>
      <c r="AJ32" s="8"/>
      <c r="AK32" s="8"/>
      <c r="AL32" s="8"/>
      <c r="AM32" s="8"/>
      <c r="AN32" s="8"/>
      <c r="AO32" s="8">
        <f t="shared" si="5"/>
        <v>0.89594636266394267</v>
      </c>
      <c r="AP32" s="8">
        <f t="shared" si="0"/>
        <v>0.89601576850083287</v>
      </c>
      <c r="AQ32" s="47">
        <v>21</v>
      </c>
      <c r="AR32" s="193">
        <v>10079.810100000002</v>
      </c>
      <c r="AS32" s="193">
        <v>11939.049000000003</v>
      </c>
      <c r="AT32" s="53">
        <v>5382.1701090000006</v>
      </c>
      <c r="AU32" s="53">
        <v>6374.6759430000011</v>
      </c>
      <c r="AV32" s="53">
        <v>8945.1445680000015</v>
      </c>
      <c r="AW32" s="53">
        <v>10594.199529000003</v>
      </c>
      <c r="AX32" s="53">
        <v>6104.2299930000008</v>
      </c>
      <c r="AY32" s="53">
        <v>7229.7903060000008</v>
      </c>
      <c r="AZ32" s="53">
        <v>6491.3617757048451</v>
      </c>
      <c r="BA32" s="53">
        <v>7688.3054033920707</v>
      </c>
      <c r="BB32" s="53">
        <v>5114.2499640000015</v>
      </c>
      <c r="BC32" s="53">
        <v>6057.1637730000011</v>
      </c>
      <c r="BD32" s="53">
        <v>4582.0936530000008</v>
      </c>
      <c r="BE32" s="53">
        <v>5427.3142530000005</v>
      </c>
      <c r="BF32" s="53">
        <v>5893.9611495449999</v>
      </c>
      <c r="BG32" s="53">
        <v>6980.8444527149995</v>
      </c>
      <c r="BH32" s="8"/>
      <c r="BI32" s="47">
        <v>21</v>
      </c>
      <c r="BJ32" s="54">
        <f t="shared" si="6"/>
        <v>0</v>
      </c>
      <c r="BK32" s="54">
        <f t="shared" si="7"/>
        <v>0</v>
      </c>
      <c r="BL32" s="48">
        <f t="shared" si="8"/>
        <v>0</v>
      </c>
      <c r="BM32" s="48">
        <f t="shared" si="9"/>
        <v>0</v>
      </c>
      <c r="BN32" s="48">
        <f t="shared" si="10"/>
        <v>0</v>
      </c>
      <c r="BO32" s="48">
        <f t="shared" si="11"/>
        <v>0</v>
      </c>
      <c r="BP32" s="48">
        <f t="shared" si="12"/>
        <v>0</v>
      </c>
      <c r="BQ32" s="48">
        <f t="shared" si="13"/>
        <v>0</v>
      </c>
      <c r="BR32" s="48">
        <f t="shared" si="14"/>
        <v>0</v>
      </c>
      <c r="BS32" s="48">
        <f t="shared" si="15"/>
        <v>0</v>
      </c>
      <c r="BT32" s="48">
        <f t="shared" si="16"/>
        <v>0</v>
      </c>
      <c r="BU32" s="48">
        <f t="shared" si="17"/>
        <v>0</v>
      </c>
      <c r="BV32" s="8"/>
      <c r="BW32" s="8"/>
      <c r="BX32" s="8"/>
      <c r="BY32" s="8"/>
      <c r="BZ32" s="8"/>
      <c r="CA32" s="8"/>
      <c r="CB32" s="8"/>
      <c r="CC32" s="8"/>
      <c r="CD32" s="8"/>
      <c r="CE32" s="8"/>
      <c r="CF32" s="8"/>
      <c r="CG32" s="8"/>
      <c r="CH32" s="8"/>
      <c r="CI32" s="8"/>
      <c r="CK32" s="205"/>
      <c r="CL32" s="205"/>
      <c r="CM32" s="205"/>
      <c r="CN32" s="205"/>
      <c r="CO32" s="205"/>
      <c r="CP32" s="205"/>
      <c r="CQ32" s="205"/>
      <c r="CR32" s="205"/>
      <c r="CS32" s="205"/>
      <c r="CT32" s="205"/>
      <c r="CU32" s="205"/>
    </row>
    <row r="33" spans="1:99" ht="15.75" thickBot="1" x14ac:dyDescent="0.3">
      <c r="A33" s="47">
        <v>22</v>
      </c>
      <c r="B33" s="48">
        <f t="shared" si="1"/>
        <v>6563.27</v>
      </c>
      <c r="C33" s="48">
        <f t="shared" si="18"/>
        <v>8023.28</v>
      </c>
      <c r="D33" s="8"/>
      <c r="E33" s="49">
        <v>325</v>
      </c>
      <c r="F33" s="34">
        <v>0.88970000000000005</v>
      </c>
      <c r="G33" s="50">
        <f t="shared" ca="1" si="2"/>
        <v>611</v>
      </c>
      <c r="H33" s="51">
        <f t="shared" ca="1" si="3"/>
        <v>1.0221</v>
      </c>
      <c r="I33" s="49">
        <f t="shared" ca="1" si="4"/>
        <v>44</v>
      </c>
      <c r="J33" s="32"/>
      <c r="K33" s="33" t="s">
        <v>242</v>
      </c>
      <c r="L33" s="34">
        <v>0.84709999999999996</v>
      </c>
      <c r="O33" s="8"/>
      <c r="P33" s="75" t="s">
        <v>8</v>
      </c>
      <c r="Q33" s="75">
        <v>0</v>
      </c>
      <c r="R33" s="8"/>
      <c r="S33" s="8"/>
      <c r="T33" s="8"/>
      <c r="U33" s="8"/>
      <c r="V33" s="8"/>
      <c r="W33" s="8"/>
      <c r="X33" s="8"/>
      <c r="Y33" s="8"/>
      <c r="Z33" s="8"/>
      <c r="AA33" s="8"/>
      <c r="AB33" s="8"/>
      <c r="AC33" s="8"/>
      <c r="AD33" s="8"/>
      <c r="AE33" s="8"/>
      <c r="AF33" s="8"/>
      <c r="AG33" s="8"/>
      <c r="AH33" s="8"/>
      <c r="AI33" s="8"/>
      <c r="AJ33" s="8"/>
      <c r="AK33" s="8"/>
      <c r="AL33" s="8"/>
      <c r="AM33" s="8"/>
      <c r="AN33" s="8"/>
      <c r="AO33" s="8">
        <f t="shared" si="5"/>
        <v>0.89594933632588303</v>
      </c>
      <c r="AP33" s="8">
        <f t="shared" si="0"/>
        <v>0.89591430208670375</v>
      </c>
      <c r="AQ33" s="47">
        <v>22</v>
      </c>
      <c r="AR33" s="193">
        <v>10191.931200000001</v>
      </c>
      <c r="AS33" s="193">
        <v>12458.995200000003</v>
      </c>
      <c r="AT33" s="53">
        <v>5442.124095000001</v>
      </c>
      <c r="AU33" s="53">
        <v>6652.2187890000014</v>
      </c>
      <c r="AV33" s="53">
        <v>9044.1930870000015</v>
      </c>
      <c r="AW33" s="53">
        <v>11056.002930000001</v>
      </c>
      <c r="AX33" s="53">
        <v>6171.8476410000003</v>
      </c>
      <c r="AY33" s="53">
        <v>7544.7889920000025</v>
      </c>
      <c r="AZ33" s="53">
        <v>6563.267751740088</v>
      </c>
      <c r="BA33" s="53">
        <v>8023.2813843171816</v>
      </c>
      <c r="BB33" s="53">
        <v>5171.2345890000006</v>
      </c>
      <c r="BC33" s="53">
        <v>6321.3876180000007</v>
      </c>
      <c r="BD33" s="53">
        <v>4633.1641980000013</v>
      </c>
      <c r="BE33" s="53">
        <v>5663.4215760000016</v>
      </c>
      <c r="BF33" s="53">
        <v>5959.6161654749985</v>
      </c>
      <c r="BG33" s="53">
        <v>7284.7788729450003</v>
      </c>
      <c r="BH33" s="8"/>
      <c r="BI33" s="47">
        <v>22</v>
      </c>
      <c r="BJ33" s="54">
        <f t="shared" si="6"/>
        <v>0</v>
      </c>
      <c r="BK33" s="54">
        <f t="shared" si="7"/>
        <v>0</v>
      </c>
      <c r="BL33" s="48">
        <f t="shared" si="8"/>
        <v>0</v>
      </c>
      <c r="BM33" s="48">
        <f t="shared" si="9"/>
        <v>0</v>
      </c>
      <c r="BN33" s="48">
        <f t="shared" si="10"/>
        <v>0</v>
      </c>
      <c r="BO33" s="48">
        <f t="shared" si="11"/>
        <v>0</v>
      </c>
      <c r="BP33" s="48">
        <f t="shared" si="12"/>
        <v>0</v>
      </c>
      <c r="BQ33" s="48">
        <f t="shared" si="13"/>
        <v>0</v>
      </c>
      <c r="BR33" s="48">
        <f t="shared" si="14"/>
        <v>0</v>
      </c>
      <c r="BS33" s="48">
        <f t="shared" si="15"/>
        <v>0</v>
      </c>
      <c r="BT33" s="48">
        <f t="shared" si="16"/>
        <v>0</v>
      </c>
      <c r="BU33" s="48">
        <f t="shared" si="17"/>
        <v>0</v>
      </c>
      <c r="CK33" s="205"/>
      <c r="CL33" s="205"/>
      <c r="CM33" s="205"/>
      <c r="CN33" s="205"/>
      <c r="CO33" s="205"/>
      <c r="CP33" s="205"/>
      <c r="CQ33" s="205"/>
      <c r="CR33" s="205"/>
      <c r="CS33" s="205"/>
      <c r="CT33" s="205"/>
      <c r="CU33" s="205"/>
    </row>
    <row r="34" spans="1:99" ht="24.75" thickBot="1" x14ac:dyDescent="0.3">
      <c r="A34" s="47">
        <v>23</v>
      </c>
      <c r="B34" s="48">
        <f t="shared" si="1"/>
        <v>6636.01</v>
      </c>
      <c r="C34" s="48">
        <f t="shared" si="18"/>
        <v>8371.7800000000007</v>
      </c>
      <c r="D34" s="8"/>
      <c r="E34" s="49">
        <v>350</v>
      </c>
      <c r="F34" s="34">
        <v>0.9052</v>
      </c>
      <c r="G34" s="50">
        <f t="shared" ca="1" si="2"/>
        <v>615</v>
      </c>
      <c r="H34" s="51">
        <f t="shared" ca="1" si="3"/>
        <v>1.0234000000000001</v>
      </c>
      <c r="I34" s="49">
        <f t="shared" ca="1" si="4"/>
        <v>45</v>
      </c>
      <c r="J34" s="32"/>
      <c r="K34" s="33" t="s">
        <v>243</v>
      </c>
      <c r="L34" s="34">
        <v>0.83709999999999996</v>
      </c>
      <c r="O34" s="8"/>
      <c r="P34" s="84" t="s">
        <v>83</v>
      </c>
      <c r="Q34" s="85">
        <v>214</v>
      </c>
      <c r="R34" s="8">
        <v>200</v>
      </c>
      <c r="S34" s="8"/>
      <c r="T34" s="8"/>
      <c r="U34" s="8"/>
      <c r="V34" s="8"/>
      <c r="W34" s="8"/>
      <c r="X34" s="8"/>
      <c r="Y34" s="17"/>
      <c r="Z34" s="17"/>
      <c r="AA34" s="17"/>
      <c r="AB34" s="17"/>
      <c r="AC34" s="8"/>
      <c r="AD34" s="14" t="s">
        <v>84</v>
      </c>
      <c r="AE34" s="8"/>
      <c r="AF34" s="8"/>
      <c r="AG34" s="8"/>
      <c r="AH34" s="8"/>
      <c r="AI34" s="8"/>
      <c r="AJ34" s="8"/>
      <c r="AK34" s="8"/>
      <c r="AL34" s="8"/>
      <c r="AM34" s="8"/>
      <c r="AN34" s="8"/>
      <c r="AO34" s="8">
        <f t="shared" si="5"/>
        <v>0.89595224516536487</v>
      </c>
      <c r="AP34" s="8">
        <f t="shared" si="0"/>
        <v>0.89598276995726123</v>
      </c>
      <c r="AQ34" s="47">
        <v>23</v>
      </c>
      <c r="AR34" s="193">
        <v>10305.284400000002</v>
      </c>
      <c r="AS34" s="193">
        <v>12999.887100000002</v>
      </c>
      <c r="AT34" s="53">
        <v>5502.8050200000007</v>
      </c>
      <c r="AU34" s="53">
        <v>6941.6144370000011</v>
      </c>
      <c r="AV34" s="53">
        <v>9144.6831630000015</v>
      </c>
      <c r="AW34" s="53">
        <v>11536.324794</v>
      </c>
      <c r="AX34" s="53">
        <v>6240.2538330000007</v>
      </c>
      <c r="AY34" s="53">
        <v>7872.502950000001</v>
      </c>
      <c r="AZ34" s="53">
        <v>6636.0122814317183</v>
      </c>
      <c r="BA34" s="53">
        <v>8371.7790429515426</v>
      </c>
      <c r="BB34" s="53">
        <v>5228.2192140000016</v>
      </c>
      <c r="BC34" s="53">
        <v>6595.9734240000007</v>
      </c>
      <c r="BD34" s="53">
        <v>4684.2347430000009</v>
      </c>
      <c r="BE34" s="53">
        <v>5909.8785390000012</v>
      </c>
      <c r="BF34" s="53">
        <v>6026.0672450999991</v>
      </c>
      <c r="BG34" s="53">
        <v>7601.6931791850002</v>
      </c>
      <c r="BH34" s="8"/>
      <c r="BI34" s="47">
        <v>23</v>
      </c>
      <c r="BJ34" s="54">
        <f t="shared" si="6"/>
        <v>0</v>
      </c>
      <c r="BK34" s="54">
        <f t="shared" si="7"/>
        <v>0</v>
      </c>
      <c r="BL34" s="48">
        <f t="shared" si="8"/>
        <v>0</v>
      </c>
      <c r="BM34" s="48">
        <f t="shared" si="9"/>
        <v>0</v>
      </c>
      <c r="BN34" s="48">
        <f t="shared" si="10"/>
        <v>0</v>
      </c>
      <c r="BO34" s="48">
        <f t="shared" si="11"/>
        <v>0</v>
      </c>
      <c r="BP34" s="48">
        <f t="shared" si="12"/>
        <v>0</v>
      </c>
      <c r="BQ34" s="48">
        <f t="shared" si="13"/>
        <v>0</v>
      </c>
      <c r="BR34" s="48">
        <f t="shared" si="14"/>
        <v>0</v>
      </c>
      <c r="BS34" s="48">
        <f t="shared" si="15"/>
        <v>0</v>
      </c>
      <c r="BT34" s="48">
        <f t="shared" si="16"/>
        <v>0</v>
      </c>
      <c r="BU34" s="48">
        <f t="shared" si="17"/>
        <v>0</v>
      </c>
      <c r="CK34" s="205"/>
      <c r="CL34" s="205"/>
      <c r="CM34" s="205"/>
      <c r="CN34" s="205"/>
      <c r="CO34" s="205"/>
      <c r="CP34" s="205"/>
      <c r="CQ34" s="205"/>
      <c r="CR34" s="205"/>
      <c r="CS34" s="205"/>
      <c r="CT34" s="205"/>
      <c r="CU34" s="205"/>
    </row>
    <row r="35" spans="1:99" ht="24.75" thickBot="1" x14ac:dyDescent="0.3">
      <c r="A35" s="47">
        <v>24</v>
      </c>
      <c r="B35" s="48">
        <f t="shared" si="1"/>
        <v>6712.15</v>
      </c>
      <c r="C35" s="48">
        <f t="shared" si="18"/>
        <v>8738.06</v>
      </c>
      <c r="D35" s="8"/>
      <c r="E35" s="49">
        <v>382</v>
      </c>
      <c r="F35" s="34">
        <v>0.92359999999999998</v>
      </c>
      <c r="G35" s="50">
        <f t="shared" ca="1" si="2"/>
        <v>650</v>
      </c>
      <c r="H35" s="51">
        <f t="shared" ca="1" si="3"/>
        <v>1.0349999999999999</v>
      </c>
      <c r="I35" s="49">
        <f t="shared" ca="1" si="4"/>
        <v>46</v>
      </c>
      <c r="J35" s="32"/>
      <c r="K35" s="33" t="s">
        <v>244</v>
      </c>
      <c r="L35" s="34">
        <v>0.83050000000000002</v>
      </c>
      <c r="O35" s="8"/>
      <c r="P35" s="86" t="s">
        <v>85</v>
      </c>
      <c r="Q35" s="87">
        <v>1107</v>
      </c>
      <c r="R35" s="8">
        <v>998</v>
      </c>
      <c r="S35" s="8"/>
      <c r="T35" s="8"/>
      <c r="U35" s="8"/>
      <c r="V35" s="8"/>
      <c r="W35" s="8"/>
      <c r="X35" s="8"/>
      <c r="Y35" s="17"/>
      <c r="Z35" s="17"/>
      <c r="AA35" s="17"/>
      <c r="AB35" s="17"/>
      <c r="AC35" s="8"/>
      <c r="AD35" s="88" t="s">
        <v>18</v>
      </c>
      <c r="AE35" s="8"/>
      <c r="AF35" s="8"/>
      <c r="AG35" s="8"/>
      <c r="AH35" s="8"/>
      <c r="AI35" s="8"/>
      <c r="AJ35" s="8"/>
      <c r="AK35" s="8"/>
      <c r="AL35" s="8"/>
      <c r="AM35" s="8"/>
      <c r="AN35" s="8"/>
      <c r="AO35" s="8">
        <f t="shared" si="5"/>
        <v>0.8960111835973904</v>
      </c>
      <c r="AP35" s="8">
        <f t="shared" si="0"/>
        <v>0.89593590218533159</v>
      </c>
      <c r="AQ35" s="47">
        <v>24</v>
      </c>
      <c r="AR35" s="193">
        <v>10422.333900000003</v>
      </c>
      <c r="AS35" s="193">
        <v>13569.117300000002</v>
      </c>
      <c r="AT35" s="53">
        <v>5564.9767860000011</v>
      </c>
      <c r="AU35" s="53">
        <v>7245.0560250000008</v>
      </c>
      <c r="AV35" s="53">
        <v>9248.7340080000013</v>
      </c>
      <c r="AW35" s="53">
        <v>12041.584362000001</v>
      </c>
      <c r="AX35" s="53">
        <v>6311.8511640000015</v>
      </c>
      <c r="AY35" s="53">
        <v>8216.9365050000015</v>
      </c>
      <c r="AZ35" s="53">
        <v>6712.1503329515426</v>
      </c>
      <c r="BA35" s="53">
        <v>8738.056659581498</v>
      </c>
      <c r="BB35" s="53">
        <v>5288.1732000000011</v>
      </c>
      <c r="BC35" s="53">
        <v>6884.6174910000009</v>
      </c>
      <c r="BD35" s="53">
        <v>4738.2623280000007</v>
      </c>
      <c r="BE35" s="53">
        <v>6168.1759830000001</v>
      </c>
      <c r="BF35" s="53">
        <v>6094.1509299299996</v>
      </c>
      <c r="BG35" s="53">
        <v>7933.989055125</v>
      </c>
      <c r="BH35" s="8"/>
      <c r="BI35" s="47">
        <v>24</v>
      </c>
      <c r="BJ35" s="54">
        <f t="shared" si="6"/>
        <v>0</v>
      </c>
      <c r="BK35" s="54">
        <f t="shared" si="7"/>
        <v>0</v>
      </c>
      <c r="BL35" s="48">
        <f t="shared" si="8"/>
        <v>0</v>
      </c>
      <c r="BM35" s="48">
        <f t="shared" si="9"/>
        <v>0</v>
      </c>
      <c r="BN35" s="48">
        <f t="shared" si="10"/>
        <v>0</v>
      </c>
      <c r="BO35" s="48">
        <f t="shared" si="11"/>
        <v>0</v>
      </c>
      <c r="BP35" s="48">
        <f t="shared" si="12"/>
        <v>0</v>
      </c>
      <c r="BQ35" s="48">
        <f t="shared" si="13"/>
        <v>0</v>
      </c>
      <c r="BR35" s="48">
        <f t="shared" si="14"/>
        <v>0</v>
      </c>
      <c r="BS35" s="48">
        <f t="shared" si="15"/>
        <v>0</v>
      </c>
      <c r="BT35" s="48">
        <f t="shared" si="16"/>
        <v>0</v>
      </c>
      <c r="BU35" s="48">
        <f t="shared" si="17"/>
        <v>0</v>
      </c>
      <c r="CK35" s="205"/>
      <c r="CL35" s="205"/>
      <c r="CM35" s="205"/>
      <c r="CN35" s="205"/>
      <c r="CO35" s="205"/>
      <c r="CP35" s="205"/>
      <c r="CQ35" s="205"/>
      <c r="CR35" s="205"/>
      <c r="CS35" s="205"/>
      <c r="CT35" s="205"/>
      <c r="CU35" s="205"/>
    </row>
    <row r="36" spans="1:99" ht="15.75" thickBot="1" x14ac:dyDescent="0.3">
      <c r="A36" s="47">
        <v>25</v>
      </c>
      <c r="B36" s="48">
        <f t="shared" si="1"/>
        <v>7772.04</v>
      </c>
      <c r="C36" s="48">
        <f t="shared" si="18"/>
        <v>10172.69</v>
      </c>
      <c r="D36" s="8"/>
      <c r="E36" s="49">
        <v>400</v>
      </c>
      <c r="F36" s="34">
        <v>0.93320000000000003</v>
      </c>
      <c r="G36" s="50">
        <f t="shared" ca="1" si="2"/>
        <v>687</v>
      </c>
      <c r="H36" s="51">
        <f t="shared" ca="1" si="3"/>
        <v>1.0466</v>
      </c>
      <c r="I36" s="49">
        <f t="shared" ca="1" si="4"/>
        <v>47</v>
      </c>
      <c r="J36" s="32"/>
      <c r="K36" s="33" t="s">
        <v>245</v>
      </c>
      <c r="L36" s="34">
        <v>0.82730000000000004</v>
      </c>
      <c r="O36" s="8"/>
      <c r="P36" s="8"/>
      <c r="Q36" s="8"/>
      <c r="R36" s="8"/>
      <c r="S36" s="8"/>
      <c r="T36" s="8"/>
      <c r="U36" s="8"/>
      <c r="V36" s="8"/>
      <c r="W36" s="8"/>
      <c r="X36" s="8"/>
      <c r="Y36" s="17"/>
      <c r="Z36" s="17"/>
      <c r="AA36" s="17"/>
      <c r="AB36" s="17"/>
      <c r="AC36" s="8"/>
      <c r="AD36" s="89" t="s">
        <v>8</v>
      </c>
      <c r="AE36" s="8"/>
      <c r="AF36" s="8"/>
      <c r="AG36" s="8"/>
      <c r="AH36" s="8"/>
      <c r="AI36" s="8"/>
      <c r="AJ36" s="8"/>
      <c r="AK36" s="8"/>
      <c r="AL36" s="8"/>
      <c r="AM36" s="8"/>
      <c r="AN36" s="8"/>
      <c r="AO36" s="8">
        <f t="shared" si="5"/>
        <v>0.8959270281854238</v>
      </c>
      <c r="AP36" s="8">
        <f t="shared" si="0"/>
        <v>0.89592742790907898</v>
      </c>
      <c r="AQ36" s="47">
        <v>25</v>
      </c>
      <c r="AR36" s="193">
        <v>12068.419500000002</v>
      </c>
      <c r="AS36" s="193">
        <v>15796.754100000004</v>
      </c>
      <c r="AT36" s="53">
        <v>6444.2403090000007</v>
      </c>
      <c r="AU36" s="53">
        <v>8434.4391180000021</v>
      </c>
      <c r="AV36" s="53">
        <v>10709.659620000004</v>
      </c>
      <c r="AW36" s="53">
        <v>14018.476491000003</v>
      </c>
      <c r="AX36" s="53">
        <v>7308.5338170000014</v>
      </c>
      <c r="AY36" s="53">
        <v>9566.0120790000019</v>
      </c>
      <c r="AZ36" s="53">
        <v>7772.0428474229075</v>
      </c>
      <c r="BA36" s="53">
        <v>10172.690941651981</v>
      </c>
      <c r="BB36" s="53">
        <v>6123.0318390000011</v>
      </c>
      <c r="BC36" s="53">
        <v>8014.7858580000002</v>
      </c>
      <c r="BD36" s="53">
        <v>5485.7897190000012</v>
      </c>
      <c r="BE36" s="53">
        <v>7180.6664790000004</v>
      </c>
      <c r="BF36" s="53">
        <v>7057.023700544999</v>
      </c>
      <c r="BG36" s="53">
        <v>9236.4706935899994</v>
      </c>
      <c r="BH36" s="8"/>
      <c r="BI36" s="47">
        <v>25</v>
      </c>
      <c r="BJ36" s="54">
        <f t="shared" si="6"/>
        <v>0</v>
      </c>
      <c r="BK36" s="54">
        <f t="shared" si="7"/>
        <v>0</v>
      </c>
      <c r="BL36" s="48">
        <f t="shared" si="8"/>
        <v>0</v>
      </c>
      <c r="BM36" s="48">
        <f t="shared" si="9"/>
        <v>0</v>
      </c>
      <c r="BN36" s="48">
        <f t="shared" si="10"/>
        <v>0</v>
      </c>
      <c r="BO36" s="48">
        <f t="shared" si="11"/>
        <v>0</v>
      </c>
      <c r="BP36" s="48">
        <f t="shared" si="12"/>
        <v>0</v>
      </c>
      <c r="BQ36" s="48">
        <f t="shared" si="13"/>
        <v>0</v>
      </c>
      <c r="BR36" s="48">
        <f t="shared" si="14"/>
        <v>0</v>
      </c>
      <c r="BS36" s="48">
        <f t="shared" si="15"/>
        <v>0</v>
      </c>
      <c r="BT36" s="48">
        <f t="shared" si="16"/>
        <v>0</v>
      </c>
      <c r="BU36" s="48">
        <f t="shared" si="17"/>
        <v>0</v>
      </c>
      <c r="CK36" s="205"/>
      <c r="CL36" s="205"/>
      <c r="CM36" s="205"/>
      <c r="CN36" s="205"/>
      <c r="CO36" s="205"/>
      <c r="CP36" s="205"/>
      <c r="CQ36" s="205"/>
      <c r="CR36" s="205"/>
      <c r="CS36" s="205"/>
      <c r="CT36" s="205"/>
      <c r="CU36" s="205"/>
    </row>
    <row r="37" spans="1:99" x14ac:dyDescent="0.25">
      <c r="A37" s="47">
        <v>26</v>
      </c>
      <c r="B37" s="48">
        <f t="shared" si="1"/>
        <v>8125.62</v>
      </c>
      <c r="C37" s="48">
        <f t="shared" si="18"/>
        <v>10687.84</v>
      </c>
      <c r="D37" s="8"/>
      <c r="E37" s="49">
        <v>442</v>
      </c>
      <c r="F37" s="34">
        <v>0.95420000000000005</v>
      </c>
      <c r="G37" s="50">
        <f t="shared" ca="1" si="2"/>
        <v>700</v>
      </c>
      <c r="H37" s="51">
        <f t="shared" ca="1" si="3"/>
        <v>1.0506</v>
      </c>
      <c r="I37" s="49">
        <f t="shared" ca="1" si="4"/>
        <v>48</v>
      </c>
      <c r="J37" s="32"/>
      <c r="K37" s="33" t="s">
        <v>246</v>
      </c>
      <c r="L37" s="34">
        <v>0.81430000000000002</v>
      </c>
      <c r="O37" s="8"/>
      <c r="P37" s="8"/>
      <c r="Q37" s="8"/>
      <c r="R37" s="8"/>
      <c r="S37" s="8"/>
      <c r="T37" s="8"/>
      <c r="U37" s="8"/>
      <c r="V37" s="8"/>
      <c r="W37" s="8"/>
      <c r="X37" s="8"/>
      <c r="Y37" s="17"/>
      <c r="Z37" s="17"/>
      <c r="AA37" s="17"/>
      <c r="AB37" s="17"/>
      <c r="AC37" s="8"/>
      <c r="AD37" s="90"/>
      <c r="AE37" s="8"/>
      <c r="AF37" s="8"/>
      <c r="AG37" s="8"/>
      <c r="AH37" s="8"/>
      <c r="AI37" s="8"/>
      <c r="AJ37" s="8"/>
      <c r="AK37" s="8"/>
      <c r="AL37" s="8"/>
      <c r="AM37" s="8"/>
      <c r="AN37" s="8"/>
      <c r="AO37" s="8">
        <f t="shared" si="5"/>
        <v>0.89595385734575816</v>
      </c>
      <c r="AP37" s="8">
        <f t="shared" si="0"/>
        <v>0.89594074993123385</v>
      </c>
      <c r="AQ37" s="47">
        <v>26</v>
      </c>
      <c r="AR37" s="193">
        <v>12617.936100000001</v>
      </c>
      <c r="AS37" s="193">
        <v>16596.387000000002</v>
      </c>
      <c r="AT37" s="53">
        <v>6737.3322570000009</v>
      </c>
      <c r="AU37" s="53">
        <v>8861.4849780000022</v>
      </c>
      <c r="AV37" s="53">
        <v>11197.103022000001</v>
      </c>
      <c r="AW37" s="53">
        <v>14728.264659000004</v>
      </c>
      <c r="AX37" s="53">
        <v>7641.0283230000014</v>
      </c>
      <c r="AY37" s="53">
        <v>10050.436836000003</v>
      </c>
      <c r="AZ37" s="53">
        <v>8125.6242375991187</v>
      </c>
      <c r="BA37" s="53">
        <v>10687.83803709251</v>
      </c>
      <c r="BB37" s="53">
        <v>6402.0655260000012</v>
      </c>
      <c r="BC37" s="53">
        <v>8421.1077960000021</v>
      </c>
      <c r="BD37" s="53">
        <v>5735.9553030000015</v>
      </c>
      <c r="BE37" s="53">
        <v>7544.8136340000019</v>
      </c>
      <c r="BF37" s="53">
        <v>7377.9857882849992</v>
      </c>
      <c r="BG37" s="53">
        <v>9704.1243828899987</v>
      </c>
      <c r="BH37" s="8"/>
      <c r="BI37" s="47">
        <v>26</v>
      </c>
      <c r="BJ37" s="54">
        <f t="shared" si="6"/>
        <v>0</v>
      </c>
      <c r="BK37" s="54">
        <f t="shared" si="7"/>
        <v>0</v>
      </c>
      <c r="BL37" s="48">
        <f t="shared" si="8"/>
        <v>0</v>
      </c>
      <c r="BM37" s="48">
        <f t="shared" si="9"/>
        <v>0</v>
      </c>
      <c r="BN37" s="48">
        <f t="shared" si="10"/>
        <v>0</v>
      </c>
      <c r="BO37" s="48">
        <f t="shared" si="11"/>
        <v>0</v>
      </c>
      <c r="BP37" s="48">
        <f t="shared" si="12"/>
        <v>0</v>
      </c>
      <c r="BQ37" s="48">
        <f t="shared" si="13"/>
        <v>0</v>
      </c>
      <c r="BR37" s="48">
        <f t="shared" si="14"/>
        <v>0</v>
      </c>
      <c r="BS37" s="48">
        <f t="shared" si="15"/>
        <v>0</v>
      </c>
      <c r="BT37" s="48">
        <f t="shared" si="16"/>
        <v>0</v>
      </c>
      <c r="BU37" s="48">
        <f t="shared" si="17"/>
        <v>0</v>
      </c>
      <c r="CK37" s="205"/>
      <c r="CL37" s="205"/>
      <c r="CM37" s="205"/>
      <c r="CN37" s="205"/>
      <c r="CO37" s="205"/>
      <c r="CP37" s="205"/>
      <c r="CQ37" s="205"/>
      <c r="CR37" s="205"/>
      <c r="CS37" s="205"/>
      <c r="CT37" s="205"/>
      <c r="CU37" s="205"/>
    </row>
    <row r="38" spans="1:99" x14ac:dyDescent="0.25">
      <c r="A38" s="47">
        <v>27</v>
      </c>
      <c r="B38" s="48">
        <f t="shared" si="1"/>
        <v>8495.2800000000007</v>
      </c>
      <c r="C38" s="48">
        <f t="shared" si="18"/>
        <v>11230.89</v>
      </c>
      <c r="D38" s="8"/>
      <c r="E38" s="49">
        <v>450</v>
      </c>
      <c r="F38" s="34">
        <v>0.95789999999999997</v>
      </c>
      <c r="G38" s="50">
        <f t="shared" ca="1" si="2"/>
        <v>750</v>
      </c>
      <c r="H38" s="51">
        <f t="shared" ca="1" si="3"/>
        <v>1.0649999999999999</v>
      </c>
      <c r="I38" s="49">
        <f t="shared" ca="1" si="4"/>
        <v>49</v>
      </c>
      <c r="J38" s="32"/>
      <c r="K38" s="33" t="s">
        <v>247</v>
      </c>
      <c r="L38" s="34">
        <v>0.81110000000000004</v>
      </c>
      <c r="O38" s="8"/>
      <c r="P38" s="8"/>
      <c r="Q38" s="8"/>
      <c r="R38" s="8"/>
      <c r="S38" s="8"/>
      <c r="T38" s="8"/>
      <c r="U38" s="8"/>
      <c r="V38" s="8"/>
      <c r="W38" s="8"/>
      <c r="X38" s="8"/>
      <c r="Y38" s="17"/>
      <c r="Z38" s="17"/>
      <c r="AA38" s="17"/>
      <c r="AB38" s="17"/>
      <c r="AC38" s="8"/>
      <c r="AD38" s="8"/>
      <c r="AE38" s="8"/>
      <c r="AF38" s="8"/>
      <c r="AG38" s="8"/>
      <c r="AH38" s="8"/>
      <c r="AI38" s="8"/>
      <c r="AJ38" s="8"/>
      <c r="AK38" s="8"/>
      <c r="AL38" s="8"/>
      <c r="AM38" s="8"/>
      <c r="AN38" s="8"/>
      <c r="AO38" s="8">
        <f t="shared" si="5"/>
        <v>0.89594137106438898</v>
      </c>
      <c r="AP38" s="8">
        <f t="shared" si="0"/>
        <v>0.89595194633227371</v>
      </c>
      <c r="AQ38" s="47">
        <v>27</v>
      </c>
      <c r="AR38" s="193">
        <v>13190.862600000002</v>
      </c>
      <c r="AS38" s="193">
        <v>17440.375500000002</v>
      </c>
      <c r="AT38" s="53">
        <v>7043.743206000001</v>
      </c>
      <c r="AU38" s="53">
        <v>9312.2241210000011</v>
      </c>
      <c r="AV38" s="53">
        <v>11705.935680000002</v>
      </c>
      <c r="AW38" s="53">
        <v>15476.543631000002</v>
      </c>
      <c r="AX38" s="53">
        <v>7988.6406960000022</v>
      </c>
      <c r="AY38" s="53">
        <v>10561.105323</v>
      </c>
      <c r="AZ38" s="53">
        <v>8495.2822736563885</v>
      </c>
      <c r="BA38" s="53">
        <v>11230.893246409689</v>
      </c>
      <c r="BB38" s="53">
        <v>6692.9273730000014</v>
      </c>
      <c r="BC38" s="53">
        <v>8848.9052370000027</v>
      </c>
      <c r="BD38" s="53">
        <v>5996.4705270000004</v>
      </c>
      <c r="BE38" s="53">
        <v>7928.1938700000019</v>
      </c>
      <c r="BF38" s="53">
        <v>7713.5333820299993</v>
      </c>
      <c r="BG38" s="53">
        <v>10197.724351605</v>
      </c>
      <c r="BH38" s="8"/>
      <c r="BI38" s="47">
        <v>27</v>
      </c>
      <c r="BJ38" s="54">
        <f t="shared" si="6"/>
        <v>0</v>
      </c>
      <c r="BK38" s="54">
        <f t="shared" si="7"/>
        <v>0</v>
      </c>
      <c r="BL38" s="48">
        <f t="shared" si="8"/>
        <v>0</v>
      </c>
      <c r="BM38" s="48">
        <f t="shared" si="9"/>
        <v>0</v>
      </c>
      <c r="BN38" s="48">
        <f t="shared" si="10"/>
        <v>0</v>
      </c>
      <c r="BO38" s="48">
        <f t="shared" si="11"/>
        <v>0</v>
      </c>
      <c r="BP38" s="48">
        <f t="shared" si="12"/>
        <v>0</v>
      </c>
      <c r="BQ38" s="48">
        <f t="shared" si="13"/>
        <v>0</v>
      </c>
      <c r="BR38" s="48">
        <f t="shared" si="14"/>
        <v>0</v>
      </c>
      <c r="BS38" s="48">
        <f t="shared" si="15"/>
        <v>0</v>
      </c>
      <c r="BT38" s="48">
        <f t="shared" si="16"/>
        <v>0</v>
      </c>
      <c r="BU38" s="48">
        <f t="shared" si="17"/>
        <v>0</v>
      </c>
      <c r="CK38" s="205"/>
      <c r="CL38" s="205"/>
      <c r="CM38" s="205"/>
      <c r="CN38" s="205"/>
      <c r="CO38" s="205"/>
      <c r="CP38" s="205"/>
      <c r="CQ38" s="205"/>
      <c r="CR38" s="205"/>
      <c r="CS38" s="205"/>
      <c r="CT38" s="205"/>
      <c r="CU38" s="205"/>
    </row>
    <row r="39" spans="1:99" ht="15.75" thickBot="1" x14ac:dyDescent="0.3">
      <c r="A39" s="47">
        <v>28</v>
      </c>
      <c r="B39" s="48">
        <f t="shared" si="1"/>
        <v>8881</v>
      </c>
      <c r="C39" s="48">
        <f t="shared" si="18"/>
        <v>11797.64</v>
      </c>
      <c r="D39" s="8"/>
      <c r="E39" s="49">
        <v>458</v>
      </c>
      <c r="F39" s="34">
        <v>0.96160000000000001</v>
      </c>
      <c r="G39" s="50">
        <f t="shared" ca="1" si="2"/>
        <v>764</v>
      </c>
      <c r="H39" s="51">
        <f t="shared" ca="1" si="3"/>
        <v>1.0689</v>
      </c>
      <c r="I39" s="49">
        <f t="shared" ca="1" si="4"/>
        <v>50</v>
      </c>
      <c r="J39" s="32"/>
      <c r="K39" s="33" t="s">
        <v>248</v>
      </c>
      <c r="L39" s="34">
        <v>0.80469999999999997</v>
      </c>
      <c r="O39" s="8"/>
      <c r="P39" s="206" t="s">
        <v>55</v>
      </c>
      <c r="Q39" s="8"/>
      <c r="R39" s="8"/>
      <c r="S39" s="8"/>
      <c r="T39" s="8"/>
      <c r="U39" s="8"/>
      <c r="V39" s="8"/>
      <c r="W39" s="8"/>
      <c r="X39" s="8"/>
      <c r="Y39" s="17"/>
      <c r="Z39" s="17"/>
      <c r="AA39" s="17"/>
      <c r="AB39" s="17"/>
      <c r="AC39" s="8"/>
      <c r="AD39" s="8"/>
      <c r="AE39" s="8"/>
      <c r="AF39" s="8"/>
      <c r="AG39" s="8"/>
      <c r="AH39" s="8"/>
      <c r="AI39" s="8"/>
      <c r="AJ39" s="8"/>
      <c r="AK39" s="8"/>
      <c r="AL39" s="8"/>
      <c r="AM39" s="8"/>
      <c r="AN39" s="8"/>
      <c r="AO39" s="8">
        <f t="shared" si="5"/>
        <v>0.89601156659775083</v>
      </c>
      <c r="AP39" s="8">
        <f t="shared" si="0"/>
        <v>0.89593183628726214</v>
      </c>
      <c r="AQ39" s="47">
        <v>28</v>
      </c>
      <c r="AR39" s="193">
        <v>13789.663200000003</v>
      </c>
      <c r="AS39" s="193">
        <v>18320.0949</v>
      </c>
      <c r="AT39" s="53">
        <v>7363.4731560000009</v>
      </c>
      <c r="AU39" s="53">
        <v>9781.4570850000018</v>
      </c>
      <c r="AV39" s="53">
        <v>12237.562188000004</v>
      </c>
      <c r="AW39" s="53">
        <v>16256.894166000002</v>
      </c>
      <c r="AX39" s="53">
        <v>8351.358615000001</v>
      </c>
      <c r="AY39" s="53">
        <v>11094.050178000001</v>
      </c>
      <c r="AZ39" s="53">
        <v>8881.0038531938317</v>
      </c>
      <c r="BA39" s="53">
        <v>11797.637596519824</v>
      </c>
      <c r="BB39" s="53">
        <v>6996.3812820000012</v>
      </c>
      <c r="BC39" s="53">
        <v>9295.1964990000015</v>
      </c>
      <c r="BD39" s="53">
        <v>6268.8385530000014</v>
      </c>
      <c r="BE39" s="53">
        <v>8327.8624680000012</v>
      </c>
      <c r="BF39" s="53">
        <v>8063.6664817799992</v>
      </c>
      <c r="BG39" s="53">
        <v>10711.576720424999</v>
      </c>
      <c r="BH39" s="8"/>
      <c r="BI39" s="47">
        <v>28</v>
      </c>
      <c r="BJ39" s="54">
        <f t="shared" si="6"/>
        <v>0</v>
      </c>
      <c r="BK39" s="54">
        <f t="shared" si="7"/>
        <v>0</v>
      </c>
      <c r="BL39" s="48">
        <f t="shared" si="8"/>
        <v>0</v>
      </c>
      <c r="BM39" s="48">
        <f t="shared" si="9"/>
        <v>0</v>
      </c>
      <c r="BN39" s="48">
        <f t="shared" si="10"/>
        <v>0</v>
      </c>
      <c r="BO39" s="48">
        <f t="shared" si="11"/>
        <v>0</v>
      </c>
      <c r="BP39" s="48">
        <f t="shared" si="12"/>
        <v>0</v>
      </c>
      <c r="BQ39" s="48">
        <f t="shared" si="13"/>
        <v>0</v>
      </c>
      <c r="BR39" s="48">
        <f t="shared" si="14"/>
        <v>0</v>
      </c>
      <c r="BS39" s="48">
        <f t="shared" si="15"/>
        <v>0</v>
      </c>
      <c r="BT39" s="48">
        <f t="shared" si="16"/>
        <v>0</v>
      </c>
      <c r="BU39" s="48">
        <f t="shared" si="17"/>
        <v>0</v>
      </c>
      <c r="CK39" s="205"/>
      <c r="CL39" s="205"/>
      <c r="CM39" s="205"/>
      <c r="CN39" s="205"/>
      <c r="CO39" s="205"/>
      <c r="CP39" s="205"/>
      <c r="CQ39" s="205"/>
      <c r="CR39" s="205"/>
      <c r="CS39" s="205"/>
      <c r="CT39" s="205"/>
      <c r="CU39" s="205"/>
    </row>
    <row r="40" spans="1:99" ht="15.75" thickBot="1" x14ac:dyDescent="0.3">
      <c r="A40" s="47">
        <v>29</v>
      </c>
      <c r="B40" s="48">
        <f t="shared" si="1"/>
        <v>9284.51</v>
      </c>
      <c r="C40" s="48">
        <f t="shared" si="18"/>
        <v>12398.23</v>
      </c>
      <c r="D40" s="8"/>
      <c r="E40" s="49">
        <v>500</v>
      </c>
      <c r="F40" s="34">
        <v>0.98</v>
      </c>
      <c r="G40" s="50">
        <f t="shared" ca="1" si="2"/>
        <v>800</v>
      </c>
      <c r="H40" s="51">
        <f t="shared" ca="1" si="3"/>
        <v>1.0786</v>
      </c>
      <c r="I40" s="49">
        <f t="shared" ca="1" si="4"/>
        <v>51</v>
      </c>
      <c r="J40" s="32"/>
      <c r="K40" s="33" t="s">
        <v>249</v>
      </c>
      <c r="L40" s="57">
        <v>0.79830000000000001</v>
      </c>
      <c r="O40" s="8"/>
      <c r="P40" s="552" t="s">
        <v>86</v>
      </c>
      <c r="Q40" s="553"/>
      <c r="R40" s="8"/>
      <c r="S40" s="8"/>
      <c r="T40" s="8"/>
      <c r="U40" s="8"/>
      <c r="V40" s="8"/>
      <c r="W40" s="8"/>
      <c r="X40" s="8"/>
      <c r="Y40" s="17"/>
      <c r="Z40" s="17"/>
      <c r="AA40" s="8"/>
      <c r="AB40" s="17"/>
      <c r="AC40" s="8"/>
      <c r="AD40" s="91"/>
      <c r="AE40" s="8"/>
      <c r="AF40" s="8"/>
      <c r="AG40" s="8"/>
      <c r="AH40" s="8"/>
      <c r="AI40" s="8"/>
      <c r="AJ40" s="8"/>
      <c r="AK40" s="8"/>
      <c r="AL40" s="8"/>
      <c r="AM40" s="8"/>
      <c r="AN40" s="8"/>
      <c r="AO40" s="8">
        <f t="shared" si="5"/>
        <v>0.89598296702556279</v>
      </c>
      <c r="AP40" s="8">
        <f t="shared" si="0"/>
        <v>0.89596924334387806</v>
      </c>
      <c r="AQ40" s="47">
        <v>29</v>
      </c>
      <c r="AR40" s="193">
        <v>14416.802100000003</v>
      </c>
      <c r="AS40" s="193">
        <v>19252.794600000001</v>
      </c>
      <c r="AT40" s="53">
        <v>7698.0129480000014</v>
      </c>
      <c r="AU40" s="53">
        <v>10279.558152000003</v>
      </c>
      <c r="AV40" s="53">
        <v>12793.436424000003</v>
      </c>
      <c r="AW40" s="53">
        <v>17084.273958000002</v>
      </c>
      <c r="AX40" s="53">
        <v>8730.796131000001</v>
      </c>
      <c r="AY40" s="53">
        <v>11658.820176000001</v>
      </c>
      <c r="AZ40" s="53">
        <v>9284.5053907268721</v>
      </c>
      <c r="BA40" s="53">
        <v>12398.225448105726</v>
      </c>
      <c r="BB40" s="53">
        <v>7314.6327120000014</v>
      </c>
      <c r="BC40" s="53">
        <v>9768.138084000002</v>
      </c>
      <c r="BD40" s="53">
        <v>6553.7863200000002</v>
      </c>
      <c r="BE40" s="53">
        <v>8751.9512880000002</v>
      </c>
      <c r="BF40" s="53">
        <v>8430.0176927399989</v>
      </c>
      <c r="BG40" s="53">
        <v>11257.04226276</v>
      </c>
      <c r="BH40" s="8"/>
      <c r="BI40" s="47">
        <v>29</v>
      </c>
      <c r="BJ40" s="54">
        <f t="shared" si="6"/>
        <v>0</v>
      </c>
      <c r="BK40" s="54">
        <f t="shared" si="7"/>
        <v>0</v>
      </c>
      <c r="BL40" s="48">
        <f t="shared" si="8"/>
        <v>0</v>
      </c>
      <c r="BM40" s="48">
        <f t="shared" si="9"/>
        <v>0</v>
      </c>
      <c r="BN40" s="48">
        <f t="shared" si="10"/>
        <v>0</v>
      </c>
      <c r="BO40" s="48">
        <f t="shared" si="11"/>
        <v>0</v>
      </c>
      <c r="BP40" s="48">
        <f t="shared" si="12"/>
        <v>0</v>
      </c>
      <c r="BQ40" s="48">
        <f t="shared" si="13"/>
        <v>0</v>
      </c>
      <c r="BR40" s="48">
        <f t="shared" si="14"/>
        <v>0</v>
      </c>
      <c r="BS40" s="48">
        <f t="shared" si="15"/>
        <v>0</v>
      </c>
      <c r="BT40" s="48">
        <f t="shared" si="16"/>
        <v>0</v>
      </c>
      <c r="BU40" s="48">
        <f t="shared" si="17"/>
        <v>0</v>
      </c>
      <c r="CK40" s="205"/>
      <c r="CL40" s="205"/>
      <c r="CM40" s="205"/>
      <c r="CN40" s="205"/>
      <c r="CO40" s="205"/>
      <c r="CP40" s="205"/>
      <c r="CQ40" s="205"/>
      <c r="CR40" s="205"/>
      <c r="CS40" s="205"/>
      <c r="CT40" s="205"/>
      <c r="CU40" s="205"/>
    </row>
    <row r="41" spans="1:99" ht="15.75" thickBot="1" x14ac:dyDescent="0.3">
      <c r="A41" s="47">
        <v>30</v>
      </c>
      <c r="B41" s="48">
        <f t="shared" si="1"/>
        <v>9550.9599999999991</v>
      </c>
      <c r="C41" s="48">
        <f t="shared" si="18"/>
        <v>12786.49</v>
      </c>
      <c r="D41" s="8"/>
      <c r="E41" s="49">
        <v>535</v>
      </c>
      <c r="F41" s="34">
        <v>0.99419999999999997</v>
      </c>
      <c r="G41" s="50">
        <f t="shared" ca="1" si="2"/>
        <v>900</v>
      </c>
      <c r="H41" s="51">
        <f t="shared" ca="1" si="3"/>
        <v>1.1032999999999999</v>
      </c>
      <c r="I41" s="49">
        <f t="shared" ca="1" si="4"/>
        <v>52</v>
      </c>
      <c r="J41" s="32"/>
      <c r="K41" s="33" t="s">
        <v>250</v>
      </c>
      <c r="L41" s="57">
        <v>0.78580000000000005</v>
      </c>
      <c r="O41" s="8"/>
      <c r="P41" s="16" t="s">
        <v>77</v>
      </c>
      <c r="Q41" s="16" t="s">
        <v>69</v>
      </c>
      <c r="R41" s="8"/>
      <c r="S41" s="8"/>
      <c r="T41" s="8"/>
      <c r="U41" s="8"/>
      <c r="V41" s="8"/>
      <c r="W41" s="8"/>
      <c r="X41" s="8"/>
      <c r="Y41" s="17"/>
      <c r="Z41" s="8"/>
      <c r="AA41" s="17"/>
      <c r="AB41" s="14" t="s">
        <v>87</v>
      </c>
      <c r="AC41" s="14" t="s">
        <v>57</v>
      </c>
      <c r="AD41" s="14" t="s">
        <v>88</v>
      </c>
      <c r="AE41" s="14" t="s">
        <v>89</v>
      </c>
      <c r="AF41" s="8"/>
      <c r="AG41" s="8"/>
      <c r="AH41" s="8"/>
      <c r="AI41" s="8"/>
      <c r="AJ41" s="8"/>
      <c r="AK41" s="8"/>
      <c r="AL41" s="8"/>
      <c r="AM41" s="8"/>
      <c r="AN41" s="8"/>
      <c r="AO41" s="8">
        <f t="shared" si="5"/>
        <v>0.89593798916709788</v>
      </c>
      <c r="AP41" s="8">
        <f t="shared" si="0"/>
        <v>0.8959666737197185</v>
      </c>
      <c r="AQ41" s="47">
        <v>30</v>
      </c>
      <c r="AR41" s="193">
        <v>14830.787700000003</v>
      </c>
      <c r="AS41" s="193">
        <v>19855.291500000003</v>
      </c>
      <c r="AT41" s="53">
        <v>7918.5711690000016</v>
      </c>
      <c r="AU41" s="53">
        <v>10601.518203000001</v>
      </c>
      <c r="AV41" s="53">
        <v>13160.442051000002</v>
      </c>
      <c r="AW41" s="53">
        <v>17619.473556000004</v>
      </c>
      <c r="AX41" s="53">
        <v>8981.3559870000026</v>
      </c>
      <c r="AY41" s="53">
        <v>12023.928369000003</v>
      </c>
      <c r="AZ41" s="53">
        <v>9550.9558150440516</v>
      </c>
      <c r="BA41" s="53">
        <v>12786.488893414096</v>
      </c>
      <c r="BB41" s="53">
        <v>7524.8289720000012</v>
      </c>
      <c r="BC41" s="53">
        <v>10073.809773000001</v>
      </c>
      <c r="BD41" s="53">
        <v>6741.780138000001</v>
      </c>
      <c r="BE41" s="53">
        <v>9025.7978340000027</v>
      </c>
      <c r="BF41" s="53">
        <v>8671.5488148450004</v>
      </c>
      <c r="BG41" s="53">
        <v>11609.617524014999</v>
      </c>
      <c r="BH41" s="8"/>
      <c r="BI41" s="47">
        <v>30</v>
      </c>
      <c r="BJ41" s="54">
        <f t="shared" si="6"/>
        <v>0</v>
      </c>
      <c r="BK41" s="54">
        <f t="shared" si="7"/>
        <v>0</v>
      </c>
      <c r="BL41" s="48">
        <f t="shared" si="8"/>
        <v>0</v>
      </c>
      <c r="BM41" s="48">
        <f t="shared" si="9"/>
        <v>0</v>
      </c>
      <c r="BN41" s="48">
        <f t="shared" si="10"/>
        <v>0</v>
      </c>
      <c r="BO41" s="48">
        <f t="shared" si="11"/>
        <v>0</v>
      </c>
      <c r="BP41" s="48">
        <f t="shared" si="12"/>
        <v>0</v>
      </c>
      <c r="BQ41" s="48">
        <f t="shared" si="13"/>
        <v>0</v>
      </c>
      <c r="BR41" s="48">
        <f t="shared" si="14"/>
        <v>0</v>
      </c>
      <c r="BS41" s="48">
        <f t="shared" si="15"/>
        <v>0</v>
      </c>
      <c r="BT41" s="48">
        <f t="shared" si="16"/>
        <v>0</v>
      </c>
      <c r="BU41" s="48">
        <f t="shared" si="17"/>
        <v>0</v>
      </c>
      <c r="CK41" s="205"/>
      <c r="CL41" s="205"/>
      <c r="CM41" s="205"/>
      <c r="CN41" s="205"/>
      <c r="CO41" s="205"/>
      <c r="CP41" s="205"/>
      <c r="CQ41" s="205"/>
      <c r="CR41" s="205"/>
      <c r="CS41" s="205"/>
      <c r="CT41" s="205"/>
      <c r="CU41" s="205"/>
    </row>
    <row r="42" spans="1:99" x14ac:dyDescent="0.25">
      <c r="A42" s="47">
        <v>31</v>
      </c>
      <c r="B42" s="48">
        <f t="shared" si="1"/>
        <v>9825.02</v>
      </c>
      <c r="C42" s="48">
        <f t="shared" si="18"/>
        <v>13187.44</v>
      </c>
      <c r="D42" s="8"/>
      <c r="E42" s="49">
        <v>550</v>
      </c>
      <c r="F42" s="34">
        <v>1</v>
      </c>
      <c r="G42" s="50">
        <f t="shared" ca="1" si="2"/>
        <v>1000</v>
      </c>
      <c r="H42" s="51">
        <f t="shared" ca="1" si="3"/>
        <v>1.1254</v>
      </c>
      <c r="I42" s="49">
        <f t="shared" ca="1" si="4"/>
        <v>53</v>
      </c>
      <c r="J42" s="32"/>
      <c r="K42" s="33" t="s">
        <v>251</v>
      </c>
      <c r="L42" s="57">
        <v>0.78269999999999995</v>
      </c>
      <c r="O42" s="8"/>
      <c r="P42" s="75" t="s">
        <v>8</v>
      </c>
      <c r="Q42" s="75">
        <v>1</v>
      </c>
      <c r="R42" s="8"/>
      <c r="S42" s="8"/>
      <c r="T42" s="8"/>
      <c r="U42" s="8"/>
      <c r="V42" s="8"/>
      <c r="W42" s="8"/>
      <c r="X42" s="8"/>
      <c r="Y42" s="17"/>
      <c r="Z42" s="8"/>
      <c r="AA42" s="8"/>
      <c r="AB42" s="92" t="str">
        <f>IF(AND('GOLDEN SALUD IND'!G27&gt;19,'GOLDEN SALUD IND'!G27&lt;56,'GOLDEN SALUD IND'!F27="F"),'GOLDEN SALUD IND'!G27,"")</f>
        <v/>
      </c>
      <c r="AC42" s="92" t="str">
        <f>IF(AB42="","",VLOOKUP(AB42,$Y$10:$AH$19,10,TRUE))</f>
        <v/>
      </c>
      <c r="AD42" s="93">
        <v>250000</v>
      </c>
      <c r="AE42" s="94" t="str">
        <f t="shared" ref="AE42:AE47" si="19">IF($B$125="NO","",IF($AB$42=""," ",IF(HLOOKUP(AD42,$AB$9:$AG$19,$AC$42,FALSE)&lt;3000,AD42," ")))</f>
        <v/>
      </c>
      <c r="AF42" s="8"/>
      <c r="AG42" s="8"/>
      <c r="AH42" s="8"/>
      <c r="AI42" s="8"/>
      <c r="AJ42" s="8"/>
      <c r="AK42" s="8"/>
      <c r="AL42" s="8"/>
      <c r="AM42" s="8"/>
      <c r="AN42" s="8"/>
      <c r="AO42" s="8">
        <f t="shared" si="5"/>
        <v>0.89597499172333006</v>
      </c>
      <c r="AP42" s="8">
        <f t="shared" si="0"/>
        <v>0.89592452176841619</v>
      </c>
      <c r="AQ42" s="47">
        <v>31</v>
      </c>
      <c r="AR42" s="193">
        <v>15257.094300000002</v>
      </c>
      <c r="AS42" s="193">
        <v>20477.502000000004</v>
      </c>
      <c r="AT42" s="53">
        <v>8146.5219900000002</v>
      </c>
      <c r="AU42" s="53">
        <v>10933.827894000002</v>
      </c>
      <c r="AV42" s="53">
        <v>13538.856924000003</v>
      </c>
      <c r="AW42" s="53">
        <v>18171.774702000006</v>
      </c>
      <c r="AX42" s="53">
        <v>9239.0743440000006</v>
      </c>
      <c r="AY42" s="53">
        <v>12400.963290000002</v>
      </c>
      <c r="AZ42" s="53">
        <v>9825.0187342731278</v>
      </c>
      <c r="BA42" s="53">
        <v>13187.435462775329</v>
      </c>
      <c r="BB42" s="53">
        <v>7740.9393120000013</v>
      </c>
      <c r="BC42" s="53">
        <v>10389.843423000002</v>
      </c>
      <c r="BD42" s="53">
        <v>6935.6880360000014</v>
      </c>
      <c r="BE42" s="53">
        <v>9308.5155000000013</v>
      </c>
      <c r="BF42" s="53">
        <v>8921.175499949999</v>
      </c>
      <c r="BG42" s="53">
        <v>11973.526573469999</v>
      </c>
      <c r="BH42" s="8"/>
      <c r="BI42" s="47">
        <v>31</v>
      </c>
      <c r="BJ42" s="54">
        <f t="shared" si="6"/>
        <v>0</v>
      </c>
      <c r="BK42" s="54">
        <f t="shared" si="7"/>
        <v>0</v>
      </c>
      <c r="BL42" s="48">
        <f t="shared" si="8"/>
        <v>0</v>
      </c>
      <c r="BM42" s="48">
        <f t="shared" si="9"/>
        <v>0</v>
      </c>
      <c r="BN42" s="48">
        <f t="shared" si="10"/>
        <v>0</v>
      </c>
      <c r="BO42" s="48">
        <f t="shared" si="11"/>
        <v>0</v>
      </c>
      <c r="BP42" s="48">
        <f t="shared" si="12"/>
        <v>0</v>
      </c>
      <c r="BQ42" s="48">
        <f t="shared" si="13"/>
        <v>0</v>
      </c>
      <c r="BR42" s="48">
        <f t="shared" si="14"/>
        <v>0</v>
      </c>
      <c r="BS42" s="48">
        <f t="shared" si="15"/>
        <v>0</v>
      </c>
      <c r="BT42" s="48">
        <f t="shared" si="16"/>
        <v>0</v>
      </c>
      <c r="BU42" s="48">
        <f t="shared" si="17"/>
        <v>0</v>
      </c>
      <c r="CK42" s="205"/>
      <c r="CL42" s="205"/>
      <c r="CM42" s="205"/>
      <c r="CN42" s="205"/>
      <c r="CO42" s="205"/>
      <c r="CP42" s="205"/>
      <c r="CQ42" s="205"/>
      <c r="CR42" s="205"/>
      <c r="CS42" s="205"/>
      <c r="CT42" s="205"/>
      <c r="CU42" s="205"/>
    </row>
    <row r="43" spans="1:99" x14ac:dyDescent="0.25">
      <c r="A43" s="47">
        <v>32</v>
      </c>
      <c r="B43" s="48">
        <f t="shared" si="1"/>
        <v>10106.709999999999</v>
      </c>
      <c r="C43" s="53">
        <f t="shared" si="18"/>
        <v>13598.55</v>
      </c>
      <c r="D43" s="8"/>
      <c r="E43" s="49">
        <v>600</v>
      </c>
      <c r="F43" s="34">
        <v>1.0182</v>
      </c>
      <c r="G43" s="50">
        <f t="shared" ca="1" si="2"/>
        <v>1104</v>
      </c>
      <c r="H43" s="51">
        <f t="shared" ca="1" si="3"/>
        <v>1.1460999999999999</v>
      </c>
      <c r="I43" s="49">
        <f t="shared" ca="1" si="4"/>
        <v>54</v>
      </c>
      <c r="J43" s="32"/>
      <c r="K43" s="33" t="s">
        <v>252</v>
      </c>
      <c r="L43" s="57">
        <v>0.77959999999999996</v>
      </c>
      <c r="O43" s="8"/>
      <c r="P43" s="79" t="s">
        <v>90</v>
      </c>
      <c r="Q43" s="95">
        <v>2.3574000000000002</v>
      </c>
      <c r="R43" s="8"/>
      <c r="S43" s="8"/>
      <c r="T43" s="8"/>
      <c r="U43" s="8"/>
      <c r="V43" s="8"/>
      <c r="W43" s="8"/>
      <c r="X43" s="8"/>
      <c r="Y43" s="17"/>
      <c r="Z43" s="8"/>
      <c r="AA43" s="8"/>
      <c r="AB43" s="8"/>
      <c r="AC43" s="8"/>
      <c r="AD43" s="96">
        <v>300000</v>
      </c>
      <c r="AE43" s="97" t="str">
        <f t="shared" si="19"/>
        <v/>
      </c>
      <c r="AF43" s="8"/>
      <c r="AG43" s="8"/>
      <c r="AH43" s="8"/>
      <c r="AI43" s="8"/>
      <c r="AJ43" s="8"/>
      <c r="AK43" s="8"/>
      <c r="AL43" s="8"/>
      <c r="AM43" s="8"/>
      <c r="AN43" s="8"/>
      <c r="AO43" s="8">
        <f t="shared" si="5"/>
        <v>0.89598488470876603</v>
      </c>
      <c r="AP43" s="8">
        <f t="shared" si="0"/>
        <v>0.89596618110267934</v>
      </c>
      <c r="AQ43" s="47">
        <v>32</v>
      </c>
      <c r="AR43" s="193">
        <v>15693.257700000004</v>
      </c>
      <c r="AS43" s="193">
        <v>21116.961900000002</v>
      </c>
      <c r="AT43" s="53">
        <v>8379.672273000002</v>
      </c>
      <c r="AU43" s="53">
        <v>11275.021026000002</v>
      </c>
      <c r="AV43" s="53">
        <v>13926.537189000002</v>
      </c>
      <c r="AW43" s="53">
        <v>18739.045863000003</v>
      </c>
      <c r="AX43" s="53">
        <v>9503.9635230000022</v>
      </c>
      <c r="AY43" s="53">
        <v>12787.559307000001</v>
      </c>
      <c r="AZ43" s="53">
        <v>10106.707250814978</v>
      </c>
      <c r="BA43" s="53">
        <v>13598.549495220263</v>
      </c>
      <c r="BB43" s="53">
        <v>7962.2367930000009</v>
      </c>
      <c r="BC43" s="53">
        <v>10714.008933000001</v>
      </c>
      <c r="BD43" s="53">
        <v>7134.0438150000009</v>
      </c>
      <c r="BE43" s="53">
        <v>9599.3896680000034</v>
      </c>
      <c r="BF43" s="53">
        <v>9176.4960643649993</v>
      </c>
      <c r="BG43" s="53">
        <v>12347.163791129999</v>
      </c>
      <c r="BH43" s="8"/>
      <c r="BI43" s="47">
        <v>32</v>
      </c>
      <c r="BJ43" s="54">
        <f t="shared" si="6"/>
        <v>0</v>
      </c>
      <c r="BK43" s="54">
        <f t="shared" si="7"/>
        <v>0</v>
      </c>
      <c r="BL43" s="48">
        <f t="shared" si="8"/>
        <v>0</v>
      </c>
      <c r="BM43" s="48">
        <f t="shared" si="9"/>
        <v>0</v>
      </c>
      <c r="BN43" s="48">
        <f t="shared" si="10"/>
        <v>0</v>
      </c>
      <c r="BO43" s="48">
        <f t="shared" si="11"/>
        <v>0</v>
      </c>
      <c r="BP43" s="48">
        <f t="shared" si="12"/>
        <v>0</v>
      </c>
      <c r="BQ43" s="48">
        <f t="shared" si="13"/>
        <v>0</v>
      </c>
      <c r="BR43" s="48">
        <f t="shared" si="14"/>
        <v>0</v>
      </c>
      <c r="BS43" s="48">
        <f t="shared" si="15"/>
        <v>0</v>
      </c>
      <c r="BT43" s="48">
        <f t="shared" si="16"/>
        <v>0</v>
      </c>
      <c r="BU43" s="48">
        <f t="shared" si="17"/>
        <v>0</v>
      </c>
      <c r="CK43" s="205"/>
      <c r="CL43" s="205"/>
      <c r="CM43" s="205"/>
      <c r="CN43" s="205"/>
      <c r="CO43" s="205"/>
      <c r="CP43" s="205"/>
      <c r="CQ43" s="205"/>
      <c r="CR43" s="205"/>
      <c r="CS43" s="205"/>
      <c r="CT43" s="205"/>
      <c r="CU43" s="205"/>
    </row>
    <row r="44" spans="1:99" x14ac:dyDescent="0.25">
      <c r="A44" s="47">
        <v>33</v>
      </c>
      <c r="B44" s="48">
        <f t="shared" si="1"/>
        <v>10398.540000000001</v>
      </c>
      <c r="C44" s="48">
        <f t="shared" si="18"/>
        <v>14026.57</v>
      </c>
      <c r="D44" s="8"/>
      <c r="E44" s="49">
        <v>611</v>
      </c>
      <c r="F44" s="34">
        <v>1.0221</v>
      </c>
      <c r="G44" s="50">
        <f t="shared" ca="1" si="2"/>
        <v>1500</v>
      </c>
      <c r="H44" s="51">
        <f t="shared" ca="1" si="3"/>
        <v>1.2103999999999999</v>
      </c>
      <c r="I44" s="49">
        <f t="shared" ca="1" si="4"/>
        <v>55</v>
      </c>
      <c r="J44" s="32"/>
      <c r="K44" s="33" t="s">
        <v>253</v>
      </c>
      <c r="L44" s="57">
        <v>0.76739999999999997</v>
      </c>
      <c r="O44" s="8"/>
      <c r="P44" s="79" t="s">
        <v>91</v>
      </c>
      <c r="Q44" s="98">
        <v>2.0594000000000001</v>
      </c>
      <c r="R44" s="8"/>
      <c r="S44" s="8"/>
      <c r="T44" s="8"/>
      <c r="U44" s="8"/>
      <c r="V44" s="8"/>
      <c r="W44" s="8"/>
      <c r="X44" s="8"/>
      <c r="Y44" s="17"/>
      <c r="Z44" s="8"/>
      <c r="AA44" s="8"/>
      <c r="AB44" s="8"/>
      <c r="AC44" s="8"/>
      <c r="AD44" s="96">
        <v>350000</v>
      </c>
      <c r="AE44" s="97" t="str">
        <f t="shared" si="19"/>
        <v/>
      </c>
      <c r="AF44" s="8"/>
      <c r="AG44" s="8"/>
      <c r="AH44" s="8"/>
      <c r="AI44" s="8"/>
      <c r="AJ44" s="8"/>
      <c r="AK44" s="8"/>
      <c r="AL44" s="8"/>
      <c r="AM44" s="8"/>
      <c r="AN44" s="8"/>
      <c r="AO44" s="8">
        <f t="shared" si="5"/>
        <v>0.89592504305061549</v>
      </c>
      <c r="AP44" s="8">
        <f t="shared" si="0"/>
        <v>0.89598786939530939</v>
      </c>
      <c r="AQ44" s="47">
        <v>33</v>
      </c>
      <c r="AR44" s="193">
        <v>16146.670500000002</v>
      </c>
      <c r="AS44" s="193">
        <v>21781.063800000004</v>
      </c>
      <c r="AT44" s="53">
        <v>8621.6813550000024</v>
      </c>
      <c r="AU44" s="53">
        <v>11629.545480000001</v>
      </c>
      <c r="AV44" s="53">
        <v>14328.472851000002</v>
      </c>
      <c r="AW44" s="53">
        <v>19328.396256000007</v>
      </c>
      <c r="AX44" s="53">
        <v>9778.3891560000011</v>
      </c>
      <c r="AY44" s="53">
        <v>13190.049414000001</v>
      </c>
      <c r="AZ44" s="53">
        <v>10398.537025638767</v>
      </c>
      <c r="BA44" s="53">
        <v>14026.565624801762</v>
      </c>
      <c r="BB44" s="53">
        <v>8192.4177150000014</v>
      </c>
      <c r="BC44" s="53">
        <v>11050.766505000001</v>
      </c>
      <c r="BD44" s="53">
        <v>7339.7921940000015</v>
      </c>
      <c r="BE44" s="53">
        <v>9901.3527360000007</v>
      </c>
      <c r="BF44" s="53">
        <v>9441.5178117750002</v>
      </c>
      <c r="BG44" s="53">
        <v>12735.400007399998</v>
      </c>
      <c r="BH44" s="8"/>
      <c r="BI44" s="47">
        <v>33</v>
      </c>
      <c r="BJ44" s="54">
        <f t="shared" si="6"/>
        <v>0</v>
      </c>
      <c r="BK44" s="54">
        <f t="shared" si="7"/>
        <v>0</v>
      </c>
      <c r="BL44" s="48">
        <f t="shared" si="8"/>
        <v>0</v>
      </c>
      <c r="BM44" s="48">
        <f t="shared" si="9"/>
        <v>0</v>
      </c>
      <c r="BN44" s="48">
        <f t="shared" si="10"/>
        <v>0</v>
      </c>
      <c r="BO44" s="48">
        <f t="shared" si="11"/>
        <v>0</v>
      </c>
      <c r="BP44" s="48">
        <f t="shared" si="12"/>
        <v>0</v>
      </c>
      <c r="BQ44" s="48">
        <f t="shared" si="13"/>
        <v>0</v>
      </c>
      <c r="BR44" s="48">
        <f t="shared" si="14"/>
        <v>0</v>
      </c>
      <c r="BS44" s="48">
        <f t="shared" si="15"/>
        <v>0</v>
      </c>
      <c r="BT44" s="48">
        <f t="shared" si="16"/>
        <v>0</v>
      </c>
      <c r="BU44" s="48">
        <f t="shared" si="17"/>
        <v>0</v>
      </c>
      <c r="CK44" s="205"/>
      <c r="CL44" s="205"/>
      <c r="CM44" s="205"/>
      <c r="CN44" s="205"/>
      <c r="CO44" s="205"/>
      <c r="CP44" s="205"/>
      <c r="CQ44" s="205"/>
      <c r="CR44" s="205"/>
      <c r="CS44" s="205"/>
      <c r="CT44" s="205"/>
      <c r="CU44" s="205"/>
    </row>
    <row r="45" spans="1:99" ht="15.75" thickBot="1" x14ac:dyDescent="0.3">
      <c r="A45" s="47">
        <v>34</v>
      </c>
      <c r="B45" s="48">
        <f t="shared" si="1"/>
        <v>10697.14</v>
      </c>
      <c r="C45" s="48">
        <f t="shared" si="18"/>
        <v>14466.43</v>
      </c>
      <c r="D45" s="8"/>
      <c r="E45" s="49">
        <v>615</v>
      </c>
      <c r="F45" s="34">
        <v>1.0234000000000001</v>
      </c>
      <c r="G45" s="50">
        <f t="shared" ref="G45:G73" ca="1" si="20">IF(AND($B$4&lt;&gt;2, IF(I45&lt;&gt;"",INDIRECT("e"&amp;I45,TRUE),"")="26,738 UMAM"),"Sin Límite",IF(I45&lt;&gt;"",INDIRECT("e"&amp;I45,TRUE),""))</f>
        <v>1527</v>
      </c>
      <c r="H45" s="51">
        <f t="shared" ca="1" si="3"/>
        <v>1.2141999999999999</v>
      </c>
      <c r="I45" s="49">
        <f t="shared" ca="1" si="4"/>
        <v>56</v>
      </c>
      <c r="J45" s="32"/>
      <c r="K45" s="33" t="s">
        <v>226</v>
      </c>
      <c r="L45" s="57">
        <v>0.76439999999999997</v>
      </c>
      <c r="O45" s="8"/>
      <c r="P45" s="81" t="s">
        <v>92</v>
      </c>
      <c r="Q45" s="99">
        <v>1.4631000000000001</v>
      </c>
      <c r="R45" s="8"/>
      <c r="S45" s="8"/>
      <c r="T45" s="8"/>
      <c r="U45" s="8"/>
      <c r="V45" s="8"/>
      <c r="W45" s="8"/>
      <c r="X45" s="8"/>
      <c r="Y45" s="17"/>
      <c r="Z45" s="8"/>
      <c r="AA45" s="8"/>
      <c r="AB45" s="8"/>
      <c r="AC45" s="8"/>
      <c r="AD45" s="96">
        <v>400000</v>
      </c>
      <c r="AE45" s="97" t="str">
        <f t="shared" si="19"/>
        <v/>
      </c>
      <c r="AF45" s="8"/>
      <c r="AG45" s="8"/>
      <c r="AH45" s="8"/>
      <c r="AI45" s="8"/>
      <c r="AJ45" s="8"/>
      <c r="AK45" s="8"/>
      <c r="AL45" s="8"/>
      <c r="AM45" s="8"/>
      <c r="AN45" s="8"/>
      <c r="AO45" s="8">
        <f t="shared" si="5"/>
        <v>0.89593387298853699</v>
      </c>
      <c r="AP45" s="8">
        <f t="shared" si="0"/>
        <v>0.89596742982298716</v>
      </c>
      <c r="AQ45" s="47">
        <v>34</v>
      </c>
      <c r="AR45" s="193">
        <v>16611.172200000001</v>
      </c>
      <c r="AS45" s="193">
        <v>22463.647200000003</v>
      </c>
      <c r="AT45" s="53">
        <v>8869.6291590000019</v>
      </c>
      <c r="AU45" s="53">
        <v>11994.419574000003</v>
      </c>
      <c r="AV45" s="53">
        <v>14740.388523000001</v>
      </c>
      <c r="AW45" s="53">
        <v>19934.145900000003</v>
      </c>
      <c r="AX45" s="53">
        <v>10059.184746000001</v>
      </c>
      <c r="AY45" s="53">
        <v>13603.677705000002</v>
      </c>
      <c r="AZ45" s="53">
        <v>10697.140741718062</v>
      </c>
      <c r="BA45" s="53">
        <v>14466.426324779733</v>
      </c>
      <c r="BB45" s="53">
        <v>8427.7734570000011</v>
      </c>
      <c r="BC45" s="53">
        <v>11397.146778000002</v>
      </c>
      <c r="BD45" s="53">
        <v>7550.7277140000024</v>
      </c>
      <c r="BE45" s="53">
        <v>10211.472306000001</v>
      </c>
      <c r="BF45" s="53">
        <v>9713.0429947949997</v>
      </c>
      <c r="BG45" s="53">
        <v>13134.97001187</v>
      </c>
      <c r="BH45" s="8"/>
      <c r="BI45" s="47">
        <v>34</v>
      </c>
      <c r="BJ45" s="54">
        <f t="shared" si="6"/>
        <v>0</v>
      </c>
      <c r="BK45" s="54">
        <f t="shared" si="7"/>
        <v>0</v>
      </c>
      <c r="BL45" s="48">
        <f t="shared" si="8"/>
        <v>0</v>
      </c>
      <c r="BM45" s="48">
        <f t="shared" si="9"/>
        <v>0</v>
      </c>
      <c r="BN45" s="48">
        <f t="shared" si="10"/>
        <v>0</v>
      </c>
      <c r="BO45" s="48">
        <f t="shared" si="11"/>
        <v>0</v>
      </c>
      <c r="BP45" s="48">
        <f t="shared" si="12"/>
        <v>0</v>
      </c>
      <c r="BQ45" s="48">
        <f t="shared" si="13"/>
        <v>0</v>
      </c>
      <c r="BR45" s="48">
        <f t="shared" si="14"/>
        <v>0</v>
      </c>
      <c r="BS45" s="48">
        <f t="shared" si="15"/>
        <v>0</v>
      </c>
      <c r="BT45" s="48">
        <f t="shared" si="16"/>
        <v>0</v>
      </c>
      <c r="BU45" s="48">
        <f t="shared" si="17"/>
        <v>0</v>
      </c>
      <c r="CK45" s="205"/>
      <c r="CL45" s="205"/>
      <c r="CM45" s="205"/>
      <c r="CN45" s="205"/>
      <c r="CO45" s="205"/>
      <c r="CP45" s="205"/>
      <c r="CQ45" s="205"/>
      <c r="CR45" s="205"/>
      <c r="CS45" s="205"/>
      <c r="CT45" s="205"/>
      <c r="CU45" s="205"/>
    </row>
    <row r="46" spans="1:99" x14ac:dyDescent="0.25">
      <c r="A46" s="47">
        <v>35</v>
      </c>
      <c r="B46" s="48">
        <f t="shared" si="1"/>
        <v>10958.52</v>
      </c>
      <c r="C46" s="48">
        <f t="shared" si="18"/>
        <v>14883.45</v>
      </c>
      <c r="D46" s="8"/>
      <c r="E46" s="49">
        <v>650</v>
      </c>
      <c r="F46" s="34">
        <v>1.0349999999999999</v>
      </c>
      <c r="G46" s="50">
        <f t="shared" ca="1" si="20"/>
        <v>1650</v>
      </c>
      <c r="H46" s="51">
        <f t="shared" ca="1" si="3"/>
        <v>1.2297</v>
      </c>
      <c r="I46" s="49">
        <f t="shared" ca="1" si="4"/>
        <v>57</v>
      </c>
      <c r="J46" s="32"/>
      <c r="K46" s="33" t="s">
        <v>254</v>
      </c>
      <c r="L46" s="57">
        <v>0.75539999999999996</v>
      </c>
      <c r="O46" s="8"/>
      <c r="P46" s="8"/>
      <c r="Q46" s="8"/>
      <c r="R46" s="17"/>
      <c r="S46" s="17"/>
      <c r="T46" s="8"/>
      <c r="U46" s="8"/>
      <c r="V46" s="8"/>
      <c r="W46" s="8"/>
      <c r="X46" s="8"/>
      <c r="Y46" s="17"/>
      <c r="Z46" s="8"/>
      <c r="AA46" s="8"/>
      <c r="AB46" s="8"/>
      <c r="AC46" s="8"/>
      <c r="AD46" s="96">
        <v>450000</v>
      </c>
      <c r="AE46" s="97" t="str">
        <f t="shared" si="19"/>
        <v/>
      </c>
      <c r="AF46" s="8"/>
      <c r="AG46" s="8"/>
      <c r="AH46" s="8"/>
      <c r="AI46" s="8"/>
      <c r="AJ46" s="8"/>
      <c r="AK46" s="8"/>
      <c r="AL46" s="8"/>
      <c r="AM46" s="8"/>
      <c r="AN46" s="8"/>
      <c r="AO46" s="8">
        <f t="shared" si="5"/>
        <v>0.8959280280055999</v>
      </c>
      <c r="AP46" s="8">
        <f t="shared" si="0"/>
        <v>0.89597967403216816</v>
      </c>
      <c r="AQ46" s="47">
        <v>35</v>
      </c>
      <c r="AR46" s="193">
        <v>17016.533100000004</v>
      </c>
      <c r="AS46" s="193">
        <v>23110.499700000004</v>
      </c>
      <c r="AT46" s="53">
        <v>9085.7394990000012</v>
      </c>
      <c r="AU46" s="53">
        <v>12340.060587000002</v>
      </c>
      <c r="AV46" s="53">
        <v>15100.272612000002</v>
      </c>
      <c r="AW46" s="53">
        <v>20508.550920000005</v>
      </c>
      <c r="AX46" s="53">
        <v>10304.976375000002</v>
      </c>
      <c r="AY46" s="53">
        <v>13995.830493000003</v>
      </c>
      <c r="AZ46" s="53">
        <v>10958.520536894272</v>
      </c>
      <c r="BA46" s="53">
        <v>14883.449540022026</v>
      </c>
      <c r="BB46" s="53">
        <v>8633.5341570000019</v>
      </c>
      <c r="BC46" s="53">
        <v>11725.760169000001</v>
      </c>
      <c r="BD46" s="53">
        <v>7735.0252320000009</v>
      </c>
      <c r="BE46" s="53">
        <v>10506.042774000001</v>
      </c>
      <c r="BF46" s="53">
        <v>9949.7032864949979</v>
      </c>
      <c r="BG46" s="53">
        <v>13513.478059935</v>
      </c>
      <c r="BH46" s="8"/>
      <c r="BI46" s="47">
        <v>35</v>
      </c>
      <c r="BJ46" s="54">
        <f t="shared" si="6"/>
        <v>0</v>
      </c>
      <c r="BK46" s="54">
        <f t="shared" si="7"/>
        <v>0</v>
      </c>
      <c r="BL46" s="48">
        <f t="shared" si="8"/>
        <v>0</v>
      </c>
      <c r="BM46" s="48">
        <f t="shared" si="9"/>
        <v>0</v>
      </c>
      <c r="BN46" s="48">
        <f t="shared" si="10"/>
        <v>0</v>
      </c>
      <c r="BO46" s="48">
        <f t="shared" si="11"/>
        <v>0</v>
      </c>
      <c r="BP46" s="48">
        <f t="shared" si="12"/>
        <v>0</v>
      </c>
      <c r="BQ46" s="48">
        <f t="shared" si="13"/>
        <v>0</v>
      </c>
      <c r="BR46" s="48">
        <f t="shared" si="14"/>
        <v>0</v>
      </c>
      <c r="BS46" s="48">
        <f t="shared" si="15"/>
        <v>0</v>
      </c>
      <c r="BT46" s="48">
        <f t="shared" si="16"/>
        <v>0</v>
      </c>
      <c r="BU46" s="48">
        <f t="shared" si="17"/>
        <v>0</v>
      </c>
      <c r="CK46" s="205"/>
      <c r="CL46" s="205"/>
      <c r="CM46" s="205"/>
      <c r="CN46" s="205"/>
      <c r="CO46" s="205"/>
      <c r="CP46" s="205"/>
      <c r="CQ46" s="205"/>
      <c r="CR46" s="205"/>
      <c r="CS46" s="205"/>
      <c r="CT46" s="205"/>
      <c r="CU46" s="205"/>
    </row>
    <row r="47" spans="1:99" ht="15.75" thickBot="1" x14ac:dyDescent="0.3">
      <c r="A47" s="47">
        <v>36</v>
      </c>
      <c r="B47" s="48">
        <f t="shared" si="1"/>
        <v>11224.97</v>
      </c>
      <c r="C47" s="48">
        <f t="shared" si="18"/>
        <v>15310.63</v>
      </c>
      <c r="D47" s="8"/>
      <c r="E47" s="49">
        <v>687</v>
      </c>
      <c r="F47" s="34">
        <v>1.0466</v>
      </c>
      <c r="G47" s="50">
        <f t="shared" ca="1" si="20"/>
        <v>1800</v>
      </c>
      <c r="H47" s="51">
        <f t="shared" ca="1" si="3"/>
        <v>1.2486999999999999</v>
      </c>
      <c r="I47" s="49">
        <f t="shared" ca="1" si="4"/>
        <v>58</v>
      </c>
      <c r="J47" s="32"/>
      <c r="K47" s="33" t="s">
        <v>255</v>
      </c>
      <c r="L47" s="57">
        <v>0.75239999999999996</v>
      </c>
      <c r="O47" s="8"/>
      <c r="P47" s="12" t="s">
        <v>55</v>
      </c>
      <c r="Q47" s="8"/>
      <c r="R47" s="17"/>
      <c r="S47" s="17"/>
      <c r="T47" s="8"/>
      <c r="U47" s="8"/>
      <c r="V47" s="8"/>
      <c r="W47" s="8"/>
      <c r="X47" s="8"/>
      <c r="Y47" s="17"/>
      <c r="Z47" s="8"/>
      <c r="AA47" s="8"/>
      <c r="AB47" s="8"/>
      <c r="AC47" s="8"/>
      <c r="AD47" s="100">
        <v>500000</v>
      </c>
      <c r="AE47" s="101" t="str">
        <f t="shared" si="19"/>
        <v/>
      </c>
      <c r="AF47" s="8"/>
      <c r="AG47" s="8"/>
      <c r="AH47" s="8"/>
      <c r="AI47" s="8"/>
      <c r="AJ47" s="8"/>
      <c r="AK47" s="8"/>
      <c r="AL47" s="8"/>
      <c r="AM47" s="8"/>
      <c r="AN47" s="8"/>
      <c r="AO47" s="8">
        <f t="shared" si="5"/>
        <v>0.89597451015358553</v>
      </c>
      <c r="AP47" s="8">
        <f t="shared" si="0"/>
        <v>0.8959378808013313</v>
      </c>
      <c r="AQ47" s="47">
        <v>36</v>
      </c>
      <c r="AR47" s="193">
        <v>17430.518700000004</v>
      </c>
      <c r="AS47" s="193">
        <v>23774.601600000002</v>
      </c>
      <c r="AT47" s="53">
        <v>9307.0369800000008</v>
      </c>
      <c r="AU47" s="53">
        <v>12694.585041</v>
      </c>
      <c r="AV47" s="53">
        <v>15467.278239000003</v>
      </c>
      <c r="AW47" s="53">
        <v>21097.901313000006</v>
      </c>
      <c r="AX47" s="53">
        <v>10555.536231000002</v>
      </c>
      <c r="AY47" s="53">
        <v>14397.532056000002</v>
      </c>
      <c r="AZ47" s="53">
        <v>11224.970961211453</v>
      </c>
      <c r="BA47" s="53">
        <v>15310.627115947136</v>
      </c>
      <c r="BB47" s="53">
        <v>8843.7180960000023</v>
      </c>
      <c r="BC47" s="53">
        <v>12062.517741</v>
      </c>
      <c r="BD47" s="53">
        <v>7923.7459890000018</v>
      </c>
      <c r="BE47" s="53">
        <v>10807.266582000002</v>
      </c>
      <c r="BF47" s="53">
        <v>10192.0439649</v>
      </c>
      <c r="BG47" s="53">
        <v>13901.714276204999</v>
      </c>
      <c r="BH47" s="8"/>
      <c r="BI47" s="47">
        <v>36</v>
      </c>
      <c r="BJ47" s="54">
        <f t="shared" si="6"/>
        <v>0</v>
      </c>
      <c r="BK47" s="54">
        <f t="shared" si="7"/>
        <v>0</v>
      </c>
      <c r="BL47" s="48">
        <f t="shared" si="8"/>
        <v>0</v>
      </c>
      <c r="BM47" s="48">
        <f t="shared" si="9"/>
        <v>0</v>
      </c>
      <c r="BN47" s="48">
        <f t="shared" si="10"/>
        <v>0</v>
      </c>
      <c r="BO47" s="48">
        <f t="shared" si="11"/>
        <v>0</v>
      </c>
      <c r="BP47" s="48">
        <f t="shared" si="12"/>
        <v>0</v>
      </c>
      <c r="BQ47" s="48">
        <f t="shared" si="13"/>
        <v>0</v>
      </c>
      <c r="BR47" s="48">
        <f t="shared" si="14"/>
        <v>0</v>
      </c>
      <c r="BS47" s="48">
        <f t="shared" si="15"/>
        <v>0</v>
      </c>
      <c r="BT47" s="48">
        <f t="shared" si="16"/>
        <v>0</v>
      </c>
      <c r="BU47" s="48">
        <f t="shared" si="17"/>
        <v>0</v>
      </c>
      <c r="CK47" s="205"/>
      <c r="CL47" s="205"/>
      <c r="CM47" s="205"/>
      <c r="CN47" s="205"/>
      <c r="CO47" s="205"/>
      <c r="CP47" s="205"/>
      <c r="CQ47" s="205"/>
      <c r="CR47" s="205"/>
      <c r="CS47" s="205"/>
      <c r="CT47" s="205"/>
      <c r="CU47" s="205"/>
    </row>
    <row r="48" spans="1:99" ht="15.75" thickBot="1" x14ac:dyDescent="0.3">
      <c r="A48" s="47">
        <v>37</v>
      </c>
      <c r="B48" s="48">
        <f t="shared" si="1"/>
        <v>11501.58</v>
      </c>
      <c r="C48" s="48">
        <f t="shared" si="18"/>
        <v>15750.49</v>
      </c>
      <c r="D48" s="8"/>
      <c r="E48" s="49">
        <v>700</v>
      </c>
      <c r="F48" s="34">
        <v>1.0506</v>
      </c>
      <c r="G48" s="50">
        <f t="shared" ca="1" si="20"/>
        <v>1824</v>
      </c>
      <c r="H48" s="51">
        <f t="shared" ca="1" si="3"/>
        <v>1.2514000000000001</v>
      </c>
      <c r="I48" s="49">
        <f t="shared" ca="1" si="4"/>
        <v>59</v>
      </c>
      <c r="J48" s="32"/>
      <c r="K48" s="33" t="s">
        <v>256</v>
      </c>
      <c r="L48" s="57">
        <v>0.74060000000000004</v>
      </c>
      <c r="O48" s="8"/>
      <c r="P48" s="557" t="s">
        <v>93</v>
      </c>
      <c r="Q48" s="558"/>
      <c r="R48" s="558"/>
      <c r="S48" s="559"/>
      <c r="T48" s="8"/>
      <c r="U48" s="8"/>
      <c r="V48" s="8"/>
      <c r="W48" s="8"/>
      <c r="X48" s="8"/>
      <c r="Y48" s="17"/>
      <c r="Z48" s="8"/>
      <c r="AA48" s="8"/>
      <c r="AB48" s="8"/>
      <c r="AC48" s="8"/>
      <c r="AD48" s="8"/>
      <c r="AE48" s="8"/>
      <c r="AF48" s="8"/>
      <c r="AG48" s="8"/>
      <c r="AH48" s="8"/>
      <c r="AI48" s="8"/>
      <c r="AJ48" s="8"/>
      <c r="AK48" s="8"/>
      <c r="AL48" s="8"/>
      <c r="AM48" s="8"/>
      <c r="AN48" s="8"/>
      <c r="AO48" s="8">
        <f t="shared" si="5"/>
        <v>0.89594078078747719</v>
      </c>
      <c r="AP48" s="8">
        <f t="shared" si="0"/>
        <v>0.89598007812267277</v>
      </c>
      <c r="AQ48" s="47">
        <v>37</v>
      </c>
      <c r="AR48" s="193">
        <v>17859.289500000003</v>
      </c>
      <c r="AS48" s="193">
        <v>24457.185000000005</v>
      </c>
      <c r="AT48" s="53">
        <v>9536.4786420000019</v>
      </c>
      <c r="AU48" s="53">
        <v>13058.719875000003</v>
      </c>
      <c r="AV48" s="53">
        <v>15848.551584000004</v>
      </c>
      <c r="AW48" s="53">
        <v>21703.650957000002</v>
      </c>
      <c r="AX48" s="53">
        <v>10815.644862000003</v>
      </c>
      <c r="AY48" s="53">
        <v>14811.160347000003</v>
      </c>
      <c r="AZ48" s="53">
        <v>11501.575746211452</v>
      </c>
      <c r="BA48" s="53">
        <v>15750.487815925111</v>
      </c>
      <c r="BB48" s="53">
        <v>9061.3192770000023</v>
      </c>
      <c r="BC48" s="53">
        <v>12408.898014000002</v>
      </c>
      <c r="BD48" s="53">
        <v>8118.4054680000008</v>
      </c>
      <c r="BE48" s="53">
        <v>11118.125412000001</v>
      </c>
      <c r="BF48" s="53">
        <v>10443.303255209999</v>
      </c>
      <c r="BG48" s="53">
        <v>14300.474724375001</v>
      </c>
      <c r="BH48" s="8"/>
      <c r="BI48" s="47">
        <v>37</v>
      </c>
      <c r="BJ48" s="54">
        <f t="shared" si="6"/>
        <v>0</v>
      </c>
      <c r="BK48" s="54">
        <f t="shared" si="7"/>
        <v>0</v>
      </c>
      <c r="BL48" s="48">
        <f t="shared" si="8"/>
        <v>0</v>
      </c>
      <c r="BM48" s="48">
        <f t="shared" si="9"/>
        <v>0</v>
      </c>
      <c r="BN48" s="48">
        <f t="shared" si="10"/>
        <v>0</v>
      </c>
      <c r="BO48" s="48">
        <f t="shared" si="11"/>
        <v>0</v>
      </c>
      <c r="BP48" s="48">
        <f t="shared" si="12"/>
        <v>0</v>
      </c>
      <c r="BQ48" s="48">
        <f t="shared" si="13"/>
        <v>0</v>
      </c>
      <c r="BR48" s="48">
        <f t="shared" si="14"/>
        <v>0</v>
      </c>
      <c r="BS48" s="48">
        <f t="shared" si="15"/>
        <v>0</v>
      </c>
      <c r="BT48" s="48">
        <f t="shared" si="16"/>
        <v>0</v>
      </c>
      <c r="BU48" s="48">
        <f t="shared" si="17"/>
        <v>0</v>
      </c>
      <c r="CK48" s="205"/>
      <c r="CL48" s="205"/>
      <c r="CM48" s="205"/>
      <c r="CN48" s="205"/>
      <c r="CO48" s="205"/>
      <c r="CP48" s="205"/>
      <c r="CQ48" s="205"/>
      <c r="CR48" s="205"/>
      <c r="CS48" s="205"/>
      <c r="CT48" s="205"/>
      <c r="CU48" s="205"/>
    </row>
    <row r="49" spans="1:73" ht="15.75" thickBot="1" x14ac:dyDescent="0.3">
      <c r="A49" s="47">
        <v>38</v>
      </c>
      <c r="B49" s="48">
        <f t="shared" si="1"/>
        <v>11780.72</v>
      </c>
      <c r="C49" s="48">
        <f t="shared" si="18"/>
        <v>16203.88</v>
      </c>
      <c r="D49" s="8"/>
      <c r="E49" s="49">
        <v>750</v>
      </c>
      <c r="F49" s="34">
        <v>1.0649999999999999</v>
      </c>
      <c r="G49" s="50">
        <f t="shared" ca="1" si="20"/>
        <v>1909</v>
      </c>
      <c r="H49" s="51">
        <f t="shared" ca="1" si="3"/>
        <v>1.2609999999999999</v>
      </c>
      <c r="I49" s="49">
        <f t="shared" ca="1" si="4"/>
        <v>60</v>
      </c>
      <c r="J49" s="32"/>
      <c r="K49" s="33" t="s">
        <v>257</v>
      </c>
      <c r="L49" s="57">
        <v>0.73770000000000002</v>
      </c>
      <c r="O49" s="8"/>
      <c r="P49" s="102" t="s">
        <v>94</v>
      </c>
      <c r="Q49" s="102" t="s">
        <v>69</v>
      </c>
      <c r="R49" s="102" t="s">
        <v>94</v>
      </c>
      <c r="S49" s="102" t="s">
        <v>69</v>
      </c>
      <c r="T49" s="8"/>
      <c r="U49" s="8"/>
      <c r="V49" s="8"/>
      <c r="W49" s="8"/>
      <c r="X49" s="8"/>
      <c r="Y49" s="17"/>
      <c r="Z49" s="8"/>
      <c r="AA49" s="8"/>
      <c r="AB49" s="14" t="s">
        <v>95</v>
      </c>
      <c r="AC49" s="14" t="s">
        <v>57</v>
      </c>
      <c r="AD49" s="14" t="s">
        <v>96</v>
      </c>
      <c r="AE49" s="103" t="s">
        <v>89</v>
      </c>
      <c r="AF49" s="8"/>
      <c r="AG49" s="8"/>
      <c r="AH49" s="8"/>
      <c r="AI49" s="8"/>
      <c r="AJ49" s="8"/>
      <c r="AK49" s="8"/>
      <c r="AL49" s="8"/>
      <c r="AM49" s="8"/>
      <c r="AN49" s="8"/>
      <c r="AO49" s="8">
        <f t="shared" si="5"/>
        <v>0.89601315848863239</v>
      </c>
      <c r="AP49" s="8">
        <f t="shared" si="0"/>
        <v>0.89599448726869846</v>
      </c>
      <c r="AQ49" s="47">
        <v>38</v>
      </c>
      <c r="AR49" s="193">
        <v>18292.988700000005</v>
      </c>
      <c r="AS49" s="193">
        <v>25161.946200000006</v>
      </c>
      <c r="AT49" s="53">
        <v>9767.3988239999999</v>
      </c>
      <c r="AU49" s="53">
        <v>13435.446771000003</v>
      </c>
      <c r="AV49" s="53">
        <v>16233.373377000004</v>
      </c>
      <c r="AW49" s="53">
        <v>22328.646003000002</v>
      </c>
      <c r="AX49" s="53">
        <v>11078.143767000003</v>
      </c>
      <c r="AY49" s="53">
        <v>15237.516231000003</v>
      </c>
      <c r="AZ49" s="53">
        <v>11780.722396982379</v>
      </c>
      <c r="BA49" s="53">
        <v>16203.883296013219</v>
      </c>
      <c r="BB49" s="53">
        <v>9281.1382380000014</v>
      </c>
      <c r="BC49" s="53">
        <v>12766.367187000002</v>
      </c>
      <c r="BD49" s="53">
        <v>8316.0219870000019</v>
      </c>
      <c r="BE49" s="53">
        <v>11438.594622000002</v>
      </c>
      <c r="BF49" s="53">
        <v>10696.181658119998</v>
      </c>
      <c r="BG49" s="53">
        <v>14713.024614855</v>
      </c>
      <c r="BH49" s="8"/>
      <c r="BI49" s="47">
        <v>38</v>
      </c>
      <c r="BJ49" s="54">
        <f t="shared" si="6"/>
        <v>0</v>
      </c>
      <c r="BK49" s="54">
        <f t="shared" si="7"/>
        <v>0</v>
      </c>
      <c r="BL49" s="48">
        <f t="shared" si="8"/>
        <v>0</v>
      </c>
      <c r="BM49" s="48">
        <f t="shared" si="9"/>
        <v>0</v>
      </c>
      <c r="BN49" s="48">
        <f t="shared" si="10"/>
        <v>0</v>
      </c>
      <c r="BO49" s="48">
        <f t="shared" si="11"/>
        <v>0</v>
      </c>
      <c r="BP49" s="48">
        <f t="shared" si="12"/>
        <v>0</v>
      </c>
      <c r="BQ49" s="48">
        <f t="shared" si="13"/>
        <v>0</v>
      </c>
      <c r="BR49" s="48">
        <f t="shared" si="14"/>
        <v>0</v>
      </c>
      <c r="BS49" s="48">
        <f t="shared" si="15"/>
        <v>0</v>
      </c>
      <c r="BT49" s="48">
        <f t="shared" si="16"/>
        <v>0</v>
      </c>
      <c r="BU49" s="48">
        <f t="shared" si="17"/>
        <v>0</v>
      </c>
    </row>
    <row r="50" spans="1:73" x14ac:dyDescent="0.25">
      <c r="A50" s="47">
        <v>39</v>
      </c>
      <c r="B50" s="48">
        <f t="shared" si="1"/>
        <v>12068.33</v>
      </c>
      <c r="C50" s="48">
        <f t="shared" si="18"/>
        <v>16669.98</v>
      </c>
      <c r="D50" s="8"/>
      <c r="E50" s="49">
        <v>764</v>
      </c>
      <c r="F50" s="34">
        <v>1.0689</v>
      </c>
      <c r="G50" s="50">
        <f t="shared" ca="1" si="20"/>
        <v>2000</v>
      </c>
      <c r="H50" s="51">
        <f t="shared" ca="1" si="3"/>
        <v>1.2707999999999999</v>
      </c>
      <c r="I50" s="49">
        <f t="shared" ca="1" si="4"/>
        <v>61</v>
      </c>
      <c r="J50" s="32"/>
      <c r="K50" s="33" t="s">
        <v>258</v>
      </c>
      <c r="L50" s="57">
        <v>0.73480000000000001</v>
      </c>
      <c r="O50" s="17">
        <v>1</v>
      </c>
      <c r="P50" s="104" t="s">
        <v>97</v>
      </c>
      <c r="Q50" s="105">
        <v>1.17</v>
      </c>
      <c r="R50" s="106" t="str">
        <f>P50</f>
        <v>2000</v>
      </c>
      <c r="S50" s="107">
        <f>Q50</f>
        <v>1.17</v>
      </c>
      <c r="T50" s="8"/>
      <c r="U50" s="8"/>
      <c r="V50" s="108"/>
      <c r="W50" s="8"/>
      <c r="X50" s="8"/>
      <c r="Y50" s="17"/>
      <c r="Z50" s="8"/>
      <c r="AA50" s="8"/>
      <c r="AB50" s="92">
        <f>IF(AND('GOLDEN SALUD IND'!G28&gt;19,'GOLDEN SALUD IND'!G28&lt;56,'GOLDEN SALUD IND'!F28="F"),'GOLDEN SALUD IND'!G28,"")</f>
        <v>49</v>
      </c>
      <c r="AC50" s="92">
        <f>IF(AB50="","",VLOOKUP(AB50,$Y$10:$AH$19,10,TRUE))</f>
        <v>8</v>
      </c>
      <c r="AD50" s="93">
        <v>250000</v>
      </c>
      <c r="AE50" s="94" t="str">
        <f t="shared" ref="AE50:AE55" si="21">IF($B$125="NO","",IF($AB$50=""," ",IF(HLOOKUP(AD50,$AB$9:$AG$19,$AC$50,FALSE)&lt;3000,AD50," ")))</f>
        <v/>
      </c>
      <c r="AF50" s="8"/>
      <c r="AG50" s="8"/>
      <c r="AH50" s="8"/>
      <c r="AI50" s="8"/>
      <c r="AJ50" s="8"/>
      <c r="AK50" s="8"/>
      <c r="AL50" s="8"/>
      <c r="AM50" s="8"/>
      <c r="AN50" s="8"/>
      <c r="AO50" s="8">
        <f t="shared" si="5"/>
        <v>0.89592973608269333</v>
      </c>
      <c r="AP50" s="8">
        <f t="shared" si="0"/>
        <v>0.89597088772184619</v>
      </c>
      <c r="AQ50" s="47">
        <v>39</v>
      </c>
      <c r="AR50" s="193">
        <v>18740.241000000005</v>
      </c>
      <c r="AS50" s="193">
        <v>25885.188900000005</v>
      </c>
      <c r="AT50" s="53">
        <v>10006.450866000001</v>
      </c>
      <c r="AU50" s="53">
        <v>13821.784047000003</v>
      </c>
      <c r="AV50" s="53">
        <v>16630.319034000004</v>
      </c>
      <c r="AW50" s="53">
        <v>22970.742597000004</v>
      </c>
      <c r="AX50" s="53">
        <v>11348.602038000003</v>
      </c>
      <c r="AY50" s="53">
        <v>15675.811164000002</v>
      </c>
      <c r="AZ50" s="53">
        <v>12068.333198722468</v>
      </c>
      <c r="BA50" s="53">
        <v>16669.975002555067</v>
      </c>
      <c r="BB50" s="53">
        <v>9508.3497990000014</v>
      </c>
      <c r="BC50" s="53">
        <v>13133.471382000002</v>
      </c>
      <c r="BD50" s="53">
        <v>8518.8133260000013</v>
      </c>
      <c r="BE50" s="53">
        <v>11767.208013000003</v>
      </c>
      <c r="BF50" s="53">
        <v>10957.96518033</v>
      </c>
      <c r="BG50" s="53">
        <v>15136.098737234999</v>
      </c>
      <c r="BH50" s="8"/>
      <c r="BI50" s="47">
        <v>39</v>
      </c>
      <c r="BJ50" s="54">
        <f t="shared" si="6"/>
        <v>0</v>
      </c>
      <c r="BK50" s="54">
        <f t="shared" si="7"/>
        <v>0</v>
      </c>
      <c r="BL50" s="48">
        <f t="shared" si="8"/>
        <v>0</v>
      </c>
      <c r="BM50" s="48">
        <f t="shared" si="9"/>
        <v>0</v>
      </c>
      <c r="BN50" s="48">
        <f t="shared" si="10"/>
        <v>0</v>
      </c>
      <c r="BO50" s="48">
        <f t="shared" si="11"/>
        <v>0</v>
      </c>
      <c r="BP50" s="48">
        <f t="shared" si="12"/>
        <v>0</v>
      </c>
      <c r="BQ50" s="48">
        <f t="shared" si="13"/>
        <v>0</v>
      </c>
      <c r="BR50" s="48">
        <f t="shared" si="14"/>
        <v>0</v>
      </c>
      <c r="BS50" s="48">
        <f t="shared" si="15"/>
        <v>0</v>
      </c>
      <c r="BT50" s="48">
        <f t="shared" si="16"/>
        <v>0</v>
      </c>
      <c r="BU50" s="48">
        <f t="shared" si="17"/>
        <v>0</v>
      </c>
    </row>
    <row r="51" spans="1:73" x14ac:dyDescent="0.25">
      <c r="A51" s="47">
        <v>40</v>
      </c>
      <c r="B51" s="48">
        <f t="shared" si="1"/>
        <v>12575.02</v>
      </c>
      <c r="C51" s="48">
        <f t="shared" si="18"/>
        <v>16899.21</v>
      </c>
      <c r="D51" s="8"/>
      <c r="E51" s="49">
        <v>800</v>
      </c>
      <c r="F51" s="34">
        <v>1.0786</v>
      </c>
      <c r="G51" s="50">
        <f t="shared" ca="1" si="20"/>
        <v>2208</v>
      </c>
      <c r="H51" s="51">
        <f t="shared" ca="1" si="3"/>
        <v>1.2915000000000001</v>
      </c>
      <c r="I51" s="49">
        <f t="shared" ca="1" si="4"/>
        <v>62</v>
      </c>
      <c r="J51" s="32"/>
      <c r="K51" s="33" t="s">
        <v>259</v>
      </c>
      <c r="L51" s="57">
        <v>0.72330000000000005</v>
      </c>
      <c r="O51" s="17">
        <v>2</v>
      </c>
      <c r="P51" s="109" t="s">
        <v>98</v>
      </c>
      <c r="Q51" s="110">
        <v>1</v>
      </c>
      <c r="R51" s="111" t="str">
        <f>P51</f>
        <v>0</v>
      </c>
      <c r="S51" s="112">
        <f>Q51</f>
        <v>1</v>
      </c>
      <c r="T51" s="8"/>
      <c r="U51" s="8"/>
      <c r="V51" s="108"/>
      <c r="W51" s="8"/>
      <c r="X51" s="8"/>
      <c r="Y51" s="17"/>
      <c r="Z51" s="8"/>
      <c r="AA51" s="8"/>
      <c r="AB51" s="8"/>
      <c r="AC51" s="8"/>
      <c r="AD51" s="96">
        <v>300000</v>
      </c>
      <c r="AE51" s="97" t="str">
        <f t="shared" si="21"/>
        <v/>
      </c>
      <c r="AF51" s="8"/>
      <c r="AG51" s="8"/>
      <c r="AH51" s="8"/>
      <c r="AI51" s="8"/>
      <c r="AJ51" s="8"/>
      <c r="AK51" s="8"/>
      <c r="AL51" s="8"/>
      <c r="AM51" s="8"/>
      <c r="AN51" s="8"/>
      <c r="AO51" s="8">
        <f t="shared" si="5"/>
        <v>0.89593668425575523</v>
      </c>
      <c r="AP51" s="8">
        <f t="shared" si="0"/>
        <v>0.89599194520816694</v>
      </c>
      <c r="AQ51" s="47">
        <v>40</v>
      </c>
      <c r="AR51" s="193">
        <v>19526.320800000005</v>
      </c>
      <c r="AS51" s="193">
        <v>26241.265800000005</v>
      </c>
      <c r="AT51" s="53">
        <v>10426.104126</v>
      </c>
      <c r="AU51" s="53">
        <v>14011.995645000003</v>
      </c>
      <c r="AV51" s="53">
        <v>17328.007980000002</v>
      </c>
      <c r="AW51" s="53">
        <v>23287.158198000005</v>
      </c>
      <c r="AX51" s="53">
        <v>11825.067429000002</v>
      </c>
      <c r="AY51" s="53">
        <v>15891.379380000002</v>
      </c>
      <c r="AZ51" s="53">
        <v>12575.016143193832</v>
      </c>
      <c r="BA51" s="53">
        <v>16899.214608370043</v>
      </c>
      <c r="BB51" s="53">
        <v>9907.2791370000014</v>
      </c>
      <c r="BC51" s="53">
        <v>13314.060279000001</v>
      </c>
      <c r="BD51" s="53">
        <v>8876.294820000001</v>
      </c>
      <c r="BE51" s="53">
        <v>11929.290768000001</v>
      </c>
      <c r="BF51" s="53">
        <v>11417.523306630001</v>
      </c>
      <c r="BG51" s="53">
        <v>15344.397573225</v>
      </c>
      <c r="BH51" s="8"/>
      <c r="BI51" s="47">
        <v>40</v>
      </c>
      <c r="BJ51" s="54">
        <f t="shared" si="6"/>
        <v>0</v>
      </c>
      <c r="BK51" s="54">
        <f t="shared" si="7"/>
        <v>0</v>
      </c>
      <c r="BL51" s="48">
        <f t="shared" si="8"/>
        <v>0</v>
      </c>
      <c r="BM51" s="48">
        <f t="shared" si="9"/>
        <v>0</v>
      </c>
      <c r="BN51" s="48">
        <f t="shared" si="10"/>
        <v>0</v>
      </c>
      <c r="BO51" s="48">
        <f t="shared" si="11"/>
        <v>0</v>
      </c>
      <c r="BP51" s="48">
        <f t="shared" si="12"/>
        <v>0</v>
      </c>
      <c r="BQ51" s="48">
        <f t="shared" si="13"/>
        <v>0</v>
      </c>
      <c r="BR51" s="48">
        <f t="shared" si="14"/>
        <v>0</v>
      </c>
      <c r="BS51" s="48">
        <f t="shared" si="15"/>
        <v>0</v>
      </c>
      <c r="BT51" s="48">
        <f t="shared" si="16"/>
        <v>0</v>
      </c>
      <c r="BU51" s="48">
        <f t="shared" si="17"/>
        <v>0</v>
      </c>
    </row>
    <row r="52" spans="1:73" x14ac:dyDescent="0.25">
      <c r="A52" s="47">
        <v>41</v>
      </c>
      <c r="B52" s="48">
        <f t="shared" si="1"/>
        <v>13101.16</v>
      </c>
      <c r="C52" s="48">
        <f t="shared" si="18"/>
        <v>17132.669999999998</v>
      </c>
      <c r="D52" s="8"/>
      <c r="E52" s="49">
        <v>900</v>
      </c>
      <c r="F52" s="34">
        <v>1.1032999999999999</v>
      </c>
      <c r="G52" s="50">
        <f t="shared" ca="1" si="20"/>
        <v>2291</v>
      </c>
      <c r="H52" s="51">
        <f t="shared" ca="1" si="3"/>
        <v>1.2992999999999999</v>
      </c>
      <c r="I52" s="49">
        <f t="shared" ca="1" si="4"/>
        <v>63</v>
      </c>
      <c r="J52" s="32"/>
      <c r="K52" s="33" t="s">
        <v>260</v>
      </c>
      <c r="L52" s="57">
        <v>0.71750000000000003</v>
      </c>
      <c r="O52" s="17">
        <v>3</v>
      </c>
      <c r="P52" s="109" t="s">
        <v>99</v>
      </c>
      <c r="Q52" s="110">
        <v>0.96499999999999997</v>
      </c>
      <c r="R52" s="111" t="str">
        <f>P52</f>
        <v>AA</v>
      </c>
      <c r="S52" s="112">
        <f>IF(AND(OR($B$115="Nuevo León",$B$115="Coahuila",$B$115="Durango",$B$115="Tamaulipas"),B4=1),0.835,Q52)</f>
        <v>0.83499999999999996</v>
      </c>
      <c r="T52" s="8"/>
      <c r="U52" s="113"/>
      <c r="V52" s="108"/>
      <c r="W52" s="8"/>
      <c r="X52" s="8"/>
      <c r="Y52" s="17"/>
      <c r="Z52" s="8"/>
      <c r="AA52" s="8"/>
      <c r="AB52" s="8"/>
      <c r="AC52" s="8"/>
      <c r="AD52" s="96">
        <v>350000</v>
      </c>
      <c r="AE52" s="97" t="str">
        <f t="shared" si="21"/>
        <v/>
      </c>
      <c r="AF52" s="8"/>
      <c r="AG52" s="8"/>
      <c r="AH52" s="8"/>
      <c r="AI52" s="8"/>
      <c r="AJ52" s="8"/>
      <c r="AK52" s="8"/>
      <c r="AL52" s="8"/>
      <c r="AM52" s="8"/>
      <c r="AN52" s="8"/>
      <c r="AO52" s="8">
        <f t="shared" si="5"/>
        <v>0.89595648271054362</v>
      </c>
      <c r="AP52" s="8">
        <f t="shared" si="0"/>
        <v>0.89593147595241518</v>
      </c>
      <c r="AQ52" s="47">
        <v>41</v>
      </c>
      <c r="AR52" s="193">
        <v>20343.203100000006</v>
      </c>
      <c r="AS52" s="193">
        <v>26603.503200000006</v>
      </c>
      <c r="AT52" s="53">
        <v>10862.033427000004</v>
      </c>
      <c r="AU52" s="53">
        <v>14205.176604000002</v>
      </c>
      <c r="AV52" s="53">
        <v>18052.766163000004</v>
      </c>
      <c r="AW52" s="53">
        <v>23608.563804000005</v>
      </c>
      <c r="AX52" s="53">
        <v>12319.829505000002</v>
      </c>
      <c r="AY52" s="53">
        <v>16110.914958000003</v>
      </c>
      <c r="AZ52" s="53">
        <v>13101.156152973568</v>
      </c>
      <c r="BA52" s="53">
        <v>17132.673187268723</v>
      </c>
      <c r="BB52" s="53">
        <v>10321.745256000004</v>
      </c>
      <c r="BC52" s="53">
        <v>13498.357797000002</v>
      </c>
      <c r="BD52" s="53">
        <v>9247.8345750000026</v>
      </c>
      <c r="BE52" s="53">
        <v>12093.603624000003</v>
      </c>
      <c r="BF52" s="53">
        <v>11894.905164135</v>
      </c>
      <c r="BG52" s="53">
        <v>15555.948127019998</v>
      </c>
      <c r="BH52" s="8"/>
      <c r="BI52" s="47">
        <v>41</v>
      </c>
      <c r="BJ52" s="54">
        <f t="shared" si="6"/>
        <v>0</v>
      </c>
      <c r="BK52" s="54">
        <f t="shared" si="7"/>
        <v>0</v>
      </c>
      <c r="BL52" s="48">
        <f t="shared" si="8"/>
        <v>0</v>
      </c>
      <c r="BM52" s="48">
        <f t="shared" si="9"/>
        <v>0</v>
      </c>
      <c r="BN52" s="48">
        <f t="shared" si="10"/>
        <v>0</v>
      </c>
      <c r="BO52" s="48">
        <f t="shared" si="11"/>
        <v>0</v>
      </c>
      <c r="BP52" s="48">
        <f t="shared" si="12"/>
        <v>0</v>
      </c>
      <c r="BQ52" s="48">
        <f t="shared" si="13"/>
        <v>0</v>
      </c>
      <c r="BR52" s="48">
        <f t="shared" si="14"/>
        <v>0</v>
      </c>
      <c r="BS52" s="48">
        <f t="shared" si="15"/>
        <v>0</v>
      </c>
      <c r="BT52" s="48">
        <f t="shared" si="16"/>
        <v>0</v>
      </c>
      <c r="BU52" s="48">
        <f t="shared" si="17"/>
        <v>0</v>
      </c>
    </row>
    <row r="53" spans="1:73" x14ac:dyDescent="0.25">
      <c r="A53" s="47">
        <v>42</v>
      </c>
      <c r="B53" s="48">
        <f t="shared" si="1"/>
        <v>13649.3</v>
      </c>
      <c r="C53" s="48">
        <f t="shared" si="18"/>
        <v>17368.669999999998</v>
      </c>
      <c r="D53" s="8"/>
      <c r="E53" s="49">
        <v>1000</v>
      </c>
      <c r="F53" s="34">
        <v>1.1254</v>
      </c>
      <c r="G53" s="50">
        <f t="shared" ca="1" si="20"/>
        <v>2500</v>
      </c>
      <c r="H53" s="51">
        <f t="shared" ca="1" si="3"/>
        <v>1.3176000000000001</v>
      </c>
      <c r="I53" s="49">
        <f t="shared" ca="1" si="4"/>
        <v>64</v>
      </c>
      <c r="J53" s="32"/>
      <c r="K53" s="33" t="s">
        <v>261</v>
      </c>
      <c r="L53" s="57">
        <v>0.71189999999999998</v>
      </c>
      <c r="O53" s="17">
        <v>4</v>
      </c>
      <c r="P53" s="109" t="s">
        <v>90</v>
      </c>
      <c r="Q53" s="110">
        <v>0.75900000000000001</v>
      </c>
      <c r="R53" s="111" t="str">
        <f>IF(OR($B$115="Nuevo León",$B$115="Coahuila",$B$115="Durango",$B$115="Tamaulipas"),"",P53)</f>
        <v/>
      </c>
      <c r="S53" s="112">
        <f>IF(AND(OR($B$115="Nuevo León",$B$115="Coahuila",$B$115="Durango",$B$115="Tamaulipas"),B4=1),0,Q53)</f>
        <v>0</v>
      </c>
      <c r="T53" s="8"/>
      <c r="U53" s="8"/>
      <c r="V53" s="108"/>
      <c r="W53" s="8"/>
      <c r="X53" s="8"/>
      <c r="Y53" s="17"/>
      <c r="Z53" s="8"/>
      <c r="AA53" s="8"/>
      <c r="AB53" s="8"/>
      <c r="AC53" s="8"/>
      <c r="AD53" s="96">
        <v>400000</v>
      </c>
      <c r="AE53" s="97" t="str">
        <f t="shared" si="21"/>
        <v/>
      </c>
      <c r="AF53" s="8"/>
      <c r="AG53" s="8"/>
      <c r="AH53" s="8"/>
      <c r="AI53" s="8"/>
      <c r="AJ53" s="8"/>
      <c r="AK53" s="8"/>
      <c r="AL53" s="8"/>
      <c r="AM53" s="8"/>
      <c r="AN53" s="8"/>
      <c r="AO53" s="8">
        <f t="shared" si="5"/>
        <v>0.89593924041351192</v>
      </c>
      <c r="AP53" s="8">
        <f t="shared" si="0"/>
        <v>0.89593871608468678</v>
      </c>
      <c r="AQ53" s="47">
        <v>42</v>
      </c>
      <c r="AR53" s="193">
        <v>21194.584200000005</v>
      </c>
      <c r="AS53" s="193">
        <v>26970.669000000005</v>
      </c>
      <c r="AT53" s="53">
        <v>11317.208130000003</v>
      </c>
      <c r="AU53" s="53">
        <v>14400.563022000002</v>
      </c>
      <c r="AV53" s="53">
        <v>18808.166673000003</v>
      </c>
      <c r="AW53" s="53">
        <v>23933.530179000005</v>
      </c>
      <c r="AX53" s="53">
        <v>12835.278540000001</v>
      </c>
      <c r="AY53" s="53">
        <v>16332.840810000003</v>
      </c>
      <c r="AZ53" s="53">
        <v>13649.295093832599</v>
      </c>
      <c r="BA53" s="53">
        <v>17368.673631938327</v>
      </c>
      <c r="BB53" s="53">
        <v>10753.978257000001</v>
      </c>
      <c r="BC53" s="53">
        <v>13684.121514000002</v>
      </c>
      <c r="BD53" s="53">
        <v>9634.9111110000031</v>
      </c>
      <c r="BE53" s="53">
        <v>12260.134260000003</v>
      </c>
      <c r="BF53" s="53">
        <v>12393.362470649998</v>
      </c>
      <c r="BG53" s="53">
        <v>15769.913857109999</v>
      </c>
      <c r="BH53" s="8"/>
      <c r="BI53" s="47">
        <v>42</v>
      </c>
      <c r="BJ53" s="54">
        <f t="shared" si="6"/>
        <v>0</v>
      </c>
      <c r="BK53" s="54">
        <f t="shared" si="7"/>
        <v>0</v>
      </c>
      <c r="BL53" s="48">
        <f t="shared" si="8"/>
        <v>0</v>
      </c>
      <c r="BM53" s="48">
        <f t="shared" si="9"/>
        <v>0</v>
      </c>
      <c r="BN53" s="48">
        <f t="shared" si="10"/>
        <v>0</v>
      </c>
      <c r="BO53" s="48">
        <f t="shared" si="11"/>
        <v>0</v>
      </c>
      <c r="BP53" s="48">
        <f t="shared" si="12"/>
        <v>0</v>
      </c>
      <c r="BQ53" s="48">
        <f t="shared" si="13"/>
        <v>0</v>
      </c>
      <c r="BR53" s="48">
        <f t="shared" si="14"/>
        <v>0</v>
      </c>
      <c r="BS53" s="48">
        <f t="shared" si="15"/>
        <v>0</v>
      </c>
      <c r="BT53" s="48">
        <f t="shared" si="16"/>
        <v>0</v>
      </c>
      <c r="BU53" s="48">
        <f t="shared" si="17"/>
        <v>0</v>
      </c>
    </row>
    <row r="54" spans="1:73" x14ac:dyDescent="0.25">
      <c r="A54" s="47">
        <v>43</v>
      </c>
      <c r="B54" s="48">
        <f t="shared" si="1"/>
        <v>14219.43</v>
      </c>
      <c r="C54" s="48">
        <f t="shared" si="18"/>
        <v>17609.759999999998</v>
      </c>
      <c r="D54" s="8"/>
      <c r="E54" s="49">
        <v>1104</v>
      </c>
      <c r="F54" s="34">
        <v>1.1460999999999999</v>
      </c>
      <c r="G54" s="50">
        <f t="shared" ca="1" si="20"/>
        <v>2673</v>
      </c>
      <c r="H54" s="51">
        <f t="shared" ca="1" si="3"/>
        <v>1.3315999999999999</v>
      </c>
      <c r="I54" s="49">
        <f t="shared" ca="1" si="4"/>
        <v>65</v>
      </c>
      <c r="J54" s="32"/>
      <c r="K54" s="33" t="s">
        <v>262</v>
      </c>
      <c r="L54" s="57">
        <v>0.69799999999999995</v>
      </c>
      <c r="O54" s="17">
        <v>5</v>
      </c>
      <c r="P54" s="109" t="s">
        <v>91</v>
      </c>
      <c r="Q54" s="110">
        <v>0.73699999999999999</v>
      </c>
      <c r="R54" s="111" t="str">
        <f>IF(OR($B$115="Nuevo León",$B$115="Coahuila",$B$115="Durango",$B$115="Tamaulipas"),"",P54)</f>
        <v/>
      </c>
      <c r="S54" s="112">
        <f>IF(AND(OR($B$115="Nuevo León",$B$115="Coahuila",$B$115="Durango",$B$115="Tamaulipas"),B4=1),0,Q54)</f>
        <v>0</v>
      </c>
      <c r="T54" s="8"/>
      <c r="U54" s="8"/>
      <c r="V54" s="108"/>
      <c r="W54" s="8"/>
      <c r="X54" s="8"/>
      <c r="Y54" s="17"/>
      <c r="Z54" s="8"/>
      <c r="AA54" s="8"/>
      <c r="AB54" s="8"/>
      <c r="AC54" s="8"/>
      <c r="AD54" s="96">
        <v>450000</v>
      </c>
      <c r="AE54" s="97" t="str">
        <f t="shared" si="21"/>
        <v/>
      </c>
      <c r="AF54" s="8"/>
      <c r="AG54" s="8"/>
      <c r="AH54" s="8"/>
      <c r="AI54" s="8"/>
      <c r="AJ54" s="8"/>
      <c r="AK54" s="8"/>
      <c r="AL54" s="8"/>
      <c r="AM54" s="8"/>
      <c r="AN54" s="8"/>
      <c r="AO54" s="8">
        <f t="shared" si="5"/>
        <v>0.89594267613998801</v>
      </c>
      <c r="AP54" s="8">
        <f t="shared" si="0"/>
        <v>0.89592494973678427</v>
      </c>
      <c r="AQ54" s="47">
        <v>43</v>
      </c>
      <c r="AR54" s="193">
        <v>22080.464100000005</v>
      </c>
      <c r="AS54" s="193">
        <v>27345.227400000007</v>
      </c>
      <c r="AT54" s="53">
        <v>11789.410455000001</v>
      </c>
      <c r="AU54" s="53">
        <v>14601.136581000004</v>
      </c>
      <c r="AV54" s="53">
        <v>19593.507213000001</v>
      </c>
      <c r="AW54" s="53">
        <v>24266.332710000002</v>
      </c>
      <c r="AX54" s="53">
        <v>13371.414534000003</v>
      </c>
      <c r="AY54" s="53">
        <v>16559.547210000004</v>
      </c>
      <c r="AZ54" s="53">
        <v>14219.432965770926</v>
      </c>
      <c r="BA54" s="53">
        <v>17609.757808149781</v>
      </c>
      <c r="BB54" s="53">
        <v>11202.499620000004</v>
      </c>
      <c r="BC54" s="53">
        <v>13874.333112</v>
      </c>
      <c r="BD54" s="53">
        <v>10036.797489000002</v>
      </c>
      <c r="BE54" s="53">
        <v>12430.361196000002</v>
      </c>
      <c r="BF54" s="53">
        <v>12910.466557274998</v>
      </c>
      <c r="BG54" s="53">
        <v>15989.559973904999</v>
      </c>
      <c r="BH54" s="8"/>
      <c r="BI54" s="47">
        <v>43</v>
      </c>
      <c r="BJ54" s="54">
        <f t="shared" si="6"/>
        <v>0</v>
      </c>
      <c r="BK54" s="54">
        <f t="shared" si="7"/>
        <v>0</v>
      </c>
      <c r="BL54" s="48">
        <f t="shared" si="8"/>
        <v>0</v>
      </c>
      <c r="BM54" s="48">
        <f t="shared" si="9"/>
        <v>0</v>
      </c>
      <c r="BN54" s="48">
        <f t="shared" si="10"/>
        <v>0</v>
      </c>
      <c r="BO54" s="48">
        <f t="shared" si="11"/>
        <v>0</v>
      </c>
      <c r="BP54" s="48">
        <f t="shared" si="12"/>
        <v>0</v>
      </c>
      <c r="BQ54" s="48">
        <f t="shared" si="13"/>
        <v>0</v>
      </c>
      <c r="BR54" s="48">
        <f t="shared" si="14"/>
        <v>0</v>
      </c>
      <c r="BS54" s="48">
        <f t="shared" si="15"/>
        <v>0</v>
      </c>
      <c r="BT54" s="48">
        <f t="shared" si="16"/>
        <v>0</v>
      </c>
      <c r="BU54" s="48">
        <f t="shared" si="17"/>
        <v>0</v>
      </c>
    </row>
    <row r="55" spans="1:73" ht="15.75" thickBot="1" x14ac:dyDescent="0.3">
      <c r="A55" s="47">
        <v>44</v>
      </c>
      <c r="B55" s="48">
        <f t="shared" si="1"/>
        <v>14814.94</v>
      </c>
      <c r="C55" s="48">
        <f t="shared" si="18"/>
        <v>17851.68</v>
      </c>
      <c r="D55" s="8"/>
      <c r="E55" s="49">
        <v>1500</v>
      </c>
      <c r="F55" s="34">
        <v>1.2103999999999999</v>
      </c>
      <c r="G55" s="50">
        <f t="shared" ca="1" si="20"/>
        <v>3000</v>
      </c>
      <c r="H55" s="51">
        <f t="shared" ca="1" si="3"/>
        <v>1.3557999999999999</v>
      </c>
      <c r="I55" s="49">
        <f t="shared" ca="1" si="4"/>
        <v>66</v>
      </c>
      <c r="J55" s="32"/>
      <c r="K55" s="33" t="s">
        <v>263</v>
      </c>
      <c r="L55" s="57">
        <v>0.62570000000000003</v>
      </c>
      <c r="O55" s="17">
        <v>6</v>
      </c>
      <c r="P55" s="114" t="s">
        <v>92</v>
      </c>
      <c r="Q55" s="115">
        <v>0.71499999999999997</v>
      </c>
      <c r="R55" s="81" t="str">
        <f>IF(OR($B$115="Nuevo León",$B$115="Coahuila",$B$115="Durango",$B$115="Tamaulipas"),"",P55)</f>
        <v/>
      </c>
      <c r="S55" s="115">
        <f>IF(AND(OR($B$115="Nuevo León",$B$115="Coahuila",$B$115="Durango",$B$115="Tamaulipas"),B4=1),0,Q55)</f>
        <v>0</v>
      </c>
      <c r="T55" s="8"/>
      <c r="U55" s="8"/>
      <c r="V55" s="108"/>
      <c r="W55" s="8"/>
      <c r="X55" s="8"/>
      <c r="Y55" s="17"/>
      <c r="Z55" s="8"/>
      <c r="AA55" s="8"/>
      <c r="AB55" s="8"/>
      <c r="AC55" s="8"/>
      <c r="AD55" s="100">
        <v>500000</v>
      </c>
      <c r="AE55" s="101" t="str">
        <f t="shared" si="21"/>
        <v/>
      </c>
      <c r="AF55" s="8"/>
      <c r="AG55" s="8"/>
      <c r="AH55" s="8"/>
      <c r="AI55" s="8"/>
      <c r="AJ55" s="8"/>
      <c r="AK55" s="8"/>
      <c r="AL55" s="8"/>
      <c r="AM55" s="8"/>
      <c r="AN55" s="8"/>
      <c r="AO55" s="8">
        <f t="shared" si="5"/>
        <v>0.89594153513550034</v>
      </c>
      <c r="AP55" s="8">
        <f t="shared" si="0"/>
        <v>0.89591155574633596</v>
      </c>
      <c r="AQ55" s="47">
        <v>44</v>
      </c>
      <c r="AR55" s="193">
        <v>23004.539100000002</v>
      </c>
      <c r="AS55" s="193">
        <v>27719.785800000005</v>
      </c>
      <c r="AT55" s="53">
        <v>12283.075962000003</v>
      </c>
      <c r="AU55" s="53">
        <v>14800.970880000003</v>
      </c>
      <c r="AV55" s="53">
        <v>20414.480085000003</v>
      </c>
      <c r="AW55" s="53">
        <v>24598.420623000009</v>
      </c>
      <c r="AX55" s="53">
        <v>13931.403984000004</v>
      </c>
      <c r="AY55" s="53">
        <v>16787.042154000002</v>
      </c>
      <c r="AZ55" s="53">
        <v>14814.93708581498</v>
      </c>
      <c r="BA55" s="53">
        <v>17851.680538017623</v>
      </c>
      <c r="BB55" s="53">
        <v>11671.732584000003</v>
      </c>
      <c r="BC55" s="53">
        <v>14064.544710000004</v>
      </c>
      <c r="BD55" s="53">
        <v>10457.190009000004</v>
      </c>
      <c r="BE55" s="53">
        <v>12600.588132000003</v>
      </c>
      <c r="BF55" s="53">
        <v>13451.074761809998</v>
      </c>
      <c r="BG55" s="53">
        <v>16208.396534399997</v>
      </c>
      <c r="BH55" s="8"/>
      <c r="BI55" s="47">
        <v>44</v>
      </c>
      <c r="BJ55" s="54">
        <f t="shared" si="6"/>
        <v>0</v>
      </c>
      <c r="BK55" s="54">
        <f t="shared" si="7"/>
        <v>0</v>
      </c>
      <c r="BL55" s="48">
        <f t="shared" si="8"/>
        <v>0</v>
      </c>
      <c r="BM55" s="48">
        <f t="shared" si="9"/>
        <v>0</v>
      </c>
      <c r="BN55" s="48">
        <f t="shared" si="10"/>
        <v>0</v>
      </c>
      <c r="BO55" s="48">
        <f t="shared" si="11"/>
        <v>0</v>
      </c>
      <c r="BP55" s="48">
        <f t="shared" si="12"/>
        <v>0</v>
      </c>
      <c r="BQ55" s="48">
        <f t="shared" si="13"/>
        <v>0</v>
      </c>
      <c r="BR55" s="48">
        <f t="shared" si="14"/>
        <v>0</v>
      </c>
      <c r="BS55" s="48">
        <f t="shared" si="15"/>
        <v>0</v>
      </c>
      <c r="BT55" s="48">
        <f t="shared" si="16"/>
        <v>0</v>
      </c>
      <c r="BU55" s="48">
        <f t="shared" si="17"/>
        <v>0</v>
      </c>
    </row>
    <row r="56" spans="1:73" ht="15.75" thickBot="1" x14ac:dyDescent="0.3">
      <c r="A56" s="47">
        <v>45</v>
      </c>
      <c r="B56" s="48">
        <f t="shared" si="1"/>
        <v>15401.98</v>
      </c>
      <c r="C56" s="48">
        <f t="shared" si="18"/>
        <v>18191.73</v>
      </c>
      <c r="D56" s="8"/>
      <c r="E56" s="49">
        <v>1527</v>
      </c>
      <c r="F56" s="34">
        <v>1.2141999999999999</v>
      </c>
      <c r="G56" s="50">
        <f t="shared" ca="1" si="20"/>
        <v>3055</v>
      </c>
      <c r="H56" s="51">
        <f t="shared" ca="1" si="3"/>
        <v>1.3595999999999999</v>
      </c>
      <c r="I56" s="49">
        <f t="shared" ca="1" si="4"/>
        <v>67</v>
      </c>
      <c r="J56" s="32"/>
      <c r="K56" s="33" t="s">
        <v>264</v>
      </c>
      <c r="L56" s="57">
        <v>0.61529999999999996</v>
      </c>
      <c r="O56" s="8"/>
      <c r="P56" s="8" t="s">
        <v>548</v>
      </c>
      <c r="Q56" s="8">
        <v>0.83499999999999996</v>
      </c>
      <c r="R56" s="8" t="str">
        <f>IF(B4=2,"AA MONTERREY","")</f>
        <v/>
      </c>
      <c r="S56" s="8" t="str">
        <f>IF(B4=2,0.835,"")</f>
        <v/>
      </c>
      <c r="T56" s="8"/>
      <c r="U56" s="8"/>
      <c r="V56" s="8"/>
      <c r="W56" s="8"/>
      <c r="X56" s="8"/>
      <c r="Y56" s="17"/>
      <c r="Z56" s="8"/>
      <c r="AA56" s="8"/>
      <c r="AB56" s="8"/>
      <c r="AC56" s="8"/>
      <c r="AD56" s="8"/>
      <c r="AE56" s="8"/>
      <c r="AF56" s="8"/>
      <c r="AG56" s="8"/>
      <c r="AH56" s="8"/>
      <c r="AI56" s="8"/>
      <c r="AJ56" s="8"/>
      <c r="AK56" s="8"/>
      <c r="AL56" s="8"/>
      <c r="AM56" s="8"/>
      <c r="AN56" s="8"/>
      <c r="AO56" s="8">
        <f t="shared" si="5"/>
        <v>0.89594333338748733</v>
      </c>
      <c r="AP56" s="8">
        <f t="shared" si="0"/>
        <v>0.89594637809734057</v>
      </c>
      <c r="AQ56" s="47">
        <v>45</v>
      </c>
      <c r="AR56" s="193">
        <v>23916.293100000006</v>
      </c>
      <c r="AS56" s="193">
        <v>28248.356700000004</v>
      </c>
      <c r="AT56" s="53">
        <v>12770.075808000001</v>
      </c>
      <c r="AU56" s="53">
        <v>15083.700867000003</v>
      </c>
      <c r="AV56" s="53">
        <v>21223.329093000008</v>
      </c>
      <c r="AW56" s="53">
        <v>25068.06018</v>
      </c>
      <c r="AX56" s="53">
        <v>14483.434068000002</v>
      </c>
      <c r="AY56" s="53">
        <v>17106.809067000002</v>
      </c>
      <c r="AZ56" s="53">
        <v>15401.977054889869</v>
      </c>
      <c r="BA56" s="53">
        <v>18191.727148083701</v>
      </c>
      <c r="BB56" s="53">
        <v>12134.312208000001</v>
      </c>
      <c r="BC56" s="53">
        <v>14332.477176000002</v>
      </c>
      <c r="BD56" s="53">
        <v>10871.656128000002</v>
      </c>
      <c r="BE56" s="53">
        <v>12841.131015000003</v>
      </c>
      <c r="BF56" s="53">
        <v>13984.383467039999</v>
      </c>
      <c r="BG56" s="53">
        <v>16518.011341334997</v>
      </c>
      <c r="BH56" s="8"/>
      <c r="BI56" s="47">
        <v>45</v>
      </c>
      <c r="BJ56" s="54">
        <f t="shared" si="6"/>
        <v>0</v>
      </c>
      <c r="BK56" s="54">
        <f t="shared" si="7"/>
        <v>0</v>
      </c>
      <c r="BL56" s="48">
        <f t="shared" si="8"/>
        <v>0</v>
      </c>
      <c r="BM56" s="48">
        <f t="shared" si="9"/>
        <v>0</v>
      </c>
      <c r="BN56" s="48">
        <f t="shared" si="10"/>
        <v>0</v>
      </c>
      <c r="BO56" s="48">
        <f t="shared" si="11"/>
        <v>0</v>
      </c>
      <c r="BP56" s="48">
        <f t="shared" si="12"/>
        <v>0</v>
      </c>
      <c r="BQ56" s="48">
        <f t="shared" si="13"/>
        <v>0</v>
      </c>
      <c r="BR56" s="48">
        <f t="shared" si="14"/>
        <v>0</v>
      </c>
      <c r="BS56" s="48">
        <f t="shared" si="15"/>
        <v>0</v>
      </c>
      <c r="BT56" s="48">
        <f t="shared" si="16"/>
        <v>0</v>
      </c>
      <c r="BU56" s="48">
        <f t="shared" si="17"/>
        <v>0</v>
      </c>
    </row>
    <row r="57" spans="1:73" ht="15.75" thickBot="1" x14ac:dyDescent="0.3">
      <c r="A57" s="47">
        <v>46</v>
      </c>
      <c r="B57" s="48">
        <f t="shared" si="1"/>
        <v>16012.72</v>
      </c>
      <c r="C57" s="48">
        <f t="shared" si="18"/>
        <v>18537.7</v>
      </c>
      <c r="D57" s="8"/>
      <c r="E57" s="49">
        <v>1650</v>
      </c>
      <c r="F57" s="34">
        <v>1.2297</v>
      </c>
      <c r="G57" s="50">
        <f t="shared" ca="1" si="20"/>
        <v>3311</v>
      </c>
      <c r="H57" s="51">
        <f t="shared" ca="1" si="3"/>
        <v>1.3765000000000001</v>
      </c>
      <c r="I57" s="49">
        <f t="shared" ca="1" si="4"/>
        <v>68</v>
      </c>
      <c r="J57" s="32"/>
      <c r="K57" s="33" t="s">
        <v>265</v>
      </c>
      <c r="L57" s="57">
        <v>0.58940000000000003</v>
      </c>
      <c r="O57" s="8"/>
      <c r="P57" s="12" t="s">
        <v>55</v>
      </c>
      <c r="Q57" s="8"/>
      <c r="R57" s="187"/>
      <c r="S57" s="8"/>
      <c r="T57" s="8"/>
      <c r="U57" s="8"/>
      <c r="V57" s="8"/>
      <c r="W57" s="8"/>
      <c r="X57" s="8"/>
      <c r="Y57" s="17"/>
      <c r="Z57" s="8"/>
      <c r="AA57" s="8"/>
      <c r="AB57" s="14" t="s">
        <v>100</v>
      </c>
      <c r="AC57" s="14" t="s">
        <v>57</v>
      </c>
      <c r="AD57" s="14" t="s">
        <v>101</v>
      </c>
      <c r="AE57" s="103" t="s">
        <v>89</v>
      </c>
      <c r="AF57" s="8"/>
      <c r="AG57" s="8"/>
      <c r="AH57" s="8"/>
      <c r="AI57" s="8"/>
      <c r="AJ57" s="8"/>
      <c r="AK57" s="8"/>
      <c r="AL57" s="8"/>
      <c r="AM57" s="8"/>
      <c r="AN57" s="8"/>
      <c r="AO57" s="8">
        <f t="shared" si="5"/>
        <v>0.89598131836041461</v>
      </c>
      <c r="AP57" s="8">
        <f t="shared" si="0"/>
        <v>0.89596165218865809</v>
      </c>
      <c r="AQ57" s="47">
        <v>46</v>
      </c>
      <c r="AR57" s="193">
        <v>24863.778000000006</v>
      </c>
      <c r="AS57" s="193">
        <v>28785.552300000007</v>
      </c>
      <c r="AT57" s="53">
        <v>13276.321056000004</v>
      </c>
      <c r="AU57" s="53">
        <v>15370.127154000002</v>
      </c>
      <c r="AV57" s="53">
        <v>22064.964282000001</v>
      </c>
      <c r="AW57" s="53">
        <v>25544.106657</v>
      </c>
      <c r="AX57" s="53">
        <v>15057.752841000001</v>
      </c>
      <c r="AY57" s="53">
        <v>17432.145072000003</v>
      </c>
      <c r="AZ57" s="53">
        <v>16012.719267158589</v>
      </c>
      <c r="BA57" s="53">
        <v>18537.69604334802</v>
      </c>
      <c r="BB57" s="53">
        <v>12615.385653000003</v>
      </c>
      <c r="BC57" s="53">
        <v>14604.832881000004</v>
      </c>
      <c r="BD57" s="53">
        <v>11303.149869000003</v>
      </c>
      <c r="BE57" s="53">
        <v>13085.370198000002</v>
      </c>
      <c r="BF57" s="53">
        <v>14538.76762128</v>
      </c>
      <c r="BG57" s="53">
        <v>16831.673929769997</v>
      </c>
      <c r="BH57" s="8"/>
      <c r="BI57" s="47">
        <v>46</v>
      </c>
      <c r="BJ57" s="54">
        <f t="shared" si="6"/>
        <v>0</v>
      </c>
      <c r="BK57" s="54">
        <f t="shared" si="7"/>
        <v>0</v>
      </c>
      <c r="BL57" s="48">
        <f t="shared" si="8"/>
        <v>0</v>
      </c>
      <c r="BM57" s="48">
        <f t="shared" si="9"/>
        <v>0</v>
      </c>
      <c r="BN57" s="48">
        <f t="shared" si="10"/>
        <v>0</v>
      </c>
      <c r="BO57" s="48">
        <f t="shared" si="11"/>
        <v>0</v>
      </c>
      <c r="BP57" s="48">
        <f t="shared" si="12"/>
        <v>0</v>
      </c>
      <c r="BQ57" s="48">
        <f t="shared" si="13"/>
        <v>0</v>
      </c>
      <c r="BR57" s="48">
        <f t="shared" si="14"/>
        <v>0</v>
      </c>
      <c r="BS57" s="48">
        <f t="shared" si="15"/>
        <v>0</v>
      </c>
      <c r="BT57" s="48">
        <f t="shared" si="16"/>
        <v>0</v>
      </c>
      <c r="BU57" s="48">
        <f t="shared" si="17"/>
        <v>0</v>
      </c>
    </row>
    <row r="58" spans="1:73" ht="15.75" thickBot="1" x14ac:dyDescent="0.3">
      <c r="A58" s="47">
        <v>47</v>
      </c>
      <c r="B58" s="48">
        <f t="shared" si="1"/>
        <v>16647.98</v>
      </c>
      <c r="C58" s="48">
        <f t="shared" si="18"/>
        <v>18889.59</v>
      </c>
      <c r="D58" s="8"/>
      <c r="E58" s="49">
        <v>1800</v>
      </c>
      <c r="F58" s="34">
        <v>1.2486999999999999</v>
      </c>
      <c r="G58" s="50">
        <f t="shared" ca="1" si="20"/>
        <v>3320</v>
      </c>
      <c r="H58" s="51">
        <f t="shared" ca="1" si="3"/>
        <v>1.3771</v>
      </c>
      <c r="I58" s="49">
        <f t="shared" ca="1" si="4"/>
        <v>69</v>
      </c>
      <c r="J58" s="32"/>
      <c r="K58" s="33" t="s">
        <v>266</v>
      </c>
      <c r="L58" s="57">
        <v>0.58479999999999999</v>
      </c>
      <c r="O58" s="8"/>
      <c r="P58" s="557" t="s">
        <v>102</v>
      </c>
      <c r="Q58" s="558"/>
      <c r="R58" s="559"/>
      <c r="S58" s="118"/>
      <c r="T58" s="8"/>
      <c r="U58" s="8"/>
      <c r="V58" s="8"/>
      <c r="W58" s="8"/>
      <c r="X58" s="8"/>
      <c r="Y58" s="17"/>
      <c r="Z58" s="8"/>
      <c r="AA58" s="8"/>
      <c r="AB58" s="92" t="str">
        <f>IF(AND('GOLDEN SALUD IND'!G29&gt;19,'GOLDEN SALUD IND'!G28&lt;56,'GOLDEN SALUD IND'!F29="F"),'GOLDEN SALUD IND'!G29,"")</f>
        <v/>
      </c>
      <c r="AC58" s="92" t="str">
        <f>IF(AB58="","",VLOOKUP(AB58,$Y$10:$AH$19,10,TRUE))</f>
        <v/>
      </c>
      <c r="AD58" s="93">
        <v>250000</v>
      </c>
      <c r="AE58" s="94" t="str">
        <f t="shared" ref="AE58:AE63" si="22">IF($B$125="NO","",IF($AB$58=""," ",IF(HLOOKUP(AD58,$AB$9:$AG$19,$AC$58,FALSE)&lt;3000,AD58," ")))</f>
        <v/>
      </c>
      <c r="AF58" s="8"/>
      <c r="AG58" s="8"/>
      <c r="AH58" s="8"/>
      <c r="AI58" s="8"/>
      <c r="AJ58" s="8"/>
      <c r="AK58" s="8"/>
      <c r="AL58" s="8"/>
      <c r="AM58" s="8"/>
      <c r="AN58" s="8"/>
      <c r="AO58" s="8">
        <f t="shared" si="5"/>
        <v>0.89594771929462003</v>
      </c>
      <c r="AP58" s="8">
        <f t="shared" si="0"/>
        <v>0.89596138052534657</v>
      </c>
      <c r="AQ58" s="47">
        <v>47</v>
      </c>
      <c r="AR58" s="193">
        <v>25851.922200000005</v>
      </c>
      <c r="AS58" s="193">
        <v>29332.604700000007</v>
      </c>
      <c r="AT58" s="53">
        <v>13803.290226000001</v>
      </c>
      <c r="AU58" s="53">
        <v>15661.728261000004</v>
      </c>
      <c r="AV58" s="53">
        <v>22940.802567000006</v>
      </c>
      <c r="AW58" s="53">
        <v>26029.418526000005</v>
      </c>
      <c r="AX58" s="53">
        <v>15655.124205000002</v>
      </c>
      <c r="AY58" s="53">
        <v>17763.050169000002</v>
      </c>
      <c r="AZ58" s="53">
        <v>16647.976071475769</v>
      </c>
      <c r="BA58" s="53">
        <v>18889.587223810569</v>
      </c>
      <c r="BB58" s="53">
        <v>13116.456081000002</v>
      </c>
      <c r="BC58" s="53">
        <v>14882.388048000003</v>
      </c>
      <c r="BD58" s="53">
        <v>11751.658911000002</v>
      </c>
      <c r="BE58" s="53">
        <v>13334.044941</v>
      </c>
      <c r="BF58" s="53">
        <v>15115.846337129999</v>
      </c>
      <c r="BG58" s="53">
        <v>17151.003412304999</v>
      </c>
      <c r="BH58" s="8"/>
      <c r="BI58" s="47">
        <v>47</v>
      </c>
      <c r="BJ58" s="54">
        <f t="shared" si="6"/>
        <v>0</v>
      </c>
      <c r="BK58" s="54">
        <f t="shared" si="7"/>
        <v>0</v>
      </c>
      <c r="BL58" s="48">
        <f t="shared" si="8"/>
        <v>0</v>
      </c>
      <c r="BM58" s="48">
        <f t="shared" si="9"/>
        <v>0</v>
      </c>
      <c r="BN58" s="48">
        <f t="shared" si="10"/>
        <v>0</v>
      </c>
      <c r="BO58" s="48">
        <f t="shared" si="11"/>
        <v>0</v>
      </c>
      <c r="BP58" s="48">
        <f t="shared" si="12"/>
        <v>0</v>
      </c>
      <c r="BQ58" s="48">
        <f t="shared" si="13"/>
        <v>0</v>
      </c>
      <c r="BR58" s="48">
        <f t="shared" si="14"/>
        <v>0</v>
      </c>
      <c r="BS58" s="48">
        <f t="shared" si="15"/>
        <v>0</v>
      </c>
      <c r="BT58" s="48">
        <f t="shared" si="16"/>
        <v>0</v>
      </c>
      <c r="BU58" s="48">
        <f t="shared" si="17"/>
        <v>0</v>
      </c>
    </row>
    <row r="59" spans="1:73" ht="15.75" thickBot="1" x14ac:dyDescent="0.3">
      <c r="A59" s="47">
        <v>48</v>
      </c>
      <c r="B59" s="48">
        <f t="shared" si="1"/>
        <v>17309.46</v>
      </c>
      <c r="C59" s="48">
        <f t="shared" si="18"/>
        <v>19249.09</v>
      </c>
      <c r="D59" s="8"/>
      <c r="E59" s="49">
        <v>1824</v>
      </c>
      <c r="F59" s="34">
        <v>1.2514000000000001</v>
      </c>
      <c r="G59" s="50">
        <f t="shared" ca="1" si="20"/>
        <v>3436</v>
      </c>
      <c r="H59" s="51">
        <f t="shared" ca="1" si="3"/>
        <v>1.3843000000000001</v>
      </c>
      <c r="I59" s="49">
        <f t="shared" ca="1" si="4"/>
        <v>70</v>
      </c>
      <c r="J59" s="32"/>
      <c r="K59" s="33" t="s">
        <v>267</v>
      </c>
      <c r="L59" s="34">
        <v>0.58250000000000002</v>
      </c>
      <c r="O59" s="8"/>
      <c r="P59" s="8"/>
      <c r="Q59" s="16" t="s">
        <v>69</v>
      </c>
      <c r="R59" s="16" t="s">
        <v>199</v>
      </c>
      <c r="S59" s="16" t="s">
        <v>69</v>
      </c>
      <c r="T59" s="8"/>
      <c r="U59" s="8"/>
      <c r="V59" s="8"/>
      <c r="W59" s="8"/>
      <c r="X59" s="8"/>
      <c r="Y59" s="17"/>
      <c r="Z59" s="8"/>
      <c r="AA59" s="8"/>
      <c r="AB59" s="8"/>
      <c r="AC59" s="8"/>
      <c r="AD59" s="96">
        <v>300000</v>
      </c>
      <c r="AE59" s="97" t="str">
        <f t="shared" si="22"/>
        <v/>
      </c>
      <c r="AF59" s="8"/>
      <c r="AG59" s="8"/>
      <c r="AH59" s="8"/>
      <c r="AI59" s="8"/>
      <c r="AJ59" s="8"/>
      <c r="AK59" s="8"/>
      <c r="AL59" s="8"/>
      <c r="AM59" s="8"/>
      <c r="AN59" s="8"/>
      <c r="AO59" s="8">
        <f t="shared" si="5"/>
        <v>0.89590820797759396</v>
      </c>
      <c r="AP59" s="8">
        <f t="shared" si="0"/>
        <v>0.89595448511407161</v>
      </c>
      <c r="AQ59" s="47">
        <v>48</v>
      </c>
      <c r="AR59" s="193">
        <v>26878.261500000004</v>
      </c>
      <c r="AS59" s="193">
        <v>29889.513900000005</v>
      </c>
      <c r="AT59" s="53">
        <v>14351.710257000002</v>
      </c>
      <c r="AU59" s="53">
        <v>15959.995029000002</v>
      </c>
      <c r="AV59" s="53">
        <v>23851.570887000005</v>
      </c>
      <c r="AW59" s="53">
        <v>26524.710405000002</v>
      </c>
      <c r="AX59" s="53">
        <v>16277.162211000003</v>
      </c>
      <c r="AY59" s="53">
        <v>18101.113767000003</v>
      </c>
      <c r="AZ59" s="53">
        <v>17309.463882356828</v>
      </c>
      <c r="BA59" s="53">
        <v>19249.090899185023</v>
      </c>
      <c r="BB59" s="53">
        <v>13637.498850000004</v>
      </c>
      <c r="BC59" s="53">
        <v>15165.844974000003</v>
      </c>
      <c r="BD59" s="53">
        <v>12217.947156000002</v>
      </c>
      <c r="BE59" s="53">
        <v>13587.906825000004</v>
      </c>
      <c r="BF59" s="53">
        <v>15716.415678284999</v>
      </c>
      <c r="BG59" s="53">
        <v>17477.632394144999</v>
      </c>
      <c r="BH59" s="8"/>
      <c r="BI59" s="47">
        <v>48</v>
      </c>
      <c r="BJ59" s="54">
        <f t="shared" si="6"/>
        <v>0</v>
      </c>
      <c r="BK59" s="54">
        <f t="shared" si="7"/>
        <v>0</v>
      </c>
      <c r="BL59" s="48">
        <f t="shared" si="8"/>
        <v>0</v>
      </c>
      <c r="BM59" s="48">
        <f t="shared" si="9"/>
        <v>0</v>
      </c>
      <c r="BN59" s="48">
        <f t="shared" si="10"/>
        <v>0</v>
      </c>
      <c r="BO59" s="48">
        <f t="shared" si="11"/>
        <v>0</v>
      </c>
      <c r="BP59" s="48">
        <f t="shared" si="12"/>
        <v>0</v>
      </c>
      <c r="BQ59" s="48">
        <f t="shared" si="13"/>
        <v>0</v>
      </c>
      <c r="BR59" s="48">
        <f t="shared" si="14"/>
        <v>0</v>
      </c>
      <c r="BS59" s="48">
        <f t="shared" si="15"/>
        <v>0</v>
      </c>
      <c r="BT59" s="48">
        <f t="shared" si="16"/>
        <v>0</v>
      </c>
      <c r="BU59" s="48">
        <f t="shared" si="17"/>
        <v>0</v>
      </c>
    </row>
    <row r="60" spans="1:73" x14ac:dyDescent="0.25">
      <c r="A60" s="47">
        <v>49</v>
      </c>
      <c r="B60" s="48">
        <f t="shared" si="1"/>
        <v>17995.48</v>
      </c>
      <c r="C60" s="48">
        <f t="shared" si="18"/>
        <v>19614.52</v>
      </c>
      <c r="D60" s="8"/>
      <c r="E60" s="49">
        <v>1909</v>
      </c>
      <c r="F60" s="34">
        <v>1.2609999999999999</v>
      </c>
      <c r="G60" s="50">
        <f t="shared" ca="1" si="20"/>
        <v>3500</v>
      </c>
      <c r="H60" s="51">
        <f t="shared" ca="1" si="3"/>
        <v>1.3880999999999999</v>
      </c>
      <c r="I60" s="49">
        <f t="shared" ca="1" si="4"/>
        <v>71</v>
      </c>
      <c r="J60" s="32"/>
      <c r="K60" s="33" t="s">
        <v>268</v>
      </c>
      <c r="L60" s="34">
        <v>0.57099999999999995</v>
      </c>
      <c r="O60" s="17">
        <v>15</v>
      </c>
      <c r="P60" s="75" t="s">
        <v>203</v>
      </c>
      <c r="Q60" s="29">
        <v>0.85709999999999997</v>
      </c>
      <c r="R60" s="121" t="str">
        <f>IF(V60="","",V60)</f>
        <v/>
      </c>
      <c r="S60" s="122">
        <f>IF(ISERROR(VLOOKUP(R60,$O$60:$Q$71,3,FALSE))=TRUE,0,VLOOKUP(R60,$O$60:$Q$71,3,FALSE))</f>
        <v>0</v>
      </c>
      <c r="T60" s="8"/>
      <c r="V60" s="75" t="str">
        <f>IF($B$4=1,"",O60)</f>
        <v/>
      </c>
      <c r="W60" s="8"/>
      <c r="X60" s="8"/>
      <c r="Y60" s="17"/>
      <c r="Z60" s="8"/>
      <c r="AA60" s="8"/>
      <c r="AB60" s="8"/>
      <c r="AC60" s="8"/>
      <c r="AD60" s="96">
        <v>350000</v>
      </c>
      <c r="AE60" s="97" t="str">
        <f t="shared" si="22"/>
        <v/>
      </c>
      <c r="AF60" s="8"/>
      <c r="AG60" s="8"/>
      <c r="AH60" s="8"/>
      <c r="AI60" s="8"/>
      <c r="AJ60" s="8"/>
      <c r="AK60" s="8"/>
      <c r="AL60" s="8"/>
      <c r="AM60" s="8"/>
      <c r="AN60" s="8"/>
      <c r="AO60" s="8">
        <f t="shared" si="5"/>
        <v>0.89595907190486479</v>
      </c>
      <c r="AP60" s="8">
        <f t="shared" si="0"/>
        <v>0.89592844238285152</v>
      </c>
      <c r="AQ60" s="47">
        <v>49</v>
      </c>
      <c r="AR60" s="193">
        <v>27944.028000000006</v>
      </c>
      <c r="AS60" s="193">
        <v>30457.512000000002</v>
      </c>
      <c r="AT60" s="53">
        <v>14920.866531000005</v>
      </c>
      <c r="AU60" s="53">
        <v>16263.448938000005</v>
      </c>
      <c r="AV60" s="53">
        <v>24797.256921000004</v>
      </c>
      <c r="AW60" s="53">
        <v>27028.553058000001</v>
      </c>
      <c r="AX60" s="53">
        <v>16922.265129000003</v>
      </c>
      <c r="AY60" s="53">
        <v>18444.746457000005</v>
      </c>
      <c r="AZ60" s="53">
        <v>17995.479387687225</v>
      </c>
      <c r="BA60" s="53">
        <v>19614.516859757707</v>
      </c>
      <c r="BB60" s="53">
        <v>14177.787021000004</v>
      </c>
      <c r="BC60" s="53">
        <v>15453.762102000002</v>
      </c>
      <c r="BD60" s="53">
        <v>12702.716901000002</v>
      </c>
      <c r="BE60" s="53">
        <v>13845.465009000003</v>
      </c>
      <c r="BF60" s="53">
        <v>16339.693073654998</v>
      </c>
      <c r="BG60" s="53">
        <v>17809.941762690003</v>
      </c>
      <c r="BH60" s="8"/>
      <c r="BI60" s="47">
        <v>49</v>
      </c>
      <c r="BJ60" s="54">
        <f t="shared" si="6"/>
        <v>0</v>
      </c>
      <c r="BK60" s="54">
        <f t="shared" si="7"/>
        <v>0</v>
      </c>
      <c r="BL60" s="48">
        <f t="shared" si="8"/>
        <v>0</v>
      </c>
      <c r="BM60" s="48">
        <f t="shared" si="9"/>
        <v>0</v>
      </c>
      <c r="BN60" s="48">
        <f t="shared" si="10"/>
        <v>0</v>
      </c>
      <c r="BO60" s="48">
        <f t="shared" si="11"/>
        <v>0</v>
      </c>
      <c r="BP60" s="48">
        <f t="shared" si="12"/>
        <v>0</v>
      </c>
      <c r="BQ60" s="48">
        <f t="shared" si="13"/>
        <v>0</v>
      </c>
      <c r="BR60" s="48">
        <f t="shared" si="14"/>
        <v>0</v>
      </c>
      <c r="BS60" s="48">
        <f t="shared" si="15"/>
        <v>0</v>
      </c>
      <c r="BT60" s="48">
        <f t="shared" si="16"/>
        <v>0</v>
      </c>
      <c r="BU60" s="48">
        <f t="shared" si="17"/>
        <v>0</v>
      </c>
    </row>
    <row r="61" spans="1:73" x14ac:dyDescent="0.25">
      <c r="A61" s="47">
        <v>50</v>
      </c>
      <c r="B61" s="48">
        <f t="shared" si="1"/>
        <v>18739.03</v>
      </c>
      <c r="C61" s="48">
        <f t="shared" si="18"/>
        <v>20165.2</v>
      </c>
      <c r="D61" s="8"/>
      <c r="E61" s="49">
        <v>2000</v>
      </c>
      <c r="F61" s="34">
        <v>1.2707999999999999</v>
      </c>
      <c r="G61" s="50">
        <f t="shared" ca="1" si="20"/>
        <v>3818</v>
      </c>
      <c r="H61" s="51">
        <f t="shared" ca="1" si="3"/>
        <v>1.4064000000000001</v>
      </c>
      <c r="I61" s="49">
        <f t="shared" ca="1" si="4"/>
        <v>72</v>
      </c>
      <c r="J61" s="32"/>
      <c r="K61" s="33" t="s">
        <v>269</v>
      </c>
      <c r="L61" s="34">
        <v>0.5665</v>
      </c>
      <c r="O61" s="17">
        <v>18</v>
      </c>
      <c r="P61" s="79" t="s">
        <v>204</v>
      </c>
      <c r="Q61" s="34">
        <v>0.9</v>
      </c>
      <c r="R61" s="123" t="str">
        <f t="shared" ref="R61:R71" si="23">IF(V61="","",V61)</f>
        <v/>
      </c>
      <c r="S61" s="35">
        <f t="shared" ref="S61:S71" si="24">IF(ISERROR(VLOOKUP(R61,$O$60:$Q$71,3,FALSE))=TRUE,0,VLOOKUP(R61,$O$60:$Q$71,3,FALSE))</f>
        <v>0</v>
      </c>
      <c r="T61" s="8"/>
      <c r="V61" s="79" t="str">
        <f>IF($B$113="PÓLIZA NUEVA",IF(OR($B$119="A",$B$119="AA",$B$119="B"),O61,""),O61)</f>
        <v/>
      </c>
      <c r="W61" s="8"/>
      <c r="X61" s="8"/>
      <c r="Y61" s="17"/>
      <c r="Z61" s="8"/>
      <c r="AA61" s="8"/>
      <c r="AB61" s="8"/>
      <c r="AC61" s="8"/>
      <c r="AD61" s="96">
        <v>400000</v>
      </c>
      <c r="AE61" s="97" t="str">
        <f t="shared" si="22"/>
        <v/>
      </c>
      <c r="AF61" s="8"/>
      <c r="AG61" s="8"/>
      <c r="AH61" s="8"/>
      <c r="AI61" s="8"/>
      <c r="AJ61" s="8"/>
      <c r="AK61" s="8"/>
      <c r="AL61" s="8"/>
      <c r="AM61" s="8"/>
      <c r="AN61" s="8"/>
      <c r="AO61" s="8">
        <f t="shared" si="5"/>
        <v>0.89592965226709032</v>
      </c>
      <c r="AP61" s="8">
        <f t="shared" si="0"/>
        <v>0.89592799483195729</v>
      </c>
      <c r="AQ61" s="47">
        <v>50</v>
      </c>
      <c r="AR61" s="193">
        <v>29098.505700000005</v>
      </c>
      <c r="AS61" s="193">
        <v>31312.589400000004</v>
      </c>
      <c r="AT61" s="53">
        <v>15537.397050000001</v>
      </c>
      <c r="AU61" s="53">
        <v>16719.362901</v>
      </c>
      <c r="AV61" s="53">
        <v>25822.043775000002</v>
      </c>
      <c r="AW61" s="53">
        <v>27786.799719000002</v>
      </c>
      <c r="AX61" s="53">
        <v>17621.469558000004</v>
      </c>
      <c r="AY61" s="53">
        <v>18962.585766</v>
      </c>
      <c r="AZ61" s="53">
        <v>18739.027535286343</v>
      </c>
      <c r="BA61" s="53">
        <v>20165.197666387667</v>
      </c>
      <c r="BB61" s="53">
        <v>14763.958596000002</v>
      </c>
      <c r="BC61" s="53">
        <v>15887.473623000002</v>
      </c>
      <c r="BD61" s="53">
        <v>13227.468291000001</v>
      </c>
      <c r="BE61" s="53">
        <v>14234.032386000003</v>
      </c>
      <c r="BF61" s="53">
        <v>17014.849535249999</v>
      </c>
      <c r="BG61" s="53">
        <v>18309.208625504998</v>
      </c>
      <c r="BH61" s="8"/>
      <c r="BI61" s="47">
        <v>50</v>
      </c>
      <c r="BJ61" s="54">
        <f t="shared" si="6"/>
        <v>0</v>
      </c>
      <c r="BK61" s="54">
        <f t="shared" si="7"/>
        <v>0</v>
      </c>
      <c r="BL61" s="48">
        <f t="shared" si="8"/>
        <v>0</v>
      </c>
      <c r="BM61" s="48">
        <f t="shared" si="9"/>
        <v>0</v>
      </c>
      <c r="BN61" s="48">
        <f t="shared" si="10"/>
        <v>0</v>
      </c>
      <c r="BO61" s="48">
        <f t="shared" si="11"/>
        <v>0</v>
      </c>
      <c r="BP61" s="48">
        <f t="shared" si="12"/>
        <v>0</v>
      </c>
      <c r="BQ61" s="48">
        <f t="shared" si="13"/>
        <v>0</v>
      </c>
      <c r="BR61" s="48">
        <f t="shared" si="14"/>
        <v>0</v>
      </c>
      <c r="BS61" s="48">
        <f t="shared" si="15"/>
        <v>0</v>
      </c>
      <c r="BT61" s="48">
        <f t="shared" si="16"/>
        <v>0</v>
      </c>
      <c r="BU61" s="48">
        <f t="shared" si="17"/>
        <v>0</v>
      </c>
    </row>
    <row r="62" spans="1:73" x14ac:dyDescent="0.25">
      <c r="A62" s="47">
        <v>51</v>
      </c>
      <c r="B62" s="48">
        <f t="shared" si="1"/>
        <v>19513.86</v>
      </c>
      <c r="C62" s="48">
        <f t="shared" si="18"/>
        <v>20730.25</v>
      </c>
      <c r="D62" s="8"/>
      <c r="E62" s="49">
        <v>2208</v>
      </c>
      <c r="F62" s="34">
        <v>1.2915000000000001</v>
      </c>
      <c r="G62" s="50" t="str">
        <f t="shared" ca="1" si="20"/>
        <v>Sin Límite</v>
      </c>
      <c r="H62" s="51">
        <f t="shared" ca="1" si="3"/>
        <v>1.4075</v>
      </c>
      <c r="I62" s="49">
        <f t="shared" ca="1" si="4"/>
        <v>73</v>
      </c>
      <c r="J62" s="32"/>
      <c r="K62" s="33" t="s">
        <v>270</v>
      </c>
      <c r="L62" s="34">
        <v>0.5554</v>
      </c>
      <c r="O62" s="17">
        <v>21</v>
      </c>
      <c r="P62" s="79" t="s">
        <v>205</v>
      </c>
      <c r="Q62" s="34">
        <v>1</v>
      </c>
      <c r="R62" s="123">
        <f t="shared" si="23"/>
        <v>21</v>
      </c>
      <c r="S62" s="35">
        <f t="shared" si="24"/>
        <v>1</v>
      </c>
      <c r="T62" s="8"/>
      <c r="V62" s="79">
        <f>IF($B$113="PÓLIZA NUEVA",IF(OR($B$119="A",$B$119="AA",$B$119="B",$B$119="0",$B$119="2000"),O62,""),O62)</f>
        <v>21</v>
      </c>
      <c r="W62" s="8"/>
      <c r="X62" s="8"/>
      <c r="Y62" s="17"/>
      <c r="Z62" s="8"/>
      <c r="AA62" s="8"/>
      <c r="AB62" s="8"/>
      <c r="AC62" s="8"/>
      <c r="AD62" s="96">
        <v>450000</v>
      </c>
      <c r="AE62" s="97" t="str">
        <f t="shared" si="22"/>
        <v/>
      </c>
      <c r="AF62" s="8"/>
      <c r="AG62" s="8"/>
      <c r="AH62" s="8"/>
      <c r="AI62" s="8"/>
      <c r="AJ62" s="8"/>
      <c r="AK62" s="8"/>
      <c r="AL62" s="8"/>
      <c r="AM62" s="8"/>
      <c r="AN62" s="8"/>
      <c r="AO62" s="8">
        <f t="shared" si="5"/>
        <v>0.89592285512335768</v>
      </c>
      <c r="AP62" s="8">
        <f t="shared" si="0"/>
        <v>0.8959124941065536</v>
      </c>
      <c r="AQ62" s="47">
        <v>51</v>
      </c>
      <c r="AR62" s="193">
        <v>30301.035300000007</v>
      </c>
      <c r="AS62" s="193">
        <v>32191.076700000005</v>
      </c>
      <c r="AT62" s="53">
        <v>16179.813990000002</v>
      </c>
      <c r="AU62" s="53">
        <v>17188.608186000001</v>
      </c>
      <c r="AV62" s="53">
        <v>26889.584499000004</v>
      </c>
      <c r="AW62" s="53">
        <v>28566.435636000006</v>
      </c>
      <c r="AX62" s="53">
        <v>18350.096535000001</v>
      </c>
      <c r="AY62" s="53">
        <v>19493.941212000005</v>
      </c>
      <c r="AZ62" s="53">
        <v>19513.864216189428</v>
      </c>
      <c r="BA62" s="53">
        <v>20730.251806784141</v>
      </c>
      <c r="BB62" s="53">
        <v>15374.562714000003</v>
      </c>
      <c r="BC62" s="53">
        <v>16333.025625000004</v>
      </c>
      <c r="BD62" s="53">
        <v>13774.422123000002</v>
      </c>
      <c r="BE62" s="53">
        <v>14632.961724000004</v>
      </c>
      <c r="BF62" s="53">
        <v>17718.35395995</v>
      </c>
      <c r="BG62" s="53">
        <v>18823.07448693</v>
      </c>
      <c r="BH62" s="8"/>
      <c r="BI62" s="47">
        <v>51</v>
      </c>
      <c r="BJ62" s="54">
        <f t="shared" si="6"/>
        <v>0</v>
      </c>
      <c r="BK62" s="54">
        <f t="shared" si="7"/>
        <v>0</v>
      </c>
      <c r="BL62" s="48">
        <f t="shared" si="8"/>
        <v>0</v>
      </c>
      <c r="BM62" s="48">
        <f t="shared" si="9"/>
        <v>0</v>
      </c>
      <c r="BN62" s="48">
        <f t="shared" si="10"/>
        <v>0</v>
      </c>
      <c r="BO62" s="48">
        <f t="shared" si="11"/>
        <v>0</v>
      </c>
      <c r="BP62" s="48">
        <f t="shared" si="12"/>
        <v>0</v>
      </c>
      <c r="BQ62" s="48">
        <f t="shared" si="13"/>
        <v>0</v>
      </c>
      <c r="BR62" s="48">
        <f t="shared" si="14"/>
        <v>0</v>
      </c>
      <c r="BS62" s="48">
        <f t="shared" si="15"/>
        <v>0</v>
      </c>
      <c r="BT62" s="48">
        <f t="shared" si="16"/>
        <v>0</v>
      </c>
      <c r="BU62" s="48">
        <f t="shared" si="17"/>
        <v>0</v>
      </c>
    </row>
    <row r="63" spans="1:73" ht="15.75" thickBot="1" x14ac:dyDescent="0.3">
      <c r="A63" s="47">
        <v>52</v>
      </c>
      <c r="B63" s="48">
        <f t="shared" si="1"/>
        <v>20320.84</v>
      </c>
      <c r="C63" s="48">
        <f t="shared" si="18"/>
        <v>21311.38</v>
      </c>
      <c r="D63" s="8"/>
      <c r="E63" s="49">
        <v>2291</v>
      </c>
      <c r="F63" s="34">
        <v>1.2992999999999999</v>
      </c>
      <c r="G63" s="50" t="str">
        <f t="shared" ca="1" si="20"/>
        <v/>
      </c>
      <c r="H63" s="51">
        <f t="shared" ca="1" si="3"/>
        <v>0</v>
      </c>
      <c r="I63" s="49" t="str">
        <f t="shared" ca="1" si="4"/>
        <v/>
      </c>
      <c r="J63" s="32"/>
      <c r="K63" s="33" t="s">
        <v>271</v>
      </c>
      <c r="L63" s="34">
        <v>0.54900000000000004</v>
      </c>
      <c r="O63" s="17">
        <v>24</v>
      </c>
      <c r="P63" s="79" t="s">
        <v>206</v>
      </c>
      <c r="Q63" s="34">
        <v>1.0549999999999999</v>
      </c>
      <c r="R63" s="123">
        <f t="shared" si="23"/>
        <v>24</v>
      </c>
      <c r="S63" s="35">
        <f t="shared" si="24"/>
        <v>1.0549999999999999</v>
      </c>
      <c r="T63" s="8"/>
      <c r="V63" s="79">
        <f>IF($B$113="PÓLIZA NUEVA",IF(OR($B$119="A",$B$119="AA",$B$119="B",$B$119="0",$B$119="2000"),O63,""),O63)</f>
        <v>24</v>
      </c>
      <c r="W63" s="8"/>
      <c r="X63" s="8"/>
      <c r="Y63" s="17"/>
      <c r="Z63" s="8"/>
      <c r="AA63" s="8"/>
      <c r="AB63" s="8"/>
      <c r="AC63" s="8"/>
      <c r="AD63" s="100">
        <v>500000</v>
      </c>
      <c r="AE63" s="101" t="str">
        <f t="shared" si="22"/>
        <v/>
      </c>
      <c r="AF63" s="8"/>
      <c r="AG63" s="8"/>
      <c r="AH63" s="8"/>
      <c r="AI63" s="8"/>
      <c r="AJ63" s="8"/>
      <c r="AK63" s="8"/>
      <c r="AL63" s="8"/>
      <c r="AM63" s="8"/>
      <c r="AN63" s="8"/>
      <c r="AO63" s="8">
        <f t="shared" si="5"/>
        <v>0.89598298873149695</v>
      </c>
      <c r="AP63" s="8">
        <f t="shared" si="0"/>
        <v>0.89592720003991932</v>
      </c>
      <c r="AQ63" s="47">
        <v>52</v>
      </c>
      <c r="AR63" s="193">
        <v>31554.081000000006</v>
      </c>
      <c r="AS63" s="193">
        <v>33092.973900000005</v>
      </c>
      <c r="AT63" s="53">
        <v>16848.893574000005</v>
      </c>
      <c r="AU63" s="53">
        <v>17669.681631000003</v>
      </c>
      <c r="AV63" s="53">
        <v>28001.308329000007</v>
      </c>
      <c r="AW63" s="53">
        <v>29366.746191000006</v>
      </c>
      <c r="AX63" s="53">
        <v>19108.946925000004</v>
      </c>
      <c r="AY63" s="53">
        <v>20040.414525000004</v>
      </c>
      <c r="AZ63" s="53">
        <v>20320.841086453744</v>
      </c>
      <c r="BA63" s="53">
        <v>21311.382593061673</v>
      </c>
      <c r="BB63" s="53">
        <v>16009.587054000001</v>
      </c>
      <c r="BC63" s="53">
        <v>16790.418108000002</v>
      </c>
      <c r="BD63" s="53">
        <v>14344.317657000003</v>
      </c>
      <c r="BE63" s="53">
        <v>15042.992283000001</v>
      </c>
      <c r="BF63" s="53">
        <v>18451.056381869999</v>
      </c>
      <c r="BG63" s="53">
        <v>19349.893249155</v>
      </c>
      <c r="BH63" s="8"/>
      <c r="BI63" s="47">
        <v>52</v>
      </c>
      <c r="BJ63" s="54">
        <f t="shared" si="6"/>
        <v>0</v>
      </c>
      <c r="BK63" s="54">
        <f t="shared" si="7"/>
        <v>0</v>
      </c>
      <c r="BL63" s="48">
        <f t="shared" si="8"/>
        <v>0</v>
      </c>
      <c r="BM63" s="48">
        <f t="shared" si="9"/>
        <v>0</v>
      </c>
      <c r="BN63" s="48">
        <f t="shared" si="10"/>
        <v>0</v>
      </c>
      <c r="BO63" s="48">
        <f t="shared" si="11"/>
        <v>0</v>
      </c>
      <c r="BP63" s="48">
        <f t="shared" si="12"/>
        <v>0</v>
      </c>
      <c r="BQ63" s="48">
        <f t="shared" si="13"/>
        <v>0</v>
      </c>
      <c r="BR63" s="48">
        <f t="shared" si="14"/>
        <v>0</v>
      </c>
      <c r="BS63" s="48">
        <f t="shared" si="15"/>
        <v>0</v>
      </c>
      <c r="BT63" s="48">
        <f t="shared" si="16"/>
        <v>0</v>
      </c>
      <c r="BU63" s="48">
        <f t="shared" si="17"/>
        <v>0</v>
      </c>
    </row>
    <row r="64" spans="1:73" ht="15.75" thickBot="1" x14ac:dyDescent="0.3">
      <c r="A64" s="47">
        <v>53</v>
      </c>
      <c r="B64" s="48">
        <f t="shared" si="1"/>
        <v>21162.5</v>
      </c>
      <c r="C64" s="48">
        <f t="shared" si="18"/>
        <v>21909.43</v>
      </c>
      <c r="D64" s="8"/>
      <c r="E64" s="49">
        <v>2500</v>
      </c>
      <c r="F64" s="34">
        <v>1.3176000000000001</v>
      </c>
      <c r="G64" s="50" t="str">
        <f t="shared" ca="1" si="20"/>
        <v/>
      </c>
      <c r="H64" s="51">
        <f t="shared" ca="1" si="3"/>
        <v>0</v>
      </c>
      <c r="I64" s="49" t="str">
        <f t="shared" ca="1" si="4"/>
        <v/>
      </c>
      <c r="J64" s="32"/>
      <c r="K64" s="33" t="s">
        <v>272</v>
      </c>
      <c r="L64" s="34">
        <v>0.53820000000000001</v>
      </c>
      <c r="O64" s="17">
        <v>27</v>
      </c>
      <c r="P64" s="79" t="s">
        <v>207</v>
      </c>
      <c r="Q64" s="34">
        <v>1.1175999999999999</v>
      </c>
      <c r="R64" s="123">
        <f t="shared" si="23"/>
        <v>27</v>
      </c>
      <c r="S64" s="35">
        <f t="shared" si="24"/>
        <v>1.1175999999999999</v>
      </c>
      <c r="T64" s="8"/>
      <c r="V64" s="79">
        <f t="shared" ref="V64:V69" si="25">IF($B$113="PÓLIZA NUEVA",IF(OR($B$119="A",$B$119="AA",$B$119="B",$B$119="0",$B$119="2000"),O64,""),O64)</f>
        <v>27</v>
      </c>
      <c r="W64" s="8"/>
      <c r="X64" s="8"/>
      <c r="Y64" s="17"/>
      <c r="Z64" s="8"/>
      <c r="AA64" s="8"/>
      <c r="AB64" s="8"/>
      <c r="AC64" s="8"/>
      <c r="AD64" s="8"/>
      <c r="AE64" s="8"/>
      <c r="AF64" s="8"/>
      <c r="AG64" s="8"/>
      <c r="AH64" s="8"/>
      <c r="AI64" s="8"/>
      <c r="AJ64" s="8"/>
      <c r="AK64" s="8"/>
      <c r="AL64" s="8"/>
      <c r="AM64" s="8"/>
      <c r="AN64" s="8"/>
      <c r="AO64" s="8">
        <f t="shared" si="5"/>
        <v>0.89595176673758214</v>
      </c>
      <c r="AP64" s="8">
        <f t="shared" si="0"/>
        <v>0.89593958086042025</v>
      </c>
      <c r="AQ64" s="47">
        <v>53</v>
      </c>
      <c r="AR64" s="193">
        <v>32861.339100000005</v>
      </c>
      <c r="AS64" s="193">
        <v>34020.745200000005</v>
      </c>
      <c r="AT64" s="53">
        <v>17546.828940000003</v>
      </c>
      <c r="AU64" s="53">
        <v>18165.564918000004</v>
      </c>
      <c r="AV64" s="53">
        <v>29161.502973000006</v>
      </c>
      <c r="AW64" s="53">
        <v>30190.565214000006</v>
      </c>
      <c r="AX64" s="53">
        <v>19900.411002000004</v>
      </c>
      <c r="AY64" s="53">
        <v>20602.794249000002</v>
      </c>
      <c r="AZ64" s="53">
        <v>21162.500011850221</v>
      </c>
      <c r="BA64" s="53">
        <v>21909.42857887665</v>
      </c>
      <c r="BB64" s="53">
        <v>16673.479497</v>
      </c>
      <c r="BC64" s="53">
        <v>17261.881173000002</v>
      </c>
      <c r="BD64" s="53">
        <v>14938.633413000003</v>
      </c>
      <c r="BE64" s="53">
        <v>15465.602583000002</v>
      </c>
      <c r="BF64" s="53">
        <v>19215.358484699998</v>
      </c>
      <c r="BG64" s="53">
        <v>19892.930122589998</v>
      </c>
      <c r="BH64" s="8"/>
      <c r="BI64" s="47">
        <v>53</v>
      </c>
      <c r="BJ64" s="54">
        <f t="shared" si="6"/>
        <v>0</v>
      </c>
      <c r="BK64" s="54">
        <f t="shared" si="7"/>
        <v>0</v>
      </c>
      <c r="BL64" s="48">
        <f t="shared" si="8"/>
        <v>0</v>
      </c>
      <c r="BM64" s="48">
        <f t="shared" si="9"/>
        <v>0</v>
      </c>
      <c r="BN64" s="48">
        <f t="shared" si="10"/>
        <v>0</v>
      </c>
      <c r="BO64" s="48">
        <f t="shared" si="11"/>
        <v>0</v>
      </c>
      <c r="BP64" s="48">
        <f t="shared" si="12"/>
        <v>0</v>
      </c>
      <c r="BQ64" s="48">
        <f t="shared" si="13"/>
        <v>0</v>
      </c>
      <c r="BR64" s="48">
        <f t="shared" si="14"/>
        <v>0</v>
      </c>
      <c r="BS64" s="48">
        <f t="shared" si="15"/>
        <v>0</v>
      </c>
      <c r="BT64" s="48">
        <f t="shared" si="16"/>
        <v>0</v>
      </c>
      <c r="BU64" s="48">
        <f t="shared" si="17"/>
        <v>0</v>
      </c>
    </row>
    <row r="65" spans="1:73" ht="15.75" thickBot="1" x14ac:dyDescent="0.3">
      <c r="A65" s="47">
        <v>54</v>
      </c>
      <c r="B65" s="48">
        <f t="shared" si="1"/>
        <v>22037.15</v>
      </c>
      <c r="C65" s="48">
        <f t="shared" si="18"/>
        <v>22526.080000000002</v>
      </c>
      <c r="D65" s="8"/>
      <c r="E65" s="49">
        <v>2673</v>
      </c>
      <c r="F65" s="34">
        <v>1.3315999999999999</v>
      </c>
      <c r="G65" s="50" t="str">
        <f t="shared" ca="1" si="20"/>
        <v/>
      </c>
      <c r="H65" s="51">
        <f t="shared" ca="1" si="3"/>
        <v>0</v>
      </c>
      <c r="I65" s="49" t="str">
        <f t="shared" ca="1" si="4"/>
        <v/>
      </c>
      <c r="J65" s="32"/>
      <c r="K65" s="33" t="s">
        <v>273</v>
      </c>
      <c r="L65" s="34">
        <v>0.53400000000000003</v>
      </c>
      <c r="O65" s="17">
        <v>30</v>
      </c>
      <c r="P65" s="79" t="s">
        <v>208</v>
      </c>
      <c r="Q65" s="34">
        <v>1.1648000000000001</v>
      </c>
      <c r="R65" s="123">
        <f t="shared" si="23"/>
        <v>30</v>
      </c>
      <c r="S65" s="35">
        <f t="shared" si="24"/>
        <v>1.1648000000000001</v>
      </c>
      <c r="T65" s="8"/>
      <c r="V65" s="79">
        <f>IF($B$113="PÓLIZA NUEVA",IF(OR($B$119="A",$B$119="AA",$B$119="B",$B$119="0",$B$119="2000"),O65,""),O65)</f>
        <v>30</v>
      </c>
      <c r="W65" s="8"/>
      <c r="X65" s="8"/>
      <c r="Y65" s="17"/>
      <c r="Z65" s="8"/>
      <c r="AA65" s="8"/>
      <c r="AB65" s="14" t="s">
        <v>108</v>
      </c>
      <c r="AC65" s="14" t="s">
        <v>57</v>
      </c>
      <c r="AD65" s="14" t="s">
        <v>109</v>
      </c>
      <c r="AE65" s="103" t="s">
        <v>89</v>
      </c>
      <c r="AF65" s="8"/>
      <c r="AG65" s="8"/>
      <c r="AH65" s="8"/>
      <c r="AI65" s="8"/>
      <c r="AJ65" s="8"/>
      <c r="AK65" s="8"/>
      <c r="AL65" s="8"/>
      <c r="AM65" s="8"/>
      <c r="AN65" s="8"/>
      <c r="AO65" s="8">
        <f t="shared" si="5"/>
        <v>0.89594601690910047</v>
      </c>
      <c r="AP65" s="8">
        <f t="shared" si="0"/>
        <v>0.89595041442802403</v>
      </c>
      <c r="AQ65" s="47">
        <v>54</v>
      </c>
      <c r="AR65" s="193">
        <v>34219.113300000005</v>
      </c>
      <c r="AS65" s="193">
        <v>34979.319000000003</v>
      </c>
      <c r="AT65" s="53">
        <v>18272.141568000003</v>
      </c>
      <c r="AU65" s="53">
        <v>18676.984986000003</v>
      </c>
      <c r="AV65" s="53">
        <v>30366.583020000005</v>
      </c>
      <c r="AW65" s="53">
        <v>31040.751177000002</v>
      </c>
      <c r="AX65" s="53">
        <v>20722.899357000002</v>
      </c>
      <c r="AY65" s="53">
        <v>21182.669793000008</v>
      </c>
      <c r="AZ65" s="53">
        <v>22037.150782665198</v>
      </c>
      <c r="BA65" s="53">
        <v>22526.079973942735</v>
      </c>
      <c r="BB65" s="53">
        <v>17362.531422000004</v>
      </c>
      <c r="BC65" s="53">
        <v>17747.402499000003</v>
      </c>
      <c r="BD65" s="53">
        <v>15555.890871000003</v>
      </c>
      <c r="BE65" s="53">
        <v>15900.792624000003</v>
      </c>
      <c r="BF65" s="53">
        <v>20009.64115584</v>
      </c>
      <c r="BG65" s="53">
        <v>20452.981170929997</v>
      </c>
      <c r="BH65" s="8"/>
      <c r="BI65" s="47">
        <v>54</v>
      </c>
      <c r="BJ65" s="54">
        <f t="shared" si="6"/>
        <v>0</v>
      </c>
      <c r="BK65" s="54">
        <f t="shared" si="7"/>
        <v>0</v>
      </c>
      <c r="BL65" s="48">
        <f t="shared" si="8"/>
        <v>0</v>
      </c>
      <c r="BM65" s="48">
        <f t="shared" si="9"/>
        <v>0</v>
      </c>
      <c r="BN65" s="48">
        <f t="shared" si="10"/>
        <v>0</v>
      </c>
      <c r="BO65" s="48">
        <f t="shared" si="11"/>
        <v>0</v>
      </c>
      <c r="BP65" s="48">
        <f t="shared" si="12"/>
        <v>0</v>
      </c>
      <c r="BQ65" s="48">
        <f t="shared" si="13"/>
        <v>0</v>
      </c>
      <c r="BR65" s="48">
        <f t="shared" si="14"/>
        <v>0</v>
      </c>
      <c r="BS65" s="48">
        <f t="shared" si="15"/>
        <v>0</v>
      </c>
      <c r="BT65" s="48">
        <f t="shared" si="16"/>
        <v>0</v>
      </c>
      <c r="BU65" s="48">
        <f t="shared" si="17"/>
        <v>0</v>
      </c>
    </row>
    <row r="66" spans="1:73" x14ac:dyDescent="0.25">
      <c r="A66" s="47">
        <v>55</v>
      </c>
      <c r="B66" s="48">
        <f t="shared" si="1"/>
        <v>23107.21</v>
      </c>
      <c r="C66" s="48">
        <f t="shared" si="18"/>
        <v>23285.69</v>
      </c>
      <c r="D66" s="8"/>
      <c r="E66" s="49">
        <v>3000</v>
      </c>
      <c r="F66" s="34">
        <v>1.3557999999999999</v>
      </c>
      <c r="G66" s="50" t="str">
        <f t="shared" ca="1" si="20"/>
        <v/>
      </c>
      <c r="H66" s="51">
        <f t="shared" ca="1" si="3"/>
        <v>0</v>
      </c>
      <c r="I66" s="49" t="str">
        <f t="shared" ca="1" si="4"/>
        <v/>
      </c>
      <c r="J66" s="32"/>
      <c r="K66" s="33" t="s">
        <v>274</v>
      </c>
      <c r="L66" s="34">
        <v>0.52339999999999998</v>
      </c>
      <c r="O66" s="17">
        <v>33</v>
      </c>
      <c r="P66" s="79" t="s">
        <v>209</v>
      </c>
      <c r="Q66" s="34">
        <v>1.2088000000000001</v>
      </c>
      <c r="R66" s="123">
        <f t="shared" si="23"/>
        <v>33</v>
      </c>
      <c r="S66" s="35">
        <f t="shared" si="24"/>
        <v>1.2088000000000001</v>
      </c>
      <c r="T66" s="8"/>
      <c r="V66" s="79">
        <f>IF($B$113="PÓLIZA NUEVA",IF(OR($B$119="A",$B$119="AA",$B$119="B",$B$119="0",$B$119="2000"),O66,""),O66)</f>
        <v>33</v>
      </c>
      <c r="W66" s="8"/>
      <c r="X66" s="8"/>
      <c r="Y66" s="17"/>
      <c r="Z66" s="8"/>
      <c r="AA66" s="8"/>
      <c r="AB66" s="92" t="str">
        <f>IF(AND('GOLDEN SALUD IND'!G30&gt;19,'GOLDEN SALUD IND'!G30&lt;56,'GOLDEN SALUD IND'!F30="F"),'GOLDEN SALUD IND'!G30,"")</f>
        <v/>
      </c>
      <c r="AC66" s="92" t="str">
        <f>IF(AB66="","",VLOOKUP(AB66,$Y$10:$AH$19,10,TRUE))</f>
        <v/>
      </c>
      <c r="AD66" s="93">
        <v>250000</v>
      </c>
      <c r="AE66" s="94" t="str">
        <f t="shared" ref="AE66:AE71" si="26">IF($B$125="NO","",IF($AB$66=""," ",IF(HLOOKUP(AD66,$AB$9:$AG$19,$AC$66,FALSE)&lt;3000,AD66," ")))</f>
        <v/>
      </c>
      <c r="AF66" s="8"/>
      <c r="AG66" s="8"/>
      <c r="AH66" s="8"/>
      <c r="AI66" s="8"/>
      <c r="AJ66" s="8"/>
      <c r="AK66" s="8"/>
      <c r="AL66" s="8"/>
      <c r="AM66" s="8"/>
      <c r="AN66" s="8"/>
      <c r="AO66" s="8">
        <f t="shared" si="5"/>
        <v>0.89592664330448912</v>
      </c>
      <c r="AP66" s="8">
        <f t="shared" si="0"/>
        <v>0.89595387368993695</v>
      </c>
      <c r="AQ66" s="47">
        <v>55</v>
      </c>
      <c r="AR66" s="193">
        <v>35881.216200000003</v>
      </c>
      <c r="AS66" s="193">
        <v>36158.438700000006</v>
      </c>
      <c r="AT66" s="53">
        <v>19158.810012000002</v>
      </c>
      <c r="AU66" s="53">
        <v>19306.834506000003</v>
      </c>
      <c r="AV66" s="53">
        <v>31841.049411000004</v>
      </c>
      <c r="AW66" s="53">
        <v>32086.914966000004</v>
      </c>
      <c r="AX66" s="53">
        <v>21729.143106000007</v>
      </c>
      <c r="AY66" s="53">
        <v>21896.979768000005</v>
      </c>
      <c r="AZ66" s="53">
        <v>23107.210760220267</v>
      </c>
      <c r="BA66" s="53">
        <v>23285.69166502203</v>
      </c>
      <c r="BB66" s="53">
        <v>18205.534242000005</v>
      </c>
      <c r="BC66" s="53">
        <v>18345.414555000003</v>
      </c>
      <c r="BD66" s="53">
        <v>16310.823183000002</v>
      </c>
      <c r="BE66" s="53">
        <v>16436.645235000004</v>
      </c>
      <c r="BF66" s="53">
        <v>20980.622982059998</v>
      </c>
      <c r="BG66" s="53">
        <v>21142.72313853</v>
      </c>
      <c r="BH66" s="8"/>
      <c r="BI66" s="47">
        <v>55</v>
      </c>
      <c r="BJ66" s="54">
        <f t="shared" si="6"/>
        <v>0</v>
      </c>
      <c r="BK66" s="54">
        <f t="shared" si="7"/>
        <v>0</v>
      </c>
      <c r="BL66" s="48">
        <f t="shared" si="8"/>
        <v>0</v>
      </c>
      <c r="BM66" s="48">
        <f t="shared" si="9"/>
        <v>0</v>
      </c>
      <c r="BN66" s="48">
        <f t="shared" si="10"/>
        <v>0</v>
      </c>
      <c r="BO66" s="48">
        <f t="shared" si="11"/>
        <v>0</v>
      </c>
      <c r="BP66" s="48">
        <f t="shared" si="12"/>
        <v>0</v>
      </c>
      <c r="BQ66" s="48">
        <f t="shared" si="13"/>
        <v>0</v>
      </c>
      <c r="BR66" s="48">
        <f t="shared" si="14"/>
        <v>0</v>
      </c>
      <c r="BS66" s="48">
        <f t="shared" si="15"/>
        <v>0</v>
      </c>
      <c r="BT66" s="48">
        <f t="shared" si="16"/>
        <v>0</v>
      </c>
      <c r="BU66" s="48">
        <f t="shared" si="17"/>
        <v>0</v>
      </c>
    </row>
    <row r="67" spans="1:73" x14ac:dyDescent="0.25">
      <c r="A67" s="47">
        <v>56</v>
      </c>
      <c r="B67" s="48">
        <f t="shared" si="1"/>
        <v>24229.71</v>
      </c>
      <c r="C67" s="48">
        <f t="shared" si="18"/>
        <v>24070.67</v>
      </c>
      <c r="D67" s="8"/>
      <c r="E67" s="49">
        <v>3055</v>
      </c>
      <c r="F67" s="34">
        <v>1.3595999999999999</v>
      </c>
      <c r="G67" s="50" t="str">
        <f t="shared" ca="1" si="20"/>
        <v/>
      </c>
      <c r="H67" s="51">
        <f t="shared" ca="1" si="3"/>
        <v>0</v>
      </c>
      <c r="I67" s="49" t="str">
        <f t="shared" ca="1" si="4"/>
        <v/>
      </c>
      <c r="J67" s="32"/>
      <c r="K67" s="33" t="s">
        <v>275</v>
      </c>
      <c r="L67" s="34">
        <v>0.51729999999999998</v>
      </c>
      <c r="O67" s="17">
        <v>36</v>
      </c>
      <c r="P67" s="79" t="s">
        <v>210</v>
      </c>
      <c r="Q67" s="34">
        <v>1.3319000000000001</v>
      </c>
      <c r="R67" s="123">
        <f t="shared" si="23"/>
        <v>36</v>
      </c>
      <c r="S67" s="35">
        <f t="shared" si="24"/>
        <v>1.3319000000000001</v>
      </c>
      <c r="T67" s="8"/>
      <c r="V67" s="79">
        <f t="shared" si="25"/>
        <v>36</v>
      </c>
      <c r="W67" s="8"/>
      <c r="X67" s="8"/>
      <c r="Y67" s="17"/>
      <c r="Z67" s="8"/>
      <c r="AA67" s="8"/>
      <c r="AB67" s="8"/>
      <c r="AC67" s="8"/>
      <c r="AD67" s="96">
        <v>300000</v>
      </c>
      <c r="AE67" s="97" t="str">
        <f t="shared" si="26"/>
        <v/>
      </c>
      <c r="AF67" s="8"/>
      <c r="AG67" s="8"/>
      <c r="AH67" s="8"/>
      <c r="AI67" s="8"/>
      <c r="AJ67" s="8"/>
      <c r="AK67" s="8"/>
      <c r="AL67" s="8"/>
      <c r="AM67" s="8"/>
      <c r="AN67" s="8"/>
      <c r="AO67" s="8">
        <f t="shared" si="5"/>
        <v>0.8959372630016299</v>
      </c>
      <c r="AP67" s="8">
        <f t="shared" si="0"/>
        <v>0.89595263433503924</v>
      </c>
      <c r="AQ67" s="47">
        <v>56</v>
      </c>
      <c r="AR67" s="193">
        <v>37623.405600000013</v>
      </c>
      <c r="AS67" s="193">
        <v>37376.985600000007</v>
      </c>
      <c r="AT67" s="53">
        <v>20089.144080000002</v>
      </c>
      <c r="AU67" s="53">
        <v>19958.147208000002</v>
      </c>
      <c r="AV67" s="53">
        <v>33387.495084000009</v>
      </c>
      <c r="AW67" s="53">
        <v>33168.711087000011</v>
      </c>
      <c r="AX67" s="53">
        <v>22784.695497000004</v>
      </c>
      <c r="AY67" s="53">
        <v>22635.143199000002</v>
      </c>
      <c r="AZ67" s="53">
        <v>24229.706546101323</v>
      </c>
      <c r="BA67" s="53">
        <v>24070.669604207043</v>
      </c>
      <c r="BB67" s="53">
        <v>19089.233325000001</v>
      </c>
      <c r="BC67" s="53">
        <v>18964.162854000006</v>
      </c>
      <c r="BD67" s="53">
        <v>17102.755458000003</v>
      </c>
      <c r="BE67" s="53">
        <v>16990.991667000002</v>
      </c>
      <c r="BF67" s="53">
        <v>21999.422600399997</v>
      </c>
      <c r="BG67" s="53">
        <v>21855.96922404</v>
      </c>
      <c r="BH67" s="8"/>
      <c r="BI67" s="47">
        <v>56</v>
      </c>
      <c r="BJ67" s="54">
        <f t="shared" si="6"/>
        <v>0</v>
      </c>
      <c r="BK67" s="54">
        <f t="shared" si="7"/>
        <v>0</v>
      </c>
      <c r="BL67" s="48">
        <f t="shared" si="8"/>
        <v>0</v>
      </c>
      <c r="BM67" s="48">
        <f t="shared" si="9"/>
        <v>0</v>
      </c>
      <c r="BN67" s="48">
        <f t="shared" si="10"/>
        <v>0</v>
      </c>
      <c r="BO67" s="48">
        <f t="shared" si="11"/>
        <v>0</v>
      </c>
      <c r="BP67" s="48">
        <f t="shared" si="12"/>
        <v>0</v>
      </c>
      <c r="BQ67" s="48">
        <f t="shared" si="13"/>
        <v>0</v>
      </c>
      <c r="BR67" s="48">
        <f t="shared" si="14"/>
        <v>0</v>
      </c>
      <c r="BS67" s="48">
        <f t="shared" si="15"/>
        <v>0</v>
      </c>
      <c r="BT67" s="48">
        <f t="shared" si="16"/>
        <v>0</v>
      </c>
      <c r="BU67" s="48">
        <f t="shared" si="17"/>
        <v>0</v>
      </c>
    </row>
    <row r="68" spans="1:73" x14ac:dyDescent="0.25">
      <c r="A68" s="47">
        <v>57</v>
      </c>
      <c r="B68" s="48">
        <f t="shared" si="1"/>
        <v>25405.49</v>
      </c>
      <c r="C68" s="48">
        <f t="shared" si="18"/>
        <v>24882.73</v>
      </c>
      <c r="D68" s="8"/>
      <c r="E68" s="49">
        <v>3311</v>
      </c>
      <c r="F68" s="34">
        <v>1.3765000000000001</v>
      </c>
      <c r="G68" s="50" t="str">
        <f t="shared" ca="1" si="20"/>
        <v/>
      </c>
      <c r="H68" s="51">
        <f t="shared" ca="1" si="3"/>
        <v>0</v>
      </c>
      <c r="I68" s="49" t="str">
        <f t="shared" ca="1" si="4"/>
        <v/>
      </c>
      <c r="J68" s="32"/>
      <c r="K68" s="33" t="s">
        <v>276</v>
      </c>
      <c r="L68" s="34">
        <v>0.50719999999999998</v>
      </c>
      <c r="O68" s="17">
        <v>40</v>
      </c>
      <c r="P68" s="79" t="s">
        <v>211</v>
      </c>
      <c r="Q68" s="34">
        <v>1.3919999999999999</v>
      </c>
      <c r="R68" s="123">
        <f t="shared" si="23"/>
        <v>40</v>
      </c>
      <c r="S68" s="35">
        <f t="shared" si="24"/>
        <v>1.3919999999999999</v>
      </c>
      <c r="T68" s="8"/>
      <c r="V68" s="79">
        <f>IF($B$113="PÓLIZA NUEVA",IF(OR($B$119="A",$B$119="AA",$B$119="B",$B$119="0",$B$119="2000"),O68,""),O68)</f>
        <v>40</v>
      </c>
      <c r="W68" s="8"/>
      <c r="X68" s="8"/>
      <c r="Y68" s="17"/>
      <c r="Z68" s="8"/>
      <c r="AA68" s="8"/>
      <c r="AB68" s="8"/>
      <c r="AC68" s="8"/>
      <c r="AD68" s="96">
        <v>350000</v>
      </c>
      <c r="AE68" s="97" t="str">
        <f t="shared" si="26"/>
        <v/>
      </c>
      <c r="AF68" s="8"/>
      <c r="AG68" s="8"/>
      <c r="AH68" s="8"/>
      <c r="AI68" s="8"/>
      <c r="AJ68" s="8"/>
      <c r="AK68" s="8"/>
      <c r="AL68" s="8"/>
      <c r="AM68" s="8"/>
      <c r="AN68" s="8"/>
      <c r="AO68" s="8">
        <f t="shared" si="5"/>
        <v>0.89594732763200235</v>
      </c>
      <c r="AP68" s="8">
        <f t="shared" si="0"/>
        <v>0.89595282358368322</v>
      </c>
      <c r="AQ68" s="47">
        <v>57</v>
      </c>
      <c r="AR68" s="193">
        <v>39449.377800000009</v>
      </c>
      <c r="AS68" s="193">
        <v>38638.65600000001</v>
      </c>
      <c r="AT68" s="53">
        <v>21064.622292000004</v>
      </c>
      <c r="AU68" s="53">
        <v>20631.650031000005</v>
      </c>
      <c r="AV68" s="53">
        <v>35008.051572000004</v>
      </c>
      <c r="AW68" s="53">
        <v>34288.283394000006</v>
      </c>
      <c r="AX68" s="53">
        <v>23890.357395000006</v>
      </c>
      <c r="AY68" s="53">
        <v>23398.774137000004</v>
      </c>
      <c r="AZ68" s="53">
        <v>25405.48979636564</v>
      </c>
      <c r="BA68" s="53">
        <v>24882.730206013221</v>
      </c>
      <c r="BB68" s="53">
        <v>20015.871093000005</v>
      </c>
      <c r="BC68" s="53">
        <v>19604.362014000002</v>
      </c>
      <c r="BD68" s="53">
        <v>17933.166216000001</v>
      </c>
      <c r="BE68" s="53">
        <v>17564.583501000005</v>
      </c>
      <c r="BF68" s="53">
        <v>23067.659123459998</v>
      </c>
      <c r="BG68" s="53">
        <v>22593.515491154998</v>
      </c>
      <c r="BH68" s="8"/>
      <c r="BI68" s="47">
        <v>57</v>
      </c>
      <c r="BJ68" s="54">
        <f t="shared" si="6"/>
        <v>0</v>
      </c>
      <c r="BK68" s="54">
        <f t="shared" si="7"/>
        <v>0</v>
      </c>
      <c r="BL68" s="48">
        <f t="shared" si="8"/>
        <v>0</v>
      </c>
      <c r="BM68" s="48">
        <f t="shared" si="9"/>
        <v>0</v>
      </c>
      <c r="BN68" s="48">
        <f t="shared" si="10"/>
        <v>0</v>
      </c>
      <c r="BO68" s="48">
        <f t="shared" si="11"/>
        <v>0</v>
      </c>
      <c r="BP68" s="48">
        <f t="shared" si="12"/>
        <v>0</v>
      </c>
      <c r="BQ68" s="48">
        <f t="shared" si="13"/>
        <v>0</v>
      </c>
      <c r="BR68" s="48">
        <f t="shared" si="14"/>
        <v>0</v>
      </c>
      <c r="BS68" s="48">
        <f t="shared" si="15"/>
        <v>0</v>
      </c>
      <c r="BT68" s="48">
        <f t="shared" si="16"/>
        <v>0</v>
      </c>
      <c r="BU68" s="48">
        <f t="shared" si="17"/>
        <v>0</v>
      </c>
    </row>
    <row r="69" spans="1:73" x14ac:dyDescent="0.25">
      <c r="A69" s="47">
        <v>58</v>
      </c>
      <c r="B69" s="48">
        <f t="shared" si="1"/>
        <v>26639.64</v>
      </c>
      <c r="C69" s="48">
        <f t="shared" si="18"/>
        <v>25721.85</v>
      </c>
      <c r="D69" s="8"/>
      <c r="E69" s="49">
        <v>3320</v>
      </c>
      <c r="F69" s="34">
        <v>1.3771</v>
      </c>
      <c r="G69" s="50" t="str">
        <f t="shared" ca="1" si="20"/>
        <v/>
      </c>
      <c r="H69" s="51">
        <f t="shared" ca="1" si="3"/>
        <v>0</v>
      </c>
      <c r="I69" s="49" t="str">
        <f t="shared" ca="1" si="4"/>
        <v/>
      </c>
      <c r="J69" s="32"/>
      <c r="K69" s="33" t="s">
        <v>277</v>
      </c>
      <c r="L69" s="34">
        <v>0.50319999999999998</v>
      </c>
      <c r="O69" s="17">
        <v>50</v>
      </c>
      <c r="P69" s="79" t="s">
        <v>212</v>
      </c>
      <c r="Q69" s="34">
        <v>1.4652000000000001</v>
      </c>
      <c r="R69" s="123">
        <f t="shared" si="23"/>
        <v>50</v>
      </c>
      <c r="S69" s="35">
        <f t="shared" si="24"/>
        <v>1.4652000000000001</v>
      </c>
      <c r="T69" s="8"/>
      <c r="V69" s="79">
        <f t="shared" si="25"/>
        <v>50</v>
      </c>
      <c r="W69" s="8"/>
      <c r="X69" s="8"/>
      <c r="Y69" s="17"/>
      <c r="Z69" s="8"/>
      <c r="AA69" s="8"/>
      <c r="AB69" s="8"/>
      <c r="AC69" s="8"/>
      <c r="AD69" s="96">
        <v>400000</v>
      </c>
      <c r="AE69" s="97" t="str">
        <f t="shared" si="26"/>
        <v/>
      </c>
      <c r="AF69" s="8"/>
      <c r="AG69" s="8"/>
      <c r="AH69" s="8"/>
      <c r="AI69" s="8"/>
      <c r="AJ69" s="8"/>
      <c r="AK69" s="8"/>
      <c r="AL69" s="8"/>
      <c r="AM69" s="8"/>
      <c r="AN69" s="8"/>
      <c r="AO69" s="8">
        <f t="shared" si="5"/>
        <v>0.89593739818546303</v>
      </c>
      <c r="AP69" s="8">
        <f t="shared" si="0"/>
        <v>0.8959494204989491</v>
      </c>
      <c r="AQ69" s="47">
        <v>58</v>
      </c>
      <c r="AR69" s="193">
        <v>41365.293300000012</v>
      </c>
      <c r="AS69" s="193">
        <v>39940.985700000005</v>
      </c>
      <c r="AT69" s="53">
        <v>22087.474749000001</v>
      </c>
      <c r="AU69" s="53">
        <v>21326.628357000001</v>
      </c>
      <c r="AV69" s="53">
        <v>36708.423498000011</v>
      </c>
      <c r="AW69" s="53">
        <v>35443.475712000007</v>
      </c>
      <c r="AX69" s="53">
        <v>25050.909348000005</v>
      </c>
      <c r="AY69" s="53">
        <v>24187.847940000007</v>
      </c>
      <c r="AZ69" s="53">
        <v>26639.644242555067</v>
      </c>
      <c r="BA69" s="53">
        <v>25721.847265638764</v>
      </c>
      <c r="BB69" s="53">
        <v>20988.392265000006</v>
      </c>
      <c r="BC69" s="53">
        <v>20265.297417000005</v>
      </c>
      <c r="BD69" s="53">
        <v>18804.285558000003</v>
      </c>
      <c r="BE69" s="53">
        <v>18156.681477000006</v>
      </c>
      <c r="BF69" s="53">
        <v>24187.774712744998</v>
      </c>
      <c r="BG69" s="53">
        <v>23354.579368784998</v>
      </c>
      <c r="BH69" s="8"/>
      <c r="BI69" s="47">
        <v>58</v>
      </c>
      <c r="BJ69" s="54">
        <f t="shared" si="6"/>
        <v>0</v>
      </c>
      <c r="BK69" s="54">
        <f t="shared" si="7"/>
        <v>0</v>
      </c>
      <c r="BL69" s="48">
        <f t="shared" si="8"/>
        <v>0</v>
      </c>
      <c r="BM69" s="48">
        <f t="shared" si="9"/>
        <v>0</v>
      </c>
      <c r="BN69" s="48">
        <f t="shared" si="10"/>
        <v>0</v>
      </c>
      <c r="BO69" s="48">
        <f t="shared" si="11"/>
        <v>0</v>
      </c>
      <c r="BP69" s="48">
        <f t="shared" si="12"/>
        <v>0</v>
      </c>
      <c r="BQ69" s="48">
        <f t="shared" si="13"/>
        <v>0</v>
      </c>
      <c r="BR69" s="48">
        <f t="shared" si="14"/>
        <v>0</v>
      </c>
      <c r="BS69" s="48">
        <f t="shared" si="15"/>
        <v>0</v>
      </c>
      <c r="BT69" s="48">
        <f t="shared" si="16"/>
        <v>0</v>
      </c>
      <c r="BU69" s="48">
        <f t="shared" si="17"/>
        <v>0</v>
      </c>
    </row>
    <row r="70" spans="1:73" x14ac:dyDescent="0.25">
      <c r="A70" s="47">
        <v>59</v>
      </c>
      <c r="B70" s="48">
        <f t="shared" si="1"/>
        <v>27934.7</v>
      </c>
      <c r="C70" s="48">
        <f t="shared" si="18"/>
        <v>26590.59</v>
      </c>
      <c r="D70" s="8"/>
      <c r="E70" s="49">
        <v>3436</v>
      </c>
      <c r="F70" s="34">
        <v>1.3843000000000001</v>
      </c>
      <c r="G70" s="50" t="str">
        <f t="shared" ca="1" si="20"/>
        <v/>
      </c>
      <c r="H70" s="51">
        <f t="shared" ca="1" si="3"/>
        <v>0</v>
      </c>
      <c r="I70" s="49" t="str">
        <f t="shared" ca="1" si="4"/>
        <v/>
      </c>
      <c r="J70" s="32"/>
      <c r="K70" s="33" t="s">
        <v>278</v>
      </c>
      <c r="L70" s="34">
        <v>0.49719999999999998</v>
      </c>
      <c r="O70" s="17">
        <v>60</v>
      </c>
      <c r="P70" s="79" t="s">
        <v>213</v>
      </c>
      <c r="Q70" s="34">
        <v>1.6484000000000001</v>
      </c>
      <c r="R70" s="123">
        <f t="shared" si="23"/>
        <v>60</v>
      </c>
      <c r="S70" s="35">
        <f t="shared" si="24"/>
        <v>1.6484000000000001</v>
      </c>
      <c r="T70" s="8"/>
      <c r="V70" s="79">
        <f>IF($B$113="PÓLIZA NUEVA",IF(OR($B$119="A",$B$119="AA",$B$119="B",$B$119="0",$B$119="2000"),O70,""),O70)</f>
        <v>60</v>
      </c>
      <c r="W70" s="8"/>
      <c r="X70" s="8"/>
      <c r="Y70" s="17"/>
      <c r="Z70" s="8"/>
      <c r="AA70" s="8"/>
      <c r="AB70" s="8"/>
      <c r="AC70" s="8"/>
      <c r="AD70" s="96">
        <v>450000</v>
      </c>
      <c r="AE70" s="97" t="str">
        <f t="shared" si="26"/>
        <v/>
      </c>
      <c r="AF70" s="8"/>
      <c r="AG70" s="8"/>
      <c r="AH70" s="8"/>
      <c r="AI70" s="8"/>
      <c r="AJ70" s="8"/>
      <c r="AK70" s="8"/>
      <c r="AL70" s="8"/>
      <c r="AM70" s="8"/>
      <c r="AN70" s="8"/>
      <c r="AO70" s="8">
        <f t="shared" si="5"/>
        <v>0.89595082861112907</v>
      </c>
      <c r="AP70" s="8">
        <f t="shared" si="0"/>
        <v>0.89592322951690295</v>
      </c>
      <c r="AQ70" s="47">
        <v>59</v>
      </c>
      <c r="AR70" s="193">
        <v>43376.080500000004</v>
      </c>
      <c r="AS70" s="193">
        <v>41290.135200000004</v>
      </c>
      <c r="AT70" s="53">
        <v>23161.397751000008</v>
      </c>
      <c r="AU70" s="53">
        <v>22046.766165000005</v>
      </c>
      <c r="AV70" s="53">
        <v>38492.898570000005</v>
      </c>
      <c r="AW70" s="53">
        <v>36641.43422100001</v>
      </c>
      <c r="AX70" s="53">
        <v>26268.729309000006</v>
      </c>
      <c r="AY70" s="53">
        <v>25004.779524000005</v>
      </c>
      <c r="AZ70" s="53">
        <v>27934.698648039648</v>
      </c>
      <c r="BA70" s="53">
        <v>26590.588853656387</v>
      </c>
      <c r="BB70" s="53">
        <v>22008.287682000002</v>
      </c>
      <c r="BC70" s="53">
        <v>20949.901461000001</v>
      </c>
      <c r="BD70" s="53">
        <v>19718.343585000006</v>
      </c>
      <c r="BE70" s="53">
        <v>18769.503375000004</v>
      </c>
      <c r="BF70" s="53">
        <v>25363.817149754999</v>
      </c>
      <c r="BG70" s="53">
        <v>24143.195145825001</v>
      </c>
      <c r="BH70" s="8"/>
      <c r="BI70" s="47">
        <v>59</v>
      </c>
      <c r="BJ70" s="54">
        <f t="shared" si="6"/>
        <v>0</v>
      </c>
      <c r="BK70" s="54">
        <f t="shared" si="7"/>
        <v>0</v>
      </c>
      <c r="BL70" s="48">
        <f t="shared" si="8"/>
        <v>0</v>
      </c>
      <c r="BM70" s="48">
        <f t="shared" si="9"/>
        <v>0</v>
      </c>
      <c r="BN70" s="48">
        <f t="shared" si="10"/>
        <v>0</v>
      </c>
      <c r="BO70" s="48">
        <f t="shared" si="11"/>
        <v>0</v>
      </c>
      <c r="BP70" s="48">
        <f t="shared" si="12"/>
        <v>0</v>
      </c>
      <c r="BQ70" s="48">
        <f t="shared" si="13"/>
        <v>0</v>
      </c>
      <c r="BR70" s="48">
        <f t="shared" si="14"/>
        <v>0</v>
      </c>
      <c r="BS70" s="48">
        <f t="shared" si="15"/>
        <v>0</v>
      </c>
      <c r="BT70" s="48">
        <f t="shared" si="16"/>
        <v>0</v>
      </c>
      <c r="BU70" s="48">
        <f t="shared" si="17"/>
        <v>0</v>
      </c>
    </row>
    <row r="71" spans="1:73" ht="15.75" thickBot="1" x14ac:dyDescent="0.3">
      <c r="A71" s="47">
        <v>60</v>
      </c>
      <c r="B71" s="48">
        <f t="shared" si="1"/>
        <v>28801.74</v>
      </c>
      <c r="C71" s="48">
        <f t="shared" si="18"/>
        <v>27408.560000000001</v>
      </c>
      <c r="D71" s="8"/>
      <c r="E71" s="49">
        <v>3500</v>
      </c>
      <c r="F71" s="34">
        <v>1.3880999999999999</v>
      </c>
      <c r="G71" s="50" t="str">
        <f t="shared" ca="1" si="20"/>
        <v/>
      </c>
      <c r="H71" s="51">
        <f t="shared" ca="1" si="3"/>
        <v>0</v>
      </c>
      <c r="I71" s="49" t="str">
        <f t="shared" ca="1" si="4"/>
        <v/>
      </c>
      <c r="J71" s="32"/>
      <c r="K71" s="33" t="s">
        <v>279</v>
      </c>
      <c r="L71" s="34">
        <v>0.49159999999999998</v>
      </c>
      <c r="O71" s="17" t="s">
        <v>110</v>
      </c>
      <c r="P71" s="81" t="s">
        <v>110</v>
      </c>
      <c r="Q71" s="72">
        <v>1.4286000000000001</v>
      </c>
      <c r="R71" s="133" t="str">
        <f t="shared" si="23"/>
        <v>G.U.A.</v>
      </c>
      <c r="S71" s="117">
        <f t="shared" si="24"/>
        <v>1.4286000000000001</v>
      </c>
      <c r="T71" s="8"/>
      <c r="V71" s="81" t="str">
        <f>IF($B$113="PÓLIZA NUEVA",IF(OR($B$119="A",$B$119="AA",$B$119="B",$B$119="0",$B$119="2000"),O71,""),O71)</f>
        <v>G.U.A.</v>
      </c>
      <c r="W71" s="8"/>
      <c r="X71" s="8"/>
      <c r="Y71" s="17"/>
      <c r="Z71" s="8"/>
      <c r="AA71" s="8"/>
      <c r="AB71" s="8"/>
      <c r="AC71" s="8"/>
      <c r="AD71" s="100">
        <v>500000</v>
      </c>
      <c r="AE71" s="101" t="str">
        <f t="shared" si="26"/>
        <v/>
      </c>
      <c r="AF71" s="8"/>
      <c r="AG71" s="8"/>
      <c r="AH71" s="8"/>
      <c r="AI71" s="8"/>
      <c r="AJ71" s="8"/>
      <c r="AK71" s="8"/>
      <c r="AL71" s="8"/>
      <c r="AM71" s="8"/>
      <c r="AN71" s="8"/>
      <c r="AO71" s="8">
        <f t="shared" si="5"/>
        <v>0.89595240448154578</v>
      </c>
      <c r="AP71" s="8">
        <f t="shared" si="0"/>
        <v>0.89594214773234282</v>
      </c>
      <c r="AQ71" s="47">
        <v>60</v>
      </c>
      <c r="AR71" s="193">
        <v>44722.765800000008</v>
      </c>
      <c r="AS71" s="193">
        <v>42560.430300000007</v>
      </c>
      <c r="AT71" s="53">
        <v>23880.057039000003</v>
      </c>
      <c r="AU71" s="53">
        <v>22725.456129000006</v>
      </c>
      <c r="AV71" s="53">
        <v>39687.998607000001</v>
      </c>
      <c r="AW71" s="53">
        <v>37768.128066000005</v>
      </c>
      <c r="AX71" s="53">
        <v>27084.059163000002</v>
      </c>
      <c r="AY71" s="53">
        <v>25773.967233000003</v>
      </c>
      <c r="AZ71" s="53">
        <v>28801.736923942732</v>
      </c>
      <c r="BA71" s="53">
        <v>27408.55863825991</v>
      </c>
      <c r="BB71" s="53">
        <v>22691.413206000005</v>
      </c>
      <c r="BC71" s="53">
        <v>21593.809242000007</v>
      </c>
      <c r="BD71" s="53">
        <v>20330.426223000006</v>
      </c>
      <c r="BE71" s="53">
        <v>19346.803830000001</v>
      </c>
      <c r="BF71" s="53">
        <v>26150.813814194997</v>
      </c>
      <c r="BG71" s="53">
        <v>24886.421799644999</v>
      </c>
      <c r="BH71" s="8"/>
      <c r="BI71" s="47">
        <v>60</v>
      </c>
      <c r="BJ71" s="54">
        <f t="shared" si="6"/>
        <v>0</v>
      </c>
      <c r="BK71" s="54">
        <f t="shared" si="7"/>
        <v>0</v>
      </c>
      <c r="BL71" s="48">
        <f t="shared" si="8"/>
        <v>0</v>
      </c>
      <c r="BM71" s="48">
        <f t="shared" si="9"/>
        <v>0</v>
      </c>
      <c r="BN71" s="48">
        <f t="shared" si="10"/>
        <v>0</v>
      </c>
      <c r="BO71" s="48">
        <f t="shared" si="11"/>
        <v>0</v>
      </c>
      <c r="BP71" s="48">
        <f t="shared" si="12"/>
        <v>0</v>
      </c>
      <c r="BQ71" s="48">
        <f t="shared" si="13"/>
        <v>0</v>
      </c>
      <c r="BR71" s="48">
        <f t="shared" si="14"/>
        <v>0</v>
      </c>
      <c r="BS71" s="48">
        <f t="shared" si="15"/>
        <v>0</v>
      </c>
      <c r="BT71" s="48">
        <f t="shared" si="16"/>
        <v>0</v>
      </c>
      <c r="BU71" s="48">
        <f t="shared" si="17"/>
        <v>0</v>
      </c>
    </row>
    <row r="72" spans="1:73" ht="15.75" thickBot="1" x14ac:dyDescent="0.3">
      <c r="A72" s="47">
        <v>61</v>
      </c>
      <c r="B72" s="48">
        <f t="shared" si="1"/>
        <v>29699.24</v>
      </c>
      <c r="C72" s="48">
        <f t="shared" si="18"/>
        <v>28251.91</v>
      </c>
      <c r="D72" s="8"/>
      <c r="E72" s="128">
        <v>3818</v>
      </c>
      <c r="F72" s="57">
        <v>1.4064000000000001</v>
      </c>
      <c r="G72" s="50" t="str">
        <f t="shared" ca="1" si="20"/>
        <v/>
      </c>
      <c r="H72" s="51">
        <f t="shared" ca="1" si="3"/>
        <v>0</v>
      </c>
      <c r="I72" s="49" t="str">
        <f t="shared" ca="1" si="4"/>
        <v/>
      </c>
      <c r="J72" s="32"/>
      <c r="K72" s="33" t="s">
        <v>280</v>
      </c>
      <c r="L72" s="34">
        <v>0.4879</v>
      </c>
      <c r="O72" s="8"/>
      <c r="P72" s="8"/>
      <c r="Q72" s="8"/>
      <c r="R72" s="17"/>
      <c r="S72" s="17"/>
      <c r="T72" s="8"/>
      <c r="V72" s="8"/>
      <c r="W72" s="8"/>
      <c r="X72" s="8"/>
      <c r="Y72" s="17"/>
      <c r="Z72" s="8"/>
      <c r="AA72" s="8"/>
      <c r="AB72" s="8"/>
      <c r="AC72" s="8"/>
      <c r="AD72" s="8"/>
      <c r="AE72" s="8"/>
      <c r="AF72" s="8"/>
      <c r="AG72" s="8"/>
      <c r="AH72" s="8"/>
      <c r="AI72" s="8"/>
      <c r="AJ72" s="8"/>
      <c r="AK72" s="8"/>
      <c r="AL72" s="8"/>
      <c r="AM72" s="8"/>
      <c r="AN72" s="8"/>
      <c r="AO72" s="8">
        <f t="shared" si="5"/>
        <v>0.89593562889622691</v>
      </c>
      <c r="AP72" s="8">
        <f t="shared" si="0"/>
        <v>0.89592689049349472</v>
      </c>
      <c r="AQ72" s="47">
        <v>61</v>
      </c>
      <c r="AR72" s="193">
        <v>46117.503000000004</v>
      </c>
      <c r="AS72" s="193">
        <v>43870.152600000009</v>
      </c>
      <c r="AT72" s="53">
        <v>24624.615069000003</v>
      </c>
      <c r="AU72" s="53">
        <v>23424.882336000006</v>
      </c>
      <c r="AV72" s="53">
        <v>40925.162538000004</v>
      </c>
      <c r="AW72" s="53">
        <v>38931.168861000006</v>
      </c>
      <c r="AX72" s="53">
        <v>27928.035342000006</v>
      </c>
      <c r="AY72" s="53">
        <v>26567.020719000007</v>
      </c>
      <c r="AZ72" s="53">
        <v>29699.238281894275</v>
      </c>
      <c r="BA72" s="53">
        <v>28251.90777337004</v>
      </c>
      <c r="BB72" s="53">
        <v>23398.971273000003</v>
      </c>
      <c r="BC72" s="53">
        <v>22259.180205000004</v>
      </c>
      <c r="BD72" s="53">
        <v>20963.972043000005</v>
      </c>
      <c r="BE72" s="53">
        <v>19942.598106000005</v>
      </c>
      <c r="BF72" s="53">
        <v>26966.171934344999</v>
      </c>
      <c r="BG72" s="53">
        <v>25652.356507680001</v>
      </c>
      <c r="BH72" s="8"/>
      <c r="BI72" s="47">
        <v>61</v>
      </c>
      <c r="BJ72" s="54">
        <f t="shared" si="6"/>
        <v>0</v>
      </c>
      <c r="BK72" s="54">
        <f t="shared" si="7"/>
        <v>0</v>
      </c>
      <c r="BL72" s="48">
        <f t="shared" si="8"/>
        <v>0</v>
      </c>
      <c r="BM72" s="48">
        <f t="shared" si="9"/>
        <v>0</v>
      </c>
      <c r="BN72" s="48">
        <f t="shared" si="10"/>
        <v>0</v>
      </c>
      <c r="BO72" s="48">
        <f t="shared" si="11"/>
        <v>0</v>
      </c>
      <c r="BP72" s="48">
        <f t="shared" si="12"/>
        <v>0</v>
      </c>
      <c r="BQ72" s="48">
        <f t="shared" si="13"/>
        <v>0</v>
      </c>
      <c r="BR72" s="48">
        <f t="shared" si="14"/>
        <v>0</v>
      </c>
      <c r="BS72" s="48">
        <f t="shared" si="15"/>
        <v>0</v>
      </c>
      <c r="BT72" s="48">
        <f t="shared" si="16"/>
        <v>0</v>
      </c>
      <c r="BU72" s="48">
        <f t="shared" si="17"/>
        <v>0</v>
      </c>
    </row>
    <row r="73" spans="1:73" ht="15.75" thickBot="1" x14ac:dyDescent="0.3">
      <c r="A73" s="47">
        <v>62</v>
      </c>
      <c r="B73" s="48">
        <f t="shared" si="1"/>
        <v>30624.63</v>
      </c>
      <c r="C73" s="48">
        <f t="shared" si="18"/>
        <v>29123.18</v>
      </c>
      <c r="D73" s="8"/>
      <c r="E73" s="129" t="s">
        <v>103</v>
      </c>
      <c r="F73" s="130">
        <v>1.4075</v>
      </c>
      <c r="G73" s="131" t="str">
        <f t="shared" ca="1" si="20"/>
        <v/>
      </c>
      <c r="H73" s="132">
        <f t="shared" ca="1" si="3"/>
        <v>0</v>
      </c>
      <c r="I73" s="49" t="str">
        <f t="shared" ca="1" si="4"/>
        <v/>
      </c>
      <c r="J73" s="32"/>
      <c r="K73" s="33" t="s">
        <v>281</v>
      </c>
      <c r="L73" s="34">
        <v>0.47849999999999998</v>
      </c>
      <c r="O73" s="8"/>
      <c r="P73" s="12" t="s">
        <v>55</v>
      </c>
      <c r="Q73" s="8"/>
      <c r="R73" s="17"/>
      <c r="S73" s="17"/>
      <c r="T73" s="8"/>
      <c r="U73" s="8"/>
      <c r="V73" s="8"/>
      <c r="W73" s="8"/>
      <c r="X73" s="8"/>
      <c r="Y73" s="17"/>
      <c r="Z73" s="8"/>
      <c r="AA73" s="8"/>
      <c r="AB73" s="14" t="s">
        <v>112</v>
      </c>
      <c r="AC73" s="14" t="s">
        <v>57</v>
      </c>
      <c r="AD73" s="14" t="s">
        <v>113</v>
      </c>
      <c r="AE73" s="103" t="s">
        <v>89</v>
      </c>
      <c r="AF73" s="8"/>
      <c r="AG73" s="8"/>
      <c r="AH73" s="8"/>
      <c r="AI73" s="8"/>
      <c r="AJ73" s="8"/>
      <c r="AK73" s="8"/>
      <c r="AL73" s="8"/>
      <c r="AM73" s="8"/>
      <c r="AN73" s="8"/>
      <c r="AO73" s="8">
        <f t="shared" si="5"/>
        <v>0.89595114493213945</v>
      </c>
      <c r="AP73" s="8">
        <f t="shared" si="0"/>
        <v>0.89594209279972503</v>
      </c>
      <c r="AQ73" s="47">
        <v>62</v>
      </c>
      <c r="AR73" s="193">
        <v>47554.131600000008</v>
      </c>
      <c r="AS73" s="193">
        <v>45222.998400000004</v>
      </c>
      <c r="AT73" s="53">
        <v>25391.375541000005</v>
      </c>
      <c r="AU73" s="53">
        <v>24146.498664000006</v>
      </c>
      <c r="AV73" s="53">
        <v>42199.375716000002</v>
      </c>
      <c r="AW73" s="53">
        <v>40130.556606000006</v>
      </c>
      <c r="AX73" s="53">
        <v>28798.242930000004</v>
      </c>
      <c r="AY73" s="53">
        <v>27386.330256000005</v>
      </c>
      <c r="AZ73" s="53">
        <v>30624.634651321583</v>
      </c>
      <c r="BA73" s="53">
        <v>29123.178124757709</v>
      </c>
      <c r="BB73" s="53">
        <v>24127.992522000004</v>
      </c>
      <c r="BC73" s="53">
        <v>22945.275090000003</v>
      </c>
      <c r="BD73" s="53">
        <v>21617.502525000004</v>
      </c>
      <c r="BE73" s="53">
        <v>20557.637784000002</v>
      </c>
      <c r="BF73" s="53">
        <v>27805.843728705</v>
      </c>
      <c r="BG73" s="53">
        <v>26442.59139732</v>
      </c>
      <c r="BH73" s="8"/>
      <c r="BI73" s="47">
        <v>62</v>
      </c>
      <c r="BJ73" s="54">
        <f t="shared" si="6"/>
        <v>0</v>
      </c>
      <c r="BK73" s="54">
        <f t="shared" si="7"/>
        <v>0</v>
      </c>
      <c r="BL73" s="48">
        <f t="shared" si="8"/>
        <v>0</v>
      </c>
      <c r="BM73" s="48">
        <f t="shared" si="9"/>
        <v>0</v>
      </c>
      <c r="BN73" s="48">
        <f t="shared" si="10"/>
        <v>0</v>
      </c>
      <c r="BO73" s="48">
        <f t="shared" si="11"/>
        <v>0</v>
      </c>
      <c r="BP73" s="48">
        <f t="shared" si="12"/>
        <v>0</v>
      </c>
      <c r="BQ73" s="48">
        <f t="shared" si="13"/>
        <v>0</v>
      </c>
      <c r="BR73" s="48">
        <f t="shared" si="14"/>
        <v>0</v>
      </c>
      <c r="BS73" s="48">
        <f t="shared" si="15"/>
        <v>0</v>
      </c>
      <c r="BT73" s="48">
        <f t="shared" si="16"/>
        <v>0</v>
      </c>
      <c r="BU73" s="48">
        <f t="shared" si="17"/>
        <v>0</v>
      </c>
    </row>
    <row r="74" spans="1:73" ht="15.75" thickBot="1" x14ac:dyDescent="0.3">
      <c r="A74" s="47">
        <v>63</v>
      </c>
      <c r="B74" s="48">
        <f t="shared" si="1"/>
        <v>31577.95</v>
      </c>
      <c r="C74" s="48">
        <f t="shared" si="18"/>
        <v>30018.14</v>
      </c>
      <c r="D74" s="8"/>
      <c r="E74" s="8"/>
      <c r="F74" s="8"/>
      <c r="G74" s="8"/>
      <c r="H74" s="8"/>
      <c r="I74" s="8"/>
      <c r="J74" s="32"/>
      <c r="K74" s="33" t="s">
        <v>282</v>
      </c>
      <c r="L74" s="34">
        <v>0.47289999999999999</v>
      </c>
      <c r="O74" s="8"/>
      <c r="P74" s="552" t="s">
        <v>114</v>
      </c>
      <c r="Q74" s="553"/>
      <c r="R74" s="17"/>
      <c r="S74" s="17"/>
      <c r="T74" s="8"/>
      <c r="U74" s="8"/>
      <c r="V74" s="8"/>
      <c r="W74" s="8"/>
      <c r="X74" s="8"/>
      <c r="Y74" s="17"/>
      <c r="Z74" s="8"/>
      <c r="AA74" s="8"/>
      <c r="AB74" s="92" t="str">
        <f>IF(AND('GOLDEN SALUD IND'!G31&gt;19,'GOLDEN SALUD IND'!G31&lt;56,'GOLDEN SALUD IND'!F31="F"),'GOLDEN SALUD IND'!G31,"")</f>
        <v/>
      </c>
      <c r="AC74" s="92" t="str">
        <f>IF(AB74="","",VLOOKUP(AB74,$Y$10:$AH$19,10,TRUE))</f>
        <v/>
      </c>
      <c r="AD74" s="93">
        <v>250000</v>
      </c>
      <c r="AE74" s="94" t="str">
        <f t="shared" ref="AE74:AE79" si="27">IF($B$125="NO","",IF($AB$74=""," ",IF(HLOOKUP(AD74,$AB$9:$AG$19,$AC$74,FALSE)&lt;3000,AD74," ")))</f>
        <v/>
      </c>
      <c r="AF74" s="8"/>
      <c r="AG74" s="8"/>
      <c r="AH74" s="8"/>
      <c r="AI74" s="8"/>
      <c r="AJ74" s="8"/>
      <c r="AK74" s="8"/>
      <c r="AL74" s="8"/>
      <c r="AM74" s="8"/>
      <c r="AN74" s="8"/>
      <c r="AO74" s="8">
        <f t="shared" si="5"/>
        <v>0.89593924089750021</v>
      </c>
      <c r="AP74" s="8">
        <f t="shared" ref="AP74:AP111" si="28">BE74/BC74</f>
        <v>0.89594405142650824</v>
      </c>
      <c r="AQ74" s="47">
        <v>63</v>
      </c>
      <c r="AR74" s="193">
        <v>49035.115800000014</v>
      </c>
      <c r="AS74" s="193">
        <v>46612.80720000001</v>
      </c>
      <c r="AT74" s="53">
        <v>26182.568556000006</v>
      </c>
      <c r="AU74" s="53">
        <v>24888.838914000004</v>
      </c>
      <c r="AV74" s="53">
        <v>43513.49661300001</v>
      </c>
      <c r="AW74" s="53">
        <v>41364.147447000003</v>
      </c>
      <c r="AX74" s="53">
        <v>29694.706569000002</v>
      </c>
      <c r="AY74" s="53">
        <v>28227.916161000005</v>
      </c>
      <c r="AZ74" s="53">
        <v>31577.952237026431</v>
      </c>
      <c r="BA74" s="53">
        <v>30018.137616938326</v>
      </c>
      <c r="BB74" s="53">
        <v>24879.216213000003</v>
      </c>
      <c r="BC74" s="53">
        <v>23649.876117000007</v>
      </c>
      <c r="BD74" s="53">
        <v>22290.266088000004</v>
      </c>
      <c r="BE74" s="53">
        <v>21188.965824000003</v>
      </c>
      <c r="BF74" s="53">
        <v>28672.271358779999</v>
      </c>
      <c r="BG74" s="53">
        <v>27255.520848569999</v>
      </c>
      <c r="BH74" s="8"/>
      <c r="BI74" s="47">
        <v>63</v>
      </c>
      <c r="BJ74" s="54">
        <f t="shared" si="6"/>
        <v>0</v>
      </c>
      <c r="BK74" s="54">
        <f t="shared" si="7"/>
        <v>0</v>
      </c>
      <c r="BL74" s="48">
        <f t="shared" si="8"/>
        <v>0</v>
      </c>
      <c r="BM74" s="48">
        <f t="shared" si="9"/>
        <v>0</v>
      </c>
      <c r="BN74" s="48">
        <f t="shared" si="10"/>
        <v>0</v>
      </c>
      <c r="BO74" s="48">
        <f t="shared" si="11"/>
        <v>0</v>
      </c>
      <c r="BP74" s="48">
        <f t="shared" si="12"/>
        <v>0</v>
      </c>
      <c r="BQ74" s="48">
        <f t="shared" si="13"/>
        <v>0</v>
      </c>
      <c r="BR74" s="48">
        <f t="shared" si="14"/>
        <v>0</v>
      </c>
      <c r="BS74" s="48">
        <f t="shared" si="15"/>
        <v>0</v>
      </c>
      <c r="BT74" s="48">
        <f t="shared" si="16"/>
        <v>0</v>
      </c>
      <c r="BU74" s="48">
        <f t="shared" si="17"/>
        <v>0</v>
      </c>
    </row>
    <row r="75" spans="1:73" ht="15.75" thickBot="1" x14ac:dyDescent="0.3">
      <c r="A75" s="47">
        <v>64</v>
      </c>
      <c r="B75" s="48">
        <f t="shared" si="1"/>
        <v>32561.73</v>
      </c>
      <c r="C75" s="48">
        <f t="shared" si="18"/>
        <v>30943.53</v>
      </c>
      <c r="D75" s="8"/>
      <c r="E75" s="8"/>
      <c r="F75" s="8"/>
      <c r="G75" s="8"/>
      <c r="H75" s="8"/>
      <c r="I75" s="8"/>
      <c r="J75" s="32"/>
      <c r="K75" s="33" t="s">
        <v>283</v>
      </c>
      <c r="L75" s="34">
        <v>0.45600000000000002</v>
      </c>
      <c r="O75" s="8"/>
      <c r="P75" s="16" t="s">
        <v>115</v>
      </c>
      <c r="Q75" s="16" t="s">
        <v>81</v>
      </c>
      <c r="R75" s="17"/>
      <c r="S75" s="17"/>
      <c r="T75" s="8"/>
      <c r="U75" s="8"/>
      <c r="V75" s="8"/>
      <c r="W75" s="8"/>
      <c r="X75" s="8"/>
      <c r="Y75" s="17"/>
      <c r="Z75" s="8"/>
      <c r="AA75" s="8"/>
      <c r="AB75" s="8"/>
      <c r="AC75" s="8"/>
      <c r="AD75" s="96">
        <v>300000</v>
      </c>
      <c r="AE75" s="97" t="str">
        <f t="shared" si="27"/>
        <v/>
      </c>
      <c r="AF75" s="8"/>
      <c r="AG75" s="8"/>
      <c r="AH75" s="8"/>
      <c r="AI75" s="8"/>
      <c r="AJ75" s="8"/>
      <c r="AK75" s="8"/>
      <c r="AL75" s="8"/>
      <c r="AM75" s="8"/>
      <c r="AN75" s="8"/>
      <c r="AO75" s="8">
        <f t="shared" si="5"/>
        <v>0.89593813306079406</v>
      </c>
      <c r="AP75" s="8">
        <f t="shared" si="28"/>
        <v>0.89595915590762587</v>
      </c>
      <c r="AQ75" s="47">
        <v>64</v>
      </c>
      <c r="AR75" s="193">
        <v>50561.687700000009</v>
      </c>
      <c r="AS75" s="193">
        <v>48048.203700000013</v>
      </c>
      <c r="AT75" s="53">
        <v>26997.442533000001</v>
      </c>
      <c r="AU75" s="53">
        <v>25655.599386000005</v>
      </c>
      <c r="AV75" s="53">
        <v>44868.942144000008</v>
      </c>
      <c r="AW75" s="53">
        <v>42639.075243000007</v>
      </c>
      <c r="AX75" s="53">
        <v>30619.816533000005</v>
      </c>
      <c r="AY75" s="53">
        <v>29098.123749000002</v>
      </c>
      <c r="AZ75" s="53">
        <v>32561.732904779732</v>
      </c>
      <c r="BA75" s="53">
        <v>30943.533986365637</v>
      </c>
      <c r="BB75" s="53">
        <v>25654.120866000005</v>
      </c>
      <c r="BC75" s="53">
        <v>24378.897366000001</v>
      </c>
      <c r="BD75" s="53">
        <v>22984.505154000006</v>
      </c>
      <c r="BE75" s="53">
        <v>21842.496306000005</v>
      </c>
      <c r="BF75" s="53">
        <v>29564.631775664999</v>
      </c>
      <c r="BG75" s="53">
        <v>28095.192642929997</v>
      </c>
      <c r="BH75" s="8"/>
      <c r="BI75" s="47">
        <v>64</v>
      </c>
      <c r="BJ75" s="54">
        <f t="shared" si="6"/>
        <v>0</v>
      </c>
      <c r="BK75" s="54">
        <f t="shared" si="7"/>
        <v>0</v>
      </c>
      <c r="BL75" s="48">
        <f t="shared" si="8"/>
        <v>0</v>
      </c>
      <c r="BM75" s="48">
        <f t="shared" si="9"/>
        <v>0</v>
      </c>
      <c r="BN75" s="48">
        <f t="shared" si="10"/>
        <v>0</v>
      </c>
      <c r="BO75" s="48">
        <f t="shared" si="11"/>
        <v>0</v>
      </c>
      <c r="BP75" s="48">
        <f t="shared" si="12"/>
        <v>0</v>
      </c>
      <c r="BQ75" s="48">
        <f t="shared" si="13"/>
        <v>0</v>
      </c>
      <c r="BR75" s="48">
        <f t="shared" si="14"/>
        <v>0</v>
      </c>
      <c r="BS75" s="48">
        <f t="shared" si="15"/>
        <v>0</v>
      </c>
      <c r="BT75" s="48">
        <f t="shared" si="16"/>
        <v>0</v>
      </c>
      <c r="BU75" s="48">
        <f t="shared" si="17"/>
        <v>0</v>
      </c>
    </row>
    <row r="76" spans="1:73" x14ac:dyDescent="0.25">
      <c r="A76" s="47">
        <v>65</v>
      </c>
      <c r="B76" s="48">
        <f t="shared" ref="B76:B111" si="29">ROUND(IF($B$5=2,IF($B$7=1,AR76,IF($B$7=2,AT76,IF($B$7=3,AV76,IF($B$7=4,AX76,IF($B$7=5,AZ76,IF($B$7=6,BB76,IF($B$7=7,BD76,BF76))))))),IF($B$7=1,BJ76,IF($B$7=2,BL76,IF($B$7=3,BN76,IF($B$7=4,BP76,IF($B$7=5,BR76,BT76))))))*$B$8*$B$6,2)</f>
        <v>35132.379999999997</v>
      </c>
      <c r="C76" s="48">
        <f t="shared" si="18"/>
        <v>33718.910000000003</v>
      </c>
      <c r="D76" s="8"/>
      <c r="E76" s="8"/>
      <c r="F76" s="8"/>
      <c r="G76" s="8"/>
      <c r="H76" s="8"/>
      <c r="I76" s="8"/>
      <c r="J76" s="32"/>
      <c r="K76" s="33" t="s">
        <v>284</v>
      </c>
      <c r="L76" s="34">
        <v>0.43859999999999999</v>
      </c>
      <c r="O76" s="8"/>
      <c r="P76" s="138" t="s">
        <v>8</v>
      </c>
      <c r="Q76" s="75">
        <v>0</v>
      </c>
      <c r="R76" s="17"/>
      <c r="S76" s="17"/>
      <c r="T76" s="8"/>
      <c r="U76" s="8"/>
      <c r="V76" s="8"/>
      <c r="W76" s="8"/>
      <c r="X76" s="8"/>
      <c r="Y76" s="17"/>
      <c r="Z76" s="8"/>
      <c r="AA76" s="8"/>
      <c r="AB76" s="8"/>
      <c r="AC76" s="8"/>
      <c r="AD76" s="96">
        <v>350000</v>
      </c>
      <c r="AE76" s="97" t="str">
        <f t="shared" si="27"/>
        <v/>
      </c>
      <c r="AF76" s="8"/>
      <c r="AG76" s="8"/>
      <c r="AH76" s="8"/>
      <c r="AI76" s="8"/>
      <c r="AJ76" s="8"/>
      <c r="AK76" s="8"/>
      <c r="AL76" s="8"/>
      <c r="AM76" s="8"/>
      <c r="AN76" s="8"/>
      <c r="AO76" s="8">
        <f t="shared" ref="AO76:AO111" si="30">BD76/BB76</f>
        <v>0.89593280031051947</v>
      </c>
      <c r="AP76" s="8">
        <f t="shared" si="28"/>
        <v>0.89594337693104342</v>
      </c>
      <c r="AQ76" s="47">
        <v>65</v>
      </c>
      <c r="AR76" s="193">
        <v>54553.691700000003</v>
      </c>
      <c r="AS76" s="193">
        <v>52359.32160000001</v>
      </c>
      <c r="AT76" s="53">
        <v>29129.739435000003</v>
      </c>
      <c r="AU76" s="53">
        <v>27957.383964000004</v>
      </c>
      <c r="AV76" s="53">
        <v>48412.227645000006</v>
      </c>
      <c r="AW76" s="53">
        <v>46463.846310000008</v>
      </c>
      <c r="AX76" s="53">
        <v>33037.159770000006</v>
      </c>
      <c r="AY76" s="53">
        <v>31707.982611000003</v>
      </c>
      <c r="AZ76" s="53">
        <v>35132.38465044053</v>
      </c>
      <c r="BA76" s="53">
        <v>33718.910745792957</v>
      </c>
      <c r="BB76" s="53">
        <v>27679.841118000008</v>
      </c>
      <c r="BC76" s="53">
        <v>26565.961113000005</v>
      </c>
      <c r="BD76" s="53">
        <v>24799.277565000008</v>
      </c>
      <c r="BE76" s="53">
        <v>23801.596911000004</v>
      </c>
      <c r="BF76" s="53">
        <v>31899.688982174994</v>
      </c>
      <c r="BG76" s="53">
        <v>30615.854123820001</v>
      </c>
      <c r="BH76" s="8"/>
      <c r="BI76" s="47">
        <v>65</v>
      </c>
      <c r="BJ76" s="54">
        <f t="shared" ref="BJ76:BJ111" si="31">VLOOKUP(BI76,$BW$11:$CE$28,2,TRUE)</f>
        <v>0</v>
      </c>
      <c r="BK76" s="54">
        <f t="shared" ref="BK76:BK111" si="32">VLOOKUP(BI76,$BW$11:$CE$28,3,TRUE)</f>
        <v>0</v>
      </c>
      <c r="BL76" s="48">
        <f t="shared" ref="BL76:BL111" si="33">VLOOKUP(BI76,$BW$11:$CE$28,4,TRUE)</f>
        <v>0</v>
      </c>
      <c r="BM76" s="48">
        <f t="shared" ref="BM76:BM111" si="34">VLOOKUP(BI76,$BW$11:$CE$28,5,TRUE)</f>
        <v>0</v>
      </c>
      <c r="BN76" s="48">
        <f t="shared" ref="BN76:BN111" si="35">VLOOKUP(BI76,$BW$11:$CE$28,6,TRUE)</f>
        <v>0</v>
      </c>
      <c r="BO76" s="48">
        <f t="shared" ref="BO76:BO111" si="36">VLOOKUP(BI76,$BW$11:$CE$28,7,TRUE)</f>
        <v>0</v>
      </c>
      <c r="BP76" s="48">
        <f t="shared" ref="BP76:BP111" si="37">VLOOKUP(BI76,$BW$11:$CE$28,8,TRUE)</f>
        <v>0</v>
      </c>
      <c r="BQ76" s="48">
        <f t="shared" ref="BQ76:BQ111" si="38">VLOOKUP(BI76,$BW$11:$CE$28,9,TRUE)</f>
        <v>0</v>
      </c>
      <c r="BR76" s="48">
        <f t="shared" ref="BR76:BR111" si="39">VLOOKUP(BI76,$BW$11:$CG$28,10,TRUE)</f>
        <v>0</v>
      </c>
      <c r="BS76" s="48">
        <f t="shared" ref="BS76:BS111" si="40">VLOOKUP(BI76,$BW$11:$CG$28,11,TRUE)</f>
        <v>0</v>
      </c>
      <c r="BT76" s="48">
        <f t="shared" ref="BT76:BT111" si="41">VLOOKUP(BI76,$BW$11:$CI$28,12,TRUE)</f>
        <v>0</v>
      </c>
      <c r="BU76" s="48">
        <f t="shared" ref="BU76:BU111" si="42">VLOOKUP(BI76,$BW$11:$CI$28,13,TRUE)</f>
        <v>0</v>
      </c>
    </row>
    <row r="77" spans="1:73" x14ac:dyDescent="0.25">
      <c r="A77" s="47">
        <v>66</v>
      </c>
      <c r="B77" s="48">
        <f t="shared" si="29"/>
        <v>37908.6</v>
      </c>
      <c r="C77" s="48">
        <f t="shared" ref="C77:C111" si="43">ROUND(IF($B$5=2,IF($B$7=1,AS77,IF($B$7=2,AU77,IF($B$7=3,AW77,IF($B$7=4,AY77,IF($B$7=5,BA77,IF($B$7=6,BC77,IF($B$7=7,BE77,BG77))))))),IF($B$7=1,BK77,IF($B$7=2,BM77,IF($B$7=3,BO77,IF($B$7=4,BQ77,IF($B$7=5,BS77,BU77))))))*$B$8*$B$6,2)</f>
        <v>36742.120000000003</v>
      </c>
      <c r="D77" s="8"/>
      <c r="E77" s="8"/>
      <c r="F77" s="8"/>
      <c r="G77" s="8"/>
      <c r="H77" s="8"/>
      <c r="I77" s="8"/>
      <c r="J77" s="32"/>
      <c r="K77" s="33" t="s">
        <v>285</v>
      </c>
      <c r="L77" s="34">
        <v>0.4229</v>
      </c>
      <c r="O77" s="8"/>
      <c r="P77" s="98" t="s">
        <v>116</v>
      </c>
      <c r="Q77" s="139">
        <v>50</v>
      </c>
      <c r="R77" s="17"/>
      <c r="S77" s="8"/>
      <c r="T77" s="8"/>
      <c r="U77" s="8"/>
      <c r="V77" s="8"/>
      <c r="W77" s="8"/>
      <c r="X77" s="8"/>
      <c r="Y77" s="17"/>
      <c r="Z77" s="8"/>
      <c r="AA77" s="8"/>
      <c r="AB77" s="8"/>
      <c r="AC77" s="8"/>
      <c r="AD77" s="96">
        <v>400000</v>
      </c>
      <c r="AE77" s="97" t="str">
        <f t="shared" si="27"/>
        <v/>
      </c>
      <c r="AF77" s="8"/>
      <c r="AG77" s="8"/>
      <c r="AH77" s="8"/>
      <c r="AI77" s="8"/>
      <c r="AJ77" s="8"/>
      <c r="AK77" s="8"/>
      <c r="AL77" s="8"/>
      <c r="AM77" s="8"/>
      <c r="AN77" s="8"/>
      <c r="AO77" s="8">
        <f t="shared" si="30"/>
        <v>0.89594328394537137</v>
      </c>
      <c r="AP77" s="8">
        <f t="shared" si="28"/>
        <v>0.89593982952663964</v>
      </c>
      <c r="AQ77" s="47">
        <v>66</v>
      </c>
      <c r="AR77" s="193">
        <v>58864.809600000015</v>
      </c>
      <c r="AS77" s="193">
        <v>57053.62260000001</v>
      </c>
      <c r="AT77" s="53">
        <v>31430.784753000007</v>
      </c>
      <c r="AU77" s="53">
        <v>30464.177661000005</v>
      </c>
      <c r="AV77" s="53">
        <v>52236.284094000002</v>
      </c>
      <c r="AW77" s="53">
        <v>50629.26838500001</v>
      </c>
      <c r="AX77" s="53">
        <v>35647.807176000009</v>
      </c>
      <c r="AY77" s="53">
        <v>34550.893188000002</v>
      </c>
      <c r="AZ77" s="53">
        <v>37908.599963524233</v>
      </c>
      <c r="BA77" s="53">
        <v>36742.119417885457</v>
      </c>
      <c r="BB77" s="53">
        <v>29866.165605000002</v>
      </c>
      <c r="BC77" s="53">
        <v>28947.672018000008</v>
      </c>
      <c r="BD77" s="53">
        <v>26758.390491000002</v>
      </c>
      <c r="BE77" s="53">
        <v>25935.372333000003</v>
      </c>
      <c r="BF77" s="53">
        <v>34419.540906764996</v>
      </c>
      <c r="BG77" s="53">
        <v>33361.019059304999</v>
      </c>
      <c r="BH77" s="8"/>
      <c r="BI77" s="47">
        <v>66</v>
      </c>
      <c r="BJ77" s="54">
        <f t="shared" si="31"/>
        <v>0</v>
      </c>
      <c r="BK77" s="54">
        <f t="shared" si="32"/>
        <v>0</v>
      </c>
      <c r="BL77" s="48">
        <f t="shared" si="33"/>
        <v>0</v>
      </c>
      <c r="BM77" s="48">
        <f t="shared" si="34"/>
        <v>0</v>
      </c>
      <c r="BN77" s="48">
        <f t="shared" si="35"/>
        <v>0</v>
      </c>
      <c r="BO77" s="48">
        <f t="shared" si="36"/>
        <v>0</v>
      </c>
      <c r="BP77" s="48">
        <f t="shared" si="37"/>
        <v>0</v>
      </c>
      <c r="BQ77" s="48">
        <f t="shared" si="38"/>
        <v>0</v>
      </c>
      <c r="BR77" s="48">
        <f t="shared" si="39"/>
        <v>0</v>
      </c>
      <c r="BS77" s="48">
        <f t="shared" si="40"/>
        <v>0</v>
      </c>
      <c r="BT77" s="48">
        <f t="shared" si="41"/>
        <v>0</v>
      </c>
      <c r="BU77" s="48">
        <f t="shared" si="42"/>
        <v>0</v>
      </c>
    </row>
    <row r="78" spans="1:73" x14ac:dyDescent="0.25">
      <c r="A78" s="47">
        <v>67</v>
      </c>
      <c r="B78" s="48">
        <f t="shared" si="29"/>
        <v>40902.21</v>
      </c>
      <c r="C78" s="48">
        <f t="shared" si="43"/>
        <v>40036.019999999997</v>
      </c>
      <c r="D78" s="8"/>
      <c r="E78" s="8"/>
      <c r="F78" s="8"/>
      <c r="G78" s="8"/>
      <c r="H78" s="8"/>
      <c r="I78" s="8"/>
      <c r="J78" s="32"/>
      <c r="K78" s="33" t="s">
        <v>286</v>
      </c>
      <c r="L78" s="34">
        <v>0.40679999999999999</v>
      </c>
      <c r="O78" s="8"/>
      <c r="P78" s="98" t="s">
        <v>117</v>
      </c>
      <c r="Q78" s="139">
        <v>100</v>
      </c>
      <c r="R78" s="17"/>
      <c r="S78" s="8"/>
      <c r="T78" s="8"/>
      <c r="U78" s="8"/>
      <c r="V78" s="8"/>
      <c r="W78" s="8"/>
      <c r="X78" s="8"/>
      <c r="Y78" s="17"/>
      <c r="Z78" s="8"/>
      <c r="AA78" s="8"/>
      <c r="AB78" s="8"/>
      <c r="AC78" s="8"/>
      <c r="AD78" s="96">
        <v>450000</v>
      </c>
      <c r="AE78" s="97" t="str">
        <f t="shared" si="27"/>
        <v/>
      </c>
      <c r="AF78" s="8"/>
      <c r="AG78" s="8"/>
      <c r="AH78" s="8"/>
      <c r="AI78" s="8"/>
      <c r="AJ78" s="8"/>
      <c r="AK78" s="8"/>
      <c r="AL78" s="8"/>
      <c r="AM78" s="8"/>
      <c r="AN78" s="8"/>
      <c r="AO78" s="8">
        <f t="shared" si="30"/>
        <v>0.89595778619953448</v>
      </c>
      <c r="AP78" s="8">
        <f t="shared" si="28"/>
        <v>0.89593859357538697</v>
      </c>
      <c r="AQ78" s="47">
        <v>67</v>
      </c>
      <c r="AR78" s="193">
        <v>63512.29080000001</v>
      </c>
      <c r="AS78" s="193">
        <v>62169.301800000008</v>
      </c>
      <c r="AT78" s="53">
        <v>33913.145907000006</v>
      </c>
      <c r="AU78" s="53">
        <v>33195.238200000007</v>
      </c>
      <c r="AV78" s="53">
        <v>56361.798450000009</v>
      </c>
      <c r="AW78" s="53">
        <v>55168.829946000013</v>
      </c>
      <c r="AX78" s="53">
        <v>38462.884614000002</v>
      </c>
      <c r="AY78" s="53">
        <v>37648.355625000004</v>
      </c>
      <c r="AZ78" s="53">
        <v>40902.210312026429</v>
      </c>
      <c r="BA78" s="53">
        <v>40036.023692180614</v>
      </c>
      <c r="BB78" s="53">
        <v>32224.934808000005</v>
      </c>
      <c r="BC78" s="53">
        <v>31543.275483000005</v>
      </c>
      <c r="BD78" s="53">
        <v>28872.181251000005</v>
      </c>
      <c r="BE78" s="53">
        <v>28260.837873000008</v>
      </c>
      <c r="BF78" s="53">
        <v>37137.950006535</v>
      </c>
      <c r="BG78" s="53">
        <v>36351.776390999999</v>
      </c>
      <c r="BH78" s="8"/>
      <c r="BI78" s="47">
        <v>67</v>
      </c>
      <c r="BJ78" s="54">
        <f t="shared" si="31"/>
        <v>0</v>
      </c>
      <c r="BK78" s="54">
        <f t="shared" si="32"/>
        <v>0</v>
      </c>
      <c r="BL78" s="48">
        <f t="shared" si="33"/>
        <v>0</v>
      </c>
      <c r="BM78" s="48">
        <f t="shared" si="34"/>
        <v>0</v>
      </c>
      <c r="BN78" s="48">
        <f t="shared" si="35"/>
        <v>0</v>
      </c>
      <c r="BO78" s="48">
        <f t="shared" si="36"/>
        <v>0</v>
      </c>
      <c r="BP78" s="48">
        <f t="shared" si="37"/>
        <v>0</v>
      </c>
      <c r="BQ78" s="48">
        <f t="shared" si="38"/>
        <v>0</v>
      </c>
      <c r="BR78" s="48">
        <f t="shared" si="39"/>
        <v>0</v>
      </c>
      <c r="BS78" s="48">
        <f t="shared" si="40"/>
        <v>0</v>
      </c>
      <c r="BT78" s="48">
        <f t="shared" si="41"/>
        <v>0</v>
      </c>
      <c r="BU78" s="48">
        <f t="shared" si="42"/>
        <v>0</v>
      </c>
    </row>
    <row r="79" spans="1:73" ht="15.75" thickBot="1" x14ac:dyDescent="0.3">
      <c r="A79" s="47">
        <v>68</v>
      </c>
      <c r="B79" s="48">
        <f t="shared" si="29"/>
        <v>44130.98</v>
      </c>
      <c r="C79" s="48">
        <f t="shared" si="43"/>
        <v>43625.98</v>
      </c>
      <c r="D79" s="8"/>
      <c r="E79" s="8"/>
      <c r="F79" s="8"/>
      <c r="G79" s="8"/>
      <c r="H79" s="8"/>
      <c r="I79" s="8"/>
      <c r="J79" s="32"/>
      <c r="K79" s="33" t="s">
        <v>287</v>
      </c>
      <c r="L79" s="34">
        <v>0.39229999999999998</v>
      </c>
      <c r="O79" s="8"/>
      <c r="P79" s="98" t="s">
        <v>118</v>
      </c>
      <c r="Q79" s="139">
        <v>150</v>
      </c>
      <c r="R79" s="17"/>
      <c r="S79" s="8"/>
      <c r="T79" s="8"/>
      <c r="U79" s="8"/>
      <c r="V79" s="8"/>
      <c r="W79" s="8"/>
      <c r="X79" s="8"/>
      <c r="Y79" s="17"/>
      <c r="Z79" s="8"/>
      <c r="AA79" s="8"/>
      <c r="AB79" s="8"/>
      <c r="AC79" s="8"/>
      <c r="AD79" s="100">
        <v>500000</v>
      </c>
      <c r="AE79" s="101" t="str">
        <f t="shared" si="27"/>
        <v/>
      </c>
      <c r="AF79" s="8"/>
      <c r="AG79" s="8"/>
      <c r="AH79" s="8"/>
      <c r="AI79" s="8"/>
      <c r="AJ79" s="8"/>
      <c r="AK79" s="8"/>
      <c r="AL79" s="8"/>
      <c r="AM79" s="8"/>
      <c r="AN79" s="8"/>
      <c r="AO79" s="8">
        <f t="shared" si="30"/>
        <v>0.89595133608885713</v>
      </c>
      <c r="AP79" s="8">
        <f t="shared" si="28"/>
        <v>0.89595185921106257</v>
      </c>
      <c r="AQ79" s="47">
        <v>68</v>
      </c>
      <c r="AR79" s="193">
        <v>68526.937800000014</v>
      </c>
      <c r="AS79" s="193">
        <v>67743.32220000001</v>
      </c>
      <c r="AT79" s="53">
        <v>36590.918121000002</v>
      </c>
      <c r="AU79" s="53">
        <v>36172.004121000005</v>
      </c>
      <c r="AV79" s="53">
        <v>60811.564563000014</v>
      </c>
      <c r="AW79" s="53">
        <v>60115.304853000016</v>
      </c>
      <c r="AX79" s="53">
        <v>41499.099360000007</v>
      </c>
      <c r="AY79" s="53">
        <v>41024.211057000008</v>
      </c>
      <c r="AZ79" s="53">
        <v>44130.982551541849</v>
      </c>
      <c r="BA79" s="53">
        <v>43625.976714383258</v>
      </c>
      <c r="BB79" s="53">
        <v>34769.467728000003</v>
      </c>
      <c r="BC79" s="53">
        <v>34371.289971000006</v>
      </c>
      <c r="BD79" s="53">
        <v>31151.751066000004</v>
      </c>
      <c r="BE79" s="53">
        <v>30795.021153000005</v>
      </c>
      <c r="BF79" s="53">
        <v>40070.351821604992</v>
      </c>
      <c r="BG79" s="53">
        <v>39611.603251604996</v>
      </c>
      <c r="BH79" s="8"/>
      <c r="BI79" s="47">
        <v>68</v>
      </c>
      <c r="BJ79" s="54">
        <f t="shared" si="31"/>
        <v>0</v>
      </c>
      <c r="BK79" s="54">
        <f t="shared" si="32"/>
        <v>0</v>
      </c>
      <c r="BL79" s="48">
        <f t="shared" si="33"/>
        <v>0</v>
      </c>
      <c r="BM79" s="48">
        <f t="shared" si="34"/>
        <v>0</v>
      </c>
      <c r="BN79" s="48">
        <f t="shared" si="35"/>
        <v>0</v>
      </c>
      <c r="BO79" s="48">
        <f t="shared" si="36"/>
        <v>0</v>
      </c>
      <c r="BP79" s="48">
        <f t="shared" si="37"/>
        <v>0</v>
      </c>
      <c r="BQ79" s="48">
        <f t="shared" si="38"/>
        <v>0</v>
      </c>
      <c r="BR79" s="48">
        <f t="shared" si="39"/>
        <v>0</v>
      </c>
      <c r="BS79" s="48">
        <f t="shared" si="40"/>
        <v>0</v>
      </c>
      <c r="BT79" s="48">
        <f t="shared" si="41"/>
        <v>0</v>
      </c>
      <c r="BU79" s="48">
        <f t="shared" si="42"/>
        <v>0</v>
      </c>
    </row>
    <row r="80" spans="1:73" ht="15.75" thickBot="1" x14ac:dyDescent="0.3">
      <c r="A80" s="47">
        <v>69</v>
      </c>
      <c r="B80" s="48">
        <f t="shared" si="29"/>
        <v>47617.74</v>
      </c>
      <c r="C80" s="48">
        <f t="shared" si="43"/>
        <v>47538.22</v>
      </c>
      <c r="D80" s="8"/>
      <c r="E80" s="8"/>
      <c r="F80" s="8"/>
      <c r="G80" s="8"/>
      <c r="H80" s="8"/>
      <c r="I80" s="8"/>
      <c r="J80" s="32"/>
      <c r="K80" s="33" t="s">
        <v>288</v>
      </c>
      <c r="L80" s="34">
        <v>0.37669999999999998</v>
      </c>
      <c r="O80" s="8"/>
      <c r="P80" s="81" t="s">
        <v>120</v>
      </c>
      <c r="Q80" s="140">
        <v>200</v>
      </c>
      <c r="R80" s="17"/>
      <c r="S80" s="17"/>
      <c r="T80" s="8"/>
      <c r="U80" s="8"/>
      <c r="V80" s="8"/>
      <c r="W80" s="8"/>
      <c r="X80" s="8"/>
      <c r="Y80" s="17"/>
      <c r="Z80" s="8"/>
      <c r="AA80" s="8"/>
      <c r="AB80" s="8"/>
      <c r="AC80" s="8"/>
      <c r="AD80" s="8"/>
      <c r="AE80" s="8"/>
      <c r="AF80" s="8"/>
      <c r="AG80" s="8"/>
      <c r="AH80" s="8"/>
      <c r="AI80" s="8"/>
      <c r="AJ80" s="8"/>
      <c r="AK80" s="8"/>
      <c r="AL80" s="8"/>
      <c r="AM80" s="8"/>
      <c r="AN80" s="8"/>
      <c r="AO80" s="8">
        <f t="shared" si="30"/>
        <v>0.89593410332334067</v>
      </c>
      <c r="AP80" s="8">
        <f t="shared" si="28"/>
        <v>0.89595701270683215</v>
      </c>
      <c r="AQ80" s="47">
        <v>69</v>
      </c>
      <c r="AR80" s="193">
        <v>73940.785200000013</v>
      </c>
      <c r="AS80" s="193">
        <v>73817.575200000021</v>
      </c>
      <c r="AT80" s="53">
        <v>39481.092054000008</v>
      </c>
      <c r="AU80" s="53">
        <v>39415.223988000005</v>
      </c>
      <c r="AV80" s="53">
        <v>65615.510142000014</v>
      </c>
      <c r="AW80" s="53">
        <v>65506.481613000011</v>
      </c>
      <c r="AX80" s="53">
        <v>44777.91459600001</v>
      </c>
      <c r="AY80" s="53">
        <v>44703.138447000012</v>
      </c>
      <c r="AZ80" s="53">
        <v>47617.74106440528</v>
      </c>
      <c r="BA80" s="53">
        <v>47538.222593458151</v>
      </c>
      <c r="BB80" s="53">
        <v>37516.065048000004</v>
      </c>
      <c r="BC80" s="53">
        <v>37453.15402200001</v>
      </c>
      <c r="BD80" s="53">
        <v>33611.922099000003</v>
      </c>
      <c r="BE80" s="53">
        <v>33556.415994000003</v>
      </c>
      <c r="BF80" s="53">
        <v>43235.352654270006</v>
      </c>
      <c r="BG80" s="53">
        <v>43163.221187939991</v>
      </c>
      <c r="BH80" s="8"/>
      <c r="BI80" s="47">
        <v>69</v>
      </c>
      <c r="BJ80" s="54">
        <f t="shared" si="31"/>
        <v>0</v>
      </c>
      <c r="BK80" s="54">
        <f t="shared" si="32"/>
        <v>0</v>
      </c>
      <c r="BL80" s="48">
        <f t="shared" si="33"/>
        <v>0</v>
      </c>
      <c r="BM80" s="48">
        <f t="shared" si="34"/>
        <v>0</v>
      </c>
      <c r="BN80" s="48">
        <f t="shared" si="35"/>
        <v>0</v>
      </c>
      <c r="BO80" s="48">
        <f t="shared" si="36"/>
        <v>0</v>
      </c>
      <c r="BP80" s="48">
        <f t="shared" si="37"/>
        <v>0</v>
      </c>
      <c r="BQ80" s="48">
        <f t="shared" si="38"/>
        <v>0</v>
      </c>
      <c r="BR80" s="48">
        <f t="shared" si="39"/>
        <v>0</v>
      </c>
      <c r="BS80" s="48">
        <f t="shared" si="40"/>
        <v>0</v>
      </c>
      <c r="BT80" s="48">
        <f t="shared" si="41"/>
        <v>0</v>
      </c>
      <c r="BU80" s="48">
        <f t="shared" si="42"/>
        <v>0</v>
      </c>
    </row>
    <row r="81" spans="1:79" ht="15.75" thickBot="1" x14ac:dyDescent="0.3">
      <c r="A81" s="47">
        <v>70</v>
      </c>
      <c r="B81" s="48">
        <f t="shared" si="29"/>
        <v>51681.4</v>
      </c>
      <c r="C81" s="48">
        <f t="shared" si="43"/>
        <v>51520.68</v>
      </c>
      <c r="D81" s="8"/>
      <c r="E81" s="8"/>
      <c r="F81" s="8"/>
      <c r="G81" s="8"/>
      <c r="H81" s="8"/>
      <c r="I81" s="8"/>
      <c r="J81" s="32"/>
      <c r="K81" s="33" t="s">
        <v>289</v>
      </c>
      <c r="L81" s="34">
        <v>0.36259999999999998</v>
      </c>
      <c r="O81" s="8"/>
      <c r="P81" s="8"/>
      <c r="Q81" s="8"/>
      <c r="R81" s="17"/>
      <c r="S81" s="17"/>
      <c r="T81" s="8"/>
      <c r="U81" s="8"/>
      <c r="V81" s="8"/>
      <c r="W81" s="8"/>
      <c r="X81" s="8"/>
      <c r="Y81" s="17"/>
      <c r="Z81" s="8"/>
      <c r="AA81" s="8"/>
      <c r="AB81" s="14" t="s">
        <v>122</v>
      </c>
      <c r="AC81" s="14" t="s">
        <v>57</v>
      </c>
      <c r="AD81" s="14" t="s">
        <v>123</v>
      </c>
      <c r="AE81" s="103" t="s">
        <v>89</v>
      </c>
      <c r="AF81" s="8"/>
      <c r="AG81" s="8"/>
      <c r="AH81" s="8"/>
      <c r="AI81" s="8"/>
      <c r="AJ81" s="8"/>
      <c r="AK81" s="8"/>
      <c r="AL81" s="8"/>
      <c r="AM81" s="8"/>
      <c r="AN81" s="8"/>
      <c r="AO81" s="8">
        <f t="shared" si="30"/>
        <v>0.895955550055057</v>
      </c>
      <c r="AP81" s="8">
        <f t="shared" si="28"/>
        <v>0.89594136128959978</v>
      </c>
      <c r="AQ81" s="47">
        <v>70</v>
      </c>
      <c r="AR81" s="193">
        <v>80251.601400000014</v>
      </c>
      <c r="AS81" s="193">
        <v>80001.485100000005</v>
      </c>
      <c r="AT81" s="53">
        <v>42850.873233000013</v>
      </c>
      <c r="AU81" s="53">
        <v>42717.646260000009</v>
      </c>
      <c r="AV81" s="53">
        <v>71216.205507000021</v>
      </c>
      <c r="AW81" s="53">
        <v>70993.860741000011</v>
      </c>
      <c r="AX81" s="53">
        <v>48599.223462000009</v>
      </c>
      <c r="AY81" s="53">
        <v>48448.094076000008</v>
      </c>
      <c r="AZ81" s="53">
        <v>51681.398288061675</v>
      </c>
      <c r="BA81" s="53">
        <v>51520.684238854628</v>
      </c>
      <c r="BB81" s="53">
        <v>40717.837071000009</v>
      </c>
      <c r="BC81" s="53">
        <v>40591.275759000011</v>
      </c>
      <c r="BD81" s="53">
        <v>36481.372110000004</v>
      </c>
      <c r="BE81" s="53">
        <v>36367.402860000002</v>
      </c>
      <c r="BF81" s="53">
        <v>46925.566629165005</v>
      </c>
      <c r="BG81" s="53">
        <v>46779.671091299992</v>
      </c>
      <c r="BH81" s="8"/>
      <c r="BI81" s="47">
        <v>70</v>
      </c>
      <c r="BJ81" s="54">
        <f t="shared" si="31"/>
        <v>0</v>
      </c>
      <c r="BK81" s="54">
        <f t="shared" si="32"/>
        <v>0</v>
      </c>
      <c r="BL81" s="48">
        <f t="shared" si="33"/>
        <v>0</v>
      </c>
      <c r="BM81" s="48">
        <f t="shared" si="34"/>
        <v>0</v>
      </c>
      <c r="BN81" s="48">
        <f t="shared" si="35"/>
        <v>0</v>
      </c>
      <c r="BO81" s="48">
        <f t="shared" si="36"/>
        <v>0</v>
      </c>
      <c r="BP81" s="48">
        <f t="shared" si="37"/>
        <v>0</v>
      </c>
      <c r="BQ81" s="48">
        <f t="shared" si="38"/>
        <v>0</v>
      </c>
      <c r="BR81" s="48">
        <f t="shared" si="39"/>
        <v>0</v>
      </c>
      <c r="BS81" s="48">
        <f t="shared" si="40"/>
        <v>0</v>
      </c>
      <c r="BT81" s="48">
        <f t="shared" si="41"/>
        <v>0</v>
      </c>
      <c r="BU81" s="48">
        <f t="shared" si="42"/>
        <v>0</v>
      </c>
    </row>
    <row r="82" spans="1:79" ht="15.75" thickBot="1" x14ac:dyDescent="0.3">
      <c r="A82" s="47">
        <v>71</v>
      </c>
      <c r="B82" s="48">
        <f t="shared" si="29"/>
        <v>56092.73</v>
      </c>
      <c r="C82" s="48">
        <f t="shared" si="43"/>
        <v>55835.57</v>
      </c>
      <c r="D82" s="8"/>
      <c r="E82" s="8"/>
      <c r="F82" s="8"/>
      <c r="G82" s="8"/>
      <c r="H82" s="8"/>
      <c r="I82" s="8"/>
      <c r="J82" s="32"/>
      <c r="K82" s="33" t="s">
        <v>290</v>
      </c>
      <c r="L82" s="34">
        <v>0.3488</v>
      </c>
      <c r="O82" s="8"/>
      <c r="P82" s="8"/>
      <c r="Q82" s="8"/>
      <c r="R82" s="17"/>
      <c r="S82" s="17"/>
      <c r="T82" s="8"/>
      <c r="U82" s="8"/>
      <c r="V82" s="8"/>
      <c r="W82" s="8"/>
      <c r="X82" s="8"/>
      <c r="Y82" s="17"/>
      <c r="Z82" s="8"/>
      <c r="AA82" s="8"/>
      <c r="AB82" s="92" t="str">
        <f>IF(AND('GOLDEN SALUD IND'!G32&gt;19,'GOLDEN SALUD IND'!G32&lt;56,'GOLDEN SALUD IND'!F32="F"),'GOLDEN SALUD IND'!G32,"")</f>
        <v/>
      </c>
      <c r="AC82" s="92" t="str">
        <f>IF(AB82="","",VLOOKUP(AB82,$Y$10:$AH$19,10,TRUE))</f>
        <v/>
      </c>
      <c r="AD82" s="93">
        <v>250000</v>
      </c>
      <c r="AE82" s="94" t="str">
        <f t="shared" ref="AE82:AE87" si="44">IF($B$125="NO","",IF($AB$82=""," ",IF(HLOOKUP(AD82,$AB$9:$AG$19,$AC$82,FALSE)&lt;3000,AD82," ")))</f>
        <v/>
      </c>
      <c r="AF82" s="8"/>
      <c r="AG82" s="8"/>
      <c r="AH82" s="8"/>
      <c r="AI82" s="8"/>
      <c r="AJ82" s="8"/>
      <c r="AK82" s="8"/>
      <c r="AL82" s="8"/>
      <c r="AM82" s="8"/>
      <c r="AN82" s="8"/>
      <c r="AO82" s="8">
        <f t="shared" si="30"/>
        <v>0.89594880173077129</v>
      </c>
      <c r="AP82" s="8">
        <f t="shared" si="28"/>
        <v>0.89594023719037263</v>
      </c>
      <c r="AQ82" s="47">
        <v>71</v>
      </c>
      <c r="AR82" s="193">
        <v>87100.845300000015</v>
      </c>
      <c r="AS82" s="193">
        <v>86701.644900000014</v>
      </c>
      <c r="AT82" s="53">
        <v>46508.55921900001</v>
      </c>
      <c r="AU82" s="53">
        <v>46294.66665900001</v>
      </c>
      <c r="AV82" s="53">
        <v>77294.364264000003</v>
      </c>
      <c r="AW82" s="53">
        <v>76939.470180000004</v>
      </c>
      <c r="AX82" s="53">
        <v>52747.470063000008</v>
      </c>
      <c r="AY82" s="53">
        <v>52505.645796000012</v>
      </c>
      <c r="AZ82" s="53">
        <v>56092.727719096918</v>
      </c>
      <c r="BA82" s="53">
        <v>55835.566897004413</v>
      </c>
      <c r="BB82" s="53">
        <v>44193.455640000007</v>
      </c>
      <c r="BC82" s="53">
        <v>43990.664301000012</v>
      </c>
      <c r="BD82" s="53">
        <v>39595.073625000005</v>
      </c>
      <c r="BE82" s="53">
        <v>39413.006208000006</v>
      </c>
      <c r="BF82" s="53">
        <v>50931.062305094994</v>
      </c>
      <c r="BG82" s="53">
        <v>50696.830682295003</v>
      </c>
      <c r="BH82" s="8"/>
      <c r="BI82" s="47">
        <v>71</v>
      </c>
      <c r="BJ82" s="54">
        <f t="shared" si="31"/>
        <v>0</v>
      </c>
      <c r="BK82" s="54">
        <f t="shared" si="32"/>
        <v>0</v>
      </c>
      <c r="BL82" s="48">
        <f t="shared" si="33"/>
        <v>0</v>
      </c>
      <c r="BM82" s="48">
        <f t="shared" si="34"/>
        <v>0</v>
      </c>
      <c r="BN82" s="48">
        <f t="shared" si="35"/>
        <v>0</v>
      </c>
      <c r="BO82" s="48">
        <f t="shared" si="36"/>
        <v>0</v>
      </c>
      <c r="BP82" s="48">
        <f t="shared" si="37"/>
        <v>0</v>
      </c>
      <c r="BQ82" s="48">
        <f t="shared" si="38"/>
        <v>0</v>
      </c>
      <c r="BR82" s="48">
        <f t="shared" si="39"/>
        <v>0</v>
      </c>
      <c r="BS82" s="48">
        <f t="shared" si="40"/>
        <v>0</v>
      </c>
      <c r="BT82" s="48">
        <f t="shared" si="41"/>
        <v>0</v>
      </c>
      <c r="BU82" s="48">
        <f t="shared" si="42"/>
        <v>0</v>
      </c>
    </row>
    <row r="83" spans="1:79" ht="15.75" thickBot="1" x14ac:dyDescent="0.3">
      <c r="A83" s="47">
        <v>72</v>
      </c>
      <c r="B83" s="48">
        <f t="shared" si="29"/>
        <v>60879.62</v>
      </c>
      <c r="C83" s="48">
        <f t="shared" si="43"/>
        <v>60511.66</v>
      </c>
      <c r="D83" s="8"/>
      <c r="E83" s="8"/>
      <c r="F83" s="8"/>
      <c r="G83" s="8"/>
      <c r="H83" s="8"/>
      <c r="I83" s="8"/>
      <c r="J83" s="32"/>
      <c r="K83" s="33" t="s">
        <v>291</v>
      </c>
      <c r="L83" s="34">
        <v>0.33639999999999998</v>
      </c>
      <c r="O83" s="8"/>
      <c r="P83" s="14" t="s">
        <v>124</v>
      </c>
      <c r="Q83" s="14" t="s">
        <v>125</v>
      </c>
      <c r="R83" s="14" t="s">
        <v>126</v>
      </c>
      <c r="S83" s="17"/>
      <c r="T83" s="8"/>
      <c r="U83" s="8"/>
      <c r="V83" s="8"/>
      <c r="W83" s="8"/>
      <c r="X83" s="8"/>
      <c r="Y83" s="17"/>
      <c r="Z83" s="8"/>
      <c r="AA83" s="8"/>
      <c r="AB83" s="8"/>
      <c r="AC83" s="8"/>
      <c r="AD83" s="96">
        <v>300000</v>
      </c>
      <c r="AE83" s="97" t="str">
        <f t="shared" si="44"/>
        <v/>
      </c>
      <c r="AF83" s="8"/>
      <c r="AG83" s="8"/>
      <c r="AH83" s="8"/>
      <c r="AI83" s="8"/>
      <c r="AJ83" s="8"/>
      <c r="AK83" s="8"/>
      <c r="AL83" s="8"/>
      <c r="AM83" s="8"/>
      <c r="AN83" s="8"/>
      <c r="AO83" s="8">
        <f t="shared" si="30"/>
        <v>0.89595098353513669</v>
      </c>
      <c r="AP83" s="8">
        <f t="shared" si="28"/>
        <v>0.89594043948313562</v>
      </c>
      <c r="AQ83" s="47">
        <v>72</v>
      </c>
      <c r="AR83" s="193">
        <v>94534.104600000006</v>
      </c>
      <c r="AS83" s="193">
        <v>93963.642300000021</v>
      </c>
      <c r="AT83" s="53">
        <v>50477.091714000002</v>
      </c>
      <c r="AU83" s="53">
        <v>50172.159285000009</v>
      </c>
      <c r="AV83" s="53">
        <v>83890.621071000016</v>
      </c>
      <c r="AW83" s="53">
        <v>83383.932267000026</v>
      </c>
      <c r="AX83" s="53">
        <v>57248.885808000014</v>
      </c>
      <c r="AY83" s="53">
        <v>56902.862844000003</v>
      </c>
      <c r="AZ83" s="53">
        <v>60879.624368986784</v>
      </c>
      <c r="BA83" s="53">
        <v>60511.65654264317</v>
      </c>
      <c r="BB83" s="53">
        <v>47964.371616000011</v>
      </c>
      <c r="BC83" s="53">
        <v>47674.988289000001</v>
      </c>
      <c r="BD83" s="53">
        <v>42973.725924000006</v>
      </c>
      <c r="BE83" s="53">
        <v>42713.949960000005</v>
      </c>
      <c r="BF83" s="53">
        <v>55276.962912569994</v>
      </c>
      <c r="BG83" s="53">
        <v>54943.034431424996</v>
      </c>
      <c r="BH83" s="8"/>
      <c r="BI83" s="47">
        <v>72</v>
      </c>
      <c r="BJ83" s="54">
        <f t="shared" si="31"/>
        <v>0</v>
      </c>
      <c r="BK83" s="54">
        <f t="shared" si="32"/>
        <v>0</v>
      </c>
      <c r="BL83" s="48">
        <f t="shared" si="33"/>
        <v>0</v>
      </c>
      <c r="BM83" s="48">
        <f t="shared" si="34"/>
        <v>0</v>
      </c>
      <c r="BN83" s="48">
        <f t="shared" si="35"/>
        <v>0</v>
      </c>
      <c r="BO83" s="48">
        <f t="shared" si="36"/>
        <v>0</v>
      </c>
      <c r="BP83" s="48">
        <f t="shared" si="37"/>
        <v>0</v>
      </c>
      <c r="BQ83" s="48">
        <f t="shared" si="38"/>
        <v>0</v>
      </c>
      <c r="BR83" s="48">
        <f t="shared" si="39"/>
        <v>0</v>
      </c>
      <c r="BS83" s="48">
        <f t="shared" si="40"/>
        <v>0</v>
      </c>
      <c r="BT83" s="48">
        <f t="shared" si="41"/>
        <v>0</v>
      </c>
      <c r="BU83" s="48">
        <f t="shared" si="42"/>
        <v>0</v>
      </c>
    </row>
    <row r="84" spans="1:79" x14ac:dyDescent="0.25">
      <c r="A84" s="47">
        <v>73</v>
      </c>
      <c r="B84" s="48">
        <f t="shared" si="29"/>
        <v>66075.929999999993</v>
      </c>
      <c r="C84" s="48">
        <f t="shared" si="43"/>
        <v>65581.929999999993</v>
      </c>
      <c r="D84" s="8"/>
      <c r="E84" s="8"/>
      <c r="F84" s="8"/>
      <c r="G84" s="8"/>
      <c r="H84" s="8"/>
      <c r="I84" s="8"/>
      <c r="J84" s="32"/>
      <c r="K84" s="33" t="s">
        <v>292</v>
      </c>
      <c r="L84" s="34">
        <v>0.3236</v>
      </c>
      <c r="O84" s="8"/>
      <c r="P84" s="88" t="s">
        <v>7</v>
      </c>
      <c r="Q84" s="88" t="s">
        <v>4</v>
      </c>
      <c r="R84" s="88" t="str">
        <f>+IF(C6=0,"","SI")</f>
        <v/>
      </c>
      <c r="S84" s="17"/>
      <c r="T84" s="8"/>
      <c r="U84" s="8"/>
      <c r="V84" s="8"/>
      <c r="W84" s="8"/>
      <c r="X84" s="8"/>
      <c r="Y84" s="8"/>
      <c r="Z84" s="8"/>
      <c r="AA84" s="8"/>
      <c r="AB84" s="8"/>
      <c r="AC84" s="8"/>
      <c r="AD84" s="96">
        <v>350000</v>
      </c>
      <c r="AE84" s="97" t="str">
        <f t="shared" si="44"/>
        <v/>
      </c>
      <c r="AF84" s="8"/>
      <c r="AG84" s="8"/>
      <c r="AH84" s="8"/>
      <c r="AI84" s="8"/>
      <c r="AJ84" s="8"/>
      <c r="AK84" s="8"/>
      <c r="AL84" s="8"/>
      <c r="AM84" s="8"/>
      <c r="AN84" s="8"/>
      <c r="AO84" s="8">
        <f t="shared" si="30"/>
        <v>0.89594514253039614</v>
      </c>
      <c r="AP84" s="8">
        <f t="shared" si="28"/>
        <v>0.89594900046666281</v>
      </c>
      <c r="AQ84" s="47">
        <v>73</v>
      </c>
      <c r="AR84" s="193">
        <v>102603.12750000003</v>
      </c>
      <c r="AS84" s="193">
        <v>101836.76130000001</v>
      </c>
      <c r="AT84" s="53">
        <v>54785.351142000007</v>
      </c>
      <c r="AU84" s="53">
        <v>54376.05984300001</v>
      </c>
      <c r="AV84" s="53">
        <v>91050.588270000007</v>
      </c>
      <c r="AW84" s="53">
        <v>90370.715490000002</v>
      </c>
      <c r="AX84" s="53">
        <v>62135.295840000013</v>
      </c>
      <c r="AY84" s="53">
        <v>61670.757177000014</v>
      </c>
      <c r="AZ84" s="53">
        <v>66075.931739207052</v>
      </c>
      <c r="BA84" s="53">
        <v>65581.931918788541</v>
      </c>
      <c r="BB84" s="53">
        <v>52058.738484000016</v>
      </c>
      <c r="BC84" s="53">
        <v>51669.431847000007</v>
      </c>
      <c r="BD84" s="53">
        <v>46641.773871000012</v>
      </c>
      <c r="BE84" s="53">
        <v>46293.175818000011</v>
      </c>
      <c r="BF84" s="53">
        <v>59994.895117709988</v>
      </c>
      <c r="BG84" s="53">
        <v>59546.684272215003</v>
      </c>
      <c r="BH84" s="8"/>
      <c r="BI84" s="47">
        <v>73</v>
      </c>
      <c r="BJ84" s="54">
        <f t="shared" si="31"/>
        <v>0</v>
      </c>
      <c r="BK84" s="54">
        <f t="shared" si="32"/>
        <v>0</v>
      </c>
      <c r="BL84" s="48">
        <f t="shared" si="33"/>
        <v>0</v>
      </c>
      <c r="BM84" s="48">
        <f t="shared" si="34"/>
        <v>0</v>
      </c>
      <c r="BN84" s="48">
        <f t="shared" si="35"/>
        <v>0</v>
      </c>
      <c r="BO84" s="48">
        <f t="shared" si="36"/>
        <v>0</v>
      </c>
      <c r="BP84" s="48">
        <f t="shared" si="37"/>
        <v>0</v>
      </c>
      <c r="BQ84" s="48">
        <f t="shared" si="38"/>
        <v>0</v>
      </c>
      <c r="BR84" s="48">
        <f t="shared" si="39"/>
        <v>0</v>
      </c>
      <c r="BS84" s="48">
        <f t="shared" si="40"/>
        <v>0</v>
      </c>
      <c r="BT84" s="48">
        <f t="shared" si="41"/>
        <v>0</v>
      </c>
      <c r="BU84" s="48">
        <f t="shared" si="42"/>
        <v>0</v>
      </c>
    </row>
    <row r="85" spans="1:79" ht="15.75" thickBot="1" x14ac:dyDescent="0.3">
      <c r="A85" s="47">
        <v>74</v>
      </c>
      <c r="B85" s="48">
        <f t="shared" si="29"/>
        <v>71718.87</v>
      </c>
      <c r="C85" s="48">
        <f t="shared" si="43"/>
        <v>71081.91</v>
      </c>
      <c r="D85" s="8"/>
      <c r="E85" s="8"/>
      <c r="F85" s="8"/>
      <c r="G85" s="8"/>
      <c r="H85" s="8"/>
      <c r="I85" s="8"/>
      <c r="J85" s="32"/>
      <c r="K85" s="33" t="s">
        <v>293</v>
      </c>
      <c r="L85" s="34">
        <v>0.312</v>
      </c>
      <c r="O85" s="8"/>
      <c r="P85" s="141"/>
      <c r="Q85" s="141" t="s">
        <v>127</v>
      </c>
      <c r="R85" s="141" t="str">
        <f>+IF(C6=0,"","NO")</f>
        <v/>
      </c>
      <c r="S85" s="17"/>
      <c r="T85" s="8"/>
      <c r="U85" s="8"/>
      <c r="V85" s="8"/>
      <c r="W85" s="8"/>
      <c r="X85" s="8"/>
      <c r="Y85" s="8"/>
      <c r="Z85" s="8"/>
      <c r="AA85" s="8"/>
      <c r="AB85" s="8"/>
      <c r="AC85" s="8"/>
      <c r="AD85" s="96">
        <v>400000</v>
      </c>
      <c r="AE85" s="97" t="str">
        <f t="shared" si="44"/>
        <v/>
      </c>
      <c r="AF85" s="8"/>
      <c r="AG85" s="8"/>
      <c r="AH85" s="8"/>
      <c r="AI85" s="8"/>
      <c r="AJ85" s="8"/>
      <c r="AK85" s="8"/>
      <c r="AL85" s="8"/>
      <c r="AM85" s="8"/>
      <c r="AN85" s="8"/>
      <c r="AO85" s="8">
        <f t="shared" si="30"/>
        <v>0.89594604848972237</v>
      </c>
      <c r="AP85" s="8">
        <f t="shared" si="28"/>
        <v>0.89595203150847347</v>
      </c>
      <c r="AQ85" s="47">
        <v>74</v>
      </c>
      <c r="AR85" s="193">
        <v>111365.82270000002</v>
      </c>
      <c r="AS85" s="193">
        <v>110376.44640000002</v>
      </c>
      <c r="AT85" s="53">
        <v>59464.398744000006</v>
      </c>
      <c r="AU85" s="53">
        <v>58936.690314000007</v>
      </c>
      <c r="AV85" s="53">
        <v>98826.987420000005</v>
      </c>
      <c r="AW85" s="53">
        <v>97949.719899000018</v>
      </c>
      <c r="AX85" s="53">
        <v>67441.704120000009</v>
      </c>
      <c r="AY85" s="53">
        <v>66842.731026000009</v>
      </c>
      <c r="AZ85" s="53">
        <v>71718.873750660801</v>
      </c>
      <c r="BA85" s="53">
        <v>71081.913634229073</v>
      </c>
      <c r="BB85" s="53">
        <v>56504.648124000014</v>
      </c>
      <c r="BC85" s="53">
        <v>56002.850757000007</v>
      </c>
      <c r="BD85" s="53">
        <v>50625.116208000014</v>
      </c>
      <c r="BE85" s="53">
        <v>50175.867906000007</v>
      </c>
      <c r="BF85" s="53">
        <v>65118.873777719993</v>
      </c>
      <c r="BG85" s="53">
        <v>64540.985505569995</v>
      </c>
      <c r="BH85" s="8"/>
      <c r="BI85" s="47">
        <v>74</v>
      </c>
      <c r="BJ85" s="54">
        <f t="shared" si="31"/>
        <v>0</v>
      </c>
      <c r="BK85" s="54">
        <f t="shared" si="32"/>
        <v>0</v>
      </c>
      <c r="BL85" s="48">
        <f t="shared" si="33"/>
        <v>0</v>
      </c>
      <c r="BM85" s="48">
        <f t="shared" si="34"/>
        <v>0</v>
      </c>
      <c r="BN85" s="48">
        <f t="shared" si="35"/>
        <v>0</v>
      </c>
      <c r="BO85" s="48">
        <f t="shared" si="36"/>
        <v>0</v>
      </c>
      <c r="BP85" s="48">
        <f t="shared" si="37"/>
        <v>0</v>
      </c>
      <c r="BQ85" s="48">
        <f t="shared" si="38"/>
        <v>0</v>
      </c>
      <c r="BR85" s="48">
        <f t="shared" si="39"/>
        <v>0</v>
      </c>
      <c r="BS85" s="48">
        <f t="shared" si="40"/>
        <v>0</v>
      </c>
      <c r="BT85" s="48">
        <f t="shared" si="41"/>
        <v>0</v>
      </c>
      <c r="BU85" s="48">
        <f t="shared" si="42"/>
        <v>0</v>
      </c>
    </row>
    <row r="86" spans="1:79" x14ac:dyDescent="0.25">
      <c r="A86" s="47">
        <v>75</v>
      </c>
      <c r="B86" s="48">
        <f t="shared" si="29"/>
        <v>76471.929999999993</v>
      </c>
      <c r="C86" s="48">
        <f t="shared" si="43"/>
        <v>74962.02</v>
      </c>
      <c r="D86" s="8"/>
      <c r="E86" s="8"/>
      <c r="F86" s="8"/>
      <c r="G86" s="8"/>
      <c r="H86" s="8"/>
      <c r="I86" s="8"/>
      <c r="J86" s="32"/>
      <c r="K86" s="33" t="s">
        <v>294</v>
      </c>
      <c r="L86" s="34">
        <v>0.2999</v>
      </c>
      <c r="O86" s="8"/>
      <c r="P86" s="8"/>
      <c r="Q86" s="8"/>
      <c r="R86" s="17"/>
      <c r="S86" s="17"/>
      <c r="T86" s="8"/>
      <c r="U86" s="8"/>
      <c r="V86" s="8"/>
      <c r="W86" s="8"/>
      <c r="X86" s="8"/>
      <c r="Y86" s="8"/>
      <c r="Z86" s="8"/>
      <c r="AA86" s="8"/>
      <c r="AB86" s="8"/>
      <c r="AC86" s="8"/>
      <c r="AD86" s="96">
        <v>450000</v>
      </c>
      <c r="AE86" s="97" t="str">
        <f t="shared" si="44"/>
        <v/>
      </c>
      <c r="AF86" s="8"/>
      <c r="AG86" s="8"/>
      <c r="AH86" s="8"/>
      <c r="AI86" s="8"/>
      <c r="AJ86" s="8"/>
      <c r="AK86" s="8"/>
      <c r="AL86" s="8"/>
      <c r="AM86" s="8"/>
      <c r="AN86" s="8"/>
      <c r="AO86" s="8">
        <f t="shared" si="30"/>
        <v>0.89594003923927978</v>
      </c>
      <c r="AP86" s="8">
        <f t="shared" si="28"/>
        <v>0.89594851760939931</v>
      </c>
      <c r="AQ86" s="47">
        <v>75</v>
      </c>
      <c r="AR86" s="193">
        <v>118746.10170000003</v>
      </c>
      <c r="AS86" s="193">
        <v>116401.41540000003</v>
      </c>
      <c r="AT86" s="53">
        <v>63405.55397700001</v>
      </c>
      <c r="AU86" s="53">
        <v>62153.259858000012</v>
      </c>
      <c r="AV86" s="53">
        <v>105376.91726700003</v>
      </c>
      <c r="AW86" s="53">
        <v>103295.28431700003</v>
      </c>
      <c r="AX86" s="53">
        <v>71911.294722000021</v>
      </c>
      <c r="AY86" s="53">
        <v>70491.435003000006</v>
      </c>
      <c r="AZ86" s="53">
        <v>76471.926899074897</v>
      </c>
      <c r="BA86" s="53">
        <v>74962.019323942732</v>
      </c>
      <c r="BB86" s="53">
        <v>60249.665358000013</v>
      </c>
      <c r="BC86" s="53">
        <v>59059.555326000009</v>
      </c>
      <c r="BD86" s="53">
        <v>53980.087545000009</v>
      </c>
      <c r="BE86" s="53">
        <v>52914.321045000012</v>
      </c>
      <c r="BF86" s="53">
        <v>69434.793816884994</v>
      </c>
      <c r="BG86" s="53">
        <v>68063.41893729</v>
      </c>
      <c r="BH86" s="8"/>
      <c r="BI86" s="47">
        <v>75</v>
      </c>
      <c r="BJ86" s="54">
        <f t="shared" si="31"/>
        <v>0</v>
      </c>
      <c r="BK86" s="54">
        <f t="shared" si="32"/>
        <v>0</v>
      </c>
      <c r="BL86" s="48">
        <f t="shared" si="33"/>
        <v>0</v>
      </c>
      <c r="BM86" s="48">
        <f t="shared" si="34"/>
        <v>0</v>
      </c>
      <c r="BN86" s="48">
        <f t="shared" si="35"/>
        <v>0</v>
      </c>
      <c r="BO86" s="48">
        <f t="shared" si="36"/>
        <v>0</v>
      </c>
      <c r="BP86" s="48">
        <f t="shared" si="37"/>
        <v>0</v>
      </c>
      <c r="BQ86" s="48">
        <f t="shared" si="38"/>
        <v>0</v>
      </c>
      <c r="BR86" s="48">
        <f t="shared" si="39"/>
        <v>0</v>
      </c>
      <c r="BS86" s="48">
        <f t="shared" si="40"/>
        <v>0</v>
      </c>
      <c r="BT86" s="48">
        <f t="shared" si="41"/>
        <v>0</v>
      </c>
      <c r="BU86" s="48">
        <f t="shared" si="42"/>
        <v>0</v>
      </c>
    </row>
    <row r="87" spans="1:79" ht="15.75" thickBot="1" x14ac:dyDescent="0.3">
      <c r="A87" s="47">
        <v>76</v>
      </c>
      <c r="B87" s="48">
        <f t="shared" si="29"/>
        <v>81541.350000000006</v>
      </c>
      <c r="C87" s="48">
        <f t="shared" si="43"/>
        <v>79053.58</v>
      </c>
      <c r="D87" s="8"/>
      <c r="E87" s="8"/>
      <c r="F87" s="8"/>
      <c r="G87" s="8"/>
      <c r="H87" s="8"/>
      <c r="I87" s="8"/>
      <c r="J87" s="32"/>
      <c r="K87" s="33" t="s">
        <v>295</v>
      </c>
      <c r="L87" s="34">
        <v>0.28899999999999998</v>
      </c>
      <c r="O87" s="8"/>
      <c r="P87" s="8"/>
      <c r="Q87" s="8"/>
      <c r="R87" s="17"/>
      <c r="S87" s="17"/>
      <c r="T87" s="8"/>
      <c r="U87" s="8"/>
      <c r="V87" s="8"/>
      <c r="W87" s="8"/>
      <c r="X87" s="8"/>
      <c r="Y87" s="8"/>
      <c r="Z87" s="8"/>
      <c r="AA87" s="8"/>
      <c r="AB87" s="8"/>
      <c r="AC87" s="8"/>
      <c r="AD87" s="100">
        <v>500000</v>
      </c>
      <c r="AE87" s="101" t="str">
        <f t="shared" si="44"/>
        <v/>
      </c>
      <c r="AF87" s="8"/>
      <c r="AG87" s="8"/>
      <c r="AH87" s="8"/>
      <c r="AI87" s="8"/>
      <c r="AJ87" s="8"/>
      <c r="AK87" s="8"/>
      <c r="AL87" s="8"/>
      <c r="AM87" s="8"/>
      <c r="AN87" s="8"/>
      <c r="AO87" s="8">
        <f t="shared" si="30"/>
        <v>0.8959459438725802</v>
      </c>
      <c r="AP87" s="8">
        <f t="shared" si="28"/>
        <v>0.89595017696301738</v>
      </c>
      <c r="AQ87" s="47">
        <v>76</v>
      </c>
      <c r="AR87" s="193">
        <v>126617.98860000003</v>
      </c>
      <c r="AS87" s="193">
        <v>122754.12300000001</v>
      </c>
      <c r="AT87" s="53">
        <v>67608.702954000008</v>
      </c>
      <c r="AU87" s="53">
        <v>65545.243479000012</v>
      </c>
      <c r="AV87" s="53">
        <v>112362.28357500002</v>
      </c>
      <c r="AW87" s="53">
        <v>108933.02892900002</v>
      </c>
      <c r="AX87" s="53">
        <v>76678.388190000012</v>
      </c>
      <c r="AY87" s="53">
        <v>74338.987599000015</v>
      </c>
      <c r="AZ87" s="53">
        <v>81541.350619163</v>
      </c>
      <c r="BA87" s="53">
        <v>79053.584661475776</v>
      </c>
      <c r="BB87" s="53">
        <v>64243.36965600001</v>
      </c>
      <c r="BC87" s="53">
        <v>62282.790531000013</v>
      </c>
      <c r="BD87" s="53">
        <v>57558.586464000007</v>
      </c>
      <c r="BE87" s="53">
        <v>55802.277198000003</v>
      </c>
      <c r="BF87" s="53">
        <v>74037.620608769983</v>
      </c>
      <c r="BG87" s="53">
        <v>71777.946586394988</v>
      </c>
      <c r="BH87" s="8"/>
      <c r="BI87" s="47">
        <v>76</v>
      </c>
      <c r="BJ87" s="54">
        <f t="shared" si="31"/>
        <v>0</v>
      </c>
      <c r="BK87" s="54">
        <f t="shared" si="32"/>
        <v>0</v>
      </c>
      <c r="BL87" s="48">
        <f t="shared" si="33"/>
        <v>0</v>
      </c>
      <c r="BM87" s="48">
        <f t="shared" si="34"/>
        <v>0</v>
      </c>
      <c r="BN87" s="48">
        <f t="shared" si="35"/>
        <v>0</v>
      </c>
      <c r="BO87" s="48">
        <f t="shared" si="36"/>
        <v>0</v>
      </c>
      <c r="BP87" s="48">
        <f t="shared" si="37"/>
        <v>0</v>
      </c>
      <c r="BQ87" s="48">
        <f t="shared" si="38"/>
        <v>0</v>
      </c>
      <c r="BR87" s="48">
        <f t="shared" si="39"/>
        <v>0</v>
      </c>
      <c r="BS87" s="48">
        <f t="shared" si="40"/>
        <v>0</v>
      </c>
      <c r="BT87" s="48">
        <f t="shared" si="41"/>
        <v>0</v>
      </c>
      <c r="BU87" s="48">
        <f t="shared" si="42"/>
        <v>0</v>
      </c>
    </row>
    <row r="88" spans="1:79" ht="15.75" thickBot="1" x14ac:dyDescent="0.3">
      <c r="A88" s="47">
        <v>77</v>
      </c>
      <c r="B88" s="48">
        <f t="shared" si="29"/>
        <v>86952.52</v>
      </c>
      <c r="C88" s="48">
        <f t="shared" si="43"/>
        <v>83363.41</v>
      </c>
      <c r="D88" s="8"/>
      <c r="E88" s="8"/>
      <c r="F88" s="8"/>
      <c r="G88" s="8"/>
      <c r="H88" s="8"/>
      <c r="I88" s="8"/>
      <c r="J88" s="8"/>
      <c r="K88" s="33" t="s">
        <v>296</v>
      </c>
      <c r="L88" s="34">
        <v>0.27689999999999998</v>
      </c>
      <c r="O88" s="8"/>
      <c r="P88" s="8"/>
      <c r="Q88" s="8"/>
      <c r="R88" s="17"/>
      <c r="S88" s="17"/>
      <c r="T88" s="8"/>
      <c r="U88" s="8"/>
      <c r="V88" s="8"/>
      <c r="W88" s="8"/>
      <c r="X88" s="8"/>
      <c r="Y88" s="8"/>
      <c r="Z88" s="8"/>
      <c r="AA88" s="8"/>
      <c r="AB88" s="8"/>
      <c r="AC88" s="8"/>
      <c r="AD88" s="8"/>
      <c r="AE88" s="8"/>
      <c r="AF88" s="8"/>
      <c r="AG88" s="8"/>
      <c r="AH88" s="8"/>
      <c r="AI88" s="8"/>
      <c r="AJ88" s="8"/>
      <c r="AK88" s="8"/>
      <c r="AL88" s="8"/>
      <c r="AM88" s="8"/>
      <c r="AN88" s="8"/>
      <c r="AO88" s="8">
        <f t="shared" si="30"/>
        <v>0.89593893246194023</v>
      </c>
      <c r="AP88" s="8">
        <f t="shared" si="28"/>
        <v>0.89595434820617226</v>
      </c>
      <c r="AQ88" s="47">
        <v>77</v>
      </c>
      <c r="AR88" s="193">
        <v>135019.67850000001</v>
      </c>
      <c r="AS88" s="193">
        <v>129446.89020000002</v>
      </c>
      <c r="AT88" s="53">
        <v>72094.594239000013</v>
      </c>
      <c r="AU88" s="53">
        <v>69119.294517000002</v>
      </c>
      <c r="AV88" s="53">
        <v>119817.99173700003</v>
      </c>
      <c r="AW88" s="53">
        <v>114872.93374500002</v>
      </c>
      <c r="AX88" s="53">
        <v>81766.850301000013</v>
      </c>
      <c r="AY88" s="53">
        <v>78391.783413000012</v>
      </c>
      <c r="AZ88" s="53">
        <v>86952.524261431725</v>
      </c>
      <c r="BA88" s="53">
        <v>83363.409792885461</v>
      </c>
      <c r="BB88" s="53">
        <v>68506.472619000007</v>
      </c>
      <c r="BC88" s="53">
        <v>65678.470452000009</v>
      </c>
      <c r="BD88" s="53">
        <v>61377.615945000005</v>
      </c>
      <c r="BE88" s="53">
        <v>58844.911185000012</v>
      </c>
      <c r="BF88" s="53">
        <v>78950.075700194997</v>
      </c>
      <c r="BG88" s="53">
        <v>75691.854459584982</v>
      </c>
      <c r="BH88" s="8"/>
      <c r="BI88" s="47">
        <v>77</v>
      </c>
      <c r="BJ88" s="54">
        <f t="shared" si="31"/>
        <v>0</v>
      </c>
      <c r="BK88" s="54">
        <f t="shared" si="32"/>
        <v>0</v>
      </c>
      <c r="BL88" s="48">
        <f t="shared" si="33"/>
        <v>0</v>
      </c>
      <c r="BM88" s="48">
        <f t="shared" si="34"/>
        <v>0</v>
      </c>
      <c r="BN88" s="48">
        <f t="shared" si="35"/>
        <v>0</v>
      </c>
      <c r="BO88" s="48">
        <f t="shared" si="36"/>
        <v>0</v>
      </c>
      <c r="BP88" s="48">
        <f t="shared" si="37"/>
        <v>0</v>
      </c>
      <c r="BQ88" s="48">
        <f t="shared" si="38"/>
        <v>0</v>
      </c>
      <c r="BR88" s="48">
        <f t="shared" si="39"/>
        <v>0</v>
      </c>
      <c r="BS88" s="48">
        <f t="shared" si="40"/>
        <v>0</v>
      </c>
      <c r="BT88" s="48">
        <f t="shared" si="41"/>
        <v>0</v>
      </c>
      <c r="BU88" s="48">
        <f t="shared" si="42"/>
        <v>0</v>
      </c>
    </row>
    <row r="89" spans="1:79" ht="15.75" thickBot="1" x14ac:dyDescent="0.3">
      <c r="A89" s="47">
        <v>78</v>
      </c>
      <c r="B89" s="48">
        <f t="shared" si="29"/>
        <v>92714.72</v>
      </c>
      <c r="C89" s="48">
        <f t="shared" si="43"/>
        <v>87915.14</v>
      </c>
      <c r="D89" s="8"/>
      <c r="E89" s="8"/>
      <c r="F89" s="8"/>
      <c r="G89" s="8"/>
      <c r="H89" s="8"/>
      <c r="I89" s="8"/>
      <c r="J89" s="8"/>
      <c r="K89" s="33" t="s">
        <v>297</v>
      </c>
      <c r="L89" s="34">
        <v>0.2661</v>
      </c>
      <c r="O89" s="8"/>
      <c r="P89" s="8"/>
      <c r="Q89" s="8"/>
      <c r="R89" s="8"/>
      <c r="S89" s="8"/>
      <c r="T89" s="8"/>
      <c r="U89" s="8"/>
      <c r="V89" s="8"/>
      <c r="W89" s="8"/>
      <c r="X89" s="8"/>
      <c r="Y89" s="8"/>
      <c r="Z89" s="8"/>
      <c r="AA89" s="8"/>
      <c r="AB89" s="14" t="s">
        <v>129</v>
      </c>
      <c r="AC89" s="14" t="s">
        <v>57</v>
      </c>
      <c r="AD89" s="14" t="s">
        <v>130</v>
      </c>
      <c r="AE89" s="103" t="s">
        <v>89</v>
      </c>
      <c r="AF89" s="8"/>
      <c r="AG89" s="8"/>
      <c r="AH89" s="8"/>
      <c r="AI89" s="8"/>
      <c r="AJ89" s="8"/>
      <c r="AK89" s="8"/>
      <c r="AL89" s="8"/>
      <c r="AM89" s="8"/>
      <c r="AN89" s="8"/>
      <c r="AO89" s="8">
        <f t="shared" si="30"/>
        <v>0.89595215336346179</v>
      </c>
      <c r="AP89" s="8">
        <f t="shared" si="28"/>
        <v>0.89594591397530043</v>
      </c>
      <c r="AQ89" s="47">
        <v>78</v>
      </c>
      <c r="AR89" s="193">
        <v>143968.42080000002</v>
      </c>
      <c r="AS89" s="193">
        <v>136515.44790000003</v>
      </c>
      <c r="AT89" s="53">
        <v>76872.825891</v>
      </c>
      <c r="AU89" s="53">
        <v>72893.179854000016</v>
      </c>
      <c r="AV89" s="53">
        <v>127759.01176800003</v>
      </c>
      <c r="AW89" s="53">
        <v>121144.93879500002</v>
      </c>
      <c r="AX89" s="53">
        <v>87185.404323000024</v>
      </c>
      <c r="AY89" s="53">
        <v>82672.061850000013</v>
      </c>
      <c r="AZ89" s="53">
        <v>92714.724325704839</v>
      </c>
      <c r="BA89" s="53">
        <v>87915.144551762132</v>
      </c>
      <c r="BB89" s="53">
        <v>73046.391489000016</v>
      </c>
      <c r="BC89" s="53">
        <v>69265.101231000008</v>
      </c>
      <c r="BD89" s="53">
        <v>65446.07175000001</v>
      </c>
      <c r="BE89" s="53">
        <v>62057.784429000007</v>
      </c>
      <c r="BF89" s="53">
        <v>84182.669830454994</v>
      </c>
      <c r="BG89" s="53">
        <v>79824.598893269984</v>
      </c>
      <c r="BH89" s="8"/>
      <c r="BI89" s="47">
        <v>78</v>
      </c>
      <c r="BJ89" s="54">
        <f t="shared" si="31"/>
        <v>0</v>
      </c>
      <c r="BK89" s="54">
        <f t="shared" si="32"/>
        <v>0</v>
      </c>
      <c r="BL89" s="48">
        <f t="shared" si="33"/>
        <v>0</v>
      </c>
      <c r="BM89" s="48">
        <f t="shared" si="34"/>
        <v>0</v>
      </c>
      <c r="BN89" s="48">
        <f t="shared" si="35"/>
        <v>0</v>
      </c>
      <c r="BO89" s="48">
        <f t="shared" si="36"/>
        <v>0</v>
      </c>
      <c r="BP89" s="48">
        <f t="shared" si="37"/>
        <v>0</v>
      </c>
      <c r="BQ89" s="48">
        <f t="shared" si="38"/>
        <v>0</v>
      </c>
      <c r="BR89" s="48">
        <f t="shared" si="39"/>
        <v>0</v>
      </c>
      <c r="BS89" s="48">
        <f t="shared" si="40"/>
        <v>0</v>
      </c>
      <c r="BT89" s="48">
        <f t="shared" si="41"/>
        <v>0</v>
      </c>
      <c r="BU89" s="48">
        <f t="shared" si="42"/>
        <v>0</v>
      </c>
    </row>
    <row r="90" spans="1:79" ht="15.75" thickBot="1" x14ac:dyDescent="0.3">
      <c r="A90" s="47">
        <v>79</v>
      </c>
      <c r="B90" s="48">
        <f t="shared" si="29"/>
        <v>98866.89</v>
      </c>
      <c r="C90" s="48">
        <f t="shared" si="43"/>
        <v>92707.11</v>
      </c>
      <c r="D90" s="8"/>
      <c r="E90" s="142"/>
      <c r="F90" s="143"/>
      <c r="G90" s="142"/>
      <c r="H90" s="144"/>
      <c r="I90" s="8"/>
      <c r="J90" s="8"/>
      <c r="K90" s="33" t="s">
        <v>298</v>
      </c>
      <c r="L90" s="34">
        <v>0.25590000000000002</v>
      </c>
      <c r="O90" s="8"/>
      <c r="P90" s="206" t="s">
        <v>55</v>
      </c>
      <c r="Q90" s="8"/>
      <c r="R90" s="17"/>
      <c r="S90" s="17"/>
      <c r="T90" s="8"/>
      <c r="U90" s="8"/>
      <c r="V90" s="8"/>
      <c r="W90" s="8"/>
      <c r="X90" s="8"/>
      <c r="Y90" s="8"/>
      <c r="Z90" s="8"/>
      <c r="AA90" s="8"/>
      <c r="AB90" s="92" t="str">
        <f>IF(AND('GOLDEN SALUD IND'!G33&gt;19,'GOLDEN SALUD IND'!G33&lt;56,'GOLDEN SALUD IND'!F33="F"),'GOLDEN SALUD IND'!G33,"")</f>
        <v/>
      </c>
      <c r="AC90" s="92" t="str">
        <f>IF(AB90="","",VLOOKUP(AB90,$Y$10:$AH$19,10,TRUE))</f>
        <v/>
      </c>
      <c r="AD90" s="93">
        <v>250000</v>
      </c>
      <c r="AE90" s="94" t="str">
        <f t="shared" ref="AE90:AE95" si="45">IF($B$125="NO","",IF($AB$90=""," ",IF(HLOOKUP(AD90,$AB$9:$AG$19,$AC$90,FALSE)&lt;3000,AD90," ")))</f>
        <v/>
      </c>
      <c r="AF90" s="8"/>
      <c r="AG90" s="8"/>
      <c r="AH90" s="8"/>
      <c r="AI90" s="8"/>
      <c r="AJ90" s="8"/>
      <c r="AK90" s="8"/>
      <c r="AL90" s="8"/>
      <c r="AM90" s="8"/>
      <c r="AN90" s="8"/>
      <c r="AO90" s="8">
        <f t="shared" si="30"/>
        <v>0.89594665111886151</v>
      </c>
      <c r="AP90" s="8">
        <f t="shared" si="28"/>
        <v>0.89594371106696757</v>
      </c>
      <c r="AQ90" s="47">
        <v>79</v>
      </c>
      <c r="AR90" s="193">
        <v>153520.89210000003</v>
      </c>
      <c r="AS90" s="193">
        <v>143956.09980000003</v>
      </c>
      <c r="AT90" s="53">
        <v>81973.744533000005</v>
      </c>
      <c r="AU90" s="53">
        <v>76866.160230000009</v>
      </c>
      <c r="AV90" s="53">
        <v>136235.94601500002</v>
      </c>
      <c r="AW90" s="53">
        <v>127747.61484300002</v>
      </c>
      <c r="AX90" s="53">
        <v>92970.668268000023</v>
      </c>
      <c r="AY90" s="53">
        <v>87178.245822000026</v>
      </c>
      <c r="AZ90" s="53">
        <v>98866.891147400878</v>
      </c>
      <c r="BA90" s="53">
        <v>92707.111830792957</v>
      </c>
      <c r="BB90" s="53">
        <v>77893.448247000008</v>
      </c>
      <c r="BC90" s="53">
        <v>73040.465088000012</v>
      </c>
      <c r="BD90" s="53">
        <v>69788.374101000009</v>
      </c>
      <c r="BE90" s="53">
        <v>65440.145349000013</v>
      </c>
      <c r="BF90" s="53">
        <v>89768.63528566499</v>
      </c>
      <c r="BG90" s="53">
        <v>84175.370331149985</v>
      </c>
      <c r="BH90" s="8"/>
      <c r="BI90" s="47">
        <v>79</v>
      </c>
      <c r="BJ90" s="54">
        <f t="shared" si="31"/>
        <v>0</v>
      </c>
      <c r="BK90" s="54">
        <f t="shared" si="32"/>
        <v>0</v>
      </c>
      <c r="BL90" s="48">
        <f t="shared" si="33"/>
        <v>0</v>
      </c>
      <c r="BM90" s="48">
        <f t="shared" si="34"/>
        <v>0</v>
      </c>
      <c r="BN90" s="48">
        <f t="shared" si="35"/>
        <v>0</v>
      </c>
      <c r="BO90" s="48">
        <f t="shared" si="36"/>
        <v>0</v>
      </c>
      <c r="BP90" s="48">
        <f t="shared" si="37"/>
        <v>0</v>
      </c>
      <c r="BQ90" s="48">
        <f t="shared" si="38"/>
        <v>0</v>
      </c>
      <c r="BR90" s="48">
        <f t="shared" si="39"/>
        <v>0</v>
      </c>
      <c r="BS90" s="48">
        <f t="shared" si="40"/>
        <v>0</v>
      </c>
      <c r="BT90" s="48">
        <f t="shared" si="41"/>
        <v>0</v>
      </c>
      <c r="BU90" s="48">
        <f t="shared" si="42"/>
        <v>0</v>
      </c>
    </row>
    <row r="91" spans="1:79" ht="15.75" thickBot="1" x14ac:dyDescent="0.3">
      <c r="A91" s="47">
        <v>80</v>
      </c>
      <c r="B91" s="48">
        <f t="shared" si="29"/>
        <v>102843.43</v>
      </c>
      <c r="C91" s="48">
        <f t="shared" si="43"/>
        <v>96194.72</v>
      </c>
      <c r="D91" s="8"/>
      <c r="E91" s="8"/>
      <c r="F91" s="8"/>
      <c r="G91" s="8"/>
      <c r="H91" s="8"/>
      <c r="I91" s="8"/>
      <c r="J91" s="8"/>
      <c r="K91" s="33" t="s">
        <v>299</v>
      </c>
      <c r="L91" s="34">
        <v>0.2457</v>
      </c>
      <c r="O91" s="8"/>
      <c r="P91" s="557" t="s">
        <v>131</v>
      </c>
      <c r="Q91" s="558"/>
      <c r="R91" s="559"/>
      <c r="S91" s="17"/>
      <c r="T91" s="8"/>
      <c r="U91" s="8"/>
      <c r="V91" s="8"/>
      <c r="W91" s="8"/>
      <c r="X91" s="8"/>
      <c r="Y91" s="8"/>
      <c r="Z91" s="8"/>
      <c r="AA91" s="8"/>
      <c r="AB91" s="8"/>
      <c r="AC91" s="8"/>
      <c r="AD91" s="96">
        <v>300000</v>
      </c>
      <c r="AE91" s="97" t="str">
        <f t="shared" si="45"/>
        <v/>
      </c>
      <c r="AF91" s="8"/>
      <c r="AG91" s="8"/>
      <c r="AH91" s="8"/>
      <c r="AI91" s="8"/>
      <c r="AJ91" s="8"/>
      <c r="AK91" s="8"/>
      <c r="AL91" s="8"/>
      <c r="AM91" s="8"/>
      <c r="AN91" s="8"/>
      <c r="AO91" s="8">
        <f t="shared" si="30"/>
        <v>0.89594167404292058</v>
      </c>
      <c r="AP91" s="8">
        <f t="shared" si="28"/>
        <v>0.89594724123938752</v>
      </c>
      <c r="AQ91" s="47">
        <v>80</v>
      </c>
      <c r="AR91" s="193">
        <v>159694.94520000002</v>
      </c>
      <c r="AS91" s="193">
        <v>149372.41140000004</v>
      </c>
      <c r="AT91" s="53">
        <v>85270.252725000013</v>
      </c>
      <c r="AU91" s="53">
        <v>79757.812683000011</v>
      </c>
      <c r="AV91" s="53">
        <v>141714.77436900002</v>
      </c>
      <c r="AW91" s="53">
        <v>132554.41889400003</v>
      </c>
      <c r="AX91" s="53">
        <v>96710.054805000022</v>
      </c>
      <c r="AY91" s="53">
        <v>90457.861923000033</v>
      </c>
      <c r="AZ91" s="53">
        <v>102843.43050759913</v>
      </c>
      <c r="BA91" s="53">
        <v>96194.721999713656</v>
      </c>
      <c r="BB91" s="53">
        <v>81026.382843000014</v>
      </c>
      <c r="BC91" s="53">
        <v>75788.540928000002</v>
      </c>
      <c r="BD91" s="53">
        <v>72594.913086000015</v>
      </c>
      <c r="BE91" s="53">
        <v>67902.534162000011</v>
      </c>
      <c r="BF91" s="53">
        <v>93378.608738625</v>
      </c>
      <c r="BG91" s="53">
        <v>87341.990276414988</v>
      </c>
      <c r="BH91" s="8"/>
      <c r="BI91" s="47">
        <v>80</v>
      </c>
      <c r="BJ91" s="54">
        <f t="shared" si="31"/>
        <v>0</v>
      </c>
      <c r="BK91" s="54">
        <f t="shared" si="32"/>
        <v>0</v>
      </c>
      <c r="BL91" s="48">
        <f t="shared" si="33"/>
        <v>0</v>
      </c>
      <c r="BM91" s="48">
        <f t="shared" si="34"/>
        <v>0</v>
      </c>
      <c r="BN91" s="48">
        <f t="shared" si="35"/>
        <v>0</v>
      </c>
      <c r="BO91" s="48">
        <f t="shared" si="36"/>
        <v>0</v>
      </c>
      <c r="BP91" s="48">
        <f t="shared" si="37"/>
        <v>0</v>
      </c>
      <c r="BQ91" s="48">
        <f t="shared" si="38"/>
        <v>0</v>
      </c>
      <c r="BR91" s="48">
        <f t="shared" si="39"/>
        <v>0</v>
      </c>
      <c r="BS91" s="48">
        <f t="shared" si="40"/>
        <v>0</v>
      </c>
      <c r="BT91" s="48">
        <f t="shared" si="41"/>
        <v>0</v>
      </c>
      <c r="BU91" s="48">
        <f t="shared" si="42"/>
        <v>0</v>
      </c>
    </row>
    <row r="92" spans="1:79" ht="15.75" thickBot="1" x14ac:dyDescent="0.3">
      <c r="A92" s="47">
        <v>81</v>
      </c>
      <c r="B92" s="48">
        <f t="shared" si="29"/>
        <v>106984.06</v>
      </c>
      <c r="C92" s="48">
        <f t="shared" si="43"/>
        <v>99810.91</v>
      </c>
      <c r="D92" s="8"/>
      <c r="E92" s="8"/>
      <c r="F92" s="8"/>
      <c r="G92" s="8"/>
      <c r="H92" s="8"/>
      <c r="J92" s="8"/>
      <c r="K92" s="33" t="s">
        <v>300</v>
      </c>
      <c r="L92" s="34">
        <v>0.23630000000000001</v>
      </c>
      <c r="O92" s="8"/>
      <c r="P92" s="560" t="s">
        <v>214</v>
      </c>
      <c r="Q92" s="561"/>
      <c r="R92" s="16" t="s">
        <v>81</v>
      </c>
      <c r="S92" s="17"/>
      <c r="T92" s="8"/>
      <c r="U92" s="8"/>
      <c r="V92" s="8"/>
      <c r="W92" s="8"/>
      <c r="X92" s="8"/>
      <c r="Y92" s="8"/>
      <c r="Z92" s="8"/>
      <c r="AA92" s="8"/>
      <c r="AB92" s="8"/>
      <c r="AC92" s="8"/>
      <c r="AD92" s="96">
        <v>350000</v>
      </c>
      <c r="AE92" s="97" t="str">
        <f t="shared" si="45"/>
        <v/>
      </c>
      <c r="AF92" s="8"/>
      <c r="AG92" s="8"/>
      <c r="AH92" s="8"/>
      <c r="AI92" s="8"/>
      <c r="AJ92" s="8"/>
      <c r="AK92" s="8"/>
      <c r="AL92" s="8"/>
      <c r="AM92" s="8"/>
      <c r="AN92" s="8"/>
      <c r="AO92" s="8">
        <f t="shared" si="30"/>
        <v>0.89593882362296429</v>
      </c>
      <c r="AP92" s="8">
        <f t="shared" si="28"/>
        <v>0.89594268718378745</v>
      </c>
      <c r="AQ92" s="47">
        <v>81</v>
      </c>
      <c r="AR92" s="193">
        <v>166125.27510000003</v>
      </c>
      <c r="AS92" s="193">
        <v>154987.09110000002</v>
      </c>
      <c r="AT92" s="53">
        <v>88703.684190000014</v>
      </c>
      <c r="AU92" s="53">
        <v>82756.054107000004</v>
      </c>
      <c r="AV92" s="53">
        <v>147420.93749400004</v>
      </c>
      <c r="AW92" s="53">
        <v>137536.52613300004</v>
      </c>
      <c r="AX92" s="53">
        <v>100603.74954600001</v>
      </c>
      <c r="AY92" s="53">
        <v>93858.383997000026</v>
      </c>
      <c r="AZ92" s="53">
        <v>106984.06433643169</v>
      </c>
      <c r="BA92" s="53">
        <v>99810.906028480196</v>
      </c>
      <c r="BB92" s="53">
        <v>84288.848112000022</v>
      </c>
      <c r="BC92" s="53">
        <v>78637.26701700002</v>
      </c>
      <c r="BD92" s="53">
        <v>75517.65142200001</v>
      </c>
      <c r="BE92" s="53">
        <v>70454.484324000019</v>
      </c>
      <c r="BF92" s="53">
        <v>97138.525510949985</v>
      </c>
      <c r="BG92" s="53">
        <v>90625.334747534987</v>
      </c>
      <c r="BH92" s="8"/>
      <c r="BI92" s="47">
        <v>81</v>
      </c>
      <c r="BJ92" s="54">
        <f t="shared" si="31"/>
        <v>0</v>
      </c>
      <c r="BK92" s="54">
        <f t="shared" si="32"/>
        <v>0</v>
      </c>
      <c r="BL92" s="48">
        <f t="shared" si="33"/>
        <v>0</v>
      </c>
      <c r="BM92" s="48">
        <f t="shared" si="34"/>
        <v>0</v>
      </c>
      <c r="BN92" s="48">
        <f t="shared" si="35"/>
        <v>0</v>
      </c>
      <c r="BO92" s="48">
        <f t="shared" si="36"/>
        <v>0</v>
      </c>
      <c r="BP92" s="48">
        <f t="shared" si="37"/>
        <v>0</v>
      </c>
      <c r="BQ92" s="48">
        <f t="shared" si="38"/>
        <v>0</v>
      </c>
      <c r="BR92" s="48">
        <f t="shared" si="39"/>
        <v>0</v>
      </c>
      <c r="BS92" s="48">
        <f t="shared" si="40"/>
        <v>0</v>
      </c>
      <c r="BT92" s="48">
        <f t="shared" si="41"/>
        <v>0</v>
      </c>
      <c r="BU92" s="48">
        <f t="shared" si="42"/>
        <v>0</v>
      </c>
    </row>
    <row r="93" spans="1:79" ht="15.75" thickBot="1" x14ac:dyDescent="0.3">
      <c r="A93" s="47">
        <v>82</v>
      </c>
      <c r="B93" s="48">
        <f t="shared" si="29"/>
        <v>111302.34</v>
      </c>
      <c r="C93" s="48">
        <f t="shared" si="43"/>
        <v>103564.97</v>
      </c>
      <c r="D93" s="8"/>
      <c r="E93" s="8"/>
      <c r="F93" s="8"/>
      <c r="G93" s="8"/>
      <c r="H93" s="8"/>
      <c r="J93" s="8"/>
      <c r="K93" s="33" t="s">
        <v>301</v>
      </c>
      <c r="L93" s="34">
        <v>0.2278</v>
      </c>
      <c r="O93" s="8"/>
      <c r="P93" s="147">
        <v>0</v>
      </c>
      <c r="Q93" s="148">
        <v>4</v>
      </c>
      <c r="R93" s="358">
        <v>1112.22</v>
      </c>
      <c r="S93" s="17">
        <v>883</v>
      </c>
      <c r="T93" s="365">
        <f>+R93/S93-1</f>
        <v>0.25959229898074754</v>
      </c>
      <c r="U93" s="8"/>
      <c r="V93" s="365">
        <f>1.135*1.11-1</f>
        <v>0.25985000000000014</v>
      </c>
      <c r="W93" s="8"/>
      <c r="X93" s="8"/>
      <c r="Y93" s="8"/>
      <c r="Z93" s="8"/>
      <c r="AA93" s="8"/>
      <c r="AB93" s="8"/>
      <c r="AC93" s="8"/>
      <c r="AD93" s="96">
        <v>400000</v>
      </c>
      <c r="AE93" s="97" t="str">
        <f t="shared" si="45"/>
        <v/>
      </c>
      <c r="AF93" s="8"/>
      <c r="AG93" s="8"/>
      <c r="AH93" s="8"/>
      <c r="AI93" s="8"/>
      <c r="AJ93" s="8"/>
      <c r="AK93" s="8"/>
      <c r="AL93" s="8"/>
      <c r="AM93" s="8"/>
      <c r="AN93" s="8"/>
      <c r="AO93" s="8">
        <f t="shared" si="30"/>
        <v>0.89594956073733967</v>
      </c>
      <c r="AP93" s="8">
        <f t="shared" si="28"/>
        <v>0.89594992281518981</v>
      </c>
      <c r="AQ93" s="47">
        <v>82</v>
      </c>
      <c r="AR93" s="193">
        <v>172831.59540000002</v>
      </c>
      <c r="AS93" s="193">
        <v>160817.38830000002</v>
      </c>
      <c r="AT93" s="53">
        <v>92284.388568000024</v>
      </c>
      <c r="AU93" s="53">
        <v>85869.004041000022</v>
      </c>
      <c r="AV93" s="53">
        <v>153371.536938</v>
      </c>
      <c r="AW93" s="53">
        <v>142710.33581100003</v>
      </c>
      <c r="AX93" s="53">
        <v>104664.49240500003</v>
      </c>
      <c r="AY93" s="53">
        <v>97388.559954000026</v>
      </c>
      <c r="AZ93" s="53">
        <v>111302.34051640969</v>
      </c>
      <c r="BA93" s="53">
        <v>103564.96662171806</v>
      </c>
      <c r="BB93" s="53">
        <v>87690.454434000014</v>
      </c>
      <c r="BC93" s="53">
        <v>81594.799857000005</v>
      </c>
      <c r="BD93" s="53">
        <v>78566.22413100001</v>
      </c>
      <c r="BE93" s="53">
        <v>73104.854634000018</v>
      </c>
      <c r="BF93" s="53">
        <v>101059.71939083999</v>
      </c>
      <c r="BG93" s="53">
        <v>94034.295371205008</v>
      </c>
      <c r="BH93" s="8"/>
      <c r="BI93" s="47">
        <v>82</v>
      </c>
      <c r="BJ93" s="54">
        <f t="shared" si="31"/>
        <v>0</v>
      </c>
      <c r="BK93" s="54">
        <f t="shared" si="32"/>
        <v>0</v>
      </c>
      <c r="BL93" s="48">
        <f t="shared" si="33"/>
        <v>0</v>
      </c>
      <c r="BM93" s="48">
        <f t="shared" si="34"/>
        <v>0</v>
      </c>
      <c r="BN93" s="48">
        <f t="shared" si="35"/>
        <v>0</v>
      </c>
      <c r="BO93" s="48">
        <f t="shared" si="36"/>
        <v>0</v>
      </c>
      <c r="BP93" s="48">
        <f t="shared" si="37"/>
        <v>0</v>
      </c>
      <c r="BQ93" s="48">
        <f t="shared" si="38"/>
        <v>0</v>
      </c>
      <c r="BR93" s="48">
        <f t="shared" si="39"/>
        <v>0</v>
      </c>
      <c r="BS93" s="48">
        <f t="shared" si="40"/>
        <v>0</v>
      </c>
      <c r="BT93" s="48">
        <f t="shared" si="41"/>
        <v>0</v>
      </c>
      <c r="BU93" s="48">
        <f t="shared" si="42"/>
        <v>0</v>
      </c>
    </row>
    <row r="94" spans="1:79" ht="15.75" thickBot="1" x14ac:dyDescent="0.3">
      <c r="A94" s="47">
        <v>83</v>
      </c>
      <c r="B94" s="48">
        <f t="shared" si="29"/>
        <v>115785.56</v>
      </c>
      <c r="C94" s="48">
        <f t="shared" si="43"/>
        <v>107460.3</v>
      </c>
      <c r="D94" s="8"/>
      <c r="E94" s="14" t="s">
        <v>132</v>
      </c>
      <c r="F94" s="14" t="s">
        <v>133</v>
      </c>
      <c r="G94" s="14" t="s">
        <v>69</v>
      </c>
      <c r="H94" s="14" t="s">
        <v>81</v>
      </c>
      <c r="I94" s="14" t="s">
        <v>134</v>
      </c>
      <c r="J94" s="8"/>
      <c r="K94" s="72" t="s">
        <v>302</v>
      </c>
      <c r="L94" s="72">
        <v>0.21870000000000001</v>
      </c>
      <c r="O94" s="8"/>
      <c r="P94" s="147">
        <v>4.0999999999999996</v>
      </c>
      <c r="Q94" s="148">
        <v>5</v>
      </c>
      <c r="R94" s="358">
        <v>1330.89</v>
      </c>
      <c r="S94" s="17">
        <v>1055.22</v>
      </c>
      <c r="T94" s="365">
        <f>+R94/S94-1</f>
        <v>0.26124410075624049</v>
      </c>
      <c r="U94" s="8"/>
      <c r="V94" s="365">
        <f t="shared" ref="V94:V97" si="46">1.135*1.11-1</f>
        <v>0.25985000000000014</v>
      </c>
      <c r="W94" s="8"/>
      <c r="X94" s="8"/>
      <c r="Y94" s="153"/>
      <c r="Z94" s="153"/>
      <c r="AA94" s="153"/>
      <c r="AB94" s="154"/>
      <c r="AC94" s="154"/>
      <c r="AD94" s="96">
        <v>450000</v>
      </c>
      <c r="AE94" s="97" t="str">
        <f t="shared" si="45"/>
        <v/>
      </c>
      <c r="AF94" s="153"/>
      <c r="AG94" s="153"/>
      <c r="AH94" s="153"/>
      <c r="AI94" s="8"/>
      <c r="AJ94" s="8"/>
      <c r="AK94" s="8"/>
      <c r="AL94" s="8"/>
      <c r="AM94" s="8"/>
      <c r="AN94" s="8"/>
      <c r="AO94" s="8">
        <f t="shared" si="30"/>
        <v>0.89594655118108535</v>
      </c>
      <c r="AP94" s="8">
        <f t="shared" si="28"/>
        <v>0.89594554456382114</v>
      </c>
      <c r="AQ94" s="47">
        <v>83</v>
      </c>
      <c r="AR94" s="193">
        <v>179792.96040000004</v>
      </c>
      <c r="AS94" s="193">
        <v>166865.76720000003</v>
      </c>
      <c r="AT94" s="53">
        <v>96001.289280000026</v>
      </c>
      <c r="AU94" s="53">
        <v>89098.904907000004</v>
      </c>
      <c r="AV94" s="53">
        <v>159549.47115300002</v>
      </c>
      <c r="AW94" s="53">
        <v>148077.27716400003</v>
      </c>
      <c r="AX94" s="53">
        <v>108880.34433300002</v>
      </c>
      <c r="AY94" s="53">
        <v>101051.58093300002</v>
      </c>
      <c r="AZ94" s="53">
        <v>115785.56282107929</v>
      </c>
      <c r="BA94" s="53">
        <v>107460.29730125549</v>
      </c>
      <c r="BB94" s="53">
        <v>91223.05762800001</v>
      </c>
      <c r="BC94" s="53">
        <v>84664.084167000023</v>
      </c>
      <c r="BD94" s="53">
        <v>81730.983870000011</v>
      </c>
      <c r="BE94" s="53">
        <v>75854.408994000027</v>
      </c>
      <c r="BF94" s="53">
        <v>105130.0605264</v>
      </c>
      <c r="BG94" s="53">
        <v>97571.327801534993</v>
      </c>
      <c r="BH94" s="8"/>
      <c r="BI94" s="47">
        <v>83</v>
      </c>
      <c r="BJ94" s="54">
        <f t="shared" si="31"/>
        <v>0</v>
      </c>
      <c r="BK94" s="54">
        <f t="shared" si="32"/>
        <v>0</v>
      </c>
      <c r="BL94" s="48">
        <f t="shared" si="33"/>
        <v>0</v>
      </c>
      <c r="BM94" s="48">
        <f t="shared" si="34"/>
        <v>0</v>
      </c>
      <c r="BN94" s="48">
        <f t="shared" si="35"/>
        <v>0</v>
      </c>
      <c r="BO94" s="48">
        <f t="shared" si="36"/>
        <v>0</v>
      </c>
      <c r="BP94" s="48">
        <f t="shared" si="37"/>
        <v>0</v>
      </c>
      <c r="BQ94" s="48">
        <f t="shared" si="38"/>
        <v>0</v>
      </c>
      <c r="BR94" s="48">
        <f t="shared" si="39"/>
        <v>0</v>
      </c>
      <c r="BS94" s="48">
        <f t="shared" si="40"/>
        <v>0</v>
      </c>
      <c r="BT94" s="48">
        <f t="shared" si="41"/>
        <v>0</v>
      </c>
      <c r="BU94" s="48">
        <f t="shared" si="42"/>
        <v>0</v>
      </c>
    </row>
    <row r="95" spans="1:79" ht="15.75" thickBot="1" x14ac:dyDescent="0.3">
      <c r="A95" s="47">
        <v>84</v>
      </c>
      <c r="B95" s="48">
        <f t="shared" si="29"/>
        <v>120447.27</v>
      </c>
      <c r="C95" s="48">
        <f t="shared" si="43"/>
        <v>111501.12</v>
      </c>
      <c r="D95" s="8"/>
      <c r="E95" s="46" t="s">
        <v>135</v>
      </c>
      <c r="F95" s="46" t="s">
        <v>136</v>
      </c>
      <c r="G95" s="145">
        <v>1</v>
      </c>
      <c r="H95" s="145">
        <v>2</v>
      </c>
      <c r="I95" s="145"/>
      <c r="J95" s="8"/>
      <c r="K95" s="8"/>
      <c r="L95" s="120"/>
      <c r="M95" s="119"/>
      <c r="N95" s="119"/>
      <c r="O95" s="8"/>
      <c r="P95" s="147">
        <v>5.0999999999999996</v>
      </c>
      <c r="Q95" s="148">
        <v>6</v>
      </c>
      <c r="R95" s="358">
        <v>1547.3400000000001</v>
      </c>
      <c r="S95" s="17">
        <v>1227.44</v>
      </c>
      <c r="T95" s="365">
        <f>+R95/S95-1</f>
        <v>0.26062373720915089</v>
      </c>
      <c r="U95" s="8"/>
      <c r="V95" s="365">
        <f t="shared" si="46"/>
        <v>0.25985000000000014</v>
      </c>
      <c r="W95" s="8"/>
      <c r="X95" s="8"/>
      <c r="Y95" s="8"/>
      <c r="Z95" s="8"/>
      <c r="AA95" s="8"/>
      <c r="AB95" s="8"/>
      <c r="AC95" s="8"/>
      <c r="AD95" s="100">
        <v>500000</v>
      </c>
      <c r="AE95" s="101" t="str">
        <f t="shared" si="45"/>
        <v/>
      </c>
      <c r="AF95" s="8"/>
      <c r="AG95" s="8"/>
      <c r="AH95" s="8"/>
      <c r="AI95" s="8"/>
      <c r="AJ95" s="8"/>
      <c r="AK95" s="8"/>
      <c r="AL95" s="8"/>
      <c r="AM95" s="8"/>
      <c r="AN95" s="8"/>
      <c r="AO95" s="8">
        <f t="shared" si="30"/>
        <v>0.89594202541029944</v>
      </c>
      <c r="AP95" s="8">
        <f t="shared" si="28"/>
        <v>0.8959499930503827</v>
      </c>
      <c r="AQ95" s="47">
        <v>84</v>
      </c>
      <c r="AR95" s="193">
        <v>187031.54790000003</v>
      </c>
      <c r="AS95" s="193">
        <v>173139.62040000004</v>
      </c>
      <c r="AT95" s="53">
        <v>99866.941425000026</v>
      </c>
      <c r="AU95" s="53">
        <v>92449.440684000016</v>
      </c>
      <c r="AV95" s="53">
        <v>165973.97322000004</v>
      </c>
      <c r="AW95" s="53">
        <v>153645.90096600002</v>
      </c>
      <c r="AX95" s="53">
        <v>113264.03292300002</v>
      </c>
      <c r="AY95" s="53">
        <v>104851.41429600002</v>
      </c>
      <c r="AZ95" s="53">
        <v>120447.26603055067</v>
      </c>
      <c r="BA95" s="53">
        <v>111501.11704017621</v>
      </c>
      <c r="BB95" s="53">
        <v>94896.280395000023</v>
      </c>
      <c r="BC95" s="53">
        <v>87847.362369000009</v>
      </c>
      <c r="BD95" s="53">
        <v>85021.565661000015</v>
      </c>
      <c r="BE95" s="53">
        <v>78706.843704000014</v>
      </c>
      <c r="BF95" s="53">
        <v>109363.297882125</v>
      </c>
      <c r="BG95" s="53">
        <v>101240.46632742</v>
      </c>
      <c r="BH95" s="8"/>
      <c r="BI95" s="47">
        <v>84</v>
      </c>
      <c r="BJ95" s="54">
        <f t="shared" si="31"/>
        <v>0</v>
      </c>
      <c r="BK95" s="54">
        <f t="shared" si="32"/>
        <v>0</v>
      </c>
      <c r="BL95" s="48">
        <f t="shared" si="33"/>
        <v>0</v>
      </c>
      <c r="BM95" s="48">
        <f t="shared" si="34"/>
        <v>0</v>
      </c>
      <c r="BN95" s="48">
        <f t="shared" si="35"/>
        <v>0</v>
      </c>
      <c r="BO95" s="48">
        <f t="shared" si="36"/>
        <v>0</v>
      </c>
      <c r="BP95" s="48">
        <f t="shared" si="37"/>
        <v>0</v>
      </c>
      <c r="BQ95" s="48">
        <f t="shared" si="38"/>
        <v>0</v>
      </c>
      <c r="BR95" s="48">
        <f t="shared" si="39"/>
        <v>0</v>
      </c>
      <c r="BS95" s="48">
        <f t="shared" si="40"/>
        <v>0</v>
      </c>
      <c r="BT95" s="48">
        <f t="shared" si="41"/>
        <v>0</v>
      </c>
      <c r="BU95" s="48">
        <f t="shared" si="42"/>
        <v>0</v>
      </c>
      <c r="CA95" t="s">
        <v>135</v>
      </c>
    </row>
    <row r="96" spans="1:79" ht="15.75" thickBot="1" x14ac:dyDescent="0.3">
      <c r="A96" s="47">
        <v>85</v>
      </c>
      <c r="B96" s="48">
        <f t="shared" si="29"/>
        <v>127539.22</v>
      </c>
      <c r="C96" s="48">
        <f t="shared" si="43"/>
        <v>117741.27</v>
      </c>
      <c r="D96" s="8"/>
      <c r="E96" s="149" t="s">
        <v>222</v>
      </c>
      <c r="F96" s="149" t="s">
        <v>303</v>
      </c>
      <c r="G96" s="150">
        <v>0.49159999999999998</v>
      </c>
      <c r="H96" s="149">
        <v>1</v>
      </c>
      <c r="I96" s="151"/>
      <c r="J96" s="8"/>
      <c r="K96" s="557" t="s">
        <v>104</v>
      </c>
      <c r="L96" s="558"/>
      <c r="M96" s="559"/>
      <c r="N96" s="119"/>
      <c r="O96" s="8"/>
      <c r="P96" s="147">
        <v>6.1</v>
      </c>
      <c r="Q96" s="148">
        <v>7</v>
      </c>
      <c r="R96" s="358">
        <v>1763.7900000000002</v>
      </c>
      <c r="S96" s="17">
        <v>1399.67</v>
      </c>
      <c r="T96" s="365">
        <f>+R96/S96-1</f>
        <v>0.26014703465816957</v>
      </c>
      <c r="U96" s="8"/>
      <c r="V96" s="365">
        <f t="shared" si="46"/>
        <v>0.25985000000000014</v>
      </c>
      <c r="W96" s="8"/>
      <c r="X96" s="8"/>
      <c r="Y96" s="8"/>
      <c r="Z96" s="8"/>
      <c r="AA96" s="8"/>
      <c r="AB96" s="8"/>
      <c r="AC96" s="8"/>
      <c r="AD96" s="8"/>
      <c r="AE96" s="8"/>
      <c r="AF96" s="8"/>
      <c r="AG96" s="8"/>
      <c r="AH96" s="8"/>
      <c r="AI96" s="8"/>
      <c r="AJ96" s="8"/>
      <c r="AK96" s="8"/>
      <c r="AL96" s="8"/>
      <c r="AM96" s="8"/>
      <c r="AN96" s="8"/>
      <c r="AO96" s="8">
        <f t="shared" si="30"/>
        <v>0.89594519167903885</v>
      </c>
      <c r="AP96" s="8">
        <f t="shared" si="28"/>
        <v>0.89594370199021545</v>
      </c>
      <c r="AQ96" s="47">
        <v>85</v>
      </c>
      <c r="AR96" s="193">
        <v>198042.82560000004</v>
      </c>
      <c r="AS96" s="193">
        <v>182830.08690000002</v>
      </c>
      <c r="AT96" s="53">
        <v>105746.47334100002</v>
      </c>
      <c r="AU96" s="53">
        <v>97622.893053000007</v>
      </c>
      <c r="AV96" s="53">
        <v>175745.08066500002</v>
      </c>
      <c r="AW96" s="53">
        <v>162244.70222400001</v>
      </c>
      <c r="AX96" s="53">
        <v>119933.03291400001</v>
      </c>
      <c r="AY96" s="53">
        <v>110719.41375600002</v>
      </c>
      <c r="AZ96" s="53">
        <v>127539.2156578414</v>
      </c>
      <c r="BA96" s="53">
        <v>117741.26648378854</v>
      </c>
      <c r="BB96" s="53">
        <v>100482.73268400002</v>
      </c>
      <c r="BC96" s="53">
        <v>92763.995814000009</v>
      </c>
      <c r="BD96" s="53">
        <v>90027.021195000023</v>
      </c>
      <c r="BE96" s="53">
        <v>83111.317821000019</v>
      </c>
      <c r="BF96" s="53">
        <v>115801.915017705</v>
      </c>
      <c r="BG96" s="53">
        <v>106905.86274826499</v>
      </c>
      <c r="BH96" s="8"/>
      <c r="BI96" s="47">
        <v>85</v>
      </c>
      <c r="BJ96" s="54">
        <f t="shared" si="31"/>
        <v>0</v>
      </c>
      <c r="BK96" s="54">
        <f t="shared" si="32"/>
        <v>0</v>
      </c>
      <c r="BL96" s="48">
        <f t="shared" si="33"/>
        <v>0</v>
      </c>
      <c r="BM96" s="48">
        <f t="shared" si="34"/>
        <v>0</v>
      </c>
      <c r="BN96" s="48">
        <f t="shared" si="35"/>
        <v>0</v>
      </c>
      <c r="BO96" s="48">
        <f t="shared" si="36"/>
        <v>0</v>
      </c>
      <c r="BP96" s="48">
        <f t="shared" si="37"/>
        <v>0</v>
      </c>
      <c r="BQ96" s="48">
        <f t="shared" si="38"/>
        <v>0</v>
      </c>
      <c r="BR96" s="48">
        <f t="shared" si="39"/>
        <v>0</v>
      </c>
      <c r="BS96" s="48">
        <f t="shared" si="40"/>
        <v>0</v>
      </c>
      <c r="BT96" s="48">
        <f t="shared" si="41"/>
        <v>0</v>
      </c>
      <c r="BU96" s="48">
        <f t="shared" si="42"/>
        <v>0</v>
      </c>
      <c r="CA96" t="s">
        <v>222</v>
      </c>
    </row>
    <row r="97" spans="1:79" ht="15.75" thickBot="1" x14ac:dyDescent="0.3">
      <c r="A97" s="47">
        <v>86</v>
      </c>
      <c r="B97" s="48">
        <f t="shared" si="29"/>
        <v>135038.89000000001</v>
      </c>
      <c r="C97" s="48">
        <f t="shared" si="43"/>
        <v>124325.68</v>
      </c>
      <c r="D97" s="8"/>
      <c r="E97" s="149" t="s">
        <v>139</v>
      </c>
      <c r="F97" s="155" t="s">
        <v>303</v>
      </c>
      <c r="G97" s="150">
        <v>0.49159999999999998</v>
      </c>
      <c r="H97" s="149">
        <v>1</v>
      </c>
      <c r="I97" s="151"/>
      <c r="J97" s="8"/>
      <c r="K97" s="16" t="s">
        <v>105</v>
      </c>
      <c r="L97" s="16" t="s">
        <v>106</v>
      </c>
      <c r="M97" s="16" t="s">
        <v>107</v>
      </c>
      <c r="N97" s="119"/>
      <c r="O97" s="8"/>
      <c r="P97" s="147">
        <v>7.1</v>
      </c>
      <c r="Q97" s="148">
        <v>8</v>
      </c>
      <c r="R97" s="358">
        <v>1980.2400000000002</v>
      </c>
      <c r="S97" s="17">
        <v>1571.89</v>
      </c>
      <c r="T97" s="365">
        <f>+R97/S97-1</f>
        <v>0.25978280922965347</v>
      </c>
      <c r="U97" s="8"/>
      <c r="V97" s="365">
        <f t="shared" si="46"/>
        <v>0.25985000000000014</v>
      </c>
      <c r="W97" s="8"/>
      <c r="X97" s="8"/>
      <c r="Y97" s="8"/>
      <c r="Z97" s="8"/>
      <c r="AA97" s="8"/>
      <c r="AB97" s="14" t="s">
        <v>144</v>
      </c>
      <c r="AC97" s="14" t="s">
        <v>57</v>
      </c>
      <c r="AD97" s="14" t="s">
        <v>145</v>
      </c>
      <c r="AE97" s="103" t="s">
        <v>89</v>
      </c>
      <c r="AF97" s="8"/>
      <c r="AG97" s="8"/>
      <c r="AH97" s="8"/>
      <c r="AI97" s="8"/>
      <c r="AJ97" s="8"/>
      <c r="AK97" s="8"/>
      <c r="AL97" s="8"/>
      <c r="AM97" s="8"/>
      <c r="AN97" s="8"/>
      <c r="AO97" s="8">
        <f t="shared" si="30"/>
        <v>0.89594362572237973</v>
      </c>
      <c r="AP97" s="8">
        <f t="shared" si="28"/>
        <v>0.89594619547962739</v>
      </c>
      <c r="AQ97" s="47">
        <v>86</v>
      </c>
      <c r="AR97" s="193">
        <v>209689.86690000002</v>
      </c>
      <c r="AS97" s="193">
        <v>193054.05270000003</v>
      </c>
      <c r="AT97" s="53">
        <v>111964.99293000002</v>
      </c>
      <c r="AU97" s="53">
        <v>103082.03244900002</v>
      </c>
      <c r="AV97" s="53">
        <v>186079.87386000002</v>
      </c>
      <c r="AW97" s="53">
        <v>171317.406105</v>
      </c>
      <c r="AX97" s="53">
        <v>126985.43778300003</v>
      </c>
      <c r="AY97" s="53">
        <v>116911.14749100003</v>
      </c>
      <c r="AZ97" s="53">
        <v>135038.88579574888</v>
      </c>
      <c r="BA97" s="53">
        <v>124325.68151055067</v>
      </c>
      <c r="BB97" s="53">
        <v>106391.85964200001</v>
      </c>
      <c r="BC97" s="53">
        <v>97951.506444000013</v>
      </c>
      <c r="BD97" s="53">
        <v>95321.108475000015</v>
      </c>
      <c r="BE97" s="53">
        <v>87759.279540000018</v>
      </c>
      <c r="BF97" s="53">
        <v>122611.75419465001</v>
      </c>
      <c r="BG97" s="53">
        <v>112884.11220124501</v>
      </c>
      <c r="BH97" s="8"/>
      <c r="BI97" s="47">
        <v>86</v>
      </c>
      <c r="BJ97" s="54">
        <f t="shared" si="31"/>
        <v>0</v>
      </c>
      <c r="BK97" s="54">
        <f t="shared" si="32"/>
        <v>0</v>
      </c>
      <c r="BL97" s="48">
        <f t="shared" si="33"/>
        <v>0</v>
      </c>
      <c r="BM97" s="48">
        <f t="shared" si="34"/>
        <v>0</v>
      </c>
      <c r="BN97" s="48">
        <f t="shared" si="35"/>
        <v>0</v>
      </c>
      <c r="BO97" s="48">
        <f t="shared" si="36"/>
        <v>0</v>
      </c>
      <c r="BP97" s="48">
        <f t="shared" si="37"/>
        <v>0</v>
      </c>
      <c r="BQ97" s="48">
        <f t="shared" si="38"/>
        <v>0</v>
      </c>
      <c r="BR97" s="48">
        <f t="shared" si="39"/>
        <v>0</v>
      </c>
      <c r="BS97" s="48">
        <f t="shared" si="40"/>
        <v>0</v>
      </c>
      <c r="BT97" s="48">
        <f t="shared" si="41"/>
        <v>0</v>
      </c>
      <c r="BU97" s="48">
        <f t="shared" si="42"/>
        <v>0</v>
      </c>
      <c r="CA97" t="s">
        <v>139</v>
      </c>
    </row>
    <row r="98" spans="1:79" x14ac:dyDescent="0.25">
      <c r="A98" s="47">
        <v>87</v>
      </c>
      <c r="B98" s="48">
        <f t="shared" si="29"/>
        <v>142987.72</v>
      </c>
      <c r="C98" s="48">
        <f t="shared" si="43"/>
        <v>131274.67000000001</v>
      </c>
      <c r="D98" s="8"/>
      <c r="E98" s="156" t="s">
        <v>140</v>
      </c>
      <c r="F98" s="157" t="s">
        <v>141</v>
      </c>
      <c r="G98" s="156">
        <v>0.4274</v>
      </c>
      <c r="H98" s="156">
        <v>1</v>
      </c>
      <c r="I98" s="158">
        <v>0.1</v>
      </c>
      <c r="J98" s="8"/>
      <c r="K98" s="124">
        <v>19</v>
      </c>
      <c r="L98" s="124">
        <v>53</v>
      </c>
      <c r="M98" s="125">
        <v>1</v>
      </c>
      <c r="N98" s="119"/>
      <c r="O98" s="8"/>
      <c r="P98" s="147">
        <v>8.1</v>
      </c>
      <c r="Q98" s="148">
        <v>10</v>
      </c>
      <c r="R98" s="358">
        <v>2089.02</v>
      </c>
      <c r="S98" s="17"/>
      <c r="T98" s="8"/>
      <c r="U98" s="8"/>
      <c r="V98" s="8"/>
      <c r="W98" s="8"/>
      <c r="X98" s="8"/>
      <c r="Y98" s="8"/>
      <c r="Z98" s="8"/>
      <c r="AA98" s="8"/>
      <c r="AB98" s="92" t="str">
        <f>IF(AND('GOLDEN SALUD IND'!G34&gt;19,'GOLDEN SALUD IND'!G34&lt;56,'GOLDEN SALUD IND'!F34="F"),'GOLDEN SALUD IND'!G34,"")</f>
        <v/>
      </c>
      <c r="AC98" s="92" t="str">
        <f>IF(AB98="","",VLOOKUP(AB98,$Y$10:$AH$19,10,TRUE))</f>
        <v/>
      </c>
      <c r="AD98" s="93">
        <v>250000</v>
      </c>
      <c r="AE98" s="94" t="str">
        <f t="shared" ref="AE98:AE103" si="47">IF($B$125="NO","",IF($AB$98=""," ",IF(HLOOKUP(AD98,$AB$9:$AG$19,$AC$98,FALSE)&lt;3000,AD98," ")))</f>
        <v/>
      </c>
      <c r="AF98" s="8"/>
      <c r="AG98" s="8"/>
      <c r="AH98" s="8"/>
      <c r="AI98" s="8"/>
      <c r="AJ98" s="8"/>
      <c r="AK98" s="8"/>
      <c r="AL98" s="8"/>
      <c r="AM98" s="8"/>
      <c r="AN98" s="8"/>
      <c r="AO98" s="8">
        <f t="shared" si="30"/>
        <v>0.89594635608434847</v>
      </c>
      <c r="AP98" s="8">
        <f t="shared" si="28"/>
        <v>0.89594393911489001</v>
      </c>
      <c r="AQ98" s="47">
        <v>87</v>
      </c>
      <c r="AR98" s="193">
        <v>222031.81260000003</v>
      </c>
      <c r="AS98" s="193">
        <v>203843.55240000004</v>
      </c>
      <c r="AT98" s="53">
        <v>118555.03995300001</v>
      </c>
      <c r="AU98" s="53">
        <v>108843.88649400002</v>
      </c>
      <c r="AV98" s="53">
        <v>197033.25518100001</v>
      </c>
      <c r="AW98" s="53">
        <v>180893.23802100006</v>
      </c>
      <c r="AX98" s="53">
        <v>134460.21885300003</v>
      </c>
      <c r="AY98" s="53">
        <v>123445.71305100003</v>
      </c>
      <c r="AZ98" s="53">
        <v>142987.71933825989</v>
      </c>
      <c r="BA98" s="53">
        <v>131274.67084182819</v>
      </c>
      <c r="BB98" s="53">
        <v>112654.04485500003</v>
      </c>
      <c r="BC98" s="53">
        <v>103426.19494200003</v>
      </c>
      <c r="BD98" s="53">
        <v>100931.98098600002</v>
      </c>
      <c r="BE98" s="53">
        <v>92664.072504000025</v>
      </c>
      <c r="BF98" s="53">
        <v>129828.44938276499</v>
      </c>
      <c r="BG98" s="53">
        <v>119193.86146646999</v>
      </c>
      <c r="BH98" s="8"/>
      <c r="BI98" s="47">
        <v>87</v>
      </c>
      <c r="BJ98" s="54">
        <f t="shared" si="31"/>
        <v>0</v>
      </c>
      <c r="BK98" s="54">
        <f t="shared" si="32"/>
        <v>0</v>
      </c>
      <c r="BL98" s="48">
        <f t="shared" si="33"/>
        <v>0</v>
      </c>
      <c r="BM98" s="48">
        <f t="shared" si="34"/>
        <v>0</v>
      </c>
      <c r="BN98" s="48">
        <f t="shared" si="35"/>
        <v>0</v>
      </c>
      <c r="BO98" s="48">
        <f t="shared" si="36"/>
        <v>0</v>
      </c>
      <c r="BP98" s="48">
        <f t="shared" si="37"/>
        <v>0</v>
      </c>
      <c r="BQ98" s="48">
        <f t="shared" si="38"/>
        <v>0</v>
      </c>
      <c r="BR98" s="48">
        <f t="shared" si="39"/>
        <v>0</v>
      </c>
      <c r="BS98" s="48">
        <f t="shared" si="40"/>
        <v>0</v>
      </c>
      <c r="BT98" s="48">
        <f t="shared" si="41"/>
        <v>0</v>
      </c>
      <c r="BU98" s="48">
        <f t="shared" si="42"/>
        <v>0</v>
      </c>
      <c r="CA98" t="s">
        <v>140</v>
      </c>
    </row>
    <row r="99" spans="1:79" ht="15.75" thickBot="1" x14ac:dyDescent="0.3">
      <c r="A99" s="47">
        <v>88</v>
      </c>
      <c r="B99" s="48">
        <f t="shared" si="29"/>
        <v>151405.19</v>
      </c>
      <c r="C99" s="48">
        <f t="shared" si="43"/>
        <v>138613.63</v>
      </c>
      <c r="D99" s="8"/>
      <c r="E99" s="55" t="s">
        <v>142</v>
      </c>
      <c r="F99" s="17" t="s">
        <v>143</v>
      </c>
      <c r="G99" s="55">
        <v>0.56979999999999997</v>
      </c>
      <c r="H99" s="55">
        <v>1</v>
      </c>
      <c r="I99" s="159">
        <v>0.1</v>
      </c>
      <c r="J99" s="8"/>
      <c r="K99" s="126">
        <v>54</v>
      </c>
      <c r="L99" s="126">
        <v>61</v>
      </c>
      <c r="M99" s="33">
        <v>5</v>
      </c>
      <c r="N99" s="119"/>
      <c r="O99" s="8"/>
      <c r="P99" s="161"/>
      <c r="Q99" s="162"/>
      <c r="R99" s="197"/>
      <c r="S99" s="17"/>
      <c r="T99" s="8"/>
      <c r="U99" s="8"/>
      <c r="V99" s="8"/>
      <c r="W99" s="8"/>
      <c r="X99" s="8"/>
      <c r="Y99" s="8"/>
      <c r="Z99" s="8"/>
      <c r="AA99" s="8"/>
      <c r="AB99" s="8"/>
      <c r="AC99" s="8"/>
      <c r="AD99" s="96">
        <v>300000</v>
      </c>
      <c r="AE99" s="97" t="str">
        <f t="shared" si="47"/>
        <v/>
      </c>
      <c r="AF99" s="8"/>
      <c r="AG99" s="8"/>
      <c r="AH99" s="8"/>
      <c r="AI99" s="8"/>
      <c r="AJ99" s="8"/>
      <c r="AK99" s="8"/>
      <c r="AL99" s="8"/>
      <c r="AM99" s="8"/>
      <c r="AN99" s="8"/>
      <c r="AO99" s="8">
        <f t="shared" si="30"/>
        <v>0.89594901308076758</v>
      </c>
      <c r="AP99" s="8">
        <f t="shared" si="28"/>
        <v>0.89594992716816446</v>
      </c>
      <c r="AQ99" s="47">
        <v>88</v>
      </c>
      <c r="AR99" s="193">
        <v>235103.16150000005</v>
      </c>
      <c r="AS99" s="193">
        <v>215240.47740000006</v>
      </c>
      <c r="AT99" s="53">
        <v>125534.39361300002</v>
      </c>
      <c r="AU99" s="53">
        <v>114928.43985000002</v>
      </c>
      <c r="AV99" s="53">
        <v>208632.29386500001</v>
      </c>
      <c r="AW99" s="53">
        <v>191005.68645000004</v>
      </c>
      <c r="AX99" s="53">
        <v>142375.68513000003</v>
      </c>
      <c r="AY99" s="53">
        <v>130346.98853400002</v>
      </c>
      <c r="AZ99" s="53">
        <v>151405.18645308368</v>
      </c>
      <c r="BA99" s="53">
        <v>138613.62693052861</v>
      </c>
      <c r="BB99" s="53">
        <v>119286.27898200002</v>
      </c>
      <c r="BC99" s="53">
        <v>109208.03364900002</v>
      </c>
      <c r="BD99" s="53">
        <v>106874.42392800002</v>
      </c>
      <c r="BE99" s="53">
        <v>97844.929794000025</v>
      </c>
      <c r="BF99" s="53">
        <v>137471.47041106498</v>
      </c>
      <c r="BG99" s="53">
        <v>125856.99554924999</v>
      </c>
      <c r="BH99" s="8"/>
      <c r="BI99" s="47">
        <v>88</v>
      </c>
      <c r="BJ99" s="54">
        <f t="shared" si="31"/>
        <v>0</v>
      </c>
      <c r="BK99" s="54">
        <f t="shared" si="32"/>
        <v>0</v>
      </c>
      <c r="BL99" s="48">
        <f t="shared" si="33"/>
        <v>0</v>
      </c>
      <c r="BM99" s="48">
        <f t="shared" si="34"/>
        <v>0</v>
      </c>
      <c r="BN99" s="48">
        <f t="shared" si="35"/>
        <v>0</v>
      </c>
      <c r="BO99" s="48">
        <f t="shared" si="36"/>
        <v>0</v>
      </c>
      <c r="BP99" s="48">
        <f t="shared" si="37"/>
        <v>0</v>
      </c>
      <c r="BQ99" s="48">
        <f t="shared" si="38"/>
        <v>0</v>
      </c>
      <c r="BR99" s="48">
        <f t="shared" si="39"/>
        <v>0</v>
      </c>
      <c r="BS99" s="48">
        <f t="shared" si="40"/>
        <v>0</v>
      </c>
      <c r="BT99" s="48">
        <f t="shared" si="41"/>
        <v>0</v>
      </c>
      <c r="BU99" s="48">
        <f t="shared" si="42"/>
        <v>0</v>
      </c>
      <c r="CA99" t="s">
        <v>142</v>
      </c>
    </row>
    <row r="100" spans="1:79" x14ac:dyDescent="0.25">
      <c r="A100" s="47">
        <v>89</v>
      </c>
      <c r="B100" s="48">
        <f t="shared" si="29"/>
        <v>160308.19</v>
      </c>
      <c r="C100" s="48">
        <f t="shared" si="43"/>
        <v>146362.82999999999</v>
      </c>
      <c r="D100" s="8"/>
      <c r="E100" s="149" t="s">
        <v>146</v>
      </c>
      <c r="F100" s="155" t="s">
        <v>303</v>
      </c>
      <c r="G100" s="150">
        <v>0.49159999999999998</v>
      </c>
      <c r="H100" s="149">
        <v>1</v>
      </c>
      <c r="I100" s="151"/>
      <c r="J100" s="8"/>
      <c r="K100" s="126">
        <v>62</v>
      </c>
      <c r="L100" s="126">
        <v>69</v>
      </c>
      <c r="M100" s="33">
        <v>13</v>
      </c>
      <c r="N100" s="119"/>
      <c r="O100" s="8"/>
      <c r="P100" s="8"/>
      <c r="Q100" s="8"/>
      <c r="R100" s="8"/>
      <c r="S100" s="17"/>
      <c r="T100" s="8"/>
      <c r="U100" s="8"/>
      <c r="V100" s="8"/>
      <c r="W100" s="8"/>
      <c r="X100" s="8"/>
      <c r="Y100" s="8"/>
      <c r="Z100" s="8"/>
      <c r="AA100" s="8"/>
      <c r="AB100" s="8"/>
      <c r="AC100" s="8"/>
      <c r="AD100" s="96">
        <v>350000</v>
      </c>
      <c r="AE100" s="97" t="str">
        <f t="shared" si="47"/>
        <v/>
      </c>
      <c r="AF100" s="8"/>
      <c r="AG100" s="8"/>
      <c r="AH100" s="8"/>
      <c r="AI100" s="8"/>
      <c r="AJ100" s="8"/>
      <c r="AK100" s="8"/>
      <c r="AL100" s="8"/>
      <c r="AM100" s="8"/>
      <c r="AN100" s="8"/>
      <c r="AO100" s="8">
        <f t="shared" si="30"/>
        <v>0.8959443013944649</v>
      </c>
      <c r="AP100" s="8">
        <f t="shared" si="28"/>
        <v>0.89595191239828353</v>
      </c>
      <c r="AQ100" s="47">
        <v>89</v>
      </c>
      <c r="AR100" s="193">
        <v>248928.55560000005</v>
      </c>
      <c r="AS100" s="193">
        <v>227273.16600000003</v>
      </c>
      <c r="AT100" s="53">
        <v>132916.37291100004</v>
      </c>
      <c r="AU100" s="53">
        <v>121354.18633800003</v>
      </c>
      <c r="AV100" s="53">
        <v>220901.21299800006</v>
      </c>
      <c r="AW100" s="53">
        <v>201683.98912500002</v>
      </c>
      <c r="AX100" s="53">
        <v>150747.73070400005</v>
      </c>
      <c r="AY100" s="53">
        <v>137634.04684800003</v>
      </c>
      <c r="AZ100" s="53">
        <v>160308.18923735683</v>
      </c>
      <c r="BA100" s="53">
        <v>146362.83229321588</v>
      </c>
      <c r="BB100" s="53">
        <v>126301.15408500003</v>
      </c>
      <c r="BC100" s="53">
        <v>115313.29860600001</v>
      </c>
      <c r="BD100" s="53">
        <v>113158.79926200002</v>
      </c>
      <c r="BE100" s="53">
        <v>103315.17041100003</v>
      </c>
      <c r="BF100" s="53">
        <v>145555.40278555499</v>
      </c>
      <c r="BG100" s="53">
        <v>132893.76684969</v>
      </c>
      <c r="BH100" s="8"/>
      <c r="BI100" s="47">
        <v>89</v>
      </c>
      <c r="BJ100" s="54">
        <f t="shared" si="31"/>
        <v>0</v>
      </c>
      <c r="BK100" s="54">
        <f t="shared" si="32"/>
        <v>0</v>
      </c>
      <c r="BL100" s="48">
        <f t="shared" si="33"/>
        <v>0</v>
      </c>
      <c r="BM100" s="48">
        <f t="shared" si="34"/>
        <v>0</v>
      </c>
      <c r="BN100" s="48">
        <f t="shared" si="35"/>
        <v>0</v>
      </c>
      <c r="BO100" s="48">
        <f t="shared" si="36"/>
        <v>0</v>
      </c>
      <c r="BP100" s="48">
        <f t="shared" si="37"/>
        <v>0</v>
      </c>
      <c r="BQ100" s="48">
        <f t="shared" si="38"/>
        <v>0</v>
      </c>
      <c r="BR100" s="48">
        <f t="shared" si="39"/>
        <v>0</v>
      </c>
      <c r="BS100" s="48">
        <f t="shared" si="40"/>
        <v>0</v>
      </c>
      <c r="BT100" s="48">
        <f t="shared" si="41"/>
        <v>0</v>
      </c>
      <c r="BU100" s="48">
        <f t="shared" si="42"/>
        <v>0</v>
      </c>
      <c r="CA100" t="s">
        <v>146</v>
      </c>
    </row>
    <row r="101" spans="1:79" x14ac:dyDescent="0.25">
      <c r="A101" s="47">
        <v>90</v>
      </c>
      <c r="B101" s="48">
        <f t="shared" si="29"/>
        <v>169746.63</v>
      </c>
      <c r="C101" s="48">
        <f t="shared" si="43"/>
        <v>154488.46</v>
      </c>
      <c r="D101" s="8"/>
      <c r="E101" s="55" t="s">
        <v>147</v>
      </c>
      <c r="F101" s="55" t="s">
        <v>64</v>
      </c>
      <c r="G101" s="160">
        <v>1</v>
      </c>
      <c r="H101" s="160">
        <v>4</v>
      </c>
      <c r="I101" s="160"/>
      <c r="J101" s="8"/>
      <c r="K101" s="126">
        <v>70</v>
      </c>
      <c r="L101" s="126">
        <v>100</v>
      </c>
      <c r="M101" s="33">
        <v>19.100000000000001</v>
      </c>
      <c r="N101" s="119"/>
      <c r="O101" s="8"/>
      <c r="P101" s="8"/>
      <c r="Q101" s="8"/>
      <c r="R101" s="8"/>
      <c r="S101" s="17"/>
      <c r="T101" s="8"/>
      <c r="U101" s="8"/>
      <c r="V101" s="8"/>
      <c r="W101" s="8"/>
      <c r="X101" s="8"/>
      <c r="Y101" s="8"/>
      <c r="Z101" s="8"/>
      <c r="AA101" s="8"/>
      <c r="AB101" s="8"/>
      <c r="AC101" s="8"/>
      <c r="AD101" s="96">
        <v>400000</v>
      </c>
      <c r="AE101" s="97" t="str">
        <f t="shared" si="47"/>
        <v/>
      </c>
      <c r="AF101" s="8"/>
      <c r="AG101" s="8"/>
      <c r="AH101" s="8"/>
      <c r="AI101" s="8"/>
      <c r="AJ101" s="8"/>
      <c r="AK101" s="8"/>
      <c r="AL101" s="8"/>
      <c r="AM101" s="8"/>
      <c r="AN101" s="8"/>
      <c r="AO101" s="8">
        <f t="shared" si="30"/>
        <v>0.89594622395133972</v>
      </c>
      <c r="AP101" s="8">
        <f t="shared" si="28"/>
        <v>0.89594657300841218</v>
      </c>
      <c r="AQ101" s="47">
        <v>90</v>
      </c>
      <c r="AR101" s="193">
        <v>263583.15300000005</v>
      </c>
      <c r="AS101" s="193">
        <v>239891.10210000005</v>
      </c>
      <c r="AT101" s="53">
        <v>140741.68643100001</v>
      </c>
      <c r="AU101" s="53">
        <v>128091.51859500002</v>
      </c>
      <c r="AV101" s="53">
        <v>233906.29956000007</v>
      </c>
      <c r="AW101" s="53">
        <v>212881.80676500004</v>
      </c>
      <c r="AX101" s="53">
        <v>159623.28626400002</v>
      </c>
      <c r="AY101" s="53">
        <v>145275.075171</v>
      </c>
      <c r="AZ101" s="53">
        <v>169746.63473603525</v>
      </c>
      <c r="BA101" s="53">
        <v>154488.45653081496</v>
      </c>
      <c r="BB101" s="53">
        <v>133736.43402900003</v>
      </c>
      <c r="BC101" s="53">
        <v>121716.10339200003</v>
      </c>
      <c r="BD101" s="53">
        <v>119820.65307300002</v>
      </c>
      <c r="BE101" s="53">
        <v>109051.12571400001</v>
      </c>
      <c r="BF101" s="53">
        <v>154124.82607315498</v>
      </c>
      <c r="BG101" s="53">
        <v>140271.75263797501</v>
      </c>
      <c r="BH101" s="8"/>
      <c r="BI101" s="47">
        <v>90</v>
      </c>
      <c r="BJ101" s="54">
        <f t="shared" si="31"/>
        <v>0</v>
      </c>
      <c r="BK101" s="54">
        <f t="shared" si="32"/>
        <v>0</v>
      </c>
      <c r="BL101" s="48">
        <f t="shared" si="33"/>
        <v>0</v>
      </c>
      <c r="BM101" s="48">
        <f t="shared" si="34"/>
        <v>0</v>
      </c>
      <c r="BN101" s="48">
        <f t="shared" si="35"/>
        <v>0</v>
      </c>
      <c r="BO101" s="48">
        <f t="shared" si="36"/>
        <v>0</v>
      </c>
      <c r="BP101" s="48">
        <f t="shared" si="37"/>
        <v>0</v>
      </c>
      <c r="BQ101" s="48">
        <f t="shared" si="38"/>
        <v>0</v>
      </c>
      <c r="BR101" s="48">
        <f t="shared" si="39"/>
        <v>0</v>
      </c>
      <c r="BS101" s="48">
        <f t="shared" si="40"/>
        <v>0</v>
      </c>
      <c r="BT101" s="48">
        <f t="shared" si="41"/>
        <v>0</v>
      </c>
      <c r="BU101" s="48">
        <f t="shared" si="42"/>
        <v>0</v>
      </c>
      <c r="CA101" t="s">
        <v>147</v>
      </c>
    </row>
    <row r="102" spans="1:79" ht="15.75" thickBot="1" x14ac:dyDescent="0.3">
      <c r="A102" s="47">
        <v>91</v>
      </c>
      <c r="B102" s="48">
        <f t="shared" si="29"/>
        <v>179751.84</v>
      </c>
      <c r="C102" s="48">
        <f t="shared" si="43"/>
        <v>163058.17000000001</v>
      </c>
      <c r="D102" s="8"/>
      <c r="E102" s="55" t="str">
        <f>IF('GOLDEN SALUD IND'!$D$8="PÓLIZA NUEVA","",CA102)</f>
        <v/>
      </c>
      <c r="F102" s="17" t="s">
        <v>149</v>
      </c>
      <c r="G102" s="55" t="str">
        <f>IF('GOLDEN SALUD IND'!D8="PÓLIZA NUEVA","",1)</f>
        <v/>
      </c>
      <c r="H102" s="55">
        <v>8</v>
      </c>
      <c r="I102" s="55"/>
      <c r="J102" s="8"/>
      <c r="K102" s="127">
        <v>101</v>
      </c>
      <c r="L102" s="127">
        <v>999999999</v>
      </c>
      <c r="M102" s="116">
        <v>35.4</v>
      </c>
      <c r="N102" s="119"/>
      <c r="O102" s="8"/>
      <c r="P102" s="8"/>
      <c r="Q102" s="8"/>
      <c r="R102" s="17"/>
      <c r="S102" s="17"/>
      <c r="T102" s="8"/>
      <c r="U102" s="8"/>
      <c r="V102" s="8"/>
      <c r="W102" s="8"/>
      <c r="X102" s="8"/>
      <c r="Y102" s="8"/>
      <c r="Z102" s="8"/>
      <c r="AA102" s="8"/>
      <c r="AB102" s="8"/>
      <c r="AC102" s="8"/>
      <c r="AD102" s="96">
        <v>450000</v>
      </c>
      <c r="AE102" s="97" t="str">
        <f t="shared" si="47"/>
        <v/>
      </c>
      <c r="AF102" s="8"/>
      <c r="AG102" s="8"/>
      <c r="AH102" s="8"/>
      <c r="AI102" s="8"/>
      <c r="AJ102" s="8"/>
      <c r="AK102" s="8"/>
      <c r="AL102" s="8"/>
      <c r="AM102" s="8"/>
      <c r="AN102" s="8"/>
      <c r="AO102" s="8">
        <f t="shared" si="30"/>
        <v>0.89594771394223549</v>
      </c>
      <c r="AP102" s="8">
        <f t="shared" si="28"/>
        <v>0.89594702037567187</v>
      </c>
      <c r="AQ102" s="47">
        <v>91</v>
      </c>
      <c r="AR102" s="193">
        <v>279119.93400000007</v>
      </c>
      <c r="AS102" s="193">
        <v>253197.78210000004</v>
      </c>
      <c r="AT102" s="53">
        <v>149037.72375600002</v>
      </c>
      <c r="AU102" s="53">
        <v>135195.95504700005</v>
      </c>
      <c r="AV102" s="53">
        <v>247693.88051100005</v>
      </c>
      <c r="AW102" s="53">
        <v>224689.64943600004</v>
      </c>
      <c r="AX102" s="53">
        <v>169031.79900000003</v>
      </c>
      <c r="AY102" s="53">
        <v>153333.71146800002</v>
      </c>
      <c r="AZ102" s="53">
        <v>179751.83768722467</v>
      </c>
      <c r="BA102" s="53">
        <v>163058.17354387665</v>
      </c>
      <c r="BB102" s="53">
        <v>141619.47143400001</v>
      </c>
      <c r="BC102" s="53">
        <v>128466.75465000003</v>
      </c>
      <c r="BD102" s="53">
        <v>126883.64168100002</v>
      </c>
      <c r="BE102" s="53">
        <v>115099.40604600002</v>
      </c>
      <c r="BF102" s="53">
        <v>163209.73433477999</v>
      </c>
      <c r="BG102" s="53">
        <v>148051.75059223498</v>
      </c>
      <c r="BH102" s="8"/>
      <c r="BI102" s="47">
        <v>91</v>
      </c>
      <c r="BJ102" s="54">
        <f t="shared" si="31"/>
        <v>0</v>
      </c>
      <c r="BK102" s="54">
        <f t="shared" si="32"/>
        <v>0</v>
      </c>
      <c r="BL102" s="48">
        <f t="shared" si="33"/>
        <v>0</v>
      </c>
      <c r="BM102" s="48">
        <f t="shared" si="34"/>
        <v>0</v>
      </c>
      <c r="BN102" s="48">
        <f t="shared" si="35"/>
        <v>0</v>
      </c>
      <c r="BO102" s="48">
        <f t="shared" si="36"/>
        <v>0</v>
      </c>
      <c r="BP102" s="48">
        <f t="shared" si="37"/>
        <v>0</v>
      </c>
      <c r="BQ102" s="48">
        <f t="shared" si="38"/>
        <v>0</v>
      </c>
      <c r="BR102" s="48">
        <f t="shared" si="39"/>
        <v>0</v>
      </c>
      <c r="BS102" s="48">
        <f t="shared" si="40"/>
        <v>0</v>
      </c>
      <c r="BT102" s="48">
        <f t="shared" si="41"/>
        <v>0</v>
      </c>
      <c r="BU102" s="48">
        <f t="shared" si="42"/>
        <v>0</v>
      </c>
      <c r="CA102" t="s">
        <v>148</v>
      </c>
    </row>
    <row r="103" spans="1:79" ht="15.75" thickBot="1" x14ac:dyDescent="0.3">
      <c r="A103" s="47">
        <v>92</v>
      </c>
      <c r="B103" s="48">
        <f t="shared" si="29"/>
        <v>190334.78</v>
      </c>
      <c r="C103" s="48">
        <f t="shared" si="43"/>
        <v>172112.6</v>
      </c>
      <c r="D103" s="8"/>
      <c r="E103" s="55" t="s">
        <v>223</v>
      </c>
      <c r="F103" s="63" t="s">
        <v>1</v>
      </c>
      <c r="G103" s="55">
        <v>1</v>
      </c>
      <c r="H103" s="160">
        <v>1</v>
      </c>
      <c r="I103" s="159">
        <v>0.1</v>
      </c>
      <c r="J103" s="8"/>
      <c r="K103" s="120"/>
      <c r="L103" s="119"/>
      <c r="M103" s="119"/>
      <c r="N103" s="119"/>
      <c r="O103" s="8"/>
      <c r="P103" s="8"/>
      <c r="Q103" s="8"/>
      <c r="R103" s="17"/>
      <c r="S103" s="17"/>
      <c r="T103" s="8"/>
      <c r="U103" s="8"/>
      <c r="V103" s="8"/>
      <c r="W103" s="8"/>
      <c r="X103" s="8"/>
      <c r="Y103" s="8"/>
      <c r="Z103" s="8"/>
      <c r="AA103" s="8"/>
      <c r="AB103" s="8"/>
      <c r="AC103" s="8"/>
      <c r="AD103" s="100">
        <v>500000</v>
      </c>
      <c r="AE103" s="101" t="str">
        <f t="shared" si="47"/>
        <v/>
      </c>
      <c r="AF103" s="8"/>
      <c r="AG103" s="8"/>
      <c r="AH103" s="8"/>
      <c r="AI103" s="8"/>
      <c r="AJ103" s="8"/>
      <c r="AK103" s="8"/>
      <c r="AL103" s="8"/>
      <c r="AM103" s="8"/>
      <c r="AN103" s="8"/>
      <c r="AO103" s="8">
        <f t="shared" si="30"/>
        <v>0.89594395748614564</v>
      </c>
      <c r="AP103" s="8">
        <f t="shared" si="28"/>
        <v>0.89594686009432412</v>
      </c>
      <c r="AQ103" s="47">
        <v>92</v>
      </c>
      <c r="AR103" s="193">
        <v>295553.68380000006</v>
      </c>
      <c r="AS103" s="193">
        <v>267257.27520000003</v>
      </c>
      <c r="AT103" s="53">
        <v>157812.61674600004</v>
      </c>
      <c r="AU103" s="53">
        <v>142703.75639700002</v>
      </c>
      <c r="AV103" s="53">
        <v>262276.76969100005</v>
      </c>
      <c r="AW103" s="53">
        <v>237166.65793800002</v>
      </c>
      <c r="AX103" s="53">
        <v>178983.59391000005</v>
      </c>
      <c r="AY103" s="53">
        <v>161848.15083900004</v>
      </c>
      <c r="AZ103" s="53">
        <v>190334.77790286345</v>
      </c>
      <c r="BA103" s="53">
        <v>172112.60077513216</v>
      </c>
      <c r="BB103" s="53">
        <v>149957.695863</v>
      </c>
      <c r="BC103" s="53">
        <v>135600.79846500003</v>
      </c>
      <c r="BD103" s="53">
        <v>134353.69148700003</v>
      </c>
      <c r="BE103" s="53">
        <v>121491.10961100002</v>
      </c>
      <c r="BF103" s="53">
        <v>172819.03268973</v>
      </c>
      <c r="BG103" s="53">
        <v>156273.46944898501</v>
      </c>
      <c r="BH103" s="8"/>
      <c r="BI103" s="47">
        <v>92</v>
      </c>
      <c r="BJ103" s="54">
        <f t="shared" si="31"/>
        <v>0</v>
      </c>
      <c r="BK103" s="54">
        <f t="shared" si="32"/>
        <v>0</v>
      </c>
      <c r="BL103" s="48">
        <f t="shared" si="33"/>
        <v>0</v>
      </c>
      <c r="BM103" s="48">
        <f t="shared" si="34"/>
        <v>0</v>
      </c>
      <c r="BN103" s="48">
        <f t="shared" si="35"/>
        <v>0</v>
      </c>
      <c r="BO103" s="48">
        <f t="shared" si="36"/>
        <v>0</v>
      </c>
      <c r="BP103" s="48">
        <f t="shared" si="37"/>
        <v>0</v>
      </c>
      <c r="BQ103" s="48">
        <f t="shared" si="38"/>
        <v>0</v>
      </c>
      <c r="BR103" s="48">
        <f t="shared" si="39"/>
        <v>0</v>
      </c>
      <c r="BS103" s="48">
        <f t="shared" si="40"/>
        <v>0</v>
      </c>
      <c r="BT103" s="48">
        <f t="shared" si="41"/>
        <v>0</v>
      </c>
      <c r="BU103" s="48">
        <f t="shared" si="42"/>
        <v>0</v>
      </c>
      <c r="CA103" t="s">
        <v>223</v>
      </c>
    </row>
    <row r="104" spans="1:79" ht="15.75" thickBot="1" x14ac:dyDescent="0.3">
      <c r="A104" s="47">
        <v>93</v>
      </c>
      <c r="B104" s="48">
        <f t="shared" si="29"/>
        <v>201539.45</v>
      </c>
      <c r="C104" s="48">
        <f t="shared" si="43"/>
        <v>181657.63</v>
      </c>
      <c r="D104" s="8"/>
      <c r="E104" s="55" t="s">
        <v>151</v>
      </c>
      <c r="F104" s="55" t="s">
        <v>64</v>
      </c>
      <c r="G104" s="160">
        <v>1</v>
      </c>
      <c r="H104" s="160">
        <v>4</v>
      </c>
      <c r="I104" s="160"/>
      <c r="J104" s="8"/>
      <c r="K104" s="120"/>
      <c r="L104" s="119"/>
      <c r="M104" s="119"/>
      <c r="N104" s="119"/>
      <c r="O104" s="8"/>
      <c r="P104" s="8"/>
      <c r="Q104" s="14" t="s">
        <v>155</v>
      </c>
      <c r="R104" s="17"/>
      <c r="S104" s="17"/>
      <c r="T104" s="8"/>
      <c r="U104" s="8"/>
      <c r="V104" s="8"/>
      <c r="W104" s="8"/>
      <c r="X104" s="8"/>
      <c r="Y104" s="8"/>
      <c r="Z104" s="8"/>
      <c r="AA104" s="8"/>
      <c r="AB104" s="8"/>
      <c r="AC104" s="8"/>
      <c r="AD104" s="8"/>
      <c r="AE104" s="8"/>
      <c r="AF104" s="8"/>
      <c r="AG104" s="8"/>
      <c r="AH104" s="8"/>
      <c r="AI104" s="8"/>
      <c r="AJ104" s="8"/>
      <c r="AK104" s="8"/>
      <c r="AL104" s="8"/>
      <c r="AM104" s="8"/>
      <c r="AN104" s="8"/>
      <c r="AO104" s="8">
        <f t="shared" si="30"/>
        <v>0.8959489602135674</v>
      </c>
      <c r="AP104" s="8">
        <f t="shared" si="28"/>
        <v>0.89594315995577156</v>
      </c>
      <c r="AQ104" s="47">
        <v>93</v>
      </c>
      <c r="AR104" s="193">
        <v>312952.16790000006</v>
      </c>
      <c r="AS104" s="193">
        <v>282079.43820000003</v>
      </c>
      <c r="AT104" s="53">
        <v>167102.62610400002</v>
      </c>
      <c r="AU104" s="53">
        <v>150617.87968500002</v>
      </c>
      <c r="AV104" s="53">
        <v>277716.96637200005</v>
      </c>
      <c r="AW104" s="53">
        <v>250319.27615400005</v>
      </c>
      <c r="AX104" s="53">
        <v>189520.04491200004</v>
      </c>
      <c r="AY104" s="53">
        <v>170823.93773400006</v>
      </c>
      <c r="AZ104" s="53">
        <v>201539.45324511011</v>
      </c>
      <c r="BA104" s="53">
        <v>181657.63430497798</v>
      </c>
      <c r="BB104" s="53">
        <v>158785.13791800002</v>
      </c>
      <c r="BC104" s="53">
        <v>143121.17955600002</v>
      </c>
      <c r="BD104" s="53">
        <v>142263.37921500002</v>
      </c>
      <c r="BE104" s="53">
        <v>128228.44186800002</v>
      </c>
      <c r="BF104" s="53">
        <v>182992.42987451999</v>
      </c>
      <c r="BG104" s="53">
        <v>164940.14743342501</v>
      </c>
      <c r="BH104" s="8"/>
      <c r="BI104" s="47">
        <v>93</v>
      </c>
      <c r="BJ104" s="54">
        <f t="shared" si="31"/>
        <v>0</v>
      </c>
      <c r="BK104" s="54">
        <f t="shared" si="32"/>
        <v>0</v>
      </c>
      <c r="BL104" s="48">
        <f t="shared" si="33"/>
        <v>0</v>
      </c>
      <c r="BM104" s="48">
        <f t="shared" si="34"/>
        <v>0</v>
      </c>
      <c r="BN104" s="48">
        <f t="shared" si="35"/>
        <v>0</v>
      </c>
      <c r="BO104" s="48">
        <f t="shared" si="36"/>
        <v>0</v>
      </c>
      <c r="BP104" s="48">
        <f t="shared" si="37"/>
        <v>0</v>
      </c>
      <c r="BQ104" s="48">
        <f t="shared" si="38"/>
        <v>0</v>
      </c>
      <c r="BR104" s="48">
        <f t="shared" si="39"/>
        <v>0</v>
      </c>
      <c r="BS104" s="48">
        <f t="shared" si="40"/>
        <v>0</v>
      </c>
      <c r="BT104" s="48">
        <f t="shared" si="41"/>
        <v>0</v>
      </c>
      <c r="BU104" s="48">
        <f t="shared" si="42"/>
        <v>0</v>
      </c>
      <c r="CA104" t="s">
        <v>151</v>
      </c>
    </row>
    <row r="105" spans="1:79" ht="15.75" thickBot="1" x14ac:dyDescent="0.3">
      <c r="A105" s="47">
        <v>94</v>
      </c>
      <c r="B105" s="48">
        <f t="shared" si="29"/>
        <v>213420.84</v>
      </c>
      <c r="C105" s="48">
        <f t="shared" si="43"/>
        <v>191732.19</v>
      </c>
      <c r="D105" s="8"/>
      <c r="E105" s="149" t="s">
        <v>152</v>
      </c>
      <c r="F105" s="164" t="s">
        <v>153</v>
      </c>
      <c r="G105" s="364">
        <f>IF(AND($B$4=1,'GOLDEN SALUD IND'!$J$10="NO"),0.682,IF(OR('GOLDEN SALUD IND'!$E$18="AA",'GOLDEN SALUD IND'!$E$18="A",'GOLDEN SALUD IND'!$E$18="B"),0.682,1))</f>
        <v>1</v>
      </c>
      <c r="H105" s="150">
        <v>1</v>
      </c>
      <c r="I105" s="151">
        <v>0.1</v>
      </c>
      <c r="J105" s="8"/>
      <c r="K105" s="120"/>
      <c r="L105" s="119"/>
      <c r="M105" s="119"/>
      <c r="N105" s="119"/>
      <c r="O105" s="8"/>
      <c r="P105" s="8"/>
      <c r="Q105" s="88" t="str">
        <f>IF('GOLDEN SALUD IND'!I21="NO","","SI")</f>
        <v/>
      </c>
      <c r="R105" s="17"/>
      <c r="S105" s="17"/>
      <c r="T105" s="8"/>
      <c r="U105" s="8"/>
      <c r="V105" s="8"/>
      <c r="W105" s="8"/>
      <c r="X105" s="8"/>
      <c r="Y105" s="8"/>
      <c r="Z105" s="8"/>
      <c r="AA105" s="8"/>
      <c r="AB105" s="14" t="s">
        <v>157</v>
      </c>
      <c r="AC105" s="14" t="s">
        <v>57</v>
      </c>
      <c r="AD105" s="14" t="s">
        <v>158</v>
      </c>
      <c r="AE105" s="103" t="s">
        <v>89</v>
      </c>
      <c r="AF105" s="8"/>
      <c r="AG105" s="8"/>
      <c r="AH105" s="8"/>
      <c r="AI105" s="8"/>
      <c r="AJ105" s="8"/>
      <c r="AK105" s="8"/>
      <c r="AL105" s="8"/>
      <c r="AM105" s="8"/>
      <c r="AN105" s="8"/>
      <c r="AO105" s="8">
        <f t="shared" si="30"/>
        <v>0.89594473501850902</v>
      </c>
      <c r="AP105" s="8">
        <f t="shared" si="28"/>
        <v>0.89594313738332543</v>
      </c>
      <c r="AQ105" s="47">
        <v>94</v>
      </c>
      <c r="AR105" s="193">
        <v>331401.63330000004</v>
      </c>
      <c r="AS105" s="193">
        <v>297723.41190000006</v>
      </c>
      <c r="AT105" s="53">
        <v>176953.65987600002</v>
      </c>
      <c r="AU105" s="53">
        <v>158970.90163500002</v>
      </c>
      <c r="AV105" s="53">
        <v>294089.30830800004</v>
      </c>
      <c r="AW105" s="53">
        <v>264202.34485500003</v>
      </c>
      <c r="AX105" s="53">
        <v>200692.85092200004</v>
      </c>
      <c r="AY105" s="53">
        <v>180297.66552300003</v>
      </c>
      <c r="AZ105" s="53">
        <v>213420.84138806167</v>
      </c>
      <c r="BA105" s="53">
        <v>191732.18826403085</v>
      </c>
      <c r="BB105" s="53">
        <v>168146.20248300003</v>
      </c>
      <c r="BC105" s="53">
        <v>151058.99612700002</v>
      </c>
      <c r="BD105" s="53">
        <v>150649.70482800002</v>
      </c>
      <c r="BE105" s="53">
        <v>135340.27092000001</v>
      </c>
      <c r="BF105" s="53">
        <v>193780.19933537999</v>
      </c>
      <c r="BG105" s="53">
        <v>174087.45899317504</v>
      </c>
      <c r="BH105" s="8"/>
      <c r="BI105" s="47">
        <v>94</v>
      </c>
      <c r="BJ105" s="54">
        <f t="shared" si="31"/>
        <v>0</v>
      </c>
      <c r="BK105" s="54">
        <f t="shared" si="32"/>
        <v>0</v>
      </c>
      <c r="BL105" s="48">
        <f t="shared" si="33"/>
        <v>0</v>
      </c>
      <c r="BM105" s="48">
        <f t="shared" si="34"/>
        <v>0</v>
      </c>
      <c r="BN105" s="48">
        <f t="shared" si="35"/>
        <v>0</v>
      </c>
      <c r="BO105" s="48">
        <f t="shared" si="36"/>
        <v>0</v>
      </c>
      <c r="BP105" s="48">
        <f t="shared" si="37"/>
        <v>0</v>
      </c>
      <c r="BQ105" s="48">
        <f t="shared" si="38"/>
        <v>0</v>
      </c>
      <c r="BR105" s="48">
        <f t="shared" si="39"/>
        <v>0</v>
      </c>
      <c r="BS105" s="48">
        <f t="shared" si="40"/>
        <v>0</v>
      </c>
      <c r="BT105" s="48">
        <f t="shared" si="41"/>
        <v>0</v>
      </c>
      <c r="BU105" s="48">
        <f t="shared" si="42"/>
        <v>0</v>
      </c>
      <c r="CA105" t="s">
        <v>152</v>
      </c>
    </row>
    <row r="106" spans="1:79" ht="15.75" thickBot="1" x14ac:dyDescent="0.3">
      <c r="A106" s="47">
        <v>95</v>
      </c>
      <c r="B106" s="48">
        <f t="shared" si="29"/>
        <v>226000.93</v>
      </c>
      <c r="C106" s="48">
        <f t="shared" si="43"/>
        <v>202247.47</v>
      </c>
      <c r="D106" s="8"/>
      <c r="E106" s="55" t="s">
        <v>154</v>
      </c>
      <c r="F106" s="17" t="s">
        <v>136</v>
      </c>
      <c r="G106" s="160">
        <v>1</v>
      </c>
      <c r="H106" s="160">
        <v>2</v>
      </c>
      <c r="I106" s="166"/>
      <c r="J106" s="8"/>
      <c r="K106" s="134" t="s">
        <v>111</v>
      </c>
      <c r="L106" s="134" t="s">
        <v>107</v>
      </c>
      <c r="M106" s="63"/>
      <c r="N106" s="63"/>
      <c r="O106" s="8"/>
      <c r="P106" s="8"/>
      <c r="Q106" s="141" t="str">
        <f>IF('GOLDEN SALUD IND'!I21="NO","","NO")</f>
        <v/>
      </c>
      <c r="R106" s="8"/>
      <c r="S106" s="8"/>
      <c r="T106" s="8"/>
      <c r="U106" s="8"/>
      <c r="V106" s="8"/>
      <c r="W106" s="8"/>
      <c r="X106" s="8"/>
      <c r="Y106" s="8"/>
      <c r="Z106" s="8"/>
      <c r="AA106" s="8"/>
      <c r="AB106" s="92" t="str">
        <f>IF(AND('GOLDEN SALUD IND'!G35&gt;19,'GOLDEN SALUD IND'!G35&lt;56,'GOLDEN SALUD IND'!F35="F"),'GOLDEN SALUD IND'!G35,"")</f>
        <v/>
      </c>
      <c r="AC106" s="92" t="str">
        <f>IF(AB106="","",VLOOKUP(AB106,$Y$10:$AH$19,10,TRUE))</f>
        <v/>
      </c>
      <c r="AD106" s="93">
        <v>250000</v>
      </c>
      <c r="AE106" s="94" t="str">
        <f t="shared" ref="AE106:AE111" si="48">IF($B$125="NO","",IF($AB$106=""," ",IF(HLOOKUP(AD106,$AB$9:$AG$19,$AC$106,FALSE)&lt;3000,AD106," ")))</f>
        <v/>
      </c>
      <c r="AF106" s="8"/>
      <c r="AG106" s="8"/>
      <c r="AH106" s="8"/>
      <c r="AI106" s="8"/>
      <c r="AJ106" s="8"/>
      <c r="AK106" s="8"/>
      <c r="AL106" s="8"/>
      <c r="AM106" s="8"/>
      <c r="AN106" s="8"/>
      <c r="AO106" s="8">
        <f t="shared" si="30"/>
        <v>0.89594644715573157</v>
      </c>
      <c r="AP106" s="8">
        <f t="shared" si="28"/>
        <v>0.89594639181092861</v>
      </c>
      <c r="AQ106" s="47">
        <v>95</v>
      </c>
      <c r="AR106" s="193">
        <v>350935.34670000005</v>
      </c>
      <c r="AS106" s="193">
        <v>314052.43320000009</v>
      </c>
      <c r="AT106" s="53">
        <v>187384.21188300004</v>
      </c>
      <c r="AU106" s="53">
        <v>167689.54926000006</v>
      </c>
      <c r="AV106" s="53">
        <v>311423.02091100009</v>
      </c>
      <c r="AW106" s="53">
        <v>278691.86549700005</v>
      </c>
      <c r="AX106" s="53">
        <v>212522.68657800002</v>
      </c>
      <c r="AY106" s="53">
        <v>190185.83478900004</v>
      </c>
      <c r="AZ106" s="53">
        <v>226000.92816039646</v>
      </c>
      <c r="BA106" s="53">
        <v>202247.4676815198</v>
      </c>
      <c r="BB106" s="53">
        <v>178057.17792000005</v>
      </c>
      <c r="BC106" s="53">
        <v>159343.19297100004</v>
      </c>
      <c r="BD106" s="53">
        <v>159529.69594800001</v>
      </c>
      <c r="BE106" s="53">
        <v>142762.95880200001</v>
      </c>
      <c r="BF106" s="53">
        <v>205202.59347241503</v>
      </c>
      <c r="BG106" s="53">
        <v>183635.16360630002</v>
      </c>
      <c r="BH106" s="8"/>
      <c r="BI106" s="47">
        <v>95</v>
      </c>
      <c r="BJ106" s="54">
        <f t="shared" si="31"/>
        <v>0</v>
      </c>
      <c r="BK106" s="54">
        <f t="shared" si="32"/>
        <v>0</v>
      </c>
      <c r="BL106" s="48">
        <f t="shared" si="33"/>
        <v>0</v>
      </c>
      <c r="BM106" s="48">
        <f t="shared" si="34"/>
        <v>0</v>
      </c>
      <c r="BN106" s="48">
        <f t="shared" si="35"/>
        <v>0</v>
      </c>
      <c r="BO106" s="48">
        <f t="shared" si="36"/>
        <v>0</v>
      </c>
      <c r="BP106" s="48">
        <f t="shared" si="37"/>
        <v>0</v>
      </c>
      <c r="BQ106" s="48">
        <f t="shared" si="38"/>
        <v>0</v>
      </c>
      <c r="BR106" s="48">
        <f t="shared" si="39"/>
        <v>0</v>
      </c>
      <c r="BS106" s="48">
        <f t="shared" si="40"/>
        <v>0</v>
      </c>
      <c r="BT106" s="48">
        <f t="shared" si="41"/>
        <v>0</v>
      </c>
      <c r="BU106" s="48">
        <f t="shared" si="42"/>
        <v>0</v>
      </c>
      <c r="CA106" t="s">
        <v>154</v>
      </c>
    </row>
    <row r="107" spans="1:79" ht="15.75" thickBot="1" x14ac:dyDescent="0.3">
      <c r="A107" s="47">
        <v>96</v>
      </c>
      <c r="B107" s="48">
        <f t="shared" si="29"/>
        <v>239326.25</v>
      </c>
      <c r="C107" s="48">
        <f t="shared" si="43"/>
        <v>213337.09</v>
      </c>
      <c r="D107" s="8"/>
      <c r="E107" s="55" t="s">
        <v>156</v>
      </c>
      <c r="F107" s="17" t="s">
        <v>143</v>
      </c>
      <c r="G107" s="55">
        <v>0.56979999999999997</v>
      </c>
      <c r="H107" s="55">
        <v>1</v>
      </c>
      <c r="I107" s="159">
        <v>0.1</v>
      </c>
      <c r="J107" s="8"/>
      <c r="K107" s="135" t="str">
        <f>B116</f>
        <v>Sin Límite</v>
      </c>
      <c r="L107" s="136">
        <f>VLOOKUP(IF(K107="Sin Límite",999999999,K107),$K$98:$M$102,3,TRUE)</f>
        <v>35.4</v>
      </c>
      <c r="M107" s="8"/>
      <c r="N107" s="8"/>
      <c r="O107" s="8"/>
      <c r="P107" s="8"/>
      <c r="Q107" s="8"/>
      <c r="R107" s="8"/>
      <c r="S107" s="8"/>
      <c r="T107" s="8"/>
      <c r="U107" s="8"/>
      <c r="V107" s="8"/>
      <c r="W107" s="8"/>
      <c r="X107" s="8"/>
      <c r="Y107" s="8"/>
      <c r="Z107" s="8"/>
      <c r="AA107" s="8"/>
      <c r="AB107" s="8"/>
      <c r="AC107" s="8"/>
      <c r="AD107" s="96">
        <v>300000</v>
      </c>
      <c r="AE107" s="97" t="str">
        <f t="shared" si="48"/>
        <v/>
      </c>
      <c r="AF107" s="8"/>
      <c r="AG107" s="8"/>
      <c r="AH107" s="8"/>
      <c r="AI107" s="8"/>
      <c r="AJ107" s="8"/>
      <c r="AK107" s="8"/>
      <c r="AL107" s="8"/>
      <c r="AM107" s="8"/>
      <c r="AN107" s="8"/>
      <c r="AO107" s="8">
        <f t="shared" si="30"/>
        <v>0.8959464670205658</v>
      </c>
      <c r="AP107" s="8">
        <f t="shared" si="28"/>
        <v>0.895948013224377</v>
      </c>
      <c r="AQ107" s="47">
        <v>96</v>
      </c>
      <c r="AR107" s="193">
        <v>371628.46620000008</v>
      </c>
      <c r="AS107" s="193">
        <v>331272.26280000008</v>
      </c>
      <c r="AT107" s="53">
        <v>198432.76060800004</v>
      </c>
      <c r="AU107" s="53">
        <v>176884.83477000004</v>
      </c>
      <c r="AV107" s="53">
        <v>329785.78343400004</v>
      </c>
      <c r="AW107" s="53">
        <v>293973.86053800007</v>
      </c>
      <c r="AX107" s="53">
        <v>225053.31607200005</v>
      </c>
      <c r="AY107" s="53">
        <v>200614.09509000005</v>
      </c>
      <c r="AZ107" s="53">
        <v>239326.25329004406</v>
      </c>
      <c r="BA107" s="53">
        <v>213337.09084162992</v>
      </c>
      <c r="BB107" s="53">
        <v>188555.81577300001</v>
      </c>
      <c r="BC107" s="53">
        <v>168080.33441700001</v>
      </c>
      <c r="BD107" s="53">
        <v>168935.91697800002</v>
      </c>
      <c r="BE107" s="53">
        <v>150591.24168300003</v>
      </c>
      <c r="BF107" s="53">
        <v>217301.74969103999</v>
      </c>
      <c r="BG107" s="53">
        <v>193704.82964384998</v>
      </c>
      <c r="BH107" s="8"/>
      <c r="BI107" s="47">
        <v>96</v>
      </c>
      <c r="BJ107" s="54">
        <f t="shared" si="31"/>
        <v>0</v>
      </c>
      <c r="BK107" s="54">
        <f t="shared" si="32"/>
        <v>0</v>
      </c>
      <c r="BL107" s="48">
        <f t="shared" si="33"/>
        <v>0</v>
      </c>
      <c r="BM107" s="48">
        <f t="shared" si="34"/>
        <v>0</v>
      </c>
      <c r="BN107" s="48">
        <f t="shared" si="35"/>
        <v>0</v>
      </c>
      <c r="BO107" s="48">
        <f t="shared" si="36"/>
        <v>0</v>
      </c>
      <c r="BP107" s="48">
        <f t="shared" si="37"/>
        <v>0</v>
      </c>
      <c r="BQ107" s="48">
        <f t="shared" si="38"/>
        <v>0</v>
      </c>
      <c r="BR107" s="48">
        <f t="shared" si="39"/>
        <v>0</v>
      </c>
      <c r="BS107" s="48">
        <f t="shared" si="40"/>
        <v>0</v>
      </c>
      <c r="BT107" s="48">
        <f t="shared" si="41"/>
        <v>0</v>
      </c>
      <c r="BU107" s="48">
        <f t="shared" si="42"/>
        <v>0</v>
      </c>
      <c r="CA107" t="s">
        <v>156</v>
      </c>
    </row>
    <row r="108" spans="1:79" x14ac:dyDescent="0.25">
      <c r="A108" s="47">
        <v>97</v>
      </c>
      <c r="B108" s="48">
        <f t="shared" si="29"/>
        <v>253445.02</v>
      </c>
      <c r="C108" s="48">
        <f t="shared" si="43"/>
        <v>225036.62</v>
      </c>
      <c r="D108" s="8"/>
      <c r="E108" s="149" t="s">
        <v>159</v>
      </c>
      <c r="F108" s="149" t="s">
        <v>153</v>
      </c>
      <c r="G108" s="165">
        <f>IF(AND($B$4=1,'GOLDEN SALUD IND'!$J$10="NO"),0.682,IF(OR('GOLDEN SALUD IND'!$E$18="AA",'GOLDEN SALUD IND'!$E$18="A",'GOLDEN SALUD IND'!$E$18="B"),0.682,1))</f>
        <v>1</v>
      </c>
      <c r="H108" s="150">
        <v>1</v>
      </c>
      <c r="I108" s="151"/>
      <c r="J108" s="8"/>
      <c r="K108" s="8"/>
      <c r="L108" s="8"/>
      <c r="M108" s="8"/>
      <c r="N108" s="8"/>
      <c r="O108" s="8"/>
      <c r="P108" s="8"/>
      <c r="Q108" s="8"/>
      <c r="R108" s="8"/>
      <c r="S108" s="8"/>
      <c r="T108" s="8"/>
      <c r="U108" s="8"/>
      <c r="V108" s="8"/>
      <c r="W108" s="8"/>
      <c r="X108" s="8"/>
      <c r="Y108" s="8"/>
      <c r="Z108" s="8"/>
      <c r="AA108" s="8"/>
      <c r="AB108" s="8"/>
      <c r="AC108" s="8"/>
      <c r="AD108" s="96">
        <v>350000</v>
      </c>
      <c r="AE108" s="97" t="str">
        <f t="shared" si="48"/>
        <v/>
      </c>
      <c r="AF108" s="8"/>
      <c r="AG108" s="8"/>
      <c r="AH108" s="8"/>
      <c r="AI108" s="8"/>
      <c r="AJ108" s="8"/>
      <c r="AK108" s="8"/>
      <c r="AL108" s="8"/>
      <c r="AM108" s="8"/>
      <c r="AN108" s="8"/>
      <c r="AO108" s="8">
        <f t="shared" si="30"/>
        <v>0.89594609953829552</v>
      </c>
      <c r="AP108" s="8">
        <f t="shared" si="28"/>
        <v>0.89594742530675531</v>
      </c>
      <c r="AQ108" s="47">
        <v>97</v>
      </c>
      <c r="AR108" s="193">
        <v>393551.22150000004</v>
      </c>
      <c r="AS108" s="193">
        <v>349439.57730000006</v>
      </c>
      <c r="AT108" s="53">
        <v>210139.27537500003</v>
      </c>
      <c r="AU108" s="53">
        <v>186584.87468700003</v>
      </c>
      <c r="AV108" s="53">
        <v>349241.03670599998</v>
      </c>
      <c r="AW108" s="53">
        <v>310095.3592350001</v>
      </c>
      <c r="AX108" s="53">
        <v>238330.06836300006</v>
      </c>
      <c r="AY108" s="53">
        <v>211615.88562000007</v>
      </c>
      <c r="AZ108" s="53">
        <v>253445.02050984581</v>
      </c>
      <c r="BA108" s="53">
        <v>225036.61766035244</v>
      </c>
      <c r="BB108" s="53">
        <v>199679.86758600004</v>
      </c>
      <c r="BC108" s="53">
        <v>177297.82236900006</v>
      </c>
      <c r="BD108" s="53">
        <v>178902.39852000005</v>
      </c>
      <c r="BE108" s="53">
        <v>158849.52746400004</v>
      </c>
      <c r="BF108" s="53">
        <v>230121.43800187498</v>
      </c>
      <c r="BG108" s="53">
        <v>204327.24723043499</v>
      </c>
      <c r="BH108" s="8"/>
      <c r="BI108" s="47">
        <v>97</v>
      </c>
      <c r="BJ108" s="54">
        <f t="shared" si="31"/>
        <v>0</v>
      </c>
      <c r="BK108" s="54">
        <f t="shared" si="32"/>
        <v>0</v>
      </c>
      <c r="BL108" s="48">
        <f t="shared" si="33"/>
        <v>0</v>
      </c>
      <c r="BM108" s="48">
        <f t="shared" si="34"/>
        <v>0</v>
      </c>
      <c r="BN108" s="48">
        <f t="shared" si="35"/>
        <v>0</v>
      </c>
      <c r="BO108" s="48">
        <f t="shared" si="36"/>
        <v>0</v>
      </c>
      <c r="BP108" s="48">
        <f t="shared" si="37"/>
        <v>0</v>
      </c>
      <c r="BQ108" s="48">
        <f t="shared" si="38"/>
        <v>0</v>
      </c>
      <c r="BR108" s="48">
        <f t="shared" si="39"/>
        <v>0</v>
      </c>
      <c r="BS108" s="48">
        <f t="shared" si="40"/>
        <v>0</v>
      </c>
      <c r="BT108" s="48">
        <f t="shared" si="41"/>
        <v>0</v>
      </c>
      <c r="BU108" s="48">
        <f t="shared" si="42"/>
        <v>0</v>
      </c>
      <c r="CA108" t="s">
        <v>159</v>
      </c>
    </row>
    <row r="109" spans="1:79" ht="15.75" thickBot="1" x14ac:dyDescent="0.3">
      <c r="A109" s="47">
        <v>98</v>
      </c>
      <c r="B109" s="48">
        <f t="shared" si="29"/>
        <v>268400.36</v>
      </c>
      <c r="C109" s="48">
        <f t="shared" si="43"/>
        <v>237377.31</v>
      </c>
      <c r="D109" s="8"/>
      <c r="E109" s="55" t="str">
        <f>IF('GOLDEN SALUD IND'!$D$8="PÓLIZA NUEVA","",CA109)</f>
        <v/>
      </c>
      <c r="F109" s="17" t="s">
        <v>149</v>
      </c>
      <c r="G109" s="55" t="str">
        <f>IF('GOLDEN SALUD IND'!D8="PÓLIZA NUEVA","",1)</f>
        <v/>
      </c>
      <c r="H109" s="55">
        <v>8</v>
      </c>
      <c r="I109" s="55"/>
      <c r="J109" s="8"/>
      <c r="K109" s="203" t="s">
        <v>606</v>
      </c>
      <c r="L109" s="203"/>
      <c r="M109" s="203"/>
      <c r="N109" s="203"/>
      <c r="O109" s="8"/>
      <c r="P109" s="73" t="s">
        <v>55</v>
      </c>
      <c r="Q109" s="8"/>
      <c r="R109" s="8"/>
      <c r="S109" s="8"/>
      <c r="T109" s="8"/>
      <c r="U109" s="8"/>
      <c r="V109" s="8"/>
      <c r="W109" s="8"/>
      <c r="X109" s="8"/>
      <c r="Y109" s="8"/>
      <c r="Z109" s="8"/>
      <c r="AA109" s="8"/>
      <c r="AB109" s="8"/>
      <c r="AC109" s="8"/>
      <c r="AD109" s="96">
        <v>400000</v>
      </c>
      <c r="AE109" s="97" t="str">
        <f t="shared" si="48"/>
        <v/>
      </c>
      <c r="AF109" s="8"/>
      <c r="AG109" s="8"/>
      <c r="AH109" s="8"/>
      <c r="AI109" s="8"/>
      <c r="AJ109" s="8"/>
      <c r="AK109" s="8"/>
      <c r="AL109" s="8"/>
      <c r="AM109" s="8"/>
      <c r="AN109" s="8"/>
      <c r="AO109" s="8">
        <f t="shared" si="30"/>
        <v>0.8959476702993463</v>
      </c>
      <c r="AP109" s="8">
        <f t="shared" si="28"/>
        <v>0.89594722402514837</v>
      </c>
      <c r="AQ109" s="47">
        <v>98</v>
      </c>
      <c r="AR109" s="193">
        <v>416773.84230000008</v>
      </c>
      <c r="AS109" s="193">
        <v>368602.42860000004</v>
      </c>
      <c r="AT109" s="53">
        <v>222538.53836700003</v>
      </c>
      <c r="AU109" s="53">
        <v>196817.07091500002</v>
      </c>
      <c r="AV109" s="53">
        <v>369848.63614500011</v>
      </c>
      <c r="AW109" s="53">
        <v>327100.53237300005</v>
      </c>
      <c r="AX109" s="53">
        <v>252393.50418300004</v>
      </c>
      <c r="AY109" s="53">
        <v>223220.60428500007</v>
      </c>
      <c r="AZ109" s="53">
        <v>268400.36292350222</v>
      </c>
      <c r="BA109" s="53">
        <v>237377.31046618943</v>
      </c>
      <c r="BB109" s="53">
        <v>211461.87312000006</v>
      </c>
      <c r="BC109" s="53">
        <v>187020.80398800003</v>
      </c>
      <c r="BD109" s="53">
        <v>189458.77257900001</v>
      </c>
      <c r="BE109" s="53">
        <v>167560.77016800002</v>
      </c>
      <c r="BF109" s="53">
        <v>243699.74802883496</v>
      </c>
      <c r="BG109" s="53">
        <v>215532.42391957497</v>
      </c>
      <c r="BH109" s="8"/>
      <c r="BI109" s="47">
        <v>98</v>
      </c>
      <c r="BJ109" s="54">
        <f t="shared" si="31"/>
        <v>0</v>
      </c>
      <c r="BK109" s="54">
        <f t="shared" si="32"/>
        <v>0</v>
      </c>
      <c r="BL109" s="48">
        <f t="shared" si="33"/>
        <v>0</v>
      </c>
      <c r="BM109" s="48">
        <f t="shared" si="34"/>
        <v>0</v>
      </c>
      <c r="BN109" s="48">
        <f t="shared" si="35"/>
        <v>0</v>
      </c>
      <c r="BO109" s="48">
        <f t="shared" si="36"/>
        <v>0</v>
      </c>
      <c r="BP109" s="48">
        <f t="shared" si="37"/>
        <v>0</v>
      </c>
      <c r="BQ109" s="48">
        <f t="shared" si="38"/>
        <v>0</v>
      </c>
      <c r="BR109" s="48">
        <f t="shared" si="39"/>
        <v>0</v>
      </c>
      <c r="BS109" s="48">
        <f t="shared" si="40"/>
        <v>0</v>
      </c>
      <c r="BT109" s="48">
        <f t="shared" si="41"/>
        <v>0</v>
      </c>
      <c r="BU109" s="48">
        <f t="shared" si="42"/>
        <v>0</v>
      </c>
      <c r="CA109" t="s">
        <v>160</v>
      </c>
    </row>
    <row r="110" spans="1:79" ht="15.75" thickBot="1" x14ac:dyDescent="0.3">
      <c r="A110" s="47">
        <v>99</v>
      </c>
      <c r="B110" s="48">
        <f t="shared" si="29"/>
        <v>268400.36</v>
      </c>
      <c r="C110" s="48">
        <f t="shared" si="43"/>
        <v>237377.31</v>
      </c>
      <c r="D110" s="8"/>
      <c r="E110" s="55" t="s">
        <v>161</v>
      </c>
      <c r="F110" s="17" t="s">
        <v>220</v>
      </c>
      <c r="G110" s="55">
        <v>1</v>
      </c>
      <c r="H110" s="55">
        <v>2</v>
      </c>
      <c r="I110" s="55"/>
      <c r="J110" s="8"/>
      <c r="K110" s="137" t="s">
        <v>215</v>
      </c>
      <c r="L110" s="356">
        <v>2641.15</v>
      </c>
      <c r="M110" s="8"/>
      <c r="N110" s="8"/>
      <c r="O110" s="8"/>
      <c r="P110" s="557" t="s">
        <v>164</v>
      </c>
      <c r="Q110" s="559"/>
      <c r="R110" s="8"/>
      <c r="S110" s="8"/>
      <c r="T110" s="8"/>
      <c r="U110" s="8"/>
      <c r="V110" s="8"/>
      <c r="W110" s="8"/>
      <c r="X110" s="8"/>
      <c r="Y110" s="8"/>
      <c r="Z110" s="8"/>
      <c r="AA110" s="8"/>
      <c r="AB110" s="8"/>
      <c r="AC110" s="8"/>
      <c r="AD110" s="96">
        <v>450000</v>
      </c>
      <c r="AE110" s="97" t="str">
        <f t="shared" si="48"/>
        <v/>
      </c>
      <c r="AF110" s="8"/>
      <c r="AG110" s="8"/>
      <c r="AH110" s="8"/>
      <c r="AI110" s="8"/>
      <c r="AJ110" s="8"/>
      <c r="AK110" s="8"/>
      <c r="AL110" s="8"/>
      <c r="AM110" s="8"/>
      <c r="AN110" s="8"/>
      <c r="AO110" s="8">
        <f t="shared" si="30"/>
        <v>0.8959476702993463</v>
      </c>
      <c r="AP110" s="8">
        <f t="shared" si="28"/>
        <v>0.89594722402514837</v>
      </c>
      <c r="AQ110" s="47">
        <v>99</v>
      </c>
      <c r="AR110" s="193">
        <v>416773.84230000008</v>
      </c>
      <c r="AS110" s="193">
        <v>368602.42860000004</v>
      </c>
      <c r="AT110" s="53">
        <v>222538.53836700003</v>
      </c>
      <c r="AU110" s="53">
        <v>196817.07091500002</v>
      </c>
      <c r="AV110" s="53">
        <v>369848.63614500011</v>
      </c>
      <c r="AW110" s="53">
        <v>327100.53237300005</v>
      </c>
      <c r="AX110" s="53">
        <v>252393.50418300004</v>
      </c>
      <c r="AY110" s="53">
        <v>223220.60428500007</v>
      </c>
      <c r="AZ110" s="53">
        <v>268400.36292350222</v>
      </c>
      <c r="BA110" s="53">
        <v>237377.31046618943</v>
      </c>
      <c r="BB110" s="53">
        <v>211461.87312000006</v>
      </c>
      <c r="BC110" s="53">
        <v>187020.80398800003</v>
      </c>
      <c r="BD110" s="53">
        <v>189458.77257900001</v>
      </c>
      <c r="BE110" s="53">
        <v>167560.77016800002</v>
      </c>
      <c r="BF110" s="53">
        <v>243699.74802883496</v>
      </c>
      <c r="BG110" s="53">
        <v>215532.42391957497</v>
      </c>
      <c r="BH110" s="8"/>
      <c r="BI110" s="47">
        <v>99</v>
      </c>
      <c r="BJ110" s="54">
        <f t="shared" si="31"/>
        <v>0</v>
      </c>
      <c r="BK110" s="54">
        <f t="shared" si="32"/>
        <v>0</v>
      </c>
      <c r="BL110" s="48">
        <f t="shared" si="33"/>
        <v>0</v>
      </c>
      <c r="BM110" s="48">
        <f t="shared" si="34"/>
        <v>0</v>
      </c>
      <c r="BN110" s="48">
        <f t="shared" si="35"/>
        <v>0</v>
      </c>
      <c r="BO110" s="48">
        <f t="shared" si="36"/>
        <v>0</v>
      </c>
      <c r="BP110" s="48">
        <f t="shared" si="37"/>
        <v>0</v>
      </c>
      <c r="BQ110" s="48">
        <f t="shared" si="38"/>
        <v>0</v>
      </c>
      <c r="BR110" s="48">
        <f t="shared" si="39"/>
        <v>0</v>
      </c>
      <c r="BS110" s="48">
        <f t="shared" si="40"/>
        <v>0</v>
      </c>
      <c r="BT110" s="48">
        <f t="shared" si="41"/>
        <v>0</v>
      </c>
      <c r="BU110" s="48">
        <f t="shared" si="42"/>
        <v>0</v>
      </c>
      <c r="CA110" t="s">
        <v>161</v>
      </c>
    </row>
    <row r="111" spans="1:79" ht="15.75" thickBot="1" x14ac:dyDescent="0.3">
      <c r="A111" s="167">
        <v>100</v>
      </c>
      <c r="B111" s="168">
        <f t="shared" si="29"/>
        <v>268400.36</v>
      </c>
      <c r="C111" s="168">
        <f t="shared" si="43"/>
        <v>237377.31</v>
      </c>
      <c r="D111" s="8"/>
      <c r="E111" s="149" t="s">
        <v>162</v>
      </c>
      <c r="F111" s="155" t="s">
        <v>153</v>
      </c>
      <c r="G111" s="165">
        <f>IF(AND($B$4=1,'GOLDEN SALUD IND'!$J$10="NO"),0.682,IF(OR('GOLDEN SALUD IND'!$E$18="AA",'GOLDEN SALUD IND'!$E$18="A",'GOLDEN SALUD IND'!$E$18="B"),0.682,1))</f>
        <v>1</v>
      </c>
      <c r="H111" s="150">
        <v>1</v>
      </c>
      <c r="I111" s="151">
        <v>0.1</v>
      </c>
      <c r="J111" s="8"/>
      <c r="K111" s="8"/>
      <c r="L111" s="8"/>
      <c r="M111" s="8"/>
      <c r="N111" s="8"/>
      <c r="O111" s="8"/>
      <c r="P111" s="16" t="s">
        <v>14</v>
      </c>
      <c r="Q111" s="16" t="s">
        <v>81</v>
      </c>
      <c r="R111" s="8"/>
      <c r="S111" s="8"/>
      <c r="T111" s="8"/>
      <c r="U111" s="8"/>
      <c r="V111" s="8"/>
      <c r="W111" s="8"/>
      <c r="X111" s="8"/>
      <c r="Y111" s="8"/>
      <c r="Z111" s="8"/>
      <c r="AA111" s="8"/>
      <c r="AB111" s="8"/>
      <c r="AC111" s="8"/>
      <c r="AD111" s="100">
        <v>500000</v>
      </c>
      <c r="AE111" s="101" t="str">
        <f t="shared" si="48"/>
        <v/>
      </c>
      <c r="AF111" s="8"/>
      <c r="AG111" s="8"/>
      <c r="AH111" s="8"/>
      <c r="AI111" s="8"/>
      <c r="AJ111" s="8"/>
      <c r="AK111" s="8"/>
      <c r="AL111" s="8"/>
      <c r="AM111" s="8"/>
      <c r="AN111" s="8"/>
      <c r="AO111" s="8">
        <f t="shared" si="30"/>
        <v>0.8959476702993463</v>
      </c>
      <c r="AP111" s="8">
        <f t="shared" si="28"/>
        <v>0.89594722402514837</v>
      </c>
      <c r="AQ111" s="167">
        <v>100</v>
      </c>
      <c r="AR111" s="195">
        <v>416773.84230000008</v>
      </c>
      <c r="AS111" s="195">
        <v>368602.42860000004</v>
      </c>
      <c r="AT111" s="169">
        <v>222538.53836700003</v>
      </c>
      <c r="AU111" s="169">
        <v>196817.07091500002</v>
      </c>
      <c r="AV111" s="169">
        <v>369848.63614500011</v>
      </c>
      <c r="AW111" s="169">
        <v>327100.53237300005</v>
      </c>
      <c r="AX111" s="169">
        <v>252393.50418300004</v>
      </c>
      <c r="AY111" s="169">
        <v>223220.60428500007</v>
      </c>
      <c r="AZ111" s="169">
        <v>268400.36292350222</v>
      </c>
      <c r="BA111" s="169">
        <v>237377.31046618943</v>
      </c>
      <c r="BB111" s="169">
        <v>211461.87312000006</v>
      </c>
      <c r="BC111" s="169">
        <v>187020.80398800003</v>
      </c>
      <c r="BD111" s="169">
        <v>189458.77257900001</v>
      </c>
      <c r="BE111" s="169">
        <v>167560.77016800002</v>
      </c>
      <c r="BF111" s="169">
        <v>243699.74802883496</v>
      </c>
      <c r="BG111" s="169">
        <v>215532.42391957497</v>
      </c>
      <c r="BH111" s="8"/>
      <c r="BI111" s="167">
        <v>100</v>
      </c>
      <c r="BJ111" s="170">
        <f t="shared" si="31"/>
        <v>0</v>
      </c>
      <c r="BK111" s="170">
        <f t="shared" si="32"/>
        <v>0</v>
      </c>
      <c r="BL111" s="168">
        <f t="shared" si="33"/>
        <v>0</v>
      </c>
      <c r="BM111" s="168">
        <f t="shared" si="34"/>
        <v>0</v>
      </c>
      <c r="BN111" s="168">
        <f t="shared" si="35"/>
        <v>0</v>
      </c>
      <c r="BO111" s="168">
        <f t="shared" si="36"/>
        <v>0</v>
      </c>
      <c r="BP111" s="168">
        <f t="shared" si="37"/>
        <v>0</v>
      </c>
      <c r="BQ111" s="168">
        <f t="shared" si="38"/>
        <v>0</v>
      </c>
      <c r="BR111" s="168">
        <f t="shared" si="39"/>
        <v>0</v>
      </c>
      <c r="BS111" s="168">
        <f t="shared" si="40"/>
        <v>0</v>
      </c>
      <c r="BT111" s="168">
        <f t="shared" si="41"/>
        <v>0</v>
      </c>
      <c r="BU111" s="168">
        <f t="shared" si="42"/>
        <v>0</v>
      </c>
      <c r="CA111" t="s">
        <v>162</v>
      </c>
    </row>
    <row r="112" spans="1:79" ht="15.75" thickBot="1" x14ac:dyDescent="0.3">
      <c r="A112" s="8"/>
      <c r="B112" s="8"/>
      <c r="C112" s="8"/>
      <c r="D112" s="8"/>
      <c r="E112" s="55" t="str">
        <f>IF('GOLDEN SALUD IND'!$D$8="PÓLIZA NUEVA","",CA112)</f>
        <v/>
      </c>
      <c r="F112" s="55" t="s">
        <v>149</v>
      </c>
      <c r="G112" s="55" t="str">
        <f>IF('GOLDEN SALUD IND'!$D$8="PÓLIZA NUEVA","",1)</f>
        <v/>
      </c>
      <c r="H112" s="55">
        <v>8</v>
      </c>
      <c r="I112" s="55"/>
      <c r="J112" s="8"/>
      <c r="K112" s="8"/>
      <c r="L112" s="8"/>
      <c r="M112" s="8"/>
      <c r="N112" s="8"/>
      <c r="O112" s="8"/>
      <c r="P112" s="171" t="s">
        <v>8</v>
      </c>
      <c r="Q112" s="171">
        <v>1</v>
      </c>
      <c r="R112" s="8"/>
      <c r="S112" s="8"/>
      <c r="T112" s="8"/>
      <c r="U112" s="8"/>
      <c r="V112" s="8"/>
      <c r="W112" s="8"/>
      <c r="X112" s="8"/>
      <c r="Y112" s="8"/>
      <c r="Z112" s="8"/>
      <c r="AA112" s="8"/>
      <c r="AB112" s="8"/>
      <c r="AC112" s="8"/>
      <c r="AD112" s="8"/>
      <c r="AE112" s="8"/>
      <c r="AF112" s="8"/>
      <c r="AG112" s="8"/>
      <c r="AH112" s="8"/>
      <c r="AI112" s="8"/>
      <c r="AJ112" s="8"/>
      <c r="AK112" s="8"/>
      <c r="AL112" s="8"/>
      <c r="AM112" s="8"/>
      <c r="AN112" s="8"/>
      <c r="AO112" s="8"/>
      <c r="AP112" s="8"/>
      <c r="AQ112" s="8"/>
      <c r="AR112" s="8"/>
      <c r="AS112" s="8"/>
      <c r="AT112" s="8"/>
      <c r="AU112" s="8"/>
      <c r="AV112" s="8"/>
      <c r="AW112" s="8"/>
      <c r="AX112" s="8"/>
      <c r="AY112" s="8"/>
      <c r="AZ112" s="8"/>
      <c r="BA112" s="8"/>
      <c r="BB112" s="8"/>
      <c r="BC112" s="8"/>
      <c r="BD112" s="8"/>
      <c r="BE112" s="8"/>
      <c r="BF112" s="8"/>
      <c r="BG112" s="8"/>
      <c r="BH112" s="8"/>
      <c r="BI112" s="8"/>
      <c r="BJ112" s="8"/>
      <c r="BK112" s="8"/>
      <c r="BL112" s="8"/>
      <c r="BM112" s="8"/>
      <c r="BN112" s="8"/>
      <c r="BO112" s="8"/>
      <c r="BP112" s="8"/>
      <c r="BQ112" s="8"/>
      <c r="BR112" s="8"/>
      <c r="BS112" s="8"/>
      <c r="BT112" s="8"/>
      <c r="BU112" s="8"/>
      <c r="CA112" t="s">
        <v>163</v>
      </c>
    </row>
    <row r="113" spans="1:79" ht="15.75" thickBot="1" x14ac:dyDescent="0.3">
      <c r="A113" s="8" t="s">
        <v>197</v>
      </c>
      <c r="B113" s="8" t="str">
        <f>'GOLDEN SALUD IND'!D8</f>
        <v>PÓLIZA NUEVA</v>
      </c>
      <c r="C113" s="8"/>
      <c r="D113" s="8"/>
      <c r="E113" s="55" t="s">
        <v>165</v>
      </c>
      <c r="F113" s="17" t="s">
        <v>64</v>
      </c>
      <c r="G113" s="160">
        <v>1</v>
      </c>
      <c r="H113" s="160">
        <v>5</v>
      </c>
      <c r="I113" s="160"/>
      <c r="J113" s="8"/>
      <c r="K113" s="14" t="s">
        <v>29</v>
      </c>
      <c r="L113" s="14" t="s">
        <v>57</v>
      </c>
      <c r="M113" s="14" t="s">
        <v>29</v>
      </c>
      <c r="N113" s="8"/>
      <c r="O113" s="8"/>
      <c r="P113" s="172" t="s">
        <v>201</v>
      </c>
      <c r="Q113" s="172">
        <v>1.1499999999999999</v>
      </c>
      <c r="R113" s="8"/>
      <c r="S113" s="8"/>
      <c r="T113" s="8"/>
      <c r="U113" s="8"/>
      <c r="V113" s="8"/>
      <c r="W113" s="8"/>
      <c r="X113" s="8"/>
      <c r="Y113" s="8"/>
      <c r="Z113" s="8"/>
      <c r="AA113" s="8"/>
      <c r="AB113" s="14" t="s">
        <v>168</v>
      </c>
      <c r="AC113" s="14" t="s">
        <v>57</v>
      </c>
      <c r="AD113" s="14" t="s">
        <v>169</v>
      </c>
      <c r="AE113" s="103" t="s">
        <v>89</v>
      </c>
      <c r="CA113" t="s">
        <v>165</v>
      </c>
    </row>
    <row r="114" spans="1:79" ht="15.75" thickBot="1" x14ac:dyDescent="0.3">
      <c r="A114" s="8"/>
      <c r="B114" s="8"/>
      <c r="C114" s="8"/>
      <c r="D114" s="8"/>
      <c r="E114" s="55" t="s">
        <v>166</v>
      </c>
      <c r="F114" s="17" t="s">
        <v>143</v>
      </c>
      <c r="G114" s="55">
        <v>0.56979999999999997</v>
      </c>
      <c r="H114" s="55">
        <v>1</v>
      </c>
      <c r="I114" s="159">
        <v>0.1</v>
      </c>
      <c r="J114" s="8"/>
      <c r="K114" s="88" t="s">
        <v>119</v>
      </c>
      <c r="L114" s="88">
        <v>3</v>
      </c>
      <c r="M114" s="88" t="s">
        <v>119</v>
      </c>
      <c r="N114" s="8"/>
      <c r="O114" s="8"/>
      <c r="P114" s="173" t="s">
        <v>202</v>
      </c>
      <c r="Q114" s="198">
        <v>1.3</v>
      </c>
      <c r="R114" s="8"/>
      <c r="S114" s="8"/>
      <c r="T114" s="8"/>
      <c r="U114" s="8"/>
      <c r="V114" s="8"/>
      <c r="W114" s="8"/>
      <c r="X114" s="8"/>
      <c r="Y114" s="8"/>
      <c r="Z114" s="8"/>
      <c r="AA114" s="8"/>
      <c r="AB114" s="92" t="str">
        <f>IF(AND('GOLDEN SALUD IND'!G36&gt;19,'GOLDEN SALUD IND'!G36&lt;56,'GOLDEN SALUD IND'!F36="F"),'GOLDEN SALUD IND'!G36,"")</f>
        <v/>
      </c>
      <c r="AC114" s="92" t="str">
        <f>IF(AB114="","",VLOOKUP(AB114,$Y$10:$AH$19,10,TRUE))</f>
        <v/>
      </c>
      <c r="AD114" s="93">
        <v>250000</v>
      </c>
      <c r="AE114" s="94" t="str">
        <f t="shared" ref="AE114:AE119" si="49">IF($B$125="NO","",IF($AB$114=""," ",IF(HLOOKUP(AD114,$AB$9:$AG$19,$AC$114,FALSE)&lt;3000,AD114," ")))</f>
        <v/>
      </c>
      <c r="CA114" t="s">
        <v>166</v>
      </c>
    </row>
    <row r="115" spans="1:79" ht="15.75" thickBot="1" x14ac:dyDescent="0.3">
      <c r="A115" s="174" t="s">
        <v>132</v>
      </c>
      <c r="B115" s="16" t="str">
        <f>+'GOLDEN SALUD IND'!D12</f>
        <v>Nuevo León</v>
      </c>
      <c r="C115" s="8"/>
      <c r="D115" s="8"/>
      <c r="E115" s="55" t="s">
        <v>167</v>
      </c>
      <c r="F115" s="63" t="s">
        <v>143</v>
      </c>
      <c r="G115" s="55">
        <v>0.56979999999999997</v>
      </c>
      <c r="H115" s="55">
        <v>1</v>
      </c>
      <c r="I115" s="159">
        <v>0.1</v>
      </c>
      <c r="J115" s="8"/>
      <c r="K115" s="141" t="s">
        <v>121</v>
      </c>
      <c r="L115" s="141">
        <v>2</v>
      </c>
      <c r="M115" s="141" t="s">
        <v>121</v>
      </c>
      <c r="N115" s="8"/>
      <c r="O115" s="8"/>
      <c r="P115" s="8"/>
      <c r="Q115" s="8"/>
      <c r="R115" s="8"/>
      <c r="S115" s="8"/>
      <c r="T115" s="8"/>
      <c r="U115" s="8"/>
      <c r="V115" s="8"/>
      <c r="W115" s="8"/>
      <c r="X115" s="8"/>
      <c r="Y115" s="8"/>
      <c r="Z115" s="8"/>
      <c r="AA115" s="8"/>
      <c r="AB115" s="8"/>
      <c r="AC115" s="8"/>
      <c r="AD115" s="96">
        <v>300000</v>
      </c>
      <c r="AE115" s="97" t="str">
        <f t="shared" si="49"/>
        <v/>
      </c>
      <c r="CA115" t="s">
        <v>167</v>
      </c>
    </row>
    <row r="116" spans="1:79" ht="15.75" thickBot="1" x14ac:dyDescent="0.3">
      <c r="A116" s="174" t="s">
        <v>172</v>
      </c>
      <c r="B116" s="175" t="str">
        <f>+'GOLDEN SALUD IND'!E15</f>
        <v>Sin Límite</v>
      </c>
      <c r="C116" s="176">
        <f ca="1">IF(ISERROR(VLOOKUP(B116,$G$11:$H$73,2,FALSE))=TRUE,0,VLOOKUP(B116,$G$11:$H$73,2,FALSE))</f>
        <v>1.4075</v>
      </c>
      <c r="D116" s="8"/>
      <c r="E116" s="55" t="s">
        <v>170</v>
      </c>
      <c r="F116" s="17" t="s">
        <v>136</v>
      </c>
      <c r="G116" s="160">
        <v>1</v>
      </c>
      <c r="H116" s="160">
        <v>2</v>
      </c>
      <c r="I116" s="160"/>
      <c r="J116" s="201" t="s">
        <v>200</v>
      </c>
      <c r="K116" s="8"/>
      <c r="L116" s="8"/>
      <c r="M116" s="8"/>
      <c r="N116" s="8"/>
      <c r="O116" s="8"/>
      <c r="P116" s="73" t="s">
        <v>55</v>
      </c>
      <c r="Q116" s="8"/>
      <c r="R116" s="8"/>
      <c r="S116" s="8"/>
      <c r="T116" s="8"/>
      <c r="U116" s="8"/>
      <c r="V116" s="8"/>
      <c r="W116" s="8"/>
      <c r="X116" s="8"/>
      <c r="Y116" s="8"/>
      <c r="Z116" s="8"/>
      <c r="AA116" s="8"/>
      <c r="AB116" s="8"/>
      <c r="AC116" s="8"/>
      <c r="AD116" s="96">
        <v>350000</v>
      </c>
      <c r="AE116" s="97" t="str">
        <f t="shared" si="49"/>
        <v/>
      </c>
      <c r="CA116" t="s">
        <v>170</v>
      </c>
    </row>
    <row r="117" spans="1:79" ht="15.75" thickBot="1" x14ac:dyDescent="0.3">
      <c r="A117" s="174" t="s">
        <v>174</v>
      </c>
      <c r="B117" s="175" t="str">
        <f>'GOLDEN SALUD IND'!E16</f>
        <v>19.1</v>
      </c>
      <c r="C117" s="176">
        <f>IF(ISERROR(VLOOKUP(B117,$K$18:$L$94,2,FALSE))=TRUE, 0, VLOOKUP(B117,$K$18:$L$94,2,FALSE))</f>
        <v>0.4229</v>
      </c>
      <c r="D117" s="8"/>
      <c r="E117" s="156" t="s">
        <v>171</v>
      </c>
      <c r="F117" s="156" t="s">
        <v>141</v>
      </c>
      <c r="G117" s="156">
        <v>0.4274</v>
      </c>
      <c r="H117" s="156">
        <v>1</v>
      </c>
      <c r="I117" s="158">
        <v>0.1</v>
      </c>
      <c r="J117" s="177"/>
      <c r="K117" s="8"/>
      <c r="L117" s="8"/>
      <c r="M117" s="8"/>
      <c r="N117" s="8"/>
      <c r="O117" s="8"/>
      <c r="P117" s="557" t="s">
        <v>176</v>
      </c>
      <c r="Q117" s="559"/>
      <c r="R117" s="8"/>
      <c r="S117" s="8"/>
      <c r="T117" s="8"/>
      <c r="U117" s="8"/>
      <c r="V117" s="8"/>
      <c r="W117" s="8"/>
      <c r="X117" s="8"/>
      <c r="Y117" s="8"/>
      <c r="Z117" s="8"/>
      <c r="AA117" s="8"/>
      <c r="AB117" s="8"/>
      <c r="AC117" s="8"/>
      <c r="AD117" s="96">
        <v>400000</v>
      </c>
      <c r="AE117" s="97" t="str">
        <f t="shared" si="49"/>
        <v/>
      </c>
      <c r="CA117" t="s">
        <v>171</v>
      </c>
    </row>
    <row r="118" spans="1:79" ht="15.75" thickBot="1" x14ac:dyDescent="0.3">
      <c r="A118" s="174" t="s">
        <v>177</v>
      </c>
      <c r="B118" s="179">
        <f>'GOLDEN SALUD IND'!E17</f>
        <v>0.1</v>
      </c>
      <c r="C118" s="207">
        <f>VLOOKUP(B118,$P$11:$Q$21,2,FALSE)</f>
        <v>1</v>
      </c>
      <c r="E118" s="55" t="s">
        <v>173</v>
      </c>
      <c r="F118" s="17" t="s">
        <v>136</v>
      </c>
      <c r="G118" s="160">
        <v>1</v>
      </c>
      <c r="H118" s="160" t="str">
        <f>IF('GOLDEN SALUD IND'!D12="San Luís Potosí",IF(B4=2,IF(IFERROR(VLOOKUP(B3,SLP!A2:C205,2,FALSE),"BAJIO")="BAJIO",2,IF('GOLDEN SALUD IND'!J10="SI",7,6)),IF('GOLDEN SALUD IND'!J10="SI",6,7)),"NO APLICA")</f>
        <v>NO APLICA</v>
      </c>
      <c r="I118" s="200">
        <v>0.1</v>
      </c>
      <c r="J118" s="8"/>
      <c r="K118" s="8"/>
      <c r="L118" s="8"/>
      <c r="M118" s="8"/>
      <c r="N118" s="8"/>
      <c r="O118" s="8"/>
      <c r="P118" s="16" t="s">
        <v>179</v>
      </c>
      <c r="Q118" s="16" t="s">
        <v>81</v>
      </c>
      <c r="R118" s="8"/>
      <c r="S118" s="8"/>
      <c r="T118" s="8"/>
      <c r="U118" s="8"/>
      <c r="V118" s="8"/>
      <c r="W118" s="8"/>
      <c r="X118" s="8"/>
      <c r="Y118" s="8"/>
      <c r="Z118" s="8"/>
      <c r="AA118" s="8"/>
      <c r="AB118" s="8"/>
      <c r="AC118" s="8"/>
      <c r="AD118" s="96">
        <v>450000</v>
      </c>
      <c r="AE118" s="97" t="str">
        <f t="shared" si="49"/>
        <v/>
      </c>
      <c r="CA118" t="s">
        <v>173</v>
      </c>
    </row>
    <row r="119" spans="1:79" ht="15.75" thickBot="1" x14ac:dyDescent="0.3">
      <c r="A119" s="174" t="s">
        <v>180</v>
      </c>
      <c r="B119" s="179" t="str">
        <f>'GOLDEN SALUD IND'!E18</f>
        <v>0</v>
      </c>
      <c r="C119" s="176">
        <f>IF(ISERROR(VLOOKUP(B119,$R$50:$S$56,2,FALSE)),0,VLOOKUP(B119,$R$50:$S$56,2,FALSE))</f>
        <v>1</v>
      </c>
      <c r="D119" s="8"/>
      <c r="E119" s="55" t="s">
        <v>175</v>
      </c>
      <c r="F119" s="63" t="s">
        <v>220</v>
      </c>
      <c r="G119" s="55">
        <v>1</v>
      </c>
      <c r="H119" s="55">
        <v>2</v>
      </c>
      <c r="I119" s="55"/>
      <c r="J119" s="8"/>
      <c r="K119" s="8"/>
      <c r="L119" s="8"/>
      <c r="M119" s="8"/>
      <c r="N119" s="8"/>
      <c r="O119" s="8"/>
      <c r="P119" s="171" t="s">
        <v>8</v>
      </c>
      <c r="Q119" s="171">
        <v>1</v>
      </c>
      <c r="R119" s="8"/>
      <c r="S119" s="8"/>
      <c r="T119" s="8"/>
      <c r="U119" s="8"/>
      <c r="V119" s="8"/>
      <c r="W119" s="8"/>
      <c r="X119" s="8"/>
      <c r="Y119" s="8"/>
      <c r="Z119" s="8"/>
      <c r="AA119" s="8"/>
      <c r="AB119" s="8"/>
      <c r="AC119" s="8"/>
      <c r="AD119" s="100">
        <v>500000</v>
      </c>
      <c r="AE119" s="101" t="str">
        <f t="shared" si="49"/>
        <v/>
      </c>
      <c r="CA119" t="s">
        <v>175</v>
      </c>
    </row>
    <row r="120" spans="1:79" ht="15.75" thickBot="1" x14ac:dyDescent="0.3">
      <c r="A120" s="174" t="s">
        <v>182</v>
      </c>
      <c r="B120" s="16">
        <f>+'GOLDEN SALUD IND'!E19</f>
        <v>24</v>
      </c>
      <c r="C120" s="176">
        <f>IF(ISERROR(VLOOKUP(B120,$R$60:$S$71,2,FALSE))=TRUE,0,VLOOKUP(B120,$R$60:$S$71,2,FALSE))</f>
        <v>1.0549999999999999</v>
      </c>
      <c r="D120" s="8"/>
      <c r="E120" s="149" t="s">
        <v>178</v>
      </c>
      <c r="F120" s="155" t="s">
        <v>303</v>
      </c>
      <c r="G120" s="150">
        <v>0.49159999999999998</v>
      </c>
      <c r="H120" s="149">
        <v>1</v>
      </c>
      <c r="I120" s="151"/>
      <c r="J120" s="8"/>
      <c r="K120" s="8"/>
      <c r="L120" s="8"/>
      <c r="M120" s="8"/>
      <c r="N120" s="8"/>
      <c r="O120" s="8"/>
      <c r="P120" s="173" t="s">
        <v>18</v>
      </c>
      <c r="Q120" s="173">
        <v>1.04</v>
      </c>
      <c r="R120" s="8"/>
      <c r="S120" s="8"/>
      <c r="T120" s="8"/>
      <c r="U120" s="8"/>
      <c r="V120" s="8"/>
      <c r="W120" s="8"/>
      <c r="X120" s="8"/>
      <c r="Y120" s="8"/>
      <c r="Z120" s="8"/>
      <c r="AA120" s="8"/>
      <c r="AB120" s="8"/>
      <c r="AC120" s="8"/>
      <c r="AD120" s="8"/>
      <c r="AE120" s="8"/>
      <c r="CA120" t="s">
        <v>178</v>
      </c>
    </row>
    <row r="121" spans="1:79" ht="15.75" thickBot="1" x14ac:dyDescent="0.3">
      <c r="A121" s="174" t="s">
        <v>184</v>
      </c>
      <c r="B121" s="16" t="str">
        <f>'GOLDEN SALUD IND'!L15</f>
        <v>SA 100,000 dlls</v>
      </c>
      <c r="C121" s="176">
        <f>VLOOKUP(B121,$P$25:$Q$28,2,FALSE)</f>
        <v>1.0580000000000001</v>
      </c>
      <c r="D121" s="8"/>
      <c r="E121" s="156" t="s">
        <v>181</v>
      </c>
      <c r="F121" s="178" t="s">
        <v>141</v>
      </c>
      <c r="G121" s="156">
        <v>0.4274</v>
      </c>
      <c r="H121" s="156">
        <v>1</v>
      </c>
      <c r="I121" s="158">
        <v>0.1</v>
      </c>
      <c r="J121" s="8"/>
      <c r="K121" s="14" t="s">
        <v>128</v>
      </c>
      <c r="L121" s="209"/>
      <c r="N121" s="8"/>
      <c r="O121" s="8"/>
      <c r="P121" s="8"/>
      <c r="Q121" s="8"/>
      <c r="R121" s="8"/>
      <c r="S121" s="8"/>
      <c r="T121" s="8"/>
      <c r="U121" s="8"/>
      <c r="V121" s="8"/>
      <c r="W121" s="8"/>
      <c r="X121" s="8"/>
      <c r="Y121" s="8"/>
      <c r="Z121" s="8"/>
      <c r="AA121" s="8"/>
      <c r="AB121" s="8"/>
      <c r="AC121" s="8"/>
      <c r="AD121" s="8"/>
      <c r="AE121" s="8"/>
      <c r="CA121" t="s">
        <v>181</v>
      </c>
    </row>
    <row r="122" spans="1:79" ht="15.75" thickBot="1" x14ac:dyDescent="0.3">
      <c r="A122" s="174" t="s">
        <v>186</v>
      </c>
      <c r="B122" s="16" t="str">
        <f>'GOLDEN SALUD IND'!L16</f>
        <v>NO</v>
      </c>
      <c r="C122" s="176">
        <f>VLOOKUP(B122,P41:Q45,2,FALSE)</f>
        <v>1</v>
      </c>
      <c r="D122" s="8"/>
      <c r="E122" s="55" t="s">
        <v>183</v>
      </c>
      <c r="F122" s="17" t="s">
        <v>64</v>
      </c>
      <c r="G122" s="160">
        <v>1</v>
      </c>
      <c r="H122" s="160">
        <v>4</v>
      </c>
      <c r="I122" s="160"/>
      <c r="J122" s="8"/>
      <c r="K122" s="208">
        <v>50000</v>
      </c>
      <c r="L122" s="215" t="str">
        <f>IF(AND($B$118=0.1,OR(VLOOKUP($B$115,$E$95:$F$127,2)="BAJIO",VLOOKUP($B$115,$E$95:$F$127,2)="OCCIDENTE",VLOOKUP($B$115,$E$95:$F$127,2)="OCCIDENTE_2",VLOOKUP($B$115,$E$95:$F$127,2)="NORESTE",VLOOKUP($B$115,$E$95:$F$127,2)="NUEVO LEÓN")),"1.1000","1.0000")</f>
        <v>1.1000</v>
      </c>
      <c r="N122" s="8"/>
      <c r="O122" s="8"/>
      <c r="P122" s="562" t="s">
        <v>219</v>
      </c>
      <c r="Q122" s="563"/>
      <c r="R122" s="563"/>
      <c r="S122" s="563"/>
      <c r="T122" s="563"/>
      <c r="U122" s="8"/>
      <c r="V122" s="8"/>
      <c r="W122" s="8"/>
      <c r="X122" s="8"/>
      <c r="Y122" s="8"/>
      <c r="Z122" s="8"/>
      <c r="AA122" s="8"/>
      <c r="AB122" s="8"/>
      <c r="AC122" s="8"/>
      <c r="AD122" s="8"/>
      <c r="AE122" s="8"/>
      <c r="CA122" t="s">
        <v>183</v>
      </c>
    </row>
    <row r="123" spans="1:79" ht="15.75" thickBot="1" x14ac:dyDescent="0.3">
      <c r="A123" s="174" t="s">
        <v>188</v>
      </c>
      <c r="B123" s="179" t="str">
        <f>'GOLDEN SALUD IND'!L17</f>
        <v>NO</v>
      </c>
      <c r="C123" s="180">
        <f>VLOOKUP(B123,$P$32:$Q$35,2,FALSE)</f>
        <v>0</v>
      </c>
      <c r="D123" s="8"/>
      <c r="E123" s="55" t="s">
        <v>185</v>
      </c>
      <c r="F123" s="55" t="s">
        <v>143</v>
      </c>
      <c r="G123" s="55">
        <v>0.56979999999999997</v>
      </c>
      <c r="H123" s="55">
        <v>1</v>
      </c>
      <c r="I123" s="159">
        <v>0.1</v>
      </c>
      <c r="J123" s="8"/>
      <c r="K123" s="208">
        <v>40000</v>
      </c>
      <c r="L123" s="215" t="str">
        <f>IF(AND($B$118=0.1,OR(VLOOKUP($B$115,$E$95:$F$127,2)="BAJIO",VLOOKUP($B$115,$E$95:$F$127,2)="OCCIDENTE",VLOOKUP($B$115,$E$95:$F$127,2)="OCCIDENTE_2",VLOOKUP($B$115,$E$95:$F$127,2)="NORESTE",VLOOKUP($B$115,$E$95:$F$127,2)="NUEVO LEÓN")),"1.1550","1.0500")</f>
        <v>1.1550</v>
      </c>
      <c r="O123" s="8"/>
      <c r="P123" s="16" t="s">
        <v>66</v>
      </c>
      <c r="Q123" s="16" t="s">
        <v>67</v>
      </c>
      <c r="R123" s="16" t="s">
        <v>68</v>
      </c>
      <c r="S123" s="16" t="s">
        <v>224</v>
      </c>
      <c r="T123" s="16" t="s">
        <v>225</v>
      </c>
      <c r="U123" s="8"/>
      <c r="V123" s="8"/>
      <c r="W123" s="8"/>
      <c r="Z123" s="222" t="s">
        <v>510</v>
      </c>
      <c r="AA123" s="222" t="s">
        <v>511</v>
      </c>
      <c r="AB123" s="222" t="s">
        <v>65</v>
      </c>
      <c r="AC123" s="222" t="s">
        <v>64</v>
      </c>
      <c r="AD123" s="222" t="s">
        <v>143</v>
      </c>
      <c r="AE123" s="222" t="s">
        <v>136</v>
      </c>
      <c r="AF123" s="222" t="s">
        <v>512</v>
      </c>
      <c r="AG123" s="222" t="s">
        <v>149</v>
      </c>
      <c r="AH123" s="222" t="s">
        <v>303</v>
      </c>
      <c r="AI123" s="222" t="s">
        <v>141</v>
      </c>
      <c r="CA123" t="s">
        <v>185</v>
      </c>
    </row>
    <row r="124" spans="1:79" ht="15.75" thickBot="1" x14ac:dyDescent="0.3">
      <c r="A124" s="174" t="s">
        <v>23</v>
      </c>
      <c r="B124" s="179" t="str">
        <f>'GOLDEN SALUD IND'!L18</f>
        <v>NO</v>
      </c>
      <c r="C124" s="180">
        <f>VLOOKUP(B124,$P$75:$Q$80,2,FALSE)</f>
        <v>0</v>
      </c>
      <c r="D124" s="8"/>
      <c r="E124" s="55" t="s">
        <v>187</v>
      </c>
      <c r="F124" s="17" t="s">
        <v>143</v>
      </c>
      <c r="G124" s="55">
        <v>0.56979999999999997</v>
      </c>
      <c r="H124" s="55">
        <v>1</v>
      </c>
      <c r="I124" s="159">
        <v>0.1</v>
      </c>
      <c r="J124" s="8"/>
      <c r="K124" s="208">
        <v>30000</v>
      </c>
      <c r="L124" s="215" t="str">
        <f>IF(AND($B$118=0.1,OR(VLOOKUP($B$115,$E$95:$F$127,2)="BAJIO",VLOOKUP($B$115,$E$95:$F$127,2)="OCCIDENTE",VLOOKUP($B$115,$E$95:$F$127,2)="OCCIDENTE_2",VLOOKUP($B$115,$E$95:$F$127,2)="NORESTE",VLOOKUP($B$115,$E$95:$F$127,2)="NUEVO LEÓN")),"1.1770","1.0700")</f>
        <v>1.1770</v>
      </c>
      <c r="O124" s="8"/>
      <c r="P124" s="26">
        <v>0</v>
      </c>
      <c r="Q124" s="210">
        <v>1</v>
      </c>
      <c r="R124" s="210">
        <v>1</v>
      </c>
      <c r="S124" s="216">
        <f>IF($B$4=1,Q124,1)</f>
        <v>1</v>
      </c>
      <c r="T124" s="217">
        <f>IF($B$4=1,R124,1)</f>
        <v>1</v>
      </c>
      <c r="U124" s="8"/>
      <c r="V124" s="8"/>
      <c r="W124" s="8"/>
      <c r="X124" s="571" t="s">
        <v>525</v>
      </c>
      <c r="Y124" s="222" t="s">
        <v>513</v>
      </c>
      <c r="Z124" s="223">
        <v>0</v>
      </c>
      <c r="AA124" s="224">
        <v>0</v>
      </c>
      <c r="AB124" s="224">
        <v>0</v>
      </c>
      <c r="AC124" s="224">
        <v>0</v>
      </c>
      <c r="AD124" s="224">
        <v>0</v>
      </c>
      <c r="AE124" s="224">
        <v>0</v>
      </c>
      <c r="AF124" s="224">
        <v>0</v>
      </c>
      <c r="AG124" s="224">
        <v>0</v>
      </c>
      <c r="AH124" s="224">
        <v>0</v>
      </c>
      <c r="AI124" s="224">
        <v>0</v>
      </c>
      <c r="CA124" t="s">
        <v>187</v>
      </c>
    </row>
    <row r="125" spans="1:79" ht="15.75" thickBot="1" x14ac:dyDescent="0.3">
      <c r="A125" s="174" t="s">
        <v>191</v>
      </c>
      <c r="B125" s="179" t="str">
        <f>'GOLDEN SALUD IND'!L19</f>
        <v>NO</v>
      </c>
      <c r="C125" s="8"/>
      <c r="D125" s="8"/>
      <c r="E125" s="156" t="s">
        <v>189</v>
      </c>
      <c r="F125" s="178" t="s">
        <v>141</v>
      </c>
      <c r="G125" s="156">
        <v>0.4274</v>
      </c>
      <c r="H125" s="156">
        <v>1</v>
      </c>
      <c r="I125" s="158">
        <v>0.1</v>
      </c>
      <c r="J125" s="8"/>
      <c r="K125" s="88" t="str">
        <f>IF(AND($B$118=0.1,OR(VLOOKUP($B$115,$E$95:$F$127,2)="BAJIO",VLOOKUP($B$115,$E$95:$F$127,2)="OCCIDENTE",VLOOKUP($B$115,$E$95:$F$127,2)="OCCIDENTE_2",VLOOKUP($B$115,$E$95:$F$127,2)="NORESTE",VLOOKUP($B$115,$E$95:$F$127,2)="NUEVO LEÓN")),"NO","")</f>
        <v>NO</v>
      </c>
      <c r="L125" s="215" t="str">
        <f>IF(AND($B$118=0.1,OR(VLOOKUP($B$115,$E$95:$F$127,2)="BAJIO",VLOOKUP($B$115,$E$95:$F$127,2)="OCCIDENTE",VLOOKUP($B$115,$E$95:$F$127,2)="OCCIDENTE_2",VLOOKUP($B$115,$E$95:$F$127,2)="NORESTE",VLOOKUP($B$115,$E$95:$F$127,2)="NUEVO LEÓN")),"1.0","")</f>
        <v>1.0</v>
      </c>
      <c r="O125" s="8"/>
      <c r="P125" s="47">
        <v>1</v>
      </c>
      <c r="Q125" s="211">
        <v>1</v>
      </c>
      <c r="R125" s="211">
        <v>1</v>
      </c>
      <c r="S125" s="216">
        <f t="shared" ref="S125:S188" si="50">IF($B$4=1,Q125,1)</f>
        <v>1</v>
      </c>
      <c r="T125" s="217">
        <f t="shared" ref="T125:T188" si="51">IF($B$4=1,R125,1)</f>
        <v>1</v>
      </c>
      <c r="U125" s="8"/>
      <c r="V125" s="8"/>
      <c r="W125" s="8"/>
      <c r="X125" s="572"/>
      <c r="Y125" s="222" t="s">
        <v>152</v>
      </c>
      <c r="Z125" s="225">
        <v>0.2</v>
      </c>
      <c r="AA125" s="224">
        <v>0</v>
      </c>
      <c r="AB125" s="224">
        <v>0</v>
      </c>
      <c r="AC125" s="224">
        <v>0</v>
      </c>
      <c r="AD125" s="224">
        <v>0</v>
      </c>
      <c r="AE125" s="224">
        <v>0</v>
      </c>
      <c r="AF125" s="224">
        <v>0</v>
      </c>
      <c r="AG125" s="224">
        <v>0</v>
      </c>
      <c r="AH125" s="224">
        <v>0</v>
      </c>
      <c r="AI125" s="224">
        <v>0</v>
      </c>
      <c r="CA125" t="s">
        <v>189</v>
      </c>
    </row>
    <row r="126" spans="1:79" ht="15.75" thickBot="1" x14ac:dyDescent="0.3">
      <c r="A126" s="174" t="s">
        <v>192</v>
      </c>
      <c r="B126" s="179" t="str">
        <f>'GOLDEN SALUD IND'!L20</f>
        <v>NO</v>
      </c>
      <c r="C126" s="180">
        <f>VLOOKUP(B126,$P$112:$Q$114,2,FALSE)</f>
        <v>1</v>
      </c>
      <c r="D126" s="8"/>
      <c r="E126" s="55" t="s">
        <v>190</v>
      </c>
      <c r="F126" s="63" t="s">
        <v>136</v>
      </c>
      <c r="G126" s="160">
        <v>1</v>
      </c>
      <c r="H126" s="160">
        <v>2</v>
      </c>
      <c r="I126" s="160"/>
      <c r="J126" s="8"/>
      <c r="O126" s="8"/>
      <c r="P126" s="47">
        <v>2</v>
      </c>
      <c r="Q126" s="211">
        <v>1</v>
      </c>
      <c r="R126" s="211">
        <v>1</v>
      </c>
      <c r="S126" s="216">
        <f t="shared" si="50"/>
        <v>1</v>
      </c>
      <c r="T126" s="217">
        <f t="shared" si="51"/>
        <v>1</v>
      </c>
      <c r="U126" s="8"/>
      <c r="V126" s="8"/>
      <c r="W126" s="8"/>
      <c r="X126" s="572"/>
      <c r="Y126" s="222" t="s">
        <v>165</v>
      </c>
      <c r="Z126" s="225">
        <v>0.1</v>
      </c>
      <c r="AA126" s="226">
        <v>0.1</v>
      </c>
      <c r="AB126" s="224">
        <v>0</v>
      </c>
      <c r="AC126" s="224">
        <v>0</v>
      </c>
      <c r="AD126" s="224">
        <v>0</v>
      </c>
      <c r="AE126" s="224">
        <v>0</v>
      </c>
      <c r="AF126" s="224">
        <v>0</v>
      </c>
      <c r="AG126" s="224">
        <v>0</v>
      </c>
      <c r="AH126" s="224">
        <v>0</v>
      </c>
      <c r="AI126" s="224">
        <v>0</v>
      </c>
      <c r="CA126" t="s">
        <v>190</v>
      </c>
    </row>
    <row r="127" spans="1:79" ht="15.75" thickBot="1" x14ac:dyDescent="0.3">
      <c r="A127" s="174" t="s">
        <v>193</v>
      </c>
      <c r="B127" s="179" t="str">
        <f>'GOLDEN SALUD IND'!L21</f>
        <v>SI</v>
      </c>
      <c r="C127" s="180">
        <f>VLOOKUP(B127,$P$119:$Q$120,2,FALSE)</f>
        <v>1.04</v>
      </c>
      <c r="D127" s="8"/>
      <c r="E127" s="83" t="s">
        <v>63</v>
      </c>
      <c r="F127" s="83" t="s">
        <v>63</v>
      </c>
      <c r="G127" s="83">
        <v>1</v>
      </c>
      <c r="H127" s="83">
        <v>3</v>
      </c>
      <c r="I127" s="83"/>
      <c r="J127" s="8"/>
      <c r="L127" s="8"/>
      <c r="O127" s="8"/>
      <c r="P127" s="47">
        <v>3</v>
      </c>
      <c r="Q127" s="211">
        <v>1</v>
      </c>
      <c r="R127" s="211">
        <v>1</v>
      </c>
      <c r="S127" s="216">
        <f t="shared" si="50"/>
        <v>1</v>
      </c>
      <c r="T127" s="217">
        <f t="shared" si="51"/>
        <v>1</v>
      </c>
      <c r="U127" s="8"/>
      <c r="V127" s="8"/>
      <c r="W127" s="8"/>
      <c r="X127" s="572"/>
      <c r="Y127" s="222" t="s">
        <v>514</v>
      </c>
      <c r="Z127" s="225">
        <v>0.1</v>
      </c>
      <c r="AA127" s="226">
        <v>0.1</v>
      </c>
      <c r="AB127" s="226">
        <v>0.1</v>
      </c>
      <c r="AC127" s="224">
        <v>0</v>
      </c>
      <c r="AD127" s="224">
        <v>0</v>
      </c>
      <c r="AE127" s="224">
        <v>0</v>
      </c>
      <c r="AF127" s="224">
        <v>0</v>
      </c>
      <c r="AG127" s="224">
        <v>0</v>
      </c>
      <c r="AH127" s="224">
        <v>0</v>
      </c>
      <c r="AI127" s="224">
        <v>0</v>
      </c>
      <c r="CA127" t="s">
        <v>63</v>
      </c>
    </row>
    <row r="128" spans="1:79" ht="15.75" thickBot="1" x14ac:dyDescent="0.3">
      <c r="A128" s="174" t="s">
        <v>128</v>
      </c>
      <c r="B128" s="357">
        <f>IF(B118=0.1,'GOLDEN SALUD IND'!E23,"")</f>
        <v>40000</v>
      </c>
      <c r="C128" s="180" t="str">
        <f>IF(B118=0.1,VLOOKUP(B128,$K$122:$L$125,2,FALSE),1)</f>
        <v>1.1550</v>
      </c>
      <c r="D128" s="8"/>
      <c r="E128" s="63"/>
      <c r="F128" s="63"/>
      <c r="G128" s="63"/>
      <c r="H128" s="63"/>
      <c r="I128" s="8"/>
      <c r="J128" s="8"/>
      <c r="K128" s="152"/>
      <c r="L128" s="8"/>
      <c r="N128" s="8"/>
      <c r="O128" s="8"/>
      <c r="P128" s="47">
        <v>4</v>
      </c>
      <c r="Q128" s="211">
        <v>1</v>
      </c>
      <c r="R128" s="211">
        <v>1</v>
      </c>
      <c r="S128" s="216">
        <f t="shared" si="50"/>
        <v>1</v>
      </c>
      <c r="T128" s="217">
        <f t="shared" si="51"/>
        <v>1</v>
      </c>
      <c r="U128" s="8"/>
      <c r="V128" s="8"/>
      <c r="W128" s="8"/>
      <c r="X128" s="572"/>
      <c r="Y128" s="222" t="s">
        <v>515</v>
      </c>
      <c r="Z128" s="225">
        <v>0.1</v>
      </c>
      <c r="AA128" s="226">
        <v>0.1</v>
      </c>
      <c r="AB128" s="226">
        <v>0.1</v>
      </c>
      <c r="AC128" s="226">
        <v>0.1</v>
      </c>
      <c r="AD128" s="224">
        <v>0</v>
      </c>
      <c r="AE128" s="224">
        <v>0</v>
      </c>
      <c r="AF128" s="224">
        <v>0</v>
      </c>
      <c r="AG128" s="224">
        <v>0</v>
      </c>
      <c r="AH128" s="224">
        <v>0</v>
      </c>
      <c r="AI128" s="224">
        <v>0</v>
      </c>
    </row>
    <row r="129" spans="1:35" ht="15.75" thickBot="1" x14ac:dyDescent="0.3">
      <c r="A129" s="174" t="s">
        <v>155</v>
      </c>
      <c r="B129" s="179" t="str">
        <f>'GOLDEN SALUD IND'!L22</f>
        <v>SI</v>
      </c>
      <c r="C129" s="180">
        <f>'GOLDEN SALUD IND'!I23</f>
        <v>19.100000000000001</v>
      </c>
      <c r="D129" s="180">
        <f>IF(AND(B4=1,C129&gt;=4,C129&lt;=10,B129="SI"),VLOOKUP(C129,$P$93:$R$99,3,TRUE),IF(AND(B4=2,C129&gt;=4,C129&lt;=10,B129="SI"),VLOOKUP(C129,$P$93:$R$99,3,TRUE),0))</f>
        <v>0</v>
      </c>
      <c r="E129" s="63"/>
      <c r="F129" s="63"/>
      <c r="G129" s="63"/>
      <c r="H129" s="63"/>
      <c r="K129" s="152"/>
      <c r="L129" s="8"/>
      <c r="M129" s="8"/>
      <c r="N129" s="8"/>
      <c r="P129" s="47">
        <v>5</v>
      </c>
      <c r="Q129" s="211">
        <v>1</v>
      </c>
      <c r="R129" s="211">
        <v>1</v>
      </c>
      <c r="S129" s="216">
        <f t="shared" si="50"/>
        <v>1</v>
      </c>
      <c r="T129" s="217">
        <f t="shared" si="51"/>
        <v>1</v>
      </c>
      <c r="X129" s="572"/>
      <c r="Y129" s="222" t="s">
        <v>516</v>
      </c>
      <c r="Z129" s="225">
        <v>0.1</v>
      </c>
      <c r="AA129" s="226">
        <v>0.1</v>
      </c>
      <c r="AB129" s="226">
        <v>0.1</v>
      </c>
      <c r="AC129" s="226">
        <v>0.1</v>
      </c>
      <c r="AD129" s="226">
        <v>0.1</v>
      </c>
      <c r="AE129" s="224">
        <v>0</v>
      </c>
      <c r="AF129" s="224">
        <v>0</v>
      </c>
      <c r="AG129" s="224">
        <v>0</v>
      </c>
      <c r="AH129" s="224">
        <v>0</v>
      </c>
      <c r="AI129" s="224">
        <v>0</v>
      </c>
    </row>
    <row r="130" spans="1:35" ht="15.75" thickBot="1" x14ac:dyDescent="0.3">
      <c r="A130" s="8"/>
      <c r="B130" s="8"/>
      <c r="C130" s="8"/>
      <c r="D130" s="8"/>
      <c r="E130" s="8"/>
      <c r="G130" s="8"/>
      <c r="H130" s="8"/>
      <c r="K130" s="152"/>
      <c r="L130" s="8"/>
      <c r="M130" s="8"/>
      <c r="N130" s="8"/>
      <c r="P130" s="47">
        <v>6</v>
      </c>
      <c r="Q130" s="211">
        <v>1</v>
      </c>
      <c r="R130" s="211">
        <v>1</v>
      </c>
      <c r="S130" s="216">
        <f t="shared" si="50"/>
        <v>1</v>
      </c>
      <c r="T130" s="217">
        <f t="shared" si="51"/>
        <v>1</v>
      </c>
      <c r="X130" s="572"/>
      <c r="Y130" s="222" t="s">
        <v>517</v>
      </c>
      <c r="Z130" s="225">
        <v>0.1</v>
      </c>
      <c r="AA130" s="226">
        <v>0.1</v>
      </c>
      <c r="AB130" s="226">
        <v>0.1</v>
      </c>
      <c r="AC130" s="226">
        <v>0.1</v>
      </c>
      <c r="AD130" s="226">
        <v>0.1</v>
      </c>
      <c r="AE130" s="226">
        <v>0.1</v>
      </c>
      <c r="AF130" s="224">
        <v>0</v>
      </c>
      <c r="AG130" s="227">
        <v>0.1</v>
      </c>
      <c r="AH130" s="224">
        <v>0</v>
      </c>
      <c r="AI130" s="224">
        <v>0</v>
      </c>
    </row>
    <row r="131" spans="1:35" ht="15.75" thickBot="1" x14ac:dyDescent="0.3">
      <c r="A131" s="557" t="s">
        <v>194</v>
      </c>
      <c r="B131" s="559"/>
      <c r="C131" s="16">
        <f ca="1">IF(AND(B4=1,B5=1),0,PRODUCT(C116:C122,C127)*C128)</f>
        <v>0.79806734251143896</v>
      </c>
      <c r="D131" s="8"/>
      <c r="F131" s="218"/>
      <c r="K131" s="152"/>
      <c r="L131" s="8"/>
      <c r="M131" s="8"/>
      <c r="N131" s="8"/>
      <c r="P131" s="47">
        <v>7</v>
      </c>
      <c r="Q131" s="211">
        <v>1</v>
      </c>
      <c r="R131" s="211">
        <v>1</v>
      </c>
      <c r="S131" s="216">
        <f t="shared" si="50"/>
        <v>1</v>
      </c>
      <c r="T131" s="217">
        <f t="shared" si="51"/>
        <v>1</v>
      </c>
      <c r="X131" s="572"/>
      <c r="Y131" s="222" t="s">
        <v>518</v>
      </c>
      <c r="Z131" s="225">
        <v>0.1</v>
      </c>
      <c r="AA131" s="226">
        <v>0.1</v>
      </c>
      <c r="AB131" s="226">
        <v>0.1</v>
      </c>
      <c r="AC131" s="226">
        <v>0.1</v>
      </c>
      <c r="AD131" s="226">
        <v>0.1</v>
      </c>
      <c r="AE131" s="226">
        <v>0.1</v>
      </c>
      <c r="AF131" s="226">
        <v>0.1</v>
      </c>
      <c r="AG131" s="224">
        <v>0</v>
      </c>
      <c r="AH131" s="224">
        <v>0</v>
      </c>
      <c r="AI131" s="224">
        <v>0</v>
      </c>
    </row>
    <row r="132" spans="1:35" ht="15.75" thickBot="1" x14ac:dyDescent="0.3">
      <c r="A132" s="557" t="s">
        <v>195</v>
      </c>
      <c r="B132" s="559"/>
      <c r="C132" s="16">
        <f ca="1">IF(AND(B4=1,B5=1),0,PRODUCT(C116:C122,C127,C126)*C128)</f>
        <v>0.79806734251143896</v>
      </c>
      <c r="D132" s="8"/>
      <c r="E132" s="219"/>
      <c r="K132" s="189"/>
      <c r="L132" s="8"/>
      <c r="M132" s="8"/>
      <c r="N132" s="8"/>
      <c r="P132" s="47">
        <v>8</v>
      </c>
      <c r="Q132" s="211">
        <v>1</v>
      </c>
      <c r="R132" s="211">
        <v>1</v>
      </c>
      <c r="S132" s="216">
        <f t="shared" si="50"/>
        <v>1</v>
      </c>
      <c r="T132" s="217">
        <f t="shared" si="51"/>
        <v>1</v>
      </c>
      <c r="X132" s="572"/>
      <c r="Y132" s="222" t="s">
        <v>519</v>
      </c>
      <c r="Z132" s="225">
        <v>0.1</v>
      </c>
      <c r="AA132" s="226">
        <v>0.1</v>
      </c>
      <c r="AB132" s="226">
        <v>0.1</v>
      </c>
      <c r="AC132" s="226">
        <v>0.1</v>
      </c>
      <c r="AD132" s="226">
        <v>0.1</v>
      </c>
      <c r="AE132" s="226">
        <v>0.1</v>
      </c>
      <c r="AF132" s="226">
        <v>0.1</v>
      </c>
      <c r="AG132" s="226">
        <v>0.1</v>
      </c>
      <c r="AH132" s="224">
        <v>0</v>
      </c>
      <c r="AI132" s="224">
        <v>0</v>
      </c>
    </row>
    <row r="133" spans="1:35" ht="15" customHeight="1" thickBot="1" x14ac:dyDescent="0.3">
      <c r="A133" s="8"/>
      <c r="B133" s="8"/>
      <c r="C133" s="8"/>
      <c r="D133" s="8"/>
      <c r="I133" s="329" t="s">
        <v>528</v>
      </c>
      <c r="J133" s="328" t="s">
        <v>527</v>
      </c>
      <c r="K133" s="329" t="s">
        <v>529</v>
      </c>
      <c r="L133" s="8"/>
      <c r="M133" s="8"/>
      <c r="N133" s="8"/>
      <c r="P133" s="47">
        <v>9</v>
      </c>
      <c r="Q133" s="211">
        <v>1</v>
      </c>
      <c r="R133" s="211">
        <v>1</v>
      </c>
      <c r="S133" s="216">
        <f t="shared" si="50"/>
        <v>1</v>
      </c>
      <c r="T133" s="217">
        <f t="shared" si="51"/>
        <v>1</v>
      </c>
      <c r="X133" s="572"/>
      <c r="Y133" s="222" t="s">
        <v>520</v>
      </c>
      <c r="Z133" s="225">
        <v>0.1</v>
      </c>
      <c r="AA133" s="226">
        <v>0.1</v>
      </c>
      <c r="AB133" s="226">
        <v>0.1</v>
      </c>
      <c r="AC133" s="226">
        <v>0.1</v>
      </c>
      <c r="AD133" s="226">
        <v>0.1</v>
      </c>
      <c r="AE133" s="226">
        <v>0.1</v>
      </c>
      <c r="AF133" s="226">
        <v>0.1</v>
      </c>
      <c r="AG133" s="226">
        <v>0.1</v>
      </c>
      <c r="AH133" s="226">
        <v>0.1</v>
      </c>
      <c r="AI133" s="224">
        <v>0</v>
      </c>
    </row>
    <row r="134" spans="1:35" ht="15" customHeight="1" thickBot="1" x14ac:dyDescent="0.3">
      <c r="A134" s="554" t="s">
        <v>196</v>
      </c>
      <c r="B134" s="555"/>
      <c r="C134" s="556"/>
      <c r="D134" s="8"/>
      <c r="I134" s="331" t="s">
        <v>513</v>
      </c>
      <c r="J134" s="330">
        <v>10</v>
      </c>
      <c r="K134" s="331" t="s">
        <v>534</v>
      </c>
      <c r="L134" s="8"/>
      <c r="M134" s="8"/>
      <c r="N134" s="8"/>
      <c r="P134" s="47">
        <v>10</v>
      </c>
      <c r="Q134" s="211">
        <v>1</v>
      </c>
      <c r="R134" s="211">
        <v>1</v>
      </c>
      <c r="S134" s="216">
        <f t="shared" si="50"/>
        <v>1</v>
      </c>
      <c r="T134" s="217">
        <f t="shared" si="51"/>
        <v>1</v>
      </c>
    </row>
    <row r="135" spans="1:35" ht="15" customHeight="1" thickBot="1" x14ac:dyDescent="0.3">
      <c r="A135" s="16" t="s">
        <v>66</v>
      </c>
      <c r="B135" s="16" t="s">
        <v>67</v>
      </c>
      <c r="C135" s="16" t="s">
        <v>68</v>
      </c>
      <c r="D135" s="8"/>
      <c r="F135" s="218"/>
      <c r="I135" s="331" t="s">
        <v>530</v>
      </c>
      <c r="J135" s="330">
        <v>9</v>
      </c>
      <c r="K135" s="331" t="s">
        <v>535</v>
      </c>
      <c r="L135" s="8" t="str">
        <f>K134</f>
        <v xml:space="preserve">CDMX y los Municipios de Atizapán de Zaragoza, Naucalpan de Juárez, Tlalnepantla, Cuautitlán Izcalli, Cuautitlán, Tultitlán, Ecatepec, Coacalco, Texcoco, Nezahualcóyotl, Huixquilucan, Nicolás Romero, Los Reyes la Paz, Tecámac y Chimalhuacán, </v>
      </c>
      <c r="M135" s="8"/>
      <c r="N135" s="8"/>
      <c r="P135" s="47">
        <v>11</v>
      </c>
      <c r="Q135" s="211">
        <v>1</v>
      </c>
      <c r="R135" s="211">
        <v>1</v>
      </c>
      <c r="S135" s="216">
        <f t="shared" si="50"/>
        <v>1</v>
      </c>
      <c r="T135" s="217">
        <f t="shared" si="51"/>
        <v>1</v>
      </c>
    </row>
    <row r="136" spans="1:35" ht="15" customHeight="1" thickBot="1" x14ac:dyDescent="0.3">
      <c r="A136" s="26">
        <v>0</v>
      </c>
      <c r="B136" s="181">
        <f ca="1">+IF($C$131=0,0,ROUND((B11*$C$131*S124)+$C$123+$D$129,2))</f>
        <v>4769.42</v>
      </c>
      <c r="C136" s="181">
        <f ca="1">+IF($C$131=0,0,ROUND((C11*$C$131*T124)+$C$123+$D$129,2))</f>
        <v>4530.4399999999996</v>
      </c>
      <c r="D136" s="8"/>
      <c r="E136" t="s">
        <v>521</v>
      </c>
      <c r="F136" t="s">
        <v>522</v>
      </c>
      <c r="I136" s="332" t="s">
        <v>531</v>
      </c>
      <c r="J136" s="330">
        <v>8</v>
      </c>
      <c r="K136" s="332" t="s">
        <v>536</v>
      </c>
      <c r="L136" s="8" t="str">
        <f>K134&amp;K135</f>
        <v xml:space="preserve">CDMX y los Municipios de Atizapán de Zaragoza, Naucalpan de Juárez, Tlalnepantla, Cuautitlán Izcalli, Cuautitlán, Tultitlán, Ecatepec, Coacalco, Texcoco, Nezahualcóyotl, Huixquilucan, Nicolás Romero, Los Reyes la Paz, Tecámac y Chimalhuacán, Hidalgo, Morelos y los municipios del Estado de México no mencionados en la Zona de Atención CDMX y Zona Metropolitana, </v>
      </c>
      <c r="M136" s="8"/>
      <c r="N136" s="8"/>
      <c r="P136" s="47">
        <v>12</v>
      </c>
      <c r="Q136" s="211">
        <v>1</v>
      </c>
      <c r="R136" s="211">
        <v>1</v>
      </c>
      <c r="S136" s="216">
        <f t="shared" si="50"/>
        <v>1</v>
      </c>
      <c r="T136" s="217">
        <f t="shared" si="51"/>
        <v>1</v>
      </c>
    </row>
    <row r="137" spans="1:35" ht="15" customHeight="1" thickBot="1" x14ac:dyDescent="0.3">
      <c r="A137" s="47">
        <v>1</v>
      </c>
      <c r="B137" s="182">
        <f t="shared" ref="B137:B155" ca="1" si="52">+IF($C$131=0,0,ROUND((B12*$C$131*S125)+$C$123+$D$129,2))</f>
        <v>4770.78</v>
      </c>
      <c r="C137" s="182">
        <f t="shared" ref="C137:C155" ca="1" si="53">+IF($C$131=0,0,ROUND((C12*$C$131*T125)+$C$123+$D$129,2))</f>
        <v>4531.79</v>
      </c>
      <c r="D137" s="8"/>
      <c r="E137" t="s">
        <v>135</v>
      </c>
      <c r="F137" t="s">
        <v>516</v>
      </c>
      <c r="H137" s="228"/>
      <c r="I137" s="331" t="s">
        <v>514</v>
      </c>
      <c r="J137" s="330">
        <v>7</v>
      </c>
      <c r="K137" s="331" t="s">
        <v>537</v>
      </c>
      <c r="L137" s="8" t="str">
        <f>K134&amp;K135&amp;K136</f>
        <v xml:space="preserve">CDMX y los Municipios de Atizapán de Zaragoza, Naucalpan de Juárez, Tlalnepantla, Cuautitlán Izcalli, Cuautitlán, Tultitlán, Ecatepec, Coacalco, Texcoco, Nezahualcóyotl, Huixquilucan, Nicolás Romero, Los Reyes la Paz, Tecámac y Chimalhuacán, Hidalgo, Morelos y los municipios del Estado de México no mencionados en la Zona de Atención CDMX y Zona Metropolitana, Nuevo León, </v>
      </c>
      <c r="M137" s="8"/>
      <c r="N137" s="8"/>
      <c r="P137" s="47">
        <v>13</v>
      </c>
      <c r="Q137" s="211">
        <v>1</v>
      </c>
      <c r="R137" s="211">
        <v>1</v>
      </c>
      <c r="S137" s="216">
        <f t="shared" si="50"/>
        <v>1</v>
      </c>
      <c r="T137" s="217">
        <f t="shared" si="51"/>
        <v>1</v>
      </c>
    </row>
    <row r="138" spans="1:35" ht="15" customHeight="1" thickBot="1" x14ac:dyDescent="0.3">
      <c r="A138" s="47">
        <v>2</v>
      </c>
      <c r="B138" s="182">
        <f t="shared" ca="1" si="52"/>
        <v>4772.8</v>
      </c>
      <c r="C138" s="182">
        <f t="shared" ca="1" si="53"/>
        <v>4533.1400000000003</v>
      </c>
      <c r="D138" s="8"/>
      <c r="E138" t="s">
        <v>222</v>
      </c>
      <c r="F138" t="s">
        <v>519</v>
      </c>
      <c r="H138" s="228"/>
      <c r="I138" s="331" t="s">
        <v>515</v>
      </c>
      <c r="J138" s="330">
        <v>6</v>
      </c>
      <c r="K138" s="331" t="s">
        <v>538</v>
      </c>
      <c r="L138" s="8" t="str">
        <f>K134&amp;K135&amp;K136&amp;K137</f>
        <v xml:space="preserve">CDMX y los Municipios de Atizapán de Zaragoza, Naucalpan de Juárez, Tlalnepantla, Cuautitlán Izcalli, Cuautitlán, Tultitlán, Ecatepec, Coacalco, Texcoco, Nezahualcóyotl, Huixquilucan, Nicolás Romero, Los Reyes la Paz, Tecámac y Chimalhuacán, Hidalgo, Morelos y los municipios del Estado de México no mencionados en la Zona de Atención CDMX y Zona Metropolitana, Nuevo León, Coahuila, Durango, Tamaulipas, </v>
      </c>
      <c r="M138" s="8"/>
      <c r="N138" s="8"/>
      <c r="P138" s="47">
        <v>14</v>
      </c>
      <c r="Q138" s="211">
        <v>1</v>
      </c>
      <c r="R138" s="211">
        <v>1</v>
      </c>
      <c r="S138" s="216">
        <f t="shared" si="50"/>
        <v>1</v>
      </c>
      <c r="T138" s="217">
        <f t="shared" si="51"/>
        <v>1</v>
      </c>
    </row>
    <row r="139" spans="1:35" ht="15" customHeight="1" thickBot="1" x14ac:dyDescent="0.3">
      <c r="A139" s="47">
        <v>3</v>
      </c>
      <c r="B139" s="182">
        <f t="shared" ca="1" si="52"/>
        <v>4775.5</v>
      </c>
      <c r="C139" s="182">
        <f t="shared" ca="1" si="53"/>
        <v>4535.17</v>
      </c>
      <c r="D139" s="8"/>
      <c r="E139" t="s">
        <v>139</v>
      </c>
      <c r="F139" t="s">
        <v>519</v>
      </c>
      <c r="H139" s="228"/>
      <c r="I139" s="331" t="s">
        <v>516</v>
      </c>
      <c r="J139" s="330">
        <v>5</v>
      </c>
      <c r="K139" s="331" t="s">
        <v>539</v>
      </c>
      <c r="L139" s="8" t="str">
        <f>K134&amp;K135&amp;K136&amp;K137&amp;K138</f>
        <v xml:space="preserve">CDMX y los Municipios de Atizapán de Zaragoza, Naucalpan de Juárez, Tlalnepantla, Cuautitlán Izcalli, Cuautitlán, Tultitlán, Ecatepec, Coacalco, Texcoco, Nezahualcóyotl, Huixquilucan, Nicolás Romero, Los Reyes la Paz, Tecámac y Chimalhuacán, Hidalgo, Morelos y los municipios del Estado de México no mencionados en la Zona de Atención CDMX y Zona Metropolitana, Nuevo León, Coahuila, Durango, Tamaulipas, Chiapas, Guerrero, Oaxaca, Puebla, Tlaxcala, Veracruz, </v>
      </c>
      <c r="M139" s="8"/>
      <c r="N139" s="8"/>
      <c r="P139" s="47">
        <v>15</v>
      </c>
      <c r="Q139" s="212">
        <v>1</v>
      </c>
      <c r="R139" s="212">
        <v>1</v>
      </c>
      <c r="S139" s="216">
        <f t="shared" si="50"/>
        <v>1</v>
      </c>
      <c r="T139" s="217">
        <f t="shared" si="51"/>
        <v>1</v>
      </c>
    </row>
    <row r="140" spans="1:35" ht="15" customHeight="1" thickBot="1" x14ac:dyDescent="0.3">
      <c r="A140" s="47">
        <v>4</v>
      </c>
      <c r="B140" s="182">
        <f t="shared" ca="1" si="52"/>
        <v>4776.8599999999997</v>
      </c>
      <c r="C140" s="182">
        <f t="shared" ca="1" si="53"/>
        <v>4535.8599999999997</v>
      </c>
      <c r="D140" s="8"/>
      <c r="E140" t="s">
        <v>140</v>
      </c>
      <c r="F140" t="s">
        <v>520</v>
      </c>
      <c r="H140" s="228"/>
      <c r="I140" s="331" t="s">
        <v>517</v>
      </c>
      <c r="J140" s="330">
        <v>4</v>
      </c>
      <c r="K140" s="331" t="s">
        <v>540</v>
      </c>
      <c r="L140" s="8" t="str">
        <f>K134&amp;K135&amp;K136&amp;K137&amp;K138&amp;K139</f>
        <v xml:space="preserve">CDMX y los Municipios de Atizapán de Zaragoza, Naucalpan de Juárez, Tlalnepantla, Cuautitlán Izcalli, Cuautitlán, Tultitlán, Ecatepec, Coacalco, Texcoco, Nezahualcóyotl, Huixquilucan, Nicolás Romero, Los Reyes la Paz, Tecámac y Chimalhuacán, Hidalgo, Morelos y los municipios del Estado de México no mencionados en la Zona de Atención CDMX y Zona Metropolitana, Nuevo León, Coahuila, Durango, Tamaulipas, Chiapas, Guerrero, Oaxaca, Puebla, Tlaxcala, Veracruz, Aguascalientes, Guanajuato, Querétaro, San Luis Potosí  Zacatecas, </v>
      </c>
      <c r="M140" s="8"/>
      <c r="N140" s="8"/>
      <c r="P140" s="47">
        <v>16</v>
      </c>
      <c r="Q140" s="212">
        <v>1</v>
      </c>
      <c r="R140" s="212">
        <v>1</v>
      </c>
      <c r="S140" s="216">
        <f t="shared" si="50"/>
        <v>1</v>
      </c>
      <c r="T140" s="217">
        <f t="shared" si="51"/>
        <v>1</v>
      </c>
    </row>
    <row r="141" spans="1:35" ht="15" customHeight="1" thickBot="1" x14ac:dyDescent="0.3">
      <c r="A141" s="47">
        <v>5</v>
      </c>
      <c r="B141" s="182">
        <f t="shared" ca="1" si="52"/>
        <v>4778.2</v>
      </c>
      <c r="C141" s="182">
        <f t="shared" ca="1" si="53"/>
        <v>4537.2</v>
      </c>
      <c r="D141" s="8"/>
      <c r="E141" t="s">
        <v>223</v>
      </c>
      <c r="F141" t="s">
        <v>513</v>
      </c>
      <c r="H141" s="228"/>
      <c r="I141" s="331" t="s">
        <v>518</v>
      </c>
      <c r="J141" s="330">
        <v>3</v>
      </c>
      <c r="K141" s="331" t="s">
        <v>541</v>
      </c>
      <c r="L141" s="8" t="str">
        <f>K134&amp;K135&amp;K136&amp;K137&amp;K138&amp;K139&amp;K140</f>
        <v xml:space="preserve">CDMX y los Municipios de Atizapán de Zaragoza, Naucalpan de Juárez, Tlalnepantla, Cuautitlán Izcalli, Cuautitlán, Tultitlán, Ecatepec, Coacalco, Texcoco, Nezahualcóyotl, Huixquilucan, Nicolás Romero, Los Reyes la Paz, Tecámac y Chimalhuacán, Hidalgo, Morelos y los municipios del Estado de México no mencionados en la Zona de Atención CDMX y Zona Metropolitana, Nuevo León, Coahuila, Durango, Tamaulipas, Chiapas, Guerrero, Oaxaca, Puebla, Tlaxcala, Veracruz, Aguascalientes, Guanajuato, Querétaro, San Luis Potosí  Zacatecas, Michoacán, Sinaloa, </v>
      </c>
      <c r="M141" s="8"/>
      <c r="N141" s="8"/>
      <c r="P141" s="47">
        <v>17</v>
      </c>
      <c r="Q141" s="212">
        <v>1</v>
      </c>
      <c r="R141" s="212">
        <v>1</v>
      </c>
      <c r="S141" s="216">
        <f t="shared" si="50"/>
        <v>1</v>
      </c>
      <c r="T141" s="217">
        <f t="shared" si="51"/>
        <v>1</v>
      </c>
    </row>
    <row r="142" spans="1:35" ht="15" customHeight="1" thickBot="1" x14ac:dyDescent="0.3">
      <c r="A142" s="47">
        <v>6</v>
      </c>
      <c r="B142" s="182">
        <f t="shared" ca="1" si="52"/>
        <v>4779.55</v>
      </c>
      <c r="C142" s="182">
        <f t="shared" ca="1" si="53"/>
        <v>4539.22</v>
      </c>
      <c r="D142" s="8"/>
      <c r="E142" t="s">
        <v>142</v>
      </c>
      <c r="F142" t="s">
        <v>515</v>
      </c>
      <c r="H142" s="228"/>
      <c r="I142" s="331" t="s">
        <v>519</v>
      </c>
      <c r="J142" s="330">
        <v>2</v>
      </c>
      <c r="K142" s="331" t="s">
        <v>542</v>
      </c>
      <c r="L142" s="8" t="str">
        <f>K134&amp;K135&amp;K136&amp;K137&amp;K138&amp;K139&amp;K140&amp;K141</f>
        <v xml:space="preserve">CDMX y los Municipios de Atizapán de Zaragoza, Naucalpan de Juárez, Tlalnepantla, Cuautitlán Izcalli, Cuautitlán, Tultitlán, Ecatepec, Coacalco, Texcoco, Nezahualcóyotl, Huixquilucan, Nicolás Romero, Los Reyes la Paz, Tecámac y Chimalhuacán, Hidalgo, Morelos y los municipios del Estado de México no mencionados en la Zona de Atención CDMX y Zona Metropolitana, Nuevo León, Coahuila, Durango, Tamaulipas, Chiapas, Guerrero, Oaxaca, Puebla, Tlaxcala, Veracruz, Aguascalientes, Guanajuato, Querétaro, San Luis Potosí  Zacatecas, Michoacán, Sinaloa, Colima, Jalisco, Nayarit, </v>
      </c>
      <c r="M142" s="8"/>
      <c r="N142" s="8"/>
      <c r="P142" s="47">
        <v>18</v>
      </c>
      <c r="Q142" s="211">
        <v>1</v>
      </c>
      <c r="R142" s="211">
        <v>1</v>
      </c>
      <c r="S142" s="216">
        <f t="shared" si="50"/>
        <v>1</v>
      </c>
      <c r="T142" s="217">
        <f t="shared" si="51"/>
        <v>1</v>
      </c>
    </row>
    <row r="143" spans="1:35" ht="15.75" thickBot="1" x14ac:dyDescent="0.3">
      <c r="A143" s="47">
        <v>7</v>
      </c>
      <c r="B143" s="182">
        <f t="shared" ca="1" si="52"/>
        <v>4781.57</v>
      </c>
      <c r="C143" s="182">
        <f t="shared" ca="1" si="53"/>
        <v>4540.58</v>
      </c>
      <c r="D143" s="8"/>
      <c r="E143" t="s">
        <v>146</v>
      </c>
      <c r="F143" t="s">
        <v>519</v>
      </c>
      <c r="H143" s="228"/>
      <c r="I143" s="331" t="s">
        <v>520</v>
      </c>
      <c r="J143" s="330">
        <v>1</v>
      </c>
      <c r="K143" s="331" t="s">
        <v>532</v>
      </c>
      <c r="L143" s="8" t="str">
        <f>K134&amp;K135&amp;K136&amp;K137&amp;K138&amp;K139&amp;K140&amp;K141&amp;K142</f>
        <v xml:space="preserve">CDMX y los Municipios de Atizapán de Zaragoza, Naucalpan de Juárez, Tlalnepantla, Cuautitlán Izcalli, Cuautitlán, Tultitlán, Ecatepec, Coacalco, Texcoco, Nezahualcóyotl, Huixquilucan, Nicolás Romero, Los Reyes la Paz, Tecámac y Chimalhuacán, Hidalgo, Morelos y los municipios del Estado de México no mencionados en la Zona de Atención CDMX y Zona Metropolitana, Nuevo León, Coahuila, Durango, Tamaulipas, Chiapas, Guerrero, Oaxaca, Puebla, Tlaxcala, Veracruz, Aguascalientes, Guanajuato, Querétaro, San Luis Potosí  Zacatecas, Michoacán, Sinaloa, Colima, Jalisco, Nayarit, Baja California, Baja California Sur, Chihuahua, Sonora, </v>
      </c>
      <c r="M143" s="8"/>
      <c r="N143" s="8"/>
      <c r="P143" s="47">
        <v>19</v>
      </c>
      <c r="Q143" s="211">
        <v>1</v>
      </c>
      <c r="R143" s="211">
        <v>1</v>
      </c>
      <c r="S143" s="216">
        <f t="shared" si="50"/>
        <v>1</v>
      </c>
      <c r="T143" s="217">
        <f t="shared" si="51"/>
        <v>1</v>
      </c>
    </row>
    <row r="144" spans="1:35" x14ac:dyDescent="0.25">
      <c r="A144" s="47">
        <v>8</v>
      </c>
      <c r="B144" s="182">
        <f t="shared" ca="1" si="52"/>
        <v>4782.25</v>
      </c>
      <c r="C144" s="182">
        <f t="shared" ca="1" si="53"/>
        <v>4541.93</v>
      </c>
      <c r="D144" s="8"/>
      <c r="E144" t="s">
        <v>147</v>
      </c>
      <c r="F144" t="s">
        <v>514</v>
      </c>
      <c r="H144" s="228"/>
      <c r="K144" s="163"/>
      <c r="L144" s="8"/>
      <c r="M144" s="8"/>
      <c r="N144" s="8"/>
      <c r="P144" s="47">
        <v>20</v>
      </c>
      <c r="Q144" s="211">
        <v>1</v>
      </c>
      <c r="R144" s="211">
        <v>1</v>
      </c>
      <c r="S144" s="216">
        <f t="shared" si="50"/>
        <v>1</v>
      </c>
      <c r="T144" s="217">
        <f t="shared" si="51"/>
        <v>1</v>
      </c>
    </row>
    <row r="145" spans="1:20" x14ac:dyDescent="0.25">
      <c r="A145" s="47">
        <v>9</v>
      </c>
      <c r="B145" s="182">
        <f t="shared" ca="1" si="52"/>
        <v>4786.3</v>
      </c>
      <c r="C145" s="182">
        <f t="shared" ca="1" si="53"/>
        <v>4543.28</v>
      </c>
      <c r="E145" t="s">
        <v>148</v>
      </c>
      <c r="F145" t="s">
        <v>518</v>
      </c>
      <c r="H145" s="228"/>
      <c r="K145" s="146"/>
      <c r="L145" s="8"/>
      <c r="M145" s="8"/>
      <c r="N145" s="8"/>
      <c r="P145" s="47">
        <v>21</v>
      </c>
      <c r="Q145" s="211">
        <v>1</v>
      </c>
      <c r="R145" s="211">
        <v>1</v>
      </c>
      <c r="S145" s="216">
        <f t="shared" si="50"/>
        <v>1</v>
      </c>
      <c r="T145" s="217">
        <f t="shared" si="51"/>
        <v>1</v>
      </c>
    </row>
    <row r="146" spans="1:20" x14ac:dyDescent="0.25">
      <c r="A146" s="47">
        <v>10</v>
      </c>
      <c r="B146" s="182">
        <f t="shared" ca="1" si="52"/>
        <v>4787.66</v>
      </c>
      <c r="C146" s="182">
        <f t="shared" ca="1" si="53"/>
        <v>4544.63</v>
      </c>
      <c r="E146" t="s">
        <v>151</v>
      </c>
      <c r="F146" t="s">
        <v>514</v>
      </c>
      <c r="H146" s="228"/>
      <c r="K146" s="152"/>
      <c r="L146" s="8"/>
      <c r="M146" s="8"/>
      <c r="N146" s="8"/>
      <c r="P146" s="47">
        <v>22</v>
      </c>
      <c r="Q146" s="211">
        <v>1</v>
      </c>
      <c r="R146" s="211">
        <v>1</v>
      </c>
      <c r="S146" s="216">
        <f t="shared" si="50"/>
        <v>1</v>
      </c>
      <c r="T146" s="217">
        <f t="shared" si="51"/>
        <v>1</v>
      </c>
    </row>
    <row r="147" spans="1:20" x14ac:dyDescent="0.25">
      <c r="A147" s="47">
        <v>11</v>
      </c>
      <c r="B147" s="182">
        <f t="shared" ca="1" si="52"/>
        <v>4789.01</v>
      </c>
      <c r="C147" s="182">
        <f t="shared" ca="1" si="53"/>
        <v>4546.6499999999996</v>
      </c>
      <c r="E147" t="s">
        <v>152</v>
      </c>
      <c r="F147" t="s">
        <v>530</v>
      </c>
      <c r="H147" s="228"/>
      <c r="K147" s="152"/>
      <c r="L147" s="8"/>
      <c r="M147" s="8"/>
      <c r="N147" s="8"/>
      <c r="P147" s="47">
        <v>23</v>
      </c>
      <c r="Q147" s="211">
        <v>1</v>
      </c>
      <c r="R147" s="211">
        <v>1</v>
      </c>
      <c r="S147" s="216">
        <f t="shared" si="50"/>
        <v>1</v>
      </c>
      <c r="T147" s="217">
        <f t="shared" si="51"/>
        <v>1</v>
      </c>
    </row>
    <row r="148" spans="1:20" x14ac:dyDescent="0.25">
      <c r="A148" s="47">
        <v>12</v>
      </c>
      <c r="B148" s="182">
        <f t="shared" ca="1" si="52"/>
        <v>4791.0200000000004</v>
      </c>
      <c r="C148" s="182">
        <f t="shared" ca="1" si="53"/>
        <v>4547.32</v>
      </c>
      <c r="E148" t="s">
        <v>154</v>
      </c>
      <c r="F148" t="s">
        <v>516</v>
      </c>
      <c r="H148" s="228"/>
      <c r="K148" s="146"/>
      <c r="L148" s="8"/>
      <c r="M148" s="8"/>
      <c r="N148" s="8"/>
      <c r="P148" s="47">
        <v>24</v>
      </c>
      <c r="Q148" s="211">
        <v>1</v>
      </c>
      <c r="R148" s="211">
        <v>1</v>
      </c>
      <c r="S148" s="216">
        <f t="shared" si="50"/>
        <v>1</v>
      </c>
      <c r="T148" s="217">
        <f t="shared" si="51"/>
        <v>1</v>
      </c>
    </row>
    <row r="149" spans="1:20" x14ac:dyDescent="0.25">
      <c r="A149" s="47">
        <v>13</v>
      </c>
      <c r="B149" s="182">
        <f t="shared" ca="1" si="52"/>
        <v>4791.71</v>
      </c>
      <c r="C149" s="182">
        <f t="shared" ca="1" si="53"/>
        <v>4548</v>
      </c>
      <c r="E149" t="s">
        <v>156</v>
      </c>
      <c r="F149" t="s">
        <v>515</v>
      </c>
      <c r="H149" s="228"/>
      <c r="K149" s="152"/>
      <c r="L149" s="8"/>
      <c r="M149" s="8"/>
      <c r="N149" s="8"/>
      <c r="P149" s="47">
        <v>25</v>
      </c>
      <c r="Q149" s="211">
        <v>1</v>
      </c>
      <c r="R149" s="211">
        <v>1</v>
      </c>
      <c r="S149" s="216">
        <f t="shared" si="50"/>
        <v>1</v>
      </c>
      <c r="T149" s="217">
        <f t="shared" si="51"/>
        <v>1</v>
      </c>
    </row>
    <row r="150" spans="1:20" x14ac:dyDescent="0.25">
      <c r="A150" s="47">
        <v>14</v>
      </c>
      <c r="B150" s="182">
        <f t="shared" ca="1" si="52"/>
        <v>4793.0600000000004</v>
      </c>
      <c r="C150" s="182">
        <f t="shared" ca="1" si="53"/>
        <v>4549.3500000000004</v>
      </c>
      <c r="E150" t="s">
        <v>159</v>
      </c>
      <c r="F150" t="s">
        <v>530</v>
      </c>
      <c r="H150" s="228"/>
      <c r="K150" s="146"/>
      <c r="L150" s="8"/>
      <c r="M150" s="8"/>
      <c r="N150" s="8"/>
      <c r="P150" s="47">
        <v>26</v>
      </c>
      <c r="Q150" s="211">
        <v>1</v>
      </c>
      <c r="R150" s="211">
        <v>1</v>
      </c>
      <c r="S150" s="216">
        <f t="shared" si="50"/>
        <v>1</v>
      </c>
      <c r="T150" s="217">
        <f t="shared" si="51"/>
        <v>1</v>
      </c>
    </row>
    <row r="151" spans="1:20" x14ac:dyDescent="0.25">
      <c r="A151" s="47">
        <v>15</v>
      </c>
      <c r="B151" s="183">
        <f t="shared" ca="1" si="52"/>
        <v>4847.0600000000004</v>
      </c>
      <c r="C151" s="183">
        <f t="shared" ca="1" si="53"/>
        <v>4747.82</v>
      </c>
      <c r="E151" t="s">
        <v>160</v>
      </c>
      <c r="F151" t="s">
        <v>518</v>
      </c>
      <c r="H151" s="228"/>
      <c r="K151" s="146"/>
      <c r="L151" s="8"/>
      <c r="M151" s="8"/>
      <c r="N151" s="8"/>
      <c r="P151" s="47">
        <v>27</v>
      </c>
      <c r="Q151" s="211">
        <v>1</v>
      </c>
      <c r="R151" s="211">
        <v>1</v>
      </c>
      <c r="S151" s="216">
        <f t="shared" si="50"/>
        <v>1</v>
      </c>
      <c r="T151" s="217">
        <f t="shared" si="51"/>
        <v>1</v>
      </c>
    </row>
    <row r="152" spans="1:20" x14ac:dyDescent="0.25">
      <c r="A152" s="47">
        <v>16</v>
      </c>
      <c r="B152" s="183">
        <f t="shared" ca="1" si="52"/>
        <v>4902.42</v>
      </c>
      <c r="C152" s="183">
        <f t="shared" ca="1" si="53"/>
        <v>4753.8999999999996</v>
      </c>
      <c r="E152" t="s">
        <v>161</v>
      </c>
      <c r="F152" t="s">
        <v>517</v>
      </c>
      <c r="H152" s="228"/>
      <c r="K152" s="146"/>
      <c r="L152" s="8"/>
      <c r="M152" s="8"/>
      <c r="N152" s="8"/>
      <c r="P152" s="47">
        <v>28</v>
      </c>
      <c r="Q152" s="211">
        <v>1</v>
      </c>
      <c r="R152" s="211">
        <v>1</v>
      </c>
      <c r="S152" s="216">
        <f t="shared" si="50"/>
        <v>1</v>
      </c>
      <c r="T152" s="217">
        <f t="shared" si="51"/>
        <v>1</v>
      </c>
    </row>
    <row r="153" spans="1:20" x14ac:dyDescent="0.25">
      <c r="A153" s="47">
        <v>17</v>
      </c>
      <c r="B153" s="183">
        <f t="shared" ca="1" si="52"/>
        <v>4955.75</v>
      </c>
      <c r="C153" s="183">
        <f t="shared" ca="1" si="53"/>
        <v>4764.0200000000004</v>
      </c>
      <c r="E153" t="s">
        <v>162</v>
      </c>
      <c r="F153" t="s">
        <v>530</v>
      </c>
      <c r="H153" s="228"/>
      <c r="K153" s="146"/>
      <c r="L153" s="8"/>
      <c r="M153" s="8"/>
      <c r="N153" s="8"/>
      <c r="P153" s="47">
        <v>29</v>
      </c>
      <c r="Q153" s="211">
        <v>1</v>
      </c>
      <c r="R153" s="211">
        <v>1</v>
      </c>
      <c r="S153" s="216">
        <f t="shared" si="50"/>
        <v>1</v>
      </c>
      <c r="T153" s="217">
        <f t="shared" si="51"/>
        <v>1</v>
      </c>
    </row>
    <row r="154" spans="1:20" x14ac:dyDescent="0.25">
      <c r="A154" s="47">
        <v>18</v>
      </c>
      <c r="B154" s="182">
        <f t="shared" ca="1" si="52"/>
        <v>5011.78</v>
      </c>
      <c r="C154" s="182">
        <f t="shared" ca="1" si="53"/>
        <v>4768.07</v>
      </c>
      <c r="E154" t="s">
        <v>163</v>
      </c>
      <c r="F154" t="s">
        <v>518</v>
      </c>
      <c r="H154" s="228"/>
      <c r="K154" s="146"/>
      <c r="L154" s="8"/>
      <c r="M154" s="8"/>
      <c r="N154" s="8"/>
      <c r="P154" s="47">
        <v>30</v>
      </c>
      <c r="Q154" s="211">
        <v>1</v>
      </c>
      <c r="R154" s="211">
        <v>1</v>
      </c>
      <c r="S154" s="216">
        <f t="shared" si="50"/>
        <v>1</v>
      </c>
      <c r="T154" s="217">
        <f t="shared" si="51"/>
        <v>1</v>
      </c>
    </row>
    <row r="155" spans="1:20" x14ac:dyDescent="0.25">
      <c r="A155" s="47">
        <v>19</v>
      </c>
      <c r="B155" s="182">
        <f t="shared" ca="1" si="52"/>
        <v>5024.6099999999997</v>
      </c>
      <c r="C155" s="182">
        <f t="shared" ca="1" si="53"/>
        <v>4772.8</v>
      </c>
      <c r="E155" t="s">
        <v>165</v>
      </c>
      <c r="F155" t="s">
        <v>165</v>
      </c>
      <c r="H155" s="228"/>
      <c r="K155" s="152"/>
      <c r="L155" s="8"/>
      <c r="M155" s="8"/>
      <c r="N155" s="8"/>
      <c r="P155" s="47">
        <v>31</v>
      </c>
      <c r="Q155" s="211">
        <v>1</v>
      </c>
      <c r="R155" s="211">
        <v>1</v>
      </c>
      <c r="S155" s="216">
        <f t="shared" si="50"/>
        <v>1</v>
      </c>
      <c r="T155" s="217">
        <f t="shared" si="51"/>
        <v>1</v>
      </c>
    </row>
    <row r="156" spans="1:20" x14ac:dyDescent="0.25">
      <c r="A156" s="47">
        <v>20</v>
      </c>
      <c r="B156" s="48">
        <f ca="1">+IF($C$131=0,0,ROUND((B31*$C$131*S144)+$C$123+$C$124+$D$129,2))</f>
        <v>5123.17</v>
      </c>
      <c r="C156" s="184">
        <f ca="1">+IF($C$131=0,0,ROUND((C31*$C$132*T144)+$C$123+$C$124+$D$129,2))</f>
        <v>5877.9</v>
      </c>
      <c r="E156" t="s">
        <v>166</v>
      </c>
      <c r="F156" t="s">
        <v>515</v>
      </c>
      <c r="H156" s="228"/>
      <c r="K156" s="152"/>
      <c r="L156" s="8"/>
      <c r="M156" s="8"/>
      <c r="N156" s="8"/>
      <c r="P156" s="47">
        <v>32</v>
      </c>
      <c r="Q156" s="211">
        <v>1</v>
      </c>
      <c r="R156" s="211">
        <v>1</v>
      </c>
      <c r="S156" s="216">
        <f t="shared" si="50"/>
        <v>1</v>
      </c>
      <c r="T156" s="217">
        <f t="shared" si="51"/>
        <v>1</v>
      </c>
    </row>
    <row r="157" spans="1:20" x14ac:dyDescent="0.25">
      <c r="A157" s="47">
        <v>21</v>
      </c>
      <c r="B157" s="48">
        <f t="shared" ref="B157:B201" ca="1" si="54">+IF($C$131=0,0,ROUND((B32*$C$131*S145)+$C$123+$C$124+$D$129,2))</f>
        <v>5180.54</v>
      </c>
      <c r="C157" s="184">
        <f t="shared" ref="C157:C173" ca="1" si="55">+IF($C$131=0,0,ROUND((C32*$C$132*T145)+$C$123+$C$124+$D$129,2))</f>
        <v>6135.79</v>
      </c>
      <c r="E157" t="s">
        <v>167</v>
      </c>
      <c r="F157" t="s">
        <v>515</v>
      </c>
      <c r="H157" s="228"/>
      <c r="K157" s="152"/>
      <c r="L157" s="8"/>
      <c r="M157" s="8"/>
      <c r="N157" s="8"/>
      <c r="P157" s="47">
        <v>33</v>
      </c>
      <c r="Q157" s="211">
        <v>1</v>
      </c>
      <c r="R157" s="211">
        <v>1</v>
      </c>
      <c r="S157" s="216">
        <f t="shared" si="50"/>
        <v>1</v>
      </c>
      <c r="T157" s="217">
        <f t="shared" si="51"/>
        <v>1</v>
      </c>
    </row>
    <row r="158" spans="1:20" x14ac:dyDescent="0.25">
      <c r="A158" s="47">
        <v>22</v>
      </c>
      <c r="B158" s="48">
        <f t="shared" ca="1" si="54"/>
        <v>5237.93</v>
      </c>
      <c r="C158" s="184">
        <f t="shared" ca="1" si="55"/>
        <v>6403.12</v>
      </c>
      <c r="E158" t="s">
        <v>170</v>
      </c>
      <c r="F158" t="s">
        <v>516</v>
      </c>
      <c r="H158" s="228"/>
      <c r="K158" s="146"/>
      <c r="L158" s="8"/>
      <c r="M158" s="8"/>
      <c r="N158" s="8"/>
      <c r="P158" s="47">
        <v>34</v>
      </c>
      <c r="Q158" s="211">
        <v>1</v>
      </c>
      <c r="R158" s="211">
        <v>1</v>
      </c>
      <c r="S158" s="216">
        <f t="shared" si="50"/>
        <v>1</v>
      </c>
      <c r="T158" s="217">
        <f t="shared" si="51"/>
        <v>1</v>
      </c>
    </row>
    <row r="159" spans="1:20" x14ac:dyDescent="0.25">
      <c r="A159" s="47">
        <v>23</v>
      </c>
      <c r="B159" s="48">
        <f t="shared" ca="1" si="54"/>
        <v>5295.98</v>
      </c>
      <c r="C159" s="184">
        <f t="shared" ca="1" si="55"/>
        <v>6681.24</v>
      </c>
      <c r="E159" t="s">
        <v>171</v>
      </c>
      <c r="F159" t="s">
        <v>520</v>
      </c>
      <c r="H159" s="228"/>
      <c r="K159" s="163"/>
      <c r="L159" s="8"/>
      <c r="M159" s="8"/>
      <c r="N159" s="8"/>
      <c r="P159" s="47">
        <v>35</v>
      </c>
      <c r="Q159" s="211">
        <v>1</v>
      </c>
      <c r="R159" s="211">
        <v>1</v>
      </c>
      <c r="S159" s="216">
        <f t="shared" si="50"/>
        <v>1</v>
      </c>
      <c r="T159" s="217">
        <f t="shared" si="51"/>
        <v>1</v>
      </c>
    </row>
    <row r="160" spans="1:20" x14ac:dyDescent="0.25">
      <c r="A160" s="47">
        <v>24</v>
      </c>
      <c r="B160" s="48">
        <f t="shared" ca="1" si="54"/>
        <v>5356.75</v>
      </c>
      <c r="C160" s="184">
        <f t="shared" ca="1" si="55"/>
        <v>6973.56</v>
      </c>
      <c r="E160" t="s">
        <v>173</v>
      </c>
      <c r="F160" t="s">
        <v>516</v>
      </c>
      <c r="H160" s="228"/>
      <c r="K160" s="163"/>
      <c r="L160" s="8"/>
      <c r="M160" s="8"/>
      <c r="N160" s="8"/>
      <c r="P160" s="47">
        <v>36</v>
      </c>
      <c r="Q160" s="211">
        <v>1</v>
      </c>
      <c r="R160" s="211">
        <v>1</v>
      </c>
      <c r="S160" s="216">
        <f t="shared" si="50"/>
        <v>1</v>
      </c>
      <c r="T160" s="217">
        <f t="shared" si="51"/>
        <v>1</v>
      </c>
    </row>
    <row r="161" spans="1:20" x14ac:dyDescent="0.25">
      <c r="A161" s="47">
        <v>25</v>
      </c>
      <c r="B161" s="48">
        <f t="shared" ca="1" si="54"/>
        <v>6202.61</v>
      </c>
      <c r="C161" s="184">
        <f t="shared" ca="1" si="55"/>
        <v>8118.49</v>
      </c>
      <c r="D161" s="8"/>
      <c r="E161" t="s">
        <v>175</v>
      </c>
      <c r="F161" t="s">
        <v>517</v>
      </c>
      <c r="H161" s="228"/>
      <c r="K161" s="163"/>
      <c r="L161" s="8"/>
      <c r="M161" s="8"/>
      <c r="N161" s="8"/>
      <c r="P161" s="47">
        <v>37</v>
      </c>
      <c r="Q161" s="211">
        <v>1</v>
      </c>
      <c r="R161" s="211">
        <v>1</v>
      </c>
      <c r="S161" s="216">
        <f t="shared" si="50"/>
        <v>1</v>
      </c>
      <c r="T161" s="217">
        <f t="shared" si="51"/>
        <v>1</v>
      </c>
    </row>
    <row r="162" spans="1:20" x14ac:dyDescent="0.25">
      <c r="A162" s="47">
        <v>26</v>
      </c>
      <c r="B162" s="48">
        <f t="shared" ca="1" si="54"/>
        <v>6484.79</v>
      </c>
      <c r="C162" s="184">
        <f t="shared" ca="1" si="55"/>
        <v>8529.6200000000008</v>
      </c>
      <c r="D162" s="8"/>
      <c r="E162" t="s">
        <v>178</v>
      </c>
      <c r="F162" t="s">
        <v>519</v>
      </c>
      <c r="H162" s="228"/>
      <c r="K162" s="8"/>
      <c r="L162" s="8"/>
      <c r="M162" s="8"/>
      <c r="N162" s="8"/>
      <c r="P162" s="47">
        <v>38</v>
      </c>
      <c r="Q162" s="211">
        <v>1</v>
      </c>
      <c r="R162" s="211">
        <v>1</v>
      </c>
      <c r="S162" s="216">
        <f t="shared" si="50"/>
        <v>1</v>
      </c>
      <c r="T162" s="217">
        <f t="shared" si="51"/>
        <v>1</v>
      </c>
    </row>
    <row r="163" spans="1:20" x14ac:dyDescent="0.25">
      <c r="A163" s="47">
        <v>27</v>
      </c>
      <c r="B163" s="48">
        <f t="shared" ca="1" si="54"/>
        <v>6779.81</v>
      </c>
      <c r="C163" s="184">
        <f t="shared" ca="1" si="55"/>
        <v>8963.01</v>
      </c>
      <c r="D163" s="8"/>
      <c r="E163" t="s">
        <v>181</v>
      </c>
      <c r="F163" t="s">
        <v>520</v>
      </c>
      <c r="H163" s="228"/>
      <c r="P163" s="47">
        <v>39</v>
      </c>
      <c r="Q163" s="211">
        <v>1</v>
      </c>
      <c r="R163" s="211">
        <v>1</v>
      </c>
      <c r="S163" s="216">
        <f t="shared" si="50"/>
        <v>1</v>
      </c>
      <c r="T163" s="217">
        <f t="shared" si="51"/>
        <v>1</v>
      </c>
    </row>
    <row r="164" spans="1:20" x14ac:dyDescent="0.25">
      <c r="A164" s="47">
        <v>28</v>
      </c>
      <c r="B164" s="48">
        <f t="shared" ca="1" si="54"/>
        <v>7087.64</v>
      </c>
      <c r="C164" s="184">
        <f t="shared" ca="1" si="55"/>
        <v>9415.31</v>
      </c>
      <c r="D164" s="8"/>
      <c r="E164" t="s">
        <v>183</v>
      </c>
      <c r="F164" t="s">
        <v>514</v>
      </c>
      <c r="H164" s="228"/>
      <c r="P164" s="47">
        <v>40</v>
      </c>
      <c r="Q164" s="211">
        <v>1</v>
      </c>
      <c r="R164" s="211">
        <v>1</v>
      </c>
      <c r="S164" s="216">
        <f t="shared" si="50"/>
        <v>1</v>
      </c>
      <c r="T164" s="217">
        <f t="shared" si="51"/>
        <v>1</v>
      </c>
    </row>
    <row r="165" spans="1:20" x14ac:dyDescent="0.25">
      <c r="A165" s="47">
        <v>29</v>
      </c>
      <c r="B165" s="48">
        <f t="shared" ca="1" si="54"/>
        <v>7409.66</v>
      </c>
      <c r="C165" s="184">
        <f t="shared" ca="1" si="55"/>
        <v>9894.6200000000008</v>
      </c>
      <c r="D165" s="8"/>
      <c r="E165" t="s">
        <v>185</v>
      </c>
      <c r="F165" t="s">
        <v>515</v>
      </c>
      <c r="H165" s="228"/>
      <c r="P165" s="47">
        <v>41</v>
      </c>
      <c r="Q165" s="211">
        <v>1</v>
      </c>
      <c r="R165" s="211">
        <v>1</v>
      </c>
      <c r="S165" s="216">
        <f t="shared" si="50"/>
        <v>1</v>
      </c>
      <c r="T165" s="217">
        <f t="shared" si="51"/>
        <v>1</v>
      </c>
    </row>
    <row r="166" spans="1:20" x14ac:dyDescent="0.25">
      <c r="A166" s="47">
        <v>30</v>
      </c>
      <c r="B166" s="48">
        <f t="shared" ca="1" si="54"/>
        <v>7622.31</v>
      </c>
      <c r="C166" s="184">
        <f t="shared" ca="1" si="55"/>
        <v>10204.48</v>
      </c>
      <c r="D166" s="8"/>
      <c r="E166" t="s">
        <v>187</v>
      </c>
      <c r="F166" t="s">
        <v>515</v>
      </c>
      <c r="H166" s="228"/>
      <c r="P166" s="47">
        <v>42</v>
      </c>
      <c r="Q166" s="211">
        <v>1</v>
      </c>
      <c r="R166" s="211">
        <v>1</v>
      </c>
      <c r="S166" s="216">
        <f t="shared" si="50"/>
        <v>1</v>
      </c>
      <c r="T166" s="217">
        <f t="shared" si="51"/>
        <v>1</v>
      </c>
    </row>
    <row r="167" spans="1:20" x14ac:dyDescent="0.25">
      <c r="A167" s="47">
        <v>31</v>
      </c>
      <c r="B167" s="48">
        <f t="shared" ca="1" si="54"/>
        <v>7841.03</v>
      </c>
      <c r="C167" s="184">
        <f t="shared" ca="1" si="55"/>
        <v>10524.47</v>
      </c>
      <c r="D167" s="8"/>
      <c r="E167" t="s">
        <v>189</v>
      </c>
      <c r="F167" t="s">
        <v>520</v>
      </c>
      <c r="H167" s="228"/>
      <c r="P167" s="47">
        <v>43</v>
      </c>
      <c r="Q167" s="211">
        <v>1</v>
      </c>
      <c r="R167" s="211">
        <v>1</v>
      </c>
      <c r="S167" s="216">
        <f t="shared" si="50"/>
        <v>1</v>
      </c>
      <c r="T167" s="217">
        <f t="shared" si="51"/>
        <v>1</v>
      </c>
    </row>
    <row r="168" spans="1:20" x14ac:dyDescent="0.25">
      <c r="A168" s="47">
        <v>32</v>
      </c>
      <c r="B168" s="48">
        <f t="shared" ca="1" si="54"/>
        <v>8065.84</v>
      </c>
      <c r="C168" s="184">
        <f t="shared" ca="1" si="55"/>
        <v>10852.56</v>
      </c>
      <c r="D168" s="8"/>
      <c r="E168" t="s">
        <v>190</v>
      </c>
      <c r="F168" t="s">
        <v>516</v>
      </c>
      <c r="H168" s="228"/>
      <c r="P168" s="47">
        <v>44</v>
      </c>
      <c r="Q168" s="211">
        <v>1</v>
      </c>
      <c r="R168" s="211">
        <v>1</v>
      </c>
      <c r="S168" s="216">
        <f t="shared" si="50"/>
        <v>1</v>
      </c>
      <c r="T168" s="217">
        <f t="shared" si="51"/>
        <v>1</v>
      </c>
    </row>
    <row r="169" spans="1:20" x14ac:dyDescent="0.25">
      <c r="A169" s="47">
        <v>33</v>
      </c>
      <c r="B169" s="48">
        <f t="shared" ca="1" si="54"/>
        <v>8298.74</v>
      </c>
      <c r="C169" s="184">
        <f t="shared" ca="1" si="55"/>
        <v>11194.15</v>
      </c>
      <c r="D169" s="8"/>
      <c r="E169" s="8" t="s">
        <v>63</v>
      </c>
      <c r="F169" t="s">
        <v>519</v>
      </c>
      <c r="G169" s="229"/>
      <c r="P169" s="47">
        <v>45</v>
      </c>
      <c r="Q169" s="211">
        <v>1</v>
      </c>
      <c r="R169" s="211">
        <v>1</v>
      </c>
      <c r="S169" s="216">
        <f t="shared" si="50"/>
        <v>1</v>
      </c>
      <c r="T169" s="217">
        <f t="shared" si="51"/>
        <v>1</v>
      </c>
    </row>
    <row r="170" spans="1:20" x14ac:dyDescent="0.25">
      <c r="A170" s="47">
        <v>34</v>
      </c>
      <c r="B170" s="48">
        <f t="shared" ca="1" si="54"/>
        <v>8537.0400000000009</v>
      </c>
      <c r="C170" s="184">
        <f t="shared" ca="1" si="55"/>
        <v>11545.19</v>
      </c>
      <c r="D170" s="8"/>
      <c r="E170" s="8"/>
      <c r="F170" s="8"/>
      <c r="G170" s="8"/>
      <c r="P170" s="47">
        <v>46</v>
      </c>
      <c r="Q170" s="211">
        <v>1</v>
      </c>
      <c r="R170" s="211">
        <v>1</v>
      </c>
      <c r="S170" s="216">
        <f t="shared" si="50"/>
        <v>1</v>
      </c>
      <c r="T170" s="217">
        <f t="shared" si="51"/>
        <v>1</v>
      </c>
    </row>
    <row r="171" spans="1:20" x14ac:dyDescent="0.25">
      <c r="A171" s="47">
        <v>35</v>
      </c>
      <c r="B171" s="48">
        <f t="shared" ca="1" si="54"/>
        <v>8745.64</v>
      </c>
      <c r="C171" s="184">
        <f t="shared" ca="1" si="55"/>
        <v>11878</v>
      </c>
      <c r="D171" s="8"/>
      <c r="E171" s="8" t="s">
        <v>523</v>
      </c>
      <c r="F171" s="8" t="str">
        <f>VLOOKUP('GOLDEN SALUD IND'!D12,INDIVIDUAL!$E$137:$F$169,2,0)</f>
        <v>Nuevo León</v>
      </c>
      <c r="G171" s="230"/>
      <c r="P171" s="47">
        <v>47</v>
      </c>
      <c r="Q171" s="211">
        <v>1</v>
      </c>
      <c r="R171" s="211">
        <v>1</v>
      </c>
      <c r="S171" s="216">
        <f t="shared" si="50"/>
        <v>1</v>
      </c>
      <c r="T171" s="217">
        <f t="shared" si="51"/>
        <v>1</v>
      </c>
    </row>
    <row r="172" spans="1:20" ht="15" customHeight="1" x14ac:dyDescent="0.25">
      <c r="A172" s="47">
        <v>36</v>
      </c>
      <c r="B172" s="48">
        <f t="shared" ca="1" si="54"/>
        <v>8958.2800000000007</v>
      </c>
      <c r="C172" s="184">
        <f t="shared" ca="1" si="55"/>
        <v>12218.91</v>
      </c>
      <c r="D172" s="8"/>
      <c r="E172" s="231" t="s">
        <v>533</v>
      </c>
      <c r="F172">
        <f>VLOOKUP(F171,$I$134:$J$143,2,0)</f>
        <v>8</v>
      </c>
      <c r="G172" s="8"/>
      <c r="P172" s="47">
        <v>48</v>
      </c>
      <c r="Q172" s="211">
        <v>1</v>
      </c>
      <c r="R172" s="211">
        <v>1</v>
      </c>
      <c r="S172" s="216">
        <f t="shared" si="50"/>
        <v>1</v>
      </c>
      <c r="T172" s="217">
        <f t="shared" si="51"/>
        <v>1</v>
      </c>
    </row>
    <row r="173" spans="1:20" x14ac:dyDescent="0.25">
      <c r="A173" s="47">
        <v>37</v>
      </c>
      <c r="B173" s="48">
        <f t="shared" ca="1" si="54"/>
        <v>9179.0400000000009</v>
      </c>
      <c r="C173" s="184">
        <f t="shared" ca="1" si="55"/>
        <v>12569.95</v>
      </c>
      <c r="D173" s="8"/>
      <c r="G173" s="8"/>
      <c r="P173" s="47">
        <v>49</v>
      </c>
      <c r="Q173" s="211">
        <v>1</v>
      </c>
      <c r="R173" s="211">
        <v>1</v>
      </c>
      <c r="S173" s="216">
        <f t="shared" si="50"/>
        <v>1</v>
      </c>
      <c r="T173" s="217">
        <f t="shared" si="51"/>
        <v>1</v>
      </c>
    </row>
    <row r="174" spans="1:20" x14ac:dyDescent="0.25">
      <c r="A174" s="47">
        <v>38</v>
      </c>
      <c r="B174" s="48">
        <f t="shared" ca="1" si="54"/>
        <v>9401.81</v>
      </c>
      <c r="C174" s="48">
        <f ca="1">+IF($C$131=0,0,ROUND((C49*$C$131*T162)+$C$123+$C$124+$D$129,2))</f>
        <v>12931.79</v>
      </c>
      <c r="D174" s="8"/>
      <c r="E174" s="8"/>
      <c r="F174" s="8"/>
      <c r="G174" s="8"/>
      <c r="P174" s="47">
        <v>50</v>
      </c>
      <c r="Q174" s="211">
        <v>1</v>
      </c>
      <c r="R174" s="211">
        <v>1</v>
      </c>
      <c r="S174" s="216">
        <f t="shared" si="50"/>
        <v>1</v>
      </c>
      <c r="T174" s="217">
        <f t="shared" si="51"/>
        <v>1</v>
      </c>
    </row>
    <row r="175" spans="1:20" x14ac:dyDescent="0.25">
      <c r="A175" s="47">
        <v>39</v>
      </c>
      <c r="B175" s="48">
        <f t="shared" ca="1" si="54"/>
        <v>9631.34</v>
      </c>
      <c r="C175" s="48">
        <f t="shared" ref="C175:C201" ca="1" si="56">+IF($C$131=0,0,ROUND((C50*$C$131*T163)+$C$123+$C$124+$D$129,2))</f>
        <v>13303.77</v>
      </c>
      <c r="D175" s="8"/>
      <c r="E175" s="231" t="s">
        <v>524</v>
      </c>
      <c r="F175" t="str">
        <f>VLOOKUP('GOLDEN SALUD IND'!M40,$E$137:$G$169,2,0)</f>
        <v>Nuevo León</v>
      </c>
      <c r="G175" s="8"/>
      <c r="P175" s="47">
        <v>51</v>
      </c>
      <c r="Q175" s="211">
        <v>1</v>
      </c>
      <c r="R175" s="211">
        <v>1</v>
      </c>
      <c r="S175" s="216">
        <f t="shared" si="50"/>
        <v>1</v>
      </c>
      <c r="T175" s="217">
        <f t="shared" si="51"/>
        <v>1</v>
      </c>
    </row>
    <row r="176" spans="1:20" x14ac:dyDescent="0.25">
      <c r="A176" s="47">
        <v>40</v>
      </c>
      <c r="B176" s="48">
        <f t="shared" ca="1" si="54"/>
        <v>10035.709999999999</v>
      </c>
      <c r="C176" s="48">
        <f t="shared" ca="1" si="56"/>
        <v>13486.71</v>
      </c>
      <c r="D176" s="8"/>
      <c r="E176" s="231" t="s">
        <v>533</v>
      </c>
      <c r="F176">
        <f>VLOOKUP(F175,$I$134:$J$143,2,0)</f>
        <v>8</v>
      </c>
      <c r="G176" s="8"/>
      <c r="P176" s="47">
        <v>52</v>
      </c>
      <c r="Q176" s="211">
        <v>1</v>
      </c>
      <c r="R176" s="211">
        <v>1</v>
      </c>
      <c r="S176" s="216">
        <f t="shared" si="50"/>
        <v>1</v>
      </c>
      <c r="T176" s="217">
        <f t="shared" si="51"/>
        <v>1</v>
      </c>
    </row>
    <row r="177" spans="1:20" x14ac:dyDescent="0.25">
      <c r="A177" s="47">
        <v>41</v>
      </c>
      <c r="B177" s="48">
        <f t="shared" ca="1" si="54"/>
        <v>10455.61</v>
      </c>
      <c r="C177" s="48">
        <f t="shared" ca="1" si="56"/>
        <v>13673.02</v>
      </c>
      <c r="E177" s="8"/>
      <c r="F177" s="8" t="str">
        <f>VLOOKUP(F172,$J$134:$L$143,3,0)</f>
        <v xml:space="preserve">CDMX y los Municipios de Atizapán de Zaragoza, Naucalpan de Juárez, Tlalnepantla, Cuautitlán Izcalli, Cuautitlán, Tultitlán, Ecatepec, Coacalco, Texcoco, Nezahualcóyotl, Huixquilucan, Nicolás Romero, Los Reyes la Paz, Tecámac y Chimalhuacán, Hidalgo, Morelos y los municipios del Estado de México no mencionados en la Zona de Atención CDMX y Zona Metropolitana, </v>
      </c>
      <c r="G177" s="8"/>
      <c r="P177" s="47">
        <v>53</v>
      </c>
      <c r="Q177" s="211">
        <v>1</v>
      </c>
      <c r="R177" s="211">
        <v>1</v>
      </c>
      <c r="S177" s="216">
        <f t="shared" si="50"/>
        <v>1</v>
      </c>
      <c r="T177" s="217">
        <f t="shared" si="51"/>
        <v>1</v>
      </c>
    </row>
    <row r="178" spans="1:20" x14ac:dyDescent="0.25">
      <c r="A178" s="47">
        <v>42</v>
      </c>
      <c r="B178" s="48">
        <f t="shared" ca="1" si="54"/>
        <v>10893.06</v>
      </c>
      <c r="C178" s="48">
        <f t="shared" ca="1" si="56"/>
        <v>13861.37</v>
      </c>
      <c r="E178" s="8"/>
      <c r="F178" s="8"/>
      <c r="G178" s="8"/>
      <c r="P178" s="47">
        <v>54</v>
      </c>
      <c r="Q178" s="211">
        <v>1</v>
      </c>
      <c r="R178" s="211">
        <v>1</v>
      </c>
      <c r="S178" s="216">
        <f t="shared" si="50"/>
        <v>1</v>
      </c>
      <c r="T178" s="217">
        <f t="shared" si="51"/>
        <v>1</v>
      </c>
    </row>
    <row r="179" spans="1:20" x14ac:dyDescent="0.25">
      <c r="A179" s="47">
        <v>43</v>
      </c>
      <c r="B179" s="48">
        <f t="shared" ca="1" si="54"/>
        <v>11348.06</v>
      </c>
      <c r="C179" s="48">
        <f t="shared" ca="1" si="56"/>
        <v>14053.77</v>
      </c>
      <c r="F179" t="str">
        <f>IF(OR(F172=10,F176&lt;=F172),"No hay penalización por zona de atención.",IF(AND(F172=9,F176=10),"Si te atiendes en: "&amp;K134&amp;" la penalización por zona de atención será del 20% de coaseguro adicional al coaseguro contratado",IF(F176&gt;F172,"Si te atiendes en: "&amp;F177&amp; " la penalización por zona de atención será del 10% de coaseguro adicional al coaseguro contratado.")))</f>
        <v>No hay penalización por zona de atención.</v>
      </c>
      <c r="P179" s="47">
        <v>55</v>
      </c>
      <c r="Q179" s="211">
        <v>1</v>
      </c>
      <c r="R179" s="211">
        <v>1</v>
      </c>
      <c r="S179" s="216">
        <f t="shared" si="50"/>
        <v>1</v>
      </c>
      <c r="T179" s="217">
        <f t="shared" si="51"/>
        <v>1</v>
      </c>
    </row>
    <row r="180" spans="1:20" x14ac:dyDescent="0.25">
      <c r="A180" s="47">
        <v>44</v>
      </c>
      <c r="B180" s="48">
        <f t="shared" ca="1" si="54"/>
        <v>11823.32</v>
      </c>
      <c r="C180" s="48">
        <f t="shared" ca="1" si="56"/>
        <v>14246.84</v>
      </c>
      <c r="P180" s="47">
        <v>56</v>
      </c>
      <c r="Q180" s="211">
        <v>1</v>
      </c>
      <c r="R180" s="211">
        <v>1</v>
      </c>
      <c r="S180" s="216">
        <f t="shared" si="50"/>
        <v>1</v>
      </c>
      <c r="T180" s="217">
        <f t="shared" si="51"/>
        <v>1</v>
      </c>
    </row>
    <row r="181" spans="1:20" x14ac:dyDescent="0.25">
      <c r="A181" s="47">
        <v>45</v>
      </c>
      <c r="B181" s="48">
        <f t="shared" ca="1" si="54"/>
        <v>12291.82</v>
      </c>
      <c r="C181" s="48">
        <f t="shared" ca="1" si="56"/>
        <v>14518.23</v>
      </c>
      <c r="P181" s="47">
        <v>57</v>
      </c>
      <c r="Q181" s="211">
        <v>1</v>
      </c>
      <c r="R181" s="211">
        <v>1</v>
      </c>
      <c r="S181" s="216">
        <f t="shared" si="50"/>
        <v>1</v>
      </c>
      <c r="T181" s="217">
        <f t="shared" si="51"/>
        <v>1</v>
      </c>
    </row>
    <row r="182" spans="1:20" x14ac:dyDescent="0.25">
      <c r="A182" s="47">
        <v>46</v>
      </c>
      <c r="B182" s="48">
        <f t="shared" ca="1" si="54"/>
        <v>12779.23</v>
      </c>
      <c r="C182" s="48">
        <f t="shared" ca="1" si="56"/>
        <v>14794.33</v>
      </c>
      <c r="P182" s="47">
        <v>58</v>
      </c>
      <c r="Q182" s="211">
        <v>1</v>
      </c>
      <c r="R182" s="211">
        <v>1</v>
      </c>
      <c r="S182" s="216">
        <f t="shared" si="50"/>
        <v>1</v>
      </c>
      <c r="T182" s="217">
        <f t="shared" si="51"/>
        <v>1</v>
      </c>
    </row>
    <row r="183" spans="1:20" x14ac:dyDescent="0.25">
      <c r="A183" s="47">
        <v>47</v>
      </c>
      <c r="B183" s="48">
        <f t="shared" ca="1" si="54"/>
        <v>13286.21</v>
      </c>
      <c r="C183" s="48">
        <f t="shared" ca="1" si="56"/>
        <v>15075.16</v>
      </c>
      <c r="P183" s="47">
        <v>59</v>
      </c>
      <c r="Q183" s="211">
        <v>1</v>
      </c>
      <c r="R183" s="211">
        <v>1</v>
      </c>
      <c r="S183" s="216">
        <f t="shared" si="50"/>
        <v>1</v>
      </c>
      <c r="T183" s="217">
        <f t="shared" si="51"/>
        <v>1</v>
      </c>
    </row>
    <row r="184" spans="1:20" x14ac:dyDescent="0.25">
      <c r="A184" s="47">
        <v>48</v>
      </c>
      <c r="B184" s="48">
        <f t="shared" ca="1" si="54"/>
        <v>13814.11</v>
      </c>
      <c r="C184" s="48">
        <f t="shared" ca="1" si="56"/>
        <v>15362.07</v>
      </c>
      <c r="P184" s="47">
        <v>60</v>
      </c>
      <c r="Q184" s="211">
        <v>1.1000000000000001</v>
      </c>
      <c r="R184" s="211">
        <v>1.1000000000000001</v>
      </c>
      <c r="S184" s="216">
        <f t="shared" si="50"/>
        <v>1.1000000000000001</v>
      </c>
      <c r="T184" s="217">
        <f t="shared" si="51"/>
        <v>1.1000000000000001</v>
      </c>
    </row>
    <row r="185" spans="1:20" x14ac:dyDescent="0.25">
      <c r="A185" s="47">
        <v>49</v>
      </c>
      <c r="B185" s="48">
        <f t="shared" ca="1" si="54"/>
        <v>14361.6</v>
      </c>
      <c r="C185" s="48">
        <f t="shared" ca="1" si="56"/>
        <v>15653.71</v>
      </c>
      <c r="P185" s="47">
        <v>61</v>
      </c>
      <c r="Q185" s="211">
        <v>1.1000000000000001</v>
      </c>
      <c r="R185" s="211">
        <v>1.1000000000000001</v>
      </c>
      <c r="S185" s="216">
        <f t="shared" si="50"/>
        <v>1.1000000000000001</v>
      </c>
      <c r="T185" s="217">
        <f t="shared" si="51"/>
        <v>1.1000000000000001</v>
      </c>
    </row>
    <row r="186" spans="1:20" x14ac:dyDescent="0.25">
      <c r="A186" s="47">
        <v>50</v>
      </c>
      <c r="B186" s="48">
        <f t="shared" ca="1" si="54"/>
        <v>14955.01</v>
      </c>
      <c r="C186" s="48">
        <f t="shared" ca="1" si="56"/>
        <v>16093.19</v>
      </c>
      <c r="P186" s="47">
        <v>62</v>
      </c>
      <c r="Q186" s="211">
        <v>1.1000000000000001</v>
      </c>
      <c r="R186" s="211">
        <v>1.1000000000000001</v>
      </c>
      <c r="S186" s="216">
        <f t="shared" si="50"/>
        <v>1.1000000000000001</v>
      </c>
      <c r="T186" s="217">
        <f t="shared" si="51"/>
        <v>1.1000000000000001</v>
      </c>
    </row>
    <row r="187" spans="1:20" x14ac:dyDescent="0.25">
      <c r="A187" s="47">
        <v>51</v>
      </c>
      <c r="B187" s="48">
        <f t="shared" ca="1" si="54"/>
        <v>15573.37</v>
      </c>
      <c r="C187" s="48">
        <f t="shared" ca="1" si="56"/>
        <v>16544.14</v>
      </c>
      <c r="P187" s="47">
        <v>63</v>
      </c>
      <c r="Q187" s="211">
        <v>1.1000000000000001</v>
      </c>
      <c r="R187" s="211">
        <v>1.1000000000000001</v>
      </c>
      <c r="S187" s="216">
        <f t="shared" si="50"/>
        <v>1.1000000000000001</v>
      </c>
      <c r="T187" s="217">
        <f t="shared" si="51"/>
        <v>1.1000000000000001</v>
      </c>
    </row>
    <row r="188" spans="1:20" x14ac:dyDescent="0.25">
      <c r="A188" s="47">
        <v>52</v>
      </c>
      <c r="B188" s="48">
        <f t="shared" ca="1" si="54"/>
        <v>16217.4</v>
      </c>
      <c r="C188" s="48">
        <f t="shared" ca="1" si="56"/>
        <v>17007.919999999998</v>
      </c>
      <c r="P188" s="47">
        <v>64</v>
      </c>
      <c r="Q188" s="211">
        <v>1.1000000000000001</v>
      </c>
      <c r="R188" s="211">
        <v>1.1000000000000001</v>
      </c>
      <c r="S188" s="216">
        <f t="shared" si="50"/>
        <v>1.1000000000000001</v>
      </c>
      <c r="T188" s="217">
        <f t="shared" si="51"/>
        <v>1.1000000000000001</v>
      </c>
    </row>
    <row r="189" spans="1:20" x14ac:dyDescent="0.25">
      <c r="A189" s="47">
        <v>53</v>
      </c>
      <c r="B189" s="48">
        <f t="shared" ca="1" si="54"/>
        <v>16889.099999999999</v>
      </c>
      <c r="C189" s="48">
        <f t="shared" ca="1" si="56"/>
        <v>17485.2</v>
      </c>
      <c r="P189" s="47">
        <v>65</v>
      </c>
      <c r="Q189" s="211">
        <v>1.1000000000000001</v>
      </c>
      <c r="R189" s="211">
        <v>1.1000000000000001</v>
      </c>
      <c r="S189" s="216">
        <f t="shared" ref="S189:S224" si="57">IF($B$4=1,Q189,1)</f>
        <v>1.1000000000000001</v>
      </c>
      <c r="T189" s="217">
        <f t="shared" ref="T189:T224" si="58">IF($B$4=1,R189,1)</f>
        <v>1.1000000000000001</v>
      </c>
    </row>
    <row r="190" spans="1:20" x14ac:dyDescent="0.25">
      <c r="A190" s="47">
        <v>54</v>
      </c>
      <c r="B190" s="48">
        <f t="shared" ca="1" si="54"/>
        <v>17587.13</v>
      </c>
      <c r="C190" s="48">
        <f t="shared" ca="1" si="56"/>
        <v>17977.330000000002</v>
      </c>
      <c r="P190" s="47">
        <v>66</v>
      </c>
      <c r="Q190" s="211">
        <v>1.1000000000000001</v>
      </c>
      <c r="R190" s="211">
        <v>1.1000000000000001</v>
      </c>
      <c r="S190" s="216">
        <f t="shared" si="57"/>
        <v>1.1000000000000001</v>
      </c>
      <c r="T190" s="217">
        <f t="shared" si="58"/>
        <v>1.1000000000000001</v>
      </c>
    </row>
    <row r="191" spans="1:20" x14ac:dyDescent="0.25">
      <c r="A191" s="47">
        <v>55</v>
      </c>
      <c r="B191" s="48">
        <f t="shared" ca="1" si="54"/>
        <v>18441.11</v>
      </c>
      <c r="C191" s="48">
        <f t="shared" ca="1" si="56"/>
        <v>18583.55</v>
      </c>
      <c r="P191" s="47">
        <v>67</v>
      </c>
      <c r="Q191" s="211">
        <v>1.1000000000000001</v>
      </c>
      <c r="R191" s="211">
        <v>1.1000000000000001</v>
      </c>
      <c r="S191" s="216">
        <f t="shared" si="57"/>
        <v>1.1000000000000001</v>
      </c>
      <c r="T191" s="217">
        <f t="shared" si="58"/>
        <v>1.1000000000000001</v>
      </c>
    </row>
    <row r="192" spans="1:20" x14ac:dyDescent="0.25">
      <c r="A192" s="47">
        <v>56</v>
      </c>
      <c r="B192" s="48">
        <f t="shared" ca="1" si="54"/>
        <v>19336.939999999999</v>
      </c>
      <c r="C192" s="48">
        <f t="shared" ca="1" si="56"/>
        <v>19210.02</v>
      </c>
      <c r="P192" s="47">
        <v>68</v>
      </c>
      <c r="Q192" s="211">
        <v>1.1000000000000001</v>
      </c>
      <c r="R192" s="211">
        <v>1.1000000000000001</v>
      </c>
      <c r="S192" s="216">
        <f t="shared" si="57"/>
        <v>1.1000000000000001</v>
      </c>
      <c r="T192" s="217">
        <f t="shared" si="58"/>
        <v>1.1000000000000001</v>
      </c>
    </row>
    <row r="193" spans="1:20" x14ac:dyDescent="0.25">
      <c r="A193" s="47">
        <v>57</v>
      </c>
      <c r="B193" s="48">
        <f t="shared" ca="1" si="54"/>
        <v>20275.29</v>
      </c>
      <c r="C193" s="48">
        <f t="shared" ca="1" si="56"/>
        <v>19858.09</v>
      </c>
      <c r="P193" s="47">
        <v>69</v>
      </c>
      <c r="Q193" s="211">
        <v>1.1000000000000001</v>
      </c>
      <c r="R193" s="211">
        <v>1.1000000000000001</v>
      </c>
      <c r="S193" s="216">
        <f t="shared" si="57"/>
        <v>1.1000000000000001</v>
      </c>
      <c r="T193" s="217">
        <f t="shared" si="58"/>
        <v>1.1000000000000001</v>
      </c>
    </row>
    <row r="194" spans="1:20" x14ac:dyDescent="0.25">
      <c r="A194" s="47">
        <v>58</v>
      </c>
      <c r="B194" s="48">
        <f t="shared" ca="1" si="54"/>
        <v>21260.23</v>
      </c>
      <c r="C194" s="48">
        <f t="shared" ca="1" si="56"/>
        <v>20527.77</v>
      </c>
      <c r="P194" s="47">
        <v>70</v>
      </c>
      <c r="Q194" s="211">
        <v>1.1499999999999999</v>
      </c>
      <c r="R194" s="211">
        <v>1.1499999999999999</v>
      </c>
      <c r="S194" s="216">
        <f t="shared" si="57"/>
        <v>1.1499999999999999</v>
      </c>
      <c r="T194" s="217">
        <f t="shared" si="58"/>
        <v>1.1499999999999999</v>
      </c>
    </row>
    <row r="195" spans="1:20" x14ac:dyDescent="0.25">
      <c r="A195" s="47">
        <v>59</v>
      </c>
      <c r="B195" s="48">
        <f t="shared" ca="1" si="54"/>
        <v>22293.77</v>
      </c>
      <c r="C195" s="48">
        <f t="shared" ca="1" si="56"/>
        <v>21221.08</v>
      </c>
      <c r="P195" s="47">
        <v>71</v>
      </c>
      <c r="Q195" s="211">
        <v>1.1499999999999999</v>
      </c>
      <c r="R195" s="211">
        <v>1.1499999999999999</v>
      </c>
      <c r="S195" s="216">
        <f t="shared" si="57"/>
        <v>1.1499999999999999</v>
      </c>
      <c r="T195" s="217">
        <f t="shared" si="58"/>
        <v>1.1499999999999999</v>
      </c>
    </row>
    <row r="196" spans="1:20" x14ac:dyDescent="0.25">
      <c r="A196" s="47">
        <v>60</v>
      </c>
      <c r="B196" s="48">
        <f t="shared" ca="1" si="54"/>
        <v>25284.3</v>
      </c>
      <c r="C196" s="48">
        <f t="shared" ca="1" si="56"/>
        <v>24061.26</v>
      </c>
      <c r="P196" s="47">
        <v>72</v>
      </c>
      <c r="Q196" s="211">
        <v>1.1499999999999999</v>
      </c>
      <c r="R196" s="211">
        <v>1.1499999999999999</v>
      </c>
      <c r="S196" s="216">
        <f t="shared" si="57"/>
        <v>1.1499999999999999</v>
      </c>
      <c r="T196" s="217">
        <f t="shared" si="58"/>
        <v>1.1499999999999999</v>
      </c>
    </row>
    <row r="197" spans="1:20" x14ac:dyDescent="0.25">
      <c r="A197" s="47">
        <v>61</v>
      </c>
      <c r="B197" s="48">
        <f t="shared" ca="1" si="54"/>
        <v>26072.19</v>
      </c>
      <c r="C197" s="48">
        <f t="shared" ca="1" si="56"/>
        <v>24801.62</v>
      </c>
      <c r="P197" s="47">
        <v>73</v>
      </c>
      <c r="Q197" s="211">
        <v>1.1499999999999999</v>
      </c>
      <c r="R197" s="211">
        <v>1.1499999999999999</v>
      </c>
      <c r="S197" s="216">
        <f t="shared" si="57"/>
        <v>1.1499999999999999</v>
      </c>
      <c r="T197" s="217">
        <f t="shared" si="58"/>
        <v>1.1499999999999999</v>
      </c>
    </row>
    <row r="198" spans="1:20" x14ac:dyDescent="0.25">
      <c r="A198" s="47">
        <v>62</v>
      </c>
      <c r="B198" s="48">
        <f t="shared" ca="1" si="54"/>
        <v>26884.57</v>
      </c>
      <c r="C198" s="48">
        <f t="shared" ca="1" si="56"/>
        <v>25566.48</v>
      </c>
      <c r="P198" s="47">
        <v>74</v>
      </c>
      <c r="Q198" s="211">
        <v>1.1499999999999999</v>
      </c>
      <c r="R198" s="211">
        <v>1.1499999999999999</v>
      </c>
      <c r="S198" s="216">
        <f t="shared" si="57"/>
        <v>1.1499999999999999</v>
      </c>
      <c r="T198" s="217">
        <f t="shared" si="58"/>
        <v>1.1499999999999999</v>
      </c>
    </row>
    <row r="199" spans="1:20" x14ac:dyDescent="0.25">
      <c r="A199" s="47">
        <v>63</v>
      </c>
      <c r="B199" s="48">
        <f t="shared" ca="1" si="54"/>
        <v>27721.46</v>
      </c>
      <c r="C199" s="48">
        <f t="shared" ca="1" si="56"/>
        <v>26352.15</v>
      </c>
      <c r="P199" s="47">
        <v>75</v>
      </c>
      <c r="Q199" s="211">
        <v>1.1499999999999999</v>
      </c>
      <c r="R199" s="211">
        <v>1.1499999999999999</v>
      </c>
      <c r="S199" s="216">
        <f t="shared" si="57"/>
        <v>1.1499999999999999</v>
      </c>
      <c r="T199" s="217">
        <f t="shared" si="58"/>
        <v>1.1499999999999999</v>
      </c>
    </row>
    <row r="200" spans="1:20" x14ac:dyDescent="0.25">
      <c r="A200" s="47">
        <v>64</v>
      </c>
      <c r="B200" s="48">
        <f t="shared" ca="1" si="54"/>
        <v>28585.1</v>
      </c>
      <c r="C200" s="48">
        <f t="shared" ca="1" si="56"/>
        <v>27164.52</v>
      </c>
      <c r="P200" s="47">
        <v>76</v>
      </c>
      <c r="Q200" s="211">
        <v>1.1499999999999999</v>
      </c>
      <c r="R200" s="211">
        <v>1.1499999999999999</v>
      </c>
      <c r="S200" s="216">
        <f t="shared" si="57"/>
        <v>1.1499999999999999</v>
      </c>
      <c r="T200" s="217">
        <f t="shared" si="58"/>
        <v>1.1499999999999999</v>
      </c>
    </row>
    <row r="201" spans="1:20" x14ac:dyDescent="0.25">
      <c r="A201" s="47">
        <v>65</v>
      </c>
      <c r="B201" s="48">
        <f t="shared" ca="1" si="54"/>
        <v>30841.81</v>
      </c>
      <c r="C201" s="48">
        <f t="shared" ca="1" si="56"/>
        <v>29600.959999999999</v>
      </c>
      <c r="P201" s="47">
        <v>77</v>
      </c>
      <c r="Q201" s="211">
        <v>1.1499999999999999</v>
      </c>
      <c r="R201" s="211">
        <v>1.1499999999999999</v>
      </c>
      <c r="S201" s="216">
        <f t="shared" si="57"/>
        <v>1.1499999999999999</v>
      </c>
      <c r="T201" s="217">
        <f t="shared" si="58"/>
        <v>1.1499999999999999</v>
      </c>
    </row>
    <row r="202" spans="1:20" x14ac:dyDescent="0.25">
      <c r="A202" s="47">
        <v>66</v>
      </c>
      <c r="B202" s="182">
        <f t="shared" ref="B202:B236" ca="1" si="59">+IF($C$131=0,0,ROUND((B77*$C$131*S190)+$C$123+$D$129,2))</f>
        <v>33278.980000000003</v>
      </c>
      <c r="C202" s="182">
        <f t="shared" ref="C202:C236" ca="1" si="60">+IF($C$131=0,0,ROUND((C77*$C$131*T190)+$C$123+$D$129,2))</f>
        <v>32254.95</v>
      </c>
      <c r="P202" s="47">
        <v>78</v>
      </c>
      <c r="Q202" s="211">
        <v>1.1499999999999999</v>
      </c>
      <c r="R202" s="211">
        <v>1.1499999999999999</v>
      </c>
      <c r="S202" s="216">
        <f t="shared" si="57"/>
        <v>1.1499999999999999</v>
      </c>
      <c r="T202" s="217">
        <f t="shared" si="58"/>
        <v>1.1499999999999999</v>
      </c>
    </row>
    <row r="203" spans="1:20" x14ac:dyDescent="0.25">
      <c r="A203" s="47">
        <v>67</v>
      </c>
      <c r="B203" s="182">
        <f t="shared" ca="1" si="59"/>
        <v>35906.99</v>
      </c>
      <c r="C203" s="182">
        <f t="shared" ca="1" si="60"/>
        <v>35146.58</v>
      </c>
      <c r="P203" s="47">
        <v>79</v>
      </c>
      <c r="Q203" s="211">
        <v>1.1499999999999999</v>
      </c>
      <c r="R203" s="211">
        <v>1.1499999999999999</v>
      </c>
      <c r="S203" s="216">
        <f t="shared" si="57"/>
        <v>1.1499999999999999</v>
      </c>
      <c r="T203" s="217">
        <f t="shared" si="58"/>
        <v>1.1499999999999999</v>
      </c>
    </row>
    <row r="204" spans="1:20" x14ac:dyDescent="0.25">
      <c r="A204" s="47">
        <v>68</v>
      </c>
      <c r="B204" s="182">
        <f t="shared" ca="1" si="59"/>
        <v>38741.440000000002</v>
      </c>
      <c r="C204" s="182">
        <f t="shared" ca="1" si="60"/>
        <v>38298.120000000003</v>
      </c>
      <c r="P204" s="47">
        <v>80</v>
      </c>
      <c r="Q204" s="211">
        <v>1.2</v>
      </c>
      <c r="R204" s="211">
        <v>1.2</v>
      </c>
      <c r="S204" s="216">
        <f t="shared" si="57"/>
        <v>1.2</v>
      </c>
      <c r="T204" s="217">
        <f t="shared" si="58"/>
        <v>1.2</v>
      </c>
    </row>
    <row r="205" spans="1:20" x14ac:dyDescent="0.25">
      <c r="A205" s="47">
        <v>69</v>
      </c>
      <c r="B205" s="182">
        <f t="shared" ca="1" si="59"/>
        <v>41802.379999999997</v>
      </c>
      <c r="C205" s="182">
        <f t="shared" ca="1" si="60"/>
        <v>41732.57</v>
      </c>
      <c r="P205" s="47">
        <v>81</v>
      </c>
      <c r="Q205" s="211">
        <v>1.2</v>
      </c>
      <c r="R205" s="211">
        <v>1.2</v>
      </c>
      <c r="S205" s="216">
        <f t="shared" si="57"/>
        <v>1.2</v>
      </c>
      <c r="T205" s="217">
        <f t="shared" si="58"/>
        <v>1.2</v>
      </c>
    </row>
    <row r="206" spans="1:20" x14ac:dyDescent="0.25">
      <c r="A206" s="47">
        <v>70</v>
      </c>
      <c r="B206" s="182">
        <f t="shared" ca="1" si="59"/>
        <v>47432.02</v>
      </c>
      <c r="C206" s="182">
        <f t="shared" ca="1" si="60"/>
        <v>47284.52</v>
      </c>
      <c r="P206" s="47">
        <v>82</v>
      </c>
      <c r="Q206" s="211">
        <v>1.2</v>
      </c>
      <c r="R206" s="211">
        <v>1.2</v>
      </c>
      <c r="S206" s="216">
        <f t="shared" si="57"/>
        <v>1.2</v>
      </c>
      <c r="T206" s="217">
        <f t="shared" si="58"/>
        <v>1.2</v>
      </c>
    </row>
    <row r="207" spans="1:20" x14ac:dyDescent="0.25">
      <c r="A207" s="47">
        <v>71</v>
      </c>
      <c r="B207" s="182">
        <f t="shared" ca="1" si="59"/>
        <v>51480.639999999999</v>
      </c>
      <c r="C207" s="182">
        <f t="shared" ca="1" si="60"/>
        <v>51244.63</v>
      </c>
      <c r="P207" s="47">
        <v>83</v>
      </c>
      <c r="Q207" s="211">
        <v>1.2</v>
      </c>
      <c r="R207" s="211">
        <v>1.2</v>
      </c>
      <c r="S207" s="216">
        <f t="shared" si="57"/>
        <v>1.2</v>
      </c>
      <c r="T207" s="217">
        <f t="shared" si="58"/>
        <v>1.2</v>
      </c>
    </row>
    <row r="208" spans="1:20" x14ac:dyDescent="0.25">
      <c r="A208" s="47">
        <v>72</v>
      </c>
      <c r="B208" s="182">
        <f t="shared" ca="1" si="59"/>
        <v>55873.94</v>
      </c>
      <c r="C208" s="182">
        <f t="shared" ca="1" si="60"/>
        <v>55536.24</v>
      </c>
      <c r="P208" s="47">
        <v>84</v>
      </c>
      <c r="Q208" s="211">
        <v>1.2</v>
      </c>
      <c r="R208" s="211">
        <v>1.2</v>
      </c>
      <c r="S208" s="216">
        <f t="shared" si="57"/>
        <v>1.2</v>
      </c>
      <c r="T208" s="217">
        <f t="shared" si="58"/>
        <v>1.2</v>
      </c>
    </row>
    <row r="209" spans="1:20" x14ac:dyDescent="0.25">
      <c r="A209" s="47">
        <v>73</v>
      </c>
      <c r="B209" s="182">
        <f t="shared" ca="1" si="59"/>
        <v>60643</v>
      </c>
      <c r="C209" s="182">
        <f t="shared" ca="1" si="60"/>
        <v>60189.62</v>
      </c>
      <c r="P209" s="47">
        <v>85</v>
      </c>
      <c r="Q209" s="211">
        <v>1.2</v>
      </c>
      <c r="R209" s="211">
        <v>1.2</v>
      </c>
      <c r="S209" s="216">
        <f t="shared" si="57"/>
        <v>1.2</v>
      </c>
      <c r="T209" s="217">
        <f t="shared" si="58"/>
        <v>1.2</v>
      </c>
    </row>
    <row r="210" spans="1:20" x14ac:dyDescent="0.25">
      <c r="A210" s="47">
        <v>74</v>
      </c>
      <c r="B210" s="182">
        <f t="shared" ca="1" si="59"/>
        <v>65821.960000000006</v>
      </c>
      <c r="C210" s="182">
        <f t="shared" ca="1" si="60"/>
        <v>65237.37</v>
      </c>
      <c r="P210" s="47">
        <v>86</v>
      </c>
      <c r="Q210" s="211">
        <v>1.2</v>
      </c>
      <c r="R210" s="211">
        <v>1.2</v>
      </c>
      <c r="S210" s="216">
        <f t="shared" si="57"/>
        <v>1.2</v>
      </c>
      <c r="T210" s="217">
        <f t="shared" si="58"/>
        <v>1.2</v>
      </c>
    </row>
    <row r="211" spans="1:20" x14ac:dyDescent="0.25">
      <c r="A211" s="47">
        <v>75</v>
      </c>
      <c r="B211" s="182">
        <f t="shared" ca="1" si="59"/>
        <v>70184.210000000006</v>
      </c>
      <c r="C211" s="182">
        <f t="shared" ca="1" si="60"/>
        <v>68798.45</v>
      </c>
      <c r="P211" s="47">
        <v>87</v>
      </c>
      <c r="Q211" s="211">
        <v>1.2</v>
      </c>
      <c r="R211" s="211">
        <v>1.2</v>
      </c>
      <c r="S211" s="216">
        <f t="shared" si="57"/>
        <v>1.2</v>
      </c>
      <c r="T211" s="217">
        <f t="shared" si="58"/>
        <v>1.2</v>
      </c>
    </row>
    <row r="212" spans="1:20" x14ac:dyDescent="0.25">
      <c r="A212" s="47">
        <v>76</v>
      </c>
      <c r="B212" s="182">
        <f t="shared" ca="1" si="59"/>
        <v>74836.81</v>
      </c>
      <c r="C212" s="182">
        <f t="shared" ca="1" si="60"/>
        <v>72553.59</v>
      </c>
      <c r="P212" s="47">
        <v>88</v>
      </c>
      <c r="Q212" s="211">
        <v>1.2</v>
      </c>
      <c r="R212" s="211">
        <v>1.2</v>
      </c>
      <c r="S212" s="216">
        <f t="shared" si="57"/>
        <v>1.2</v>
      </c>
      <c r="T212" s="217">
        <f t="shared" si="58"/>
        <v>1.2</v>
      </c>
    </row>
    <row r="213" spans="1:20" x14ac:dyDescent="0.25">
      <c r="A213" s="47">
        <v>77</v>
      </c>
      <c r="B213" s="182">
        <f t="shared" ca="1" si="59"/>
        <v>79803.06</v>
      </c>
      <c r="C213" s="182">
        <f t="shared" ca="1" si="60"/>
        <v>76509.06</v>
      </c>
      <c r="P213" s="47">
        <v>89</v>
      </c>
      <c r="Q213" s="211">
        <v>1.2</v>
      </c>
      <c r="R213" s="211">
        <v>1.2</v>
      </c>
      <c r="S213" s="216">
        <f t="shared" si="57"/>
        <v>1.2</v>
      </c>
      <c r="T213" s="217">
        <f t="shared" si="58"/>
        <v>1.2</v>
      </c>
    </row>
    <row r="214" spans="1:20" x14ac:dyDescent="0.25">
      <c r="A214" s="47">
        <v>78</v>
      </c>
      <c r="B214" s="182">
        <f t="shared" ca="1" si="59"/>
        <v>85091.48</v>
      </c>
      <c r="C214" s="182">
        <f t="shared" ca="1" si="60"/>
        <v>80686.53</v>
      </c>
      <c r="P214" s="47">
        <v>90</v>
      </c>
      <c r="Q214" s="211">
        <v>1.2</v>
      </c>
      <c r="R214" s="211">
        <v>1.2</v>
      </c>
      <c r="S214" s="216">
        <f t="shared" si="57"/>
        <v>1.2</v>
      </c>
      <c r="T214" s="217">
        <f t="shared" si="58"/>
        <v>1.2</v>
      </c>
    </row>
    <row r="215" spans="1:20" x14ac:dyDescent="0.25">
      <c r="A215" s="47">
        <v>79</v>
      </c>
      <c r="B215" s="182">
        <f t="shared" ca="1" si="59"/>
        <v>90737.8</v>
      </c>
      <c r="C215" s="182">
        <f t="shared" ca="1" si="60"/>
        <v>85084.49</v>
      </c>
      <c r="P215" s="47">
        <v>91</v>
      </c>
      <c r="Q215" s="211">
        <v>1.2</v>
      </c>
      <c r="R215" s="211">
        <v>1.2</v>
      </c>
      <c r="S215" s="216">
        <f t="shared" si="57"/>
        <v>1.2</v>
      </c>
      <c r="T215" s="217">
        <f t="shared" si="58"/>
        <v>1.2</v>
      </c>
    </row>
    <row r="216" spans="1:20" x14ac:dyDescent="0.25">
      <c r="A216" s="47">
        <v>80</v>
      </c>
      <c r="B216" s="182">
        <f t="shared" ca="1" si="59"/>
        <v>98491.18</v>
      </c>
      <c r="C216" s="182">
        <f t="shared" ca="1" si="60"/>
        <v>92123.839999999997</v>
      </c>
      <c r="P216" s="47">
        <v>92</v>
      </c>
      <c r="Q216" s="211">
        <v>1.2</v>
      </c>
      <c r="R216" s="211">
        <v>1.2</v>
      </c>
      <c r="S216" s="216">
        <f t="shared" si="57"/>
        <v>1.2</v>
      </c>
      <c r="T216" s="217">
        <f t="shared" si="58"/>
        <v>1.2</v>
      </c>
    </row>
    <row r="217" spans="1:20" x14ac:dyDescent="0.25">
      <c r="A217" s="47">
        <v>81</v>
      </c>
      <c r="B217" s="182">
        <f t="shared" ca="1" si="59"/>
        <v>102456.58</v>
      </c>
      <c r="C217" s="182">
        <f t="shared" ca="1" si="60"/>
        <v>95586.99</v>
      </c>
      <c r="P217" s="47">
        <v>93</v>
      </c>
      <c r="Q217" s="211">
        <v>1.2</v>
      </c>
      <c r="R217" s="211">
        <v>1.2</v>
      </c>
      <c r="S217" s="216">
        <f t="shared" si="57"/>
        <v>1.2</v>
      </c>
      <c r="T217" s="217">
        <f t="shared" si="58"/>
        <v>1.2</v>
      </c>
    </row>
    <row r="218" spans="1:20" x14ac:dyDescent="0.25">
      <c r="A218" s="47">
        <v>82</v>
      </c>
      <c r="B218" s="182">
        <f t="shared" ca="1" si="59"/>
        <v>106592.12</v>
      </c>
      <c r="C218" s="182">
        <f t="shared" ca="1" si="60"/>
        <v>99182.18</v>
      </c>
      <c r="P218" s="47">
        <v>94</v>
      </c>
      <c r="Q218" s="211">
        <v>1.2</v>
      </c>
      <c r="R218" s="211">
        <v>1.2</v>
      </c>
      <c r="S218" s="216">
        <f t="shared" si="57"/>
        <v>1.2</v>
      </c>
      <c r="T218" s="217">
        <f t="shared" si="58"/>
        <v>1.2</v>
      </c>
    </row>
    <row r="219" spans="1:20" x14ac:dyDescent="0.25">
      <c r="A219" s="47">
        <v>83</v>
      </c>
      <c r="B219" s="182">
        <f t="shared" ca="1" si="59"/>
        <v>110885.61</v>
      </c>
      <c r="C219" s="182">
        <f t="shared" ca="1" si="60"/>
        <v>102912.67</v>
      </c>
      <c r="P219" s="47">
        <v>95</v>
      </c>
      <c r="Q219" s="211">
        <v>1.2</v>
      </c>
      <c r="R219" s="211">
        <v>1.2</v>
      </c>
      <c r="S219" s="216">
        <f t="shared" si="57"/>
        <v>1.2</v>
      </c>
      <c r="T219" s="217">
        <f t="shared" si="58"/>
        <v>1.2</v>
      </c>
    </row>
    <row r="220" spans="1:20" x14ac:dyDescent="0.25">
      <c r="A220" s="47">
        <v>84</v>
      </c>
      <c r="B220" s="182">
        <f t="shared" ca="1" si="59"/>
        <v>115350.04</v>
      </c>
      <c r="C220" s="182">
        <f t="shared" ca="1" si="60"/>
        <v>106782.48</v>
      </c>
      <c r="P220" s="47">
        <v>96</v>
      </c>
      <c r="Q220" s="211">
        <v>1.2</v>
      </c>
      <c r="R220" s="211">
        <v>1.2</v>
      </c>
      <c r="S220" s="216">
        <f t="shared" si="57"/>
        <v>1.2</v>
      </c>
      <c r="T220" s="217">
        <f t="shared" si="58"/>
        <v>1.2</v>
      </c>
    </row>
    <row r="221" spans="1:20" x14ac:dyDescent="0.25">
      <c r="A221" s="47">
        <v>85</v>
      </c>
      <c r="B221" s="182">
        <f t="shared" ca="1" si="59"/>
        <v>122141.86</v>
      </c>
      <c r="C221" s="182">
        <f t="shared" ca="1" si="60"/>
        <v>112758.55</v>
      </c>
      <c r="P221" s="47">
        <v>97</v>
      </c>
      <c r="Q221" s="211">
        <v>1.2</v>
      </c>
      <c r="R221" s="211">
        <v>1.2</v>
      </c>
      <c r="S221" s="216">
        <f t="shared" si="57"/>
        <v>1.2</v>
      </c>
      <c r="T221" s="217">
        <f t="shared" si="58"/>
        <v>1.2</v>
      </c>
    </row>
    <row r="222" spans="1:20" x14ac:dyDescent="0.25">
      <c r="A222" s="47">
        <v>86</v>
      </c>
      <c r="B222" s="182">
        <f t="shared" ca="1" si="59"/>
        <v>129324.15</v>
      </c>
      <c r="C222" s="182">
        <f t="shared" ca="1" si="60"/>
        <v>119064.32000000001</v>
      </c>
      <c r="P222" s="47">
        <v>98</v>
      </c>
      <c r="Q222" s="211">
        <v>1.2</v>
      </c>
      <c r="R222" s="211">
        <v>1.2</v>
      </c>
      <c r="S222" s="216">
        <f t="shared" si="57"/>
        <v>1.2</v>
      </c>
      <c r="T222" s="217">
        <f t="shared" si="58"/>
        <v>1.2</v>
      </c>
    </row>
    <row r="223" spans="1:20" x14ac:dyDescent="0.25">
      <c r="A223" s="47">
        <v>87</v>
      </c>
      <c r="B223" s="182">
        <f t="shared" ca="1" si="59"/>
        <v>136936.6</v>
      </c>
      <c r="C223" s="182">
        <f t="shared" ca="1" si="60"/>
        <v>125719.23</v>
      </c>
      <c r="P223" s="47">
        <v>99</v>
      </c>
      <c r="Q223" s="211">
        <v>1.2</v>
      </c>
      <c r="R223" s="211">
        <v>1.2</v>
      </c>
      <c r="S223" s="216">
        <f t="shared" si="57"/>
        <v>1.2</v>
      </c>
      <c r="T223" s="217">
        <f t="shared" si="58"/>
        <v>1.2</v>
      </c>
    </row>
    <row r="224" spans="1:20" ht="15.75" thickBot="1" x14ac:dyDescent="0.3">
      <c r="A224" s="47">
        <v>88</v>
      </c>
      <c r="B224" s="182">
        <f t="shared" ca="1" si="59"/>
        <v>144997.85</v>
      </c>
      <c r="C224" s="182">
        <f t="shared" ca="1" si="60"/>
        <v>132747.60999999999</v>
      </c>
      <c r="P224" s="167">
        <v>100</v>
      </c>
      <c r="Q224" s="213">
        <v>1.2</v>
      </c>
      <c r="R224" s="213">
        <v>1.2</v>
      </c>
      <c r="S224" s="359">
        <f t="shared" si="57"/>
        <v>1.2</v>
      </c>
      <c r="T224" s="360">
        <f t="shared" si="58"/>
        <v>1.2</v>
      </c>
    </row>
    <row r="225" spans="1:3" x14ac:dyDescent="0.25">
      <c r="A225" s="47">
        <v>89</v>
      </c>
      <c r="B225" s="182">
        <f t="shared" ca="1" si="59"/>
        <v>153524.07999999999</v>
      </c>
      <c r="C225" s="182">
        <f t="shared" ca="1" si="60"/>
        <v>140168.87</v>
      </c>
    </row>
    <row r="226" spans="1:3" x14ac:dyDescent="0.25">
      <c r="A226" s="47">
        <v>90</v>
      </c>
      <c r="B226" s="182">
        <f t="shared" ca="1" si="59"/>
        <v>162563.09</v>
      </c>
      <c r="C226" s="182">
        <f t="shared" ca="1" si="60"/>
        <v>147950.63</v>
      </c>
    </row>
    <row r="227" spans="1:3" x14ac:dyDescent="0.25">
      <c r="A227" s="47">
        <v>91</v>
      </c>
      <c r="B227" s="182">
        <f t="shared" ca="1" si="59"/>
        <v>172144.89</v>
      </c>
      <c r="C227" s="182">
        <f t="shared" ca="1" si="60"/>
        <v>156157.68</v>
      </c>
    </row>
    <row r="228" spans="1:3" x14ac:dyDescent="0.25">
      <c r="A228" s="47">
        <v>92</v>
      </c>
      <c r="B228" s="182">
        <f t="shared" ca="1" si="59"/>
        <v>182279.97</v>
      </c>
      <c r="C228" s="182">
        <f t="shared" ca="1" si="60"/>
        <v>164828.93</v>
      </c>
    </row>
    <row r="229" spans="1:3" x14ac:dyDescent="0.25">
      <c r="A229" s="47">
        <v>93</v>
      </c>
      <c r="B229" s="182">
        <f t="shared" ca="1" si="59"/>
        <v>193010.46</v>
      </c>
      <c r="C229" s="182">
        <f t="shared" ca="1" si="60"/>
        <v>173970.03</v>
      </c>
    </row>
    <row r="230" spans="1:3" x14ac:dyDescent="0.25">
      <c r="A230" s="47">
        <v>94</v>
      </c>
      <c r="B230" s="182">
        <f t="shared" ca="1" si="59"/>
        <v>204389.04</v>
      </c>
      <c r="C230" s="182">
        <f t="shared" ca="1" si="60"/>
        <v>183618.24</v>
      </c>
    </row>
    <row r="231" spans="1:3" x14ac:dyDescent="0.25">
      <c r="A231" s="47">
        <v>95</v>
      </c>
      <c r="B231" s="182">
        <f t="shared" ca="1" si="59"/>
        <v>216436.75</v>
      </c>
      <c r="C231" s="182">
        <f t="shared" ca="1" si="60"/>
        <v>193688.52</v>
      </c>
    </row>
    <row r="232" spans="1:3" x14ac:dyDescent="0.25">
      <c r="A232" s="47">
        <v>96</v>
      </c>
      <c r="B232" s="182">
        <f t="shared" ca="1" si="59"/>
        <v>229198.16</v>
      </c>
      <c r="C232" s="182">
        <f t="shared" ca="1" si="60"/>
        <v>204308.84</v>
      </c>
    </row>
    <row r="233" spans="1:3" x14ac:dyDescent="0.25">
      <c r="A233" s="47">
        <v>97</v>
      </c>
      <c r="B233" s="182">
        <f t="shared" ca="1" si="59"/>
        <v>242719.43</v>
      </c>
      <c r="C233" s="182">
        <f t="shared" ca="1" si="60"/>
        <v>215513.25</v>
      </c>
    </row>
    <row r="234" spans="1:3" x14ac:dyDescent="0.25">
      <c r="A234" s="47">
        <v>98</v>
      </c>
      <c r="B234" s="182">
        <f t="shared" ca="1" si="59"/>
        <v>257041.87</v>
      </c>
      <c r="C234" s="182">
        <f t="shared" ca="1" si="60"/>
        <v>227331.69</v>
      </c>
    </row>
    <row r="235" spans="1:3" x14ac:dyDescent="0.25">
      <c r="A235" s="47">
        <v>99</v>
      </c>
      <c r="B235" s="182">
        <f t="shared" ca="1" si="59"/>
        <v>257041.87</v>
      </c>
      <c r="C235" s="182">
        <f t="shared" ca="1" si="60"/>
        <v>227331.69</v>
      </c>
    </row>
    <row r="236" spans="1:3" ht="15.75" thickBot="1" x14ac:dyDescent="0.3">
      <c r="A236" s="167">
        <v>100</v>
      </c>
      <c r="B236" s="185">
        <f t="shared" ca="1" si="59"/>
        <v>257041.87</v>
      </c>
      <c r="C236" s="185">
        <f t="shared" ca="1" si="60"/>
        <v>227331.69</v>
      </c>
    </row>
  </sheetData>
  <mergeCells count="48">
    <mergeCell ref="X124:X133"/>
    <mergeCell ref="CH9:CI9"/>
    <mergeCell ref="BT9:BU9"/>
    <mergeCell ref="A9:C9"/>
    <mergeCell ref="E9:H9"/>
    <mergeCell ref="P9:Q9"/>
    <mergeCell ref="U9:V9"/>
    <mergeCell ref="BZ9:CA9"/>
    <mergeCell ref="CB9:CC9"/>
    <mergeCell ref="CD9:CE9"/>
    <mergeCell ref="CF9:CG9"/>
    <mergeCell ref="BR9:BS9"/>
    <mergeCell ref="BX9:BY9"/>
    <mergeCell ref="K9:L9"/>
    <mergeCell ref="P31:Q31"/>
    <mergeCell ref="BJ9:BK9"/>
    <mergeCell ref="AB7:AG7"/>
    <mergeCell ref="AQ7:BA7"/>
    <mergeCell ref="BI7:BS7"/>
    <mergeCell ref="BW7:CG7"/>
    <mergeCell ref="AB8:AG8"/>
    <mergeCell ref="BB7:BE7"/>
    <mergeCell ref="BL9:BM9"/>
    <mergeCell ref="BN9:BO9"/>
    <mergeCell ref="BP9:BQ9"/>
    <mergeCell ref="Y9:AA9"/>
    <mergeCell ref="AR9:AS9"/>
    <mergeCell ref="AT9:AU9"/>
    <mergeCell ref="AV9:AW9"/>
    <mergeCell ref="AX9:AY9"/>
    <mergeCell ref="AZ9:BA9"/>
    <mergeCell ref="BB9:BC9"/>
    <mergeCell ref="BD9:BE9"/>
    <mergeCell ref="BF9:BG9"/>
    <mergeCell ref="P24:Q24"/>
    <mergeCell ref="A134:C134"/>
    <mergeCell ref="P40:Q40"/>
    <mergeCell ref="P48:S48"/>
    <mergeCell ref="P58:R58"/>
    <mergeCell ref="K96:M96"/>
    <mergeCell ref="P74:Q74"/>
    <mergeCell ref="P91:R91"/>
    <mergeCell ref="P92:Q92"/>
    <mergeCell ref="P110:Q110"/>
    <mergeCell ref="P117:Q117"/>
    <mergeCell ref="A131:B131"/>
    <mergeCell ref="A132:B132"/>
    <mergeCell ref="P122:T122"/>
  </mergeCell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H37"/>
  <sheetViews>
    <sheetView workbookViewId="0">
      <selection activeCell="F205" sqref="F205"/>
    </sheetView>
  </sheetViews>
  <sheetFormatPr baseColWidth="10" defaultRowHeight="15" x14ac:dyDescent="0.25"/>
  <cols>
    <col min="2" max="2" width="17.7109375" bestFit="1" customWidth="1"/>
    <col min="7" max="7" width="26" bestFit="1" customWidth="1"/>
    <col min="8" max="8" width="24" bestFit="1" customWidth="1"/>
  </cols>
  <sheetData>
    <row r="1" spans="1:8" ht="15.75" thickBot="1" x14ac:dyDescent="0.3">
      <c r="A1" s="14" t="s">
        <v>132</v>
      </c>
      <c r="B1" s="14" t="s">
        <v>133</v>
      </c>
      <c r="C1" s="14" t="s">
        <v>69</v>
      </c>
      <c r="D1" s="14" t="s">
        <v>81</v>
      </c>
      <c r="E1" s="14" t="s">
        <v>134</v>
      </c>
    </row>
    <row r="2" spans="1:8" x14ac:dyDescent="0.25">
      <c r="A2" s="46" t="s">
        <v>135</v>
      </c>
      <c r="B2" s="46" t="s">
        <v>136</v>
      </c>
      <c r="C2" s="145">
        <v>1</v>
      </c>
      <c r="D2" s="145">
        <v>2</v>
      </c>
      <c r="E2" s="145"/>
    </row>
    <row r="3" spans="1:8" x14ac:dyDescent="0.25">
      <c r="A3" s="149" t="s">
        <v>137</v>
      </c>
      <c r="B3" s="149" t="s">
        <v>138</v>
      </c>
      <c r="C3" s="150">
        <v>0.49159999999999998</v>
      </c>
      <c r="D3" s="149">
        <v>1</v>
      </c>
      <c r="E3" s="151"/>
      <c r="G3" s="199" t="s">
        <v>133</v>
      </c>
      <c r="H3" s="199" t="s">
        <v>132</v>
      </c>
    </row>
    <row r="4" spans="1:8" x14ac:dyDescent="0.25">
      <c r="A4" s="149" t="s">
        <v>139</v>
      </c>
      <c r="B4" s="155" t="s">
        <v>138</v>
      </c>
      <c r="C4" s="150">
        <v>0.49159999999999998</v>
      </c>
      <c r="D4" s="149">
        <v>1</v>
      </c>
      <c r="E4" s="151"/>
      <c r="G4" t="s">
        <v>136</v>
      </c>
      <c r="H4" t="s">
        <v>135</v>
      </c>
    </row>
    <row r="5" spans="1:8" x14ac:dyDescent="0.25">
      <c r="A5" s="156" t="s">
        <v>140</v>
      </c>
      <c r="B5" s="157" t="s">
        <v>141</v>
      </c>
      <c r="C5" s="156">
        <v>0.4274</v>
      </c>
      <c r="D5" s="156">
        <v>1</v>
      </c>
      <c r="E5" s="158">
        <v>0.1</v>
      </c>
      <c r="H5" t="s">
        <v>154</v>
      </c>
    </row>
    <row r="6" spans="1:8" x14ac:dyDescent="0.25">
      <c r="A6" s="55" t="s">
        <v>142</v>
      </c>
      <c r="B6" s="17" t="s">
        <v>143</v>
      </c>
      <c r="C6" s="55">
        <v>0.56979999999999997</v>
      </c>
      <c r="D6" s="55">
        <v>1</v>
      </c>
      <c r="E6" s="159">
        <v>0.1</v>
      </c>
      <c r="H6" t="s">
        <v>170</v>
      </c>
    </row>
    <row r="7" spans="1:8" x14ac:dyDescent="0.25">
      <c r="A7" s="149" t="s">
        <v>146</v>
      </c>
      <c r="B7" s="155" t="s">
        <v>138</v>
      </c>
      <c r="C7" s="150">
        <v>0.49159999999999998</v>
      </c>
      <c r="D7" s="149">
        <v>1</v>
      </c>
      <c r="E7" s="151"/>
      <c r="H7" t="s">
        <v>173</v>
      </c>
    </row>
    <row r="8" spans="1:8" x14ac:dyDescent="0.25">
      <c r="A8" s="55" t="s">
        <v>147</v>
      </c>
      <c r="B8" s="55" t="s">
        <v>64</v>
      </c>
      <c r="C8" s="160">
        <v>1</v>
      </c>
      <c r="D8" s="160">
        <v>4</v>
      </c>
      <c r="E8" s="160"/>
      <c r="H8" t="s">
        <v>190</v>
      </c>
    </row>
    <row r="9" spans="1:8" x14ac:dyDescent="0.25">
      <c r="A9" s="55" t="s">
        <v>148</v>
      </c>
      <c r="B9" s="17" t="s">
        <v>149</v>
      </c>
      <c r="C9" s="55">
        <v>1</v>
      </c>
      <c r="D9" s="55">
        <v>8</v>
      </c>
      <c r="E9" s="55"/>
      <c r="G9" t="s">
        <v>63</v>
      </c>
      <c r="H9" t="s">
        <v>63</v>
      </c>
    </row>
    <row r="10" spans="1:8" x14ac:dyDescent="0.25">
      <c r="A10" s="55" t="s">
        <v>150</v>
      </c>
      <c r="B10" s="63" t="s">
        <v>1</v>
      </c>
      <c r="C10" s="55">
        <v>1</v>
      </c>
      <c r="D10" s="160">
        <v>1</v>
      </c>
      <c r="E10" s="159">
        <v>0.1</v>
      </c>
      <c r="G10" t="s">
        <v>153</v>
      </c>
      <c r="H10" t="s">
        <v>152</v>
      </c>
    </row>
    <row r="11" spans="1:8" x14ac:dyDescent="0.25">
      <c r="A11" s="55" t="s">
        <v>151</v>
      </c>
      <c r="B11" s="55" t="s">
        <v>64</v>
      </c>
      <c r="C11" s="160">
        <v>1</v>
      </c>
      <c r="D11" s="160">
        <v>4</v>
      </c>
      <c r="E11" s="160"/>
      <c r="H11" t="s">
        <v>159</v>
      </c>
    </row>
    <row r="12" spans="1:8" x14ac:dyDescent="0.25">
      <c r="A12" s="149" t="s">
        <v>152</v>
      </c>
      <c r="B12" s="164" t="s">
        <v>153</v>
      </c>
      <c r="C12" s="165">
        <f>IF(OR('GOLDEN SALUD IND'!$E$18="AA",'GOLDEN SALUD IND'!$E$18="A",'GOLDEN SALUD IND'!$E$18="B"),0.682,1)</f>
        <v>1</v>
      </c>
      <c r="D12" s="150">
        <v>1</v>
      </c>
      <c r="E12" s="151"/>
      <c r="H12" t="s">
        <v>162</v>
      </c>
    </row>
    <row r="13" spans="1:8" x14ac:dyDescent="0.25">
      <c r="A13" s="55" t="s">
        <v>154</v>
      </c>
      <c r="B13" s="17" t="s">
        <v>136</v>
      </c>
      <c r="C13" s="160">
        <v>1</v>
      </c>
      <c r="D13" s="160">
        <v>2</v>
      </c>
      <c r="E13" s="166"/>
      <c r="G13" t="s">
        <v>1</v>
      </c>
      <c r="H13" t="s">
        <v>150</v>
      </c>
    </row>
    <row r="14" spans="1:8" x14ac:dyDescent="0.25">
      <c r="A14" s="55" t="s">
        <v>156</v>
      </c>
      <c r="B14" s="17" t="s">
        <v>143</v>
      </c>
      <c r="C14" s="55">
        <v>0.56979999999999997</v>
      </c>
      <c r="D14" s="55">
        <v>1</v>
      </c>
      <c r="E14" s="159">
        <v>0.1</v>
      </c>
      <c r="G14" t="s">
        <v>64</v>
      </c>
      <c r="H14" t="s">
        <v>147</v>
      </c>
    </row>
    <row r="15" spans="1:8" x14ac:dyDescent="0.25">
      <c r="A15" s="149" t="s">
        <v>159</v>
      </c>
      <c r="B15" s="149" t="s">
        <v>153</v>
      </c>
      <c r="C15" s="165">
        <f>IF(OR('GOLDEN SALUD IND'!$E$18="AA",'GOLDEN SALUD IND'!$E$18="A",'GOLDEN SALUD IND'!$E$18="B"),0.682,1)</f>
        <v>1</v>
      </c>
      <c r="D15" s="150">
        <v>1</v>
      </c>
      <c r="E15" s="151"/>
      <c r="H15" t="s">
        <v>151</v>
      </c>
    </row>
    <row r="16" spans="1:8" x14ac:dyDescent="0.25">
      <c r="A16" s="55" t="s">
        <v>160</v>
      </c>
      <c r="B16" s="17" t="s">
        <v>149</v>
      </c>
      <c r="C16" s="55">
        <v>1</v>
      </c>
      <c r="D16" s="55">
        <v>8</v>
      </c>
      <c r="E16" s="55"/>
      <c r="H16" t="s">
        <v>165</v>
      </c>
    </row>
    <row r="17" spans="1:8" x14ac:dyDescent="0.25">
      <c r="A17" s="55" t="s">
        <v>161</v>
      </c>
      <c r="B17" s="17" t="s">
        <v>220</v>
      </c>
      <c r="C17" s="55">
        <v>1</v>
      </c>
      <c r="D17" s="55">
        <v>2</v>
      </c>
      <c r="E17" s="55"/>
      <c r="H17" t="s">
        <v>183</v>
      </c>
    </row>
    <row r="18" spans="1:8" x14ac:dyDescent="0.25">
      <c r="A18" s="149" t="s">
        <v>162</v>
      </c>
      <c r="B18" s="155" t="s">
        <v>153</v>
      </c>
      <c r="C18" s="165">
        <f>IF(OR('GOLDEN SALUD IND'!$E$18="AA",'GOLDEN SALUD IND'!$E$18="A",'GOLDEN SALUD IND'!$E$18="B"),0.682,1)</f>
        <v>1</v>
      </c>
      <c r="D18" s="150">
        <v>1</v>
      </c>
      <c r="E18" s="151"/>
      <c r="G18" t="s">
        <v>138</v>
      </c>
      <c r="H18" t="s">
        <v>137</v>
      </c>
    </row>
    <row r="19" spans="1:8" x14ac:dyDescent="0.25">
      <c r="A19" s="55" t="s">
        <v>163</v>
      </c>
      <c r="B19" s="55" t="s">
        <v>149</v>
      </c>
      <c r="C19" s="55">
        <v>1</v>
      </c>
      <c r="D19" s="55">
        <v>8</v>
      </c>
      <c r="E19" s="55"/>
      <c r="H19" t="s">
        <v>139</v>
      </c>
    </row>
    <row r="20" spans="1:8" x14ac:dyDescent="0.25">
      <c r="A20" s="55" t="s">
        <v>165</v>
      </c>
      <c r="B20" s="17" t="s">
        <v>64</v>
      </c>
      <c r="C20" s="160">
        <v>1</v>
      </c>
      <c r="D20" s="160">
        <v>5</v>
      </c>
      <c r="E20" s="160"/>
      <c r="H20" t="s">
        <v>146</v>
      </c>
    </row>
    <row r="21" spans="1:8" x14ac:dyDescent="0.25">
      <c r="A21" s="55" t="s">
        <v>166</v>
      </c>
      <c r="B21" s="17" t="s">
        <v>143</v>
      </c>
      <c r="C21" s="55">
        <v>0.56979999999999997</v>
      </c>
      <c r="D21" s="55">
        <v>1</v>
      </c>
      <c r="E21" s="159">
        <v>0.1</v>
      </c>
      <c r="H21" t="s">
        <v>178</v>
      </c>
    </row>
    <row r="22" spans="1:8" x14ac:dyDescent="0.25">
      <c r="A22" s="55" t="s">
        <v>167</v>
      </c>
      <c r="B22" s="63" t="s">
        <v>143</v>
      </c>
      <c r="C22" s="55">
        <v>0.56979999999999997</v>
      </c>
      <c r="D22" s="55">
        <v>1</v>
      </c>
      <c r="E22" s="159">
        <v>0.1</v>
      </c>
      <c r="G22" t="s">
        <v>149</v>
      </c>
      <c r="H22" t="s">
        <v>148</v>
      </c>
    </row>
    <row r="23" spans="1:8" x14ac:dyDescent="0.25">
      <c r="A23" s="55" t="s">
        <v>170</v>
      </c>
      <c r="B23" s="17" t="s">
        <v>136</v>
      </c>
      <c r="C23" s="160">
        <v>1</v>
      </c>
      <c r="D23" s="160">
        <v>2</v>
      </c>
      <c r="E23" s="160"/>
      <c r="H23" t="s">
        <v>160</v>
      </c>
    </row>
    <row r="24" spans="1:8" x14ac:dyDescent="0.25">
      <c r="A24" s="156" t="s">
        <v>171</v>
      </c>
      <c r="B24" s="156" t="s">
        <v>141</v>
      </c>
      <c r="C24" s="156">
        <v>0.4274</v>
      </c>
      <c r="D24" s="156">
        <v>1</v>
      </c>
      <c r="E24" s="158">
        <v>0.1</v>
      </c>
      <c r="H24" t="s">
        <v>163</v>
      </c>
    </row>
    <row r="25" spans="1:8" x14ac:dyDescent="0.25">
      <c r="A25" s="55" t="s">
        <v>173</v>
      </c>
      <c r="B25" s="17" t="s">
        <v>136</v>
      </c>
      <c r="C25" s="160">
        <v>1</v>
      </c>
      <c r="D25" s="160">
        <v>2</v>
      </c>
      <c r="E25" s="160"/>
      <c r="G25" t="s">
        <v>143</v>
      </c>
      <c r="H25" t="s">
        <v>142</v>
      </c>
    </row>
    <row r="26" spans="1:8" x14ac:dyDescent="0.25">
      <c r="A26" s="55" t="s">
        <v>175</v>
      </c>
      <c r="B26" s="63" t="s">
        <v>220</v>
      </c>
      <c r="C26" s="55">
        <v>1</v>
      </c>
      <c r="D26" s="55">
        <v>2</v>
      </c>
      <c r="E26" s="55"/>
      <c r="H26" t="s">
        <v>156</v>
      </c>
    </row>
    <row r="27" spans="1:8" x14ac:dyDescent="0.25">
      <c r="A27" s="149" t="s">
        <v>178</v>
      </c>
      <c r="B27" s="155" t="s">
        <v>138</v>
      </c>
      <c r="C27" s="150">
        <v>0.49159999999999998</v>
      </c>
      <c r="D27" s="149">
        <v>1</v>
      </c>
      <c r="E27" s="151"/>
      <c r="H27" t="s">
        <v>166</v>
      </c>
    </row>
    <row r="28" spans="1:8" x14ac:dyDescent="0.25">
      <c r="A28" s="156" t="s">
        <v>181</v>
      </c>
      <c r="B28" s="178" t="s">
        <v>141</v>
      </c>
      <c r="C28" s="156">
        <v>0.4274</v>
      </c>
      <c r="D28" s="156">
        <v>1</v>
      </c>
      <c r="E28" s="158">
        <v>0.1</v>
      </c>
      <c r="H28" t="s">
        <v>167</v>
      </c>
    </row>
    <row r="29" spans="1:8" x14ac:dyDescent="0.25">
      <c r="A29" s="55" t="s">
        <v>183</v>
      </c>
      <c r="B29" s="17" t="s">
        <v>64</v>
      </c>
      <c r="C29" s="160">
        <v>1</v>
      </c>
      <c r="D29" s="160">
        <v>4</v>
      </c>
      <c r="E29" s="160"/>
      <c r="H29" t="s">
        <v>185</v>
      </c>
    </row>
    <row r="30" spans="1:8" x14ac:dyDescent="0.25">
      <c r="A30" s="55" t="s">
        <v>185</v>
      </c>
      <c r="B30" s="55" t="s">
        <v>143</v>
      </c>
      <c r="C30" s="55">
        <v>0.56979999999999997</v>
      </c>
      <c r="D30" s="55">
        <v>1</v>
      </c>
      <c r="E30" s="159">
        <v>0.1</v>
      </c>
      <c r="H30" t="s">
        <v>187</v>
      </c>
    </row>
    <row r="31" spans="1:8" x14ac:dyDescent="0.25">
      <c r="A31" s="55" t="s">
        <v>187</v>
      </c>
      <c r="B31" s="17" t="s">
        <v>143</v>
      </c>
      <c r="C31" s="55">
        <v>0.56979999999999997</v>
      </c>
      <c r="D31" s="55">
        <v>1</v>
      </c>
      <c r="E31" s="159">
        <v>0.1</v>
      </c>
      <c r="G31" t="s">
        <v>141</v>
      </c>
      <c r="H31" t="s">
        <v>140</v>
      </c>
    </row>
    <row r="32" spans="1:8" x14ac:dyDescent="0.25">
      <c r="A32" s="156" t="s">
        <v>189</v>
      </c>
      <c r="B32" s="178" t="s">
        <v>141</v>
      </c>
      <c r="C32" s="156">
        <v>0.4274</v>
      </c>
      <c r="D32" s="156">
        <v>1</v>
      </c>
      <c r="E32" s="158">
        <v>0.1</v>
      </c>
      <c r="H32" t="s">
        <v>171</v>
      </c>
    </row>
    <row r="33" spans="1:8" x14ac:dyDescent="0.25">
      <c r="A33" s="55" t="s">
        <v>190</v>
      </c>
      <c r="B33" s="63" t="s">
        <v>136</v>
      </c>
      <c r="C33" s="160">
        <v>1</v>
      </c>
      <c r="D33" s="160">
        <v>2</v>
      </c>
      <c r="E33" s="160"/>
      <c r="H33" t="s">
        <v>181</v>
      </c>
    </row>
    <row r="34" spans="1:8" ht="15.75" thickBot="1" x14ac:dyDescent="0.3">
      <c r="A34" s="83" t="s">
        <v>63</v>
      </c>
      <c r="B34" s="83" t="s">
        <v>63</v>
      </c>
      <c r="C34" s="83">
        <v>1</v>
      </c>
      <c r="D34" s="83">
        <v>3</v>
      </c>
      <c r="E34" s="83"/>
      <c r="H34" t="s">
        <v>189</v>
      </c>
    </row>
    <row r="35" spans="1:8" x14ac:dyDescent="0.25">
      <c r="G35" t="s">
        <v>220</v>
      </c>
      <c r="H35" t="s">
        <v>161</v>
      </c>
    </row>
    <row r="36" spans="1:8" x14ac:dyDescent="0.25">
      <c r="H36" t="s">
        <v>175</v>
      </c>
    </row>
    <row r="37" spans="1:8" x14ac:dyDescent="0.25">
      <c r="G37" t="s">
        <v>198</v>
      </c>
    </row>
  </sheetData>
  <pageMargins left="0.7" right="0.7" top="0.75" bottom="0.75" header="0.3" footer="0.3"/>
  <pageSetup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
  <sheetViews>
    <sheetView workbookViewId="0">
      <selection activeCell="F205" sqref="F205"/>
    </sheetView>
  </sheetViews>
  <sheetFormatPr baseColWidth="10"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C205"/>
  <sheetViews>
    <sheetView topLeftCell="A183" workbookViewId="0">
      <selection activeCell="F205" sqref="F205"/>
    </sheetView>
  </sheetViews>
  <sheetFormatPr baseColWidth="10" defaultRowHeight="15" x14ac:dyDescent="0.25"/>
  <cols>
    <col min="6" max="6" width="11.85546875" bestFit="1" customWidth="1"/>
  </cols>
  <sheetData>
    <row r="1" spans="1:3" x14ac:dyDescent="0.25">
      <c r="A1" s="221" t="s">
        <v>504</v>
      </c>
      <c r="B1" s="221" t="s">
        <v>505</v>
      </c>
    </row>
    <row r="2" spans="1:3" ht="15.75" customHeight="1" x14ac:dyDescent="0.25">
      <c r="A2" s="220" t="s">
        <v>306</v>
      </c>
      <c r="B2" t="str">
        <f>MID(A2,1,8)</f>
        <v>GS013981</v>
      </c>
      <c r="C2" s="55" t="s">
        <v>173</v>
      </c>
    </row>
    <row r="3" spans="1:3" ht="15.75" customHeight="1" x14ac:dyDescent="0.25">
      <c r="A3" s="220" t="s">
        <v>543</v>
      </c>
      <c r="B3" t="str">
        <f>MID(A3,1,8)</f>
        <v>GS017062</v>
      </c>
      <c r="C3" s="55" t="s">
        <v>173</v>
      </c>
    </row>
    <row r="4" spans="1:3" x14ac:dyDescent="0.25">
      <c r="A4" s="220" t="s">
        <v>307</v>
      </c>
      <c r="B4" t="str">
        <f t="shared" ref="B4:B67" si="0">MID(A4,1,8)</f>
        <v>GS013987</v>
      </c>
      <c r="C4" s="55" t="s">
        <v>173</v>
      </c>
    </row>
    <row r="5" spans="1:3" x14ac:dyDescent="0.25">
      <c r="A5" s="220" t="s">
        <v>308</v>
      </c>
      <c r="B5" t="str">
        <f t="shared" si="0"/>
        <v>GS013997</v>
      </c>
      <c r="C5" s="55" t="s">
        <v>173</v>
      </c>
    </row>
    <row r="6" spans="1:3" x14ac:dyDescent="0.25">
      <c r="A6" s="220" t="s">
        <v>309</v>
      </c>
      <c r="B6" t="str">
        <f t="shared" si="0"/>
        <v>GS013998</v>
      </c>
      <c r="C6" s="55" t="s">
        <v>173</v>
      </c>
    </row>
    <row r="7" spans="1:3" x14ac:dyDescent="0.25">
      <c r="A7" s="220" t="s">
        <v>310</v>
      </c>
      <c r="B7" t="str">
        <f t="shared" si="0"/>
        <v>GS013999</v>
      </c>
      <c r="C7" s="55" t="s">
        <v>173</v>
      </c>
    </row>
    <row r="8" spans="1:3" x14ac:dyDescent="0.25">
      <c r="A8" s="220" t="s">
        <v>311</v>
      </c>
      <c r="B8" t="str">
        <f t="shared" si="0"/>
        <v>GS014000</v>
      </c>
      <c r="C8" s="55" t="s">
        <v>173</v>
      </c>
    </row>
    <row r="9" spans="1:3" x14ac:dyDescent="0.25">
      <c r="A9" s="220" t="s">
        <v>312</v>
      </c>
      <c r="B9" t="str">
        <f t="shared" si="0"/>
        <v>GS014002</v>
      </c>
      <c r="C9" s="55" t="s">
        <v>173</v>
      </c>
    </row>
    <row r="10" spans="1:3" x14ac:dyDescent="0.25">
      <c r="A10" s="220" t="s">
        <v>313</v>
      </c>
      <c r="B10" t="str">
        <f t="shared" si="0"/>
        <v>GS014003</v>
      </c>
      <c r="C10" s="55" t="s">
        <v>173</v>
      </c>
    </row>
    <row r="11" spans="1:3" x14ac:dyDescent="0.25">
      <c r="A11" s="220" t="s">
        <v>314</v>
      </c>
      <c r="B11" t="str">
        <f t="shared" si="0"/>
        <v>GS014012</v>
      </c>
      <c r="C11" s="55" t="s">
        <v>173</v>
      </c>
    </row>
    <row r="12" spans="1:3" x14ac:dyDescent="0.25">
      <c r="A12" s="220" t="s">
        <v>315</v>
      </c>
      <c r="B12" t="str">
        <f t="shared" si="0"/>
        <v>GS014037</v>
      </c>
      <c r="C12" s="55" t="s">
        <v>173</v>
      </c>
    </row>
    <row r="13" spans="1:3" x14ac:dyDescent="0.25">
      <c r="A13" s="220" t="s">
        <v>316</v>
      </c>
      <c r="B13" t="str">
        <f t="shared" si="0"/>
        <v>GS014038</v>
      </c>
      <c r="C13" s="55" t="s">
        <v>173</v>
      </c>
    </row>
    <row r="14" spans="1:3" x14ac:dyDescent="0.25">
      <c r="A14" s="220" t="s">
        <v>317</v>
      </c>
      <c r="B14" t="str">
        <f t="shared" si="0"/>
        <v>GS014039</v>
      </c>
      <c r="C14" s="55" t="s">
        <v>173</v>
      </c>
    </row>
    <row r="15" spans="1:3" x14ac:dyDescent="0.25">
      <c r="A15" s="220" t="s">
        <v>318</v>
      </c>
      <c r="B15" t="str">
        <f t="shared" si="0"/>
        <v>GS014054</v>
      </c>
      <c r="C15" s="55" t="s">
        <v>173</v>
      </c>
    </row>
    <row r="16" spans="1:3" x14ac:dyDescent="0.25">
      <c r="A16" s="220" t="s">
        <v>319</v>
      </c>
      <c r="B16" t="str">
        <f t="shared" si="0"/>
        <v>GS014065</v>
      </c>
      <c r="C16" s="55" t="s">
        <v>173</v>
      </c>
    </row>
    <row r="17" spans="1:3" x14ac:dyDescent="0.25">
      <c r="A17" s="220" t="s">
        <v>320</v>
      </c>
      <c r="B17" t="str">
        <f t="shared" si="0"/>
        <v>GS014083</v>
      </c>
      <c r="C17" s="55" t="s">
        <v>173</v>
      </c>
    </row>
    <row r="18" spans="1:3" x14ac:dyDescent="0.25">
      <c r="A18" s="220" t="s">
        <v>321</v>
      </c>
      <c r="B18" t="str">
        <f t="shared" si="0"/>
        <v>GS014159</v>
      </c>
      <c r="C18" s="55" t="s">
        <v>173</v>
      </c>
    </row>
    <row r="19" spans="1:3" x14ac:dyDescent="0.25">
      <c r="A19" s="220" t="s">
        <v>322</v>
      </c>
      <c r="B19" t="str">
        <f t="shared" si="0"/>
        <v>GS014175</v>
      </c>
      <c r="C19" s="55" t="s">
        <v>173</v>
      </c>
    </row>
    <row r="20" spans="1:3" x14ac:dyDescent="0.25">
      <c r="A20" s="220" t="s">
        <v>323</v>
      </c>
      <c r="B20" t="str">
        <f t="shared" si="0"/>
        <v>GS014195</v>
      </c>
      <c r="C20" s="55" t="s">
        <v>173</v>
      </c>
    </row>
    <row r="21" spans="1:3" x14ac:dyDescent="0.25">
      <c r="A21" s="220" t="s">
        <v>324</v>
      </c>
      <c r="B21" t="str">
        <f t="shared" si="0"/>
        <v>GS014205</v>
      </c>
      <c r="C21" s="55" t="s">
        <v>173</v>
      </c>
    </row>
    <row r="22" spans="1:3" x14ac:dyDescent="0.25">
      <c r="A22" s="220" t="s">
        <v>325</v>
      </c>
      <c r="B22" t="str">
        <f t="shared" si="0"/>
        <v>GS014208</v>
      </c>
      <c r="C22" s="55" t="s">
        <v>173</v>
      </c>
    </row>
    <row r="23" spans="1:3" x14ac:dyDescent="0.25">
      <c r="A23" s="220" t="s">
        <v>326</v>
      </c>
      <c r="B23" t="str">
        <f t="shared" si="0"/>
        <v>GS014225</v>
      </c>
      <c r="C23" s="55" t="s">
        <v>173</v>
      </c>
    </row>
    <row r="24" spans="1:3" x14ac:dyDescent="0.25">
      <c r="A24" s="220" t="s">
        <v>327</v>
      </c>
      <c r="B24" t="str">
        <f t="shared" si="0"/>
        <v>GS014233</v>
      </c>
      <c r="C24" s="55" t="s">
        <v>173</v>
      </c>
    </row>
    <row r="25" spans="1:3" x14ac:dyDescent="0.25">
      <c r="A25" s="220" t="s">
        <v>328</v>
      </c>
      <c r="B25" t="str">
        <f t="shared" si="0"/>
        <v>GS014243</v>
      </c>
      <c r="C25" s="55" t="s">
        <v>173</v>
      </c>
    </row>
    <row r="26" spans="1:3" x14ac:dyDescent="0.25">
      <c r="A26" s="220" t="s">
        <v>329</v>
      </c>
      <c r="B26" t="str">
        <f t="shared" si="0"/>
        <v>GS014257</v>
      </c>
      <c r="C26" s="55" t="s">
        <v>173</v>
      </c>
    </row>
    <row r="27" spans="1:3" x14ac:dyDescent="0.25">
      <c r="A27" s="220" t="s">
        <v>330</v>
      </c>
      <c r="B27" t="str">
        <f t="shared" si="0"/>
        <v>GS014272</v>
      </c>
      <c r="C27" s="55" t="s">
        <v>173</v>
      </c>
    </row>
    <row r="28" spans="1:3" x14ac:dyDescent="0.25">
      <c r="A28" s="220" t="s">
        <v>331</v>
      </c>
      <c r="B28" t="str">
        <f t="shared" si="0"/>
        <v>GS014294</v>
      </c>
      <c r="C28" s="55" t="s">
        <v>173</v>
      </c>
    </row>
    <row r="29" spans="1:3" x14ac:dyDescent="0.25">
      <c r="A29" s="220" t="s">
        <v>332</v>
      </c>
      <c r="B29" t="str">
        <f t="shared" si="0"/>
        <v>GS014321</v>
      </c>
      <c r="C29" s="55" t="s">
        <v>173</v>
      </c>
    </row>
    <row r="30" spans="1:3" x14ac:dyDescent="0.25">
      <c r="A30" s="220" t="s">
        <v>333</v>
      </c>
      <c r="B30" t="str">
        <f t="shared" si="0"/>
        <v>GS014368</v>
      </c>
      <c r="C30" s="55" t="s">
        <v>173</v>
      </c>
    </row>
    <row r="31" spans="1:3" x14ac:dyDescent="0.25">
      <c r="A31" s="220" t="s">
        <v>334</v>
      </c>
      <c r="B31" t="str">
        <f t="shared" si="0"/>
        <v>GS014385</v>
      </c>
      <c r="C31" s="55" t="s">
        <v>173</v>
      </c>
    </row>
    <row r="32" spans="1:3" x14ac:dyDescent="0.25">
      <c r="A32" s="220" t="s">
        <v>335</v>
      </c>
      <c r="B32" t="str">
        <f t="shared" si="0"/>
        <v>GS014396</v>
      </c>
      <c r="C32" s="55" t="s">
        <v>173</v>
      </c>
    </row>
    <row r="33" spans="1:3" x14ac:dyDescent="0.25">
      <c r="A33" s="220" t="s">
        <v>336</v>
      </c>
      <c r="B33" t="str">
        <f t="shared" si="0"/>
        <v>GS014402</v>
      </c>
      <c r="C33" s="55" t="s">
        <v>173</v>
      </c>
    </row>
    <row r="34" spans="1:3" x14ac:dyDescent="0.25">
      <c r="A34" s="220" t="s">
        <v>337</v>
      </c>
      <c r="B34" t="str">
        <f t="shared" si="0"/>
        <v>GS014404</v>
      </c>
      <c r="C34" s="55" t="s">
        <v>173</v>
      </c>
    </row>
    <row r="35" spans="1:3" x14ac:dyDescent="0.25">
      <c r="A35" s="220" t="s">
        <v>338</v>
      </c>
      <c r="B35" t="str">
        <f t="shared" si="0"/>
        <v>GS014438</v>
      </c>
      <c r="C35" s="55" t="s">
        <v>173</v>
      </c>
    </row>
    <row r="36" spans="1:3" x14ac:dyDescent="0.25">
      <c r="A36" s="220" t="s">
        <v>339</v>
      </c>
      <c r="B36" t="str">
        <f t="shared" si="0"/>
        <v>GS014445</v>
      </c>
      <c r="C36" s="55" t="s">
        <v>173</v>
      </c>
    </row>
    <row r="37" spans="1:3" x14ac:dyDescent="0.25">
      <c r="A37" s="220" t="s">
        <v>340</v>
      </c>
      <c r="B37" t="str">
        <f t="shared" si="0"/>
        <v>GS014453</v>
      </c>
      <c r="C37" s="55" t="s">
        <v>173</v>
      </c>
    </row>
    <row r="38" spans="1:3" x14ac:dyDescent="0.25">
      <c r="A38" s="220" t="s">
        <v>341</v>
      </c>
      <c r="B38" t="str">
        <f t="shared" si="0"/>
        <v>GS014463</v>
      </c>
      <c r="C38" s="55" t="s">
        <v>173</v>
      </c>
    </row>
    <row r="39" spans="1:3" x14ac:dyDescent="0.25">
      <c r="A39" s="220" t="s">
        <v>342</v>
      </c>
      <c r="B39" t="str">
        <f t="shared" si="0"/>
        <v>GS014464</v>
      </c>
      <c r="C39" s="55" t="s">
        <v>173</v>
      </c>
    </row>
    <row r="40" spans="1:3" x14ac:dyDescent="0.25">
      <c r="A40" s="220" t="s">
        <v>343</v>
      </c>
      <c r="B40" t="str">
        <f t="shared" si="0"/>
        <v>GS014468</v>
      </c>
      <c r="C40" s="55" t="s">
        <v>173</v>
      </c>
    </row>
    <row r="41" spans="1:3" x14ac:dyDescent="0.25">
      <c r="A41" s="220" t="s">
        <v>344</v>
      </c>
      <c r="B41" t="str">
        <f t="shared" si="0"/>
        <v>GS014477</v>
      </c>
      <c r="C41" s="55" t="s">
        <v>173</v>
      </c>
    </row>
    <row r="42" spans="1:3" x14ac:dyDescent="0.25">
      <c r="A42" s="220" t="s">
        <v>345</v>
      </c>
      <c r="B42" t="str">
        <f t="shared" si="0"/>
        <v>GS014485</v>
      </c>
      <c r="C42" s="55" t="s">
        <v>173</v>
      </c>
    </row>
    <row r="43" spans="1:3" x14ac:dyDescent="0.25">
      <c r="A43" s="220" t="s">
        <v>346</v>
      </c>
      <c r="B43" t="str">
        <f t="shared" si="0"/>
        <v>GS014486</v>
      </c>
      <c r="C43" s="55" t="s">
        <v>173</v>
      </c>
    </row>
    <row r="44" spans="1:3" x14ac:dyDescent="0.25">
      <c r="A44" s="220" t="s">
        <v>347</v>
      </c>
      <c r="B44" t="str">
        <f t="shared" si="0"/>
        <v>GS014494</v>
      </c>
      <c r="C44" s="55" t="s">
        <v>173</v>
      </c>
    </row>
    <row r="45" spans="1:3" x14ac:dyDescent="0.25">
      <c r="A45" s="220" t="s">
        <v>348</v>
      </c>
      <c r="B45" t="str">
        <f t="shared" si="0"/>
        <v>GS014495</v>
      </c>
      <c r="C45" s="55" t="s">
        <v>173</v>
      </c>
    </row>
    <row r="46" spans="1:3" x14ac:dyDescent="0.25">
      <c r="A46" s="220" t="s">
        <v>349</v>
      </c>
      <c r="B46" t="str">
        <f t="shared" si="0"/>
        <v>GS014498</v>
      </c>
      <c r="C46" s="55" t="s">
        <v>173</v>
      </c>
    </row>
    <row r="47" spans="1:3" x14ac:dyDescent="0.25">
      <c r="A47" s="220" t="s">
        <v>350</v>
      </c>
      <c r="B47" t="str">
        <f t="shared" si="0"/>
        <v>GS014509</v>
      </c>
      <c r="C47" s="55" t="s">
        <v>173</v>
      </c>
    </row>
    <row r="48" spans="1:3" x14ac:dyDescent="0.25">
      <c r="A48" s="220" t="s">
        <v>351</v>
      </c>
      <c r="B48" t="str">
        <f t="shared" si="0"/>
        <v>GS014517</v>
      </c>
      <c r="C48" s="55" t="s">
        <v>173</v>
      </c>
    </row>
    <row r="49" spans="1:3" x14ac:dyDescent="0.25">
      <c r="A49" s="220" t="s">
        <v>352</v>
      </c>
      <c r="B49" t="str">
        <f t="shared" si="0"/>
        <v>GS014521</v>
      </c>
      <c r="C49" s="55" t="s">
        <v>173</v>
      </c>
    </row>
    <row r="50" spans="1:3" x14ac:dyDescent="0.25">
      <c r="A50" s="220" t="s">
        <v>353</v>
      </c>
      <c r="B50" t="str">
        <f t="shared" si="0"/>
        <v>GS014522</v>
      </c>
      <c r="C50" s="55" t="s">
        <v>173</v>
      </c>
    </row>
    <row r="51" spans="1:3" x14ac:dyDescent="0.25">
      <c r="A51" s="220" t="s">
        <v>354</v>
      </c>
      <c r="B51" t="str">
        <f t="shared" si="0"/>
        <v>GS014541</v>
      </c>
      <c r="C51" s="55" t="s">
        <v>173</v>
      </c>
    </row>
    <row r="52" spans="1:3" x14ac:dyDescent="0.25">
      <c r="A52" s="220" t="s">
        <v>355</v>
      </c>
      <c r="B52" t="str">
        <f t="shared" si="0"/>
        <v>GS014548</v>
      </c>
      <c r="C52" s="55" t="s">
        <v>173</v>
      </c>
    </row>
    <row r="53" spans="1:3" x14ac:dyDescent="0.25">
      <c r="A53" s="220" t="s">
        <v>356</v>
      </c>
      <c r="B53" t="str">
        <f t="shared" si="0"/>
        <v>GS014557</v>
      </c>
      <c r="C53" s="55" t="s">
        <v>173</v>
      </c>
    </row>
    <row r="54" spans="1:3" x14ac:dyDescent="0.25">
      <c r="A54" s="220" t="s">
        <v>357</v>
      </c>
      <c r="B54" t="str">
        <f t="shared" si="0"/>
        <v>GS014558</v>
      </c>
      <c r="C54" s="55" t="s">
        <v>173</v>
      </c>
    </row>
    <row r="55" spans="1:3" x14ac:dyDescent="0.25">
      <c r="A55" s="220" t="s">
        <v>358</v>
      </c>
      <c r="B55" t="str">
        <f t="shared" si="0"/>
        <v>GS014579</v>
      </c>
      <c r="C55" s="55" t="s">
        <v>173</v>
      </c>
    </row>
    <row r="56" spans="1:3" x14ac:dyDescent="0.25">
      <c r="A56" s="220" t="s">
        <v>359</v>
      </c>
      <c r="B56" t="str">
        <f t="shared" si="0"/>
        <v>GS014612</v>
      </c>
      <c r="C56" s="55" t="s">
        <v>173</v>
      </c>
    </row>
    <row r="57" spans="1:3" x14ac:dyDescent="0.25">
      <c r="A57" s="220" t="s">
        <v>360</v>
      </c>
      <c r="B57" t="str">
        <f t="shared" si="0"/>
        <v>GS014625</v>
      </c>
      <c r="C57" s="55" t="s">
        <v>173</v>
      </c>
    </row>
    <row r="58" spans="1:3" x14ac:dyDescent="0.25">
      <c r="A58" s="220" t="s">
        <v>361</v>
      </c>
      <c r="B58" t="str">
        <f t="shared" si="0"/>
        <v>GS014635</v>
      </c>
      <c r="C58" s="55" t="s">
        <v>173</v>
      </c>
    </row>
    <row r="59" spans="1:3" x14ac:dyDescent="0.25">
      <c r="A59" s="220" t="s">
        <v>362</v>
      </c>
      <c r="B59" t="str">
        <f t="shared" si="0"/>
        <v>GS014636</v>
      </c>
      <c r="C59" s="55" t="s">
        <v>173</v>
      </c>
    </row>
    <row r="60" spans="1:3" x14ac:dyDescent="0.25">
      <c r="A60" s="220" t="s">
        <v>363</v>
      </c>
      <c r="B60" t="str">
        <f t="shared" si="0"/>
        <v>GS014642</v>
      </c>
      <c r="C60" s="55" t="s">
        <v>173</v>
      </c>
    </row>
    <row r="61" spans="1:3" x14ac:dyDescent="0.25">
      <c r="A61" s="220" t="s">
        <v>364</v>
      </c>
      <c r="B61" t="str">
        <f t="shared" si="0"/>
        <v>GS014667</v>
      </c>
      <c r="C61" s="55" t="s">
        <v>173</v>
      </c>
    </row>
    <row r="62" spans="1:3" x14ac:dyDescent="0.25">
      <c r="A62" s="220" t="s">
        <v>365</v>
      </c>
      <c r="B62" t="str">
        <f t="shared" si="0"/>
        <v>GS014676</v>
      </c>
      <c r="C62" s="55" t="s">
        <v>173</v>
      </c>
    </row>
    <row r="63" spans="1:3" x14ac:dyDescent="0.25">
      <c r="A63" s="220" t="s">
        <v>366</v>
      </c>
      <c r="B63" t="str">
        <f t="shared" si="0"/>
        <v>GS014688</v>
      </c>
      <c r="C63" s="55" t="s">
        <v>173</v>
      </c>
    </row>
    <row r="64" spans="1:3" x14ac:dyDescent="0.25">
      <c r="A64" s="220" t="s">
        <v>367</v>
      </c>
      <c r="B64" t="str">
        <f t="shared" si="0"/>
        <v>GS014699</v>
      </c>
      <c r="C64" s="55" t="s">
        <v>173</v>
      </c>
    </row>
    <row r="65" spans="1:3" x14ac:dyDescent="0.25">
      <c r="A65" s="220" t="s">
        <v>368</v>
      </c>
      <c r="B65" t="str">
        <f t="shared" si="0"/>
        <v>GS014715</v>
      </c>
      <c r="C65" s="55" t="s">
        <v>173</v>
      </c>
    </row>
    <row r="66" spans="1:3" x14ac:dyDescent="0.25">
      <c r="A66" s="220" t="s">
        <v>369</v>
      </c>
      <c r="B66" t="str">
        <f t="shared" si="0"/>
        <v>GS014727</v>
      </c>
      <c r="C66" s="55" t="s">
        <v>173</v>
      </c>
    </row>
    <row r="67" spans="1:3" x14ac:dyDescent="0.25">
      <c r="A67" s="220" t="s">
        <v>370</v>
      </c>
      <c r="B67" t="str">
        <f t="shared" si="0"/>
        <v>GS014780</v>
      </c>
      <c r="C67" s="55" t="s">
        <v>173</v>
      </c>
    </row>
    <row r="68" spans="1:3" x14ac:dyDescent="0.25">
      <c r="A68" s="220" t="s">
        <v>371</v>
      </c>
      <c r="B68" t="str">
        <f t="shared" ref="B68:B131" si="1">MID(A68,1,8)</f>
        <v>GS014792</v>
      </c>
      <c r="C68" s="55" t="s">
        <v>173</v>
      </c>
    </row>
    <row r="69" spans="1:3" x14ac:dyDescent="0.25">
      <c r="A69" s="220" t="s">
        <v>372</v>
      </c>
      <c r="B69" t="str">
        <f t="shared" si="1"/>
        <v>GS014881</v>
      </c>
      <c r="C69" s="55" t="s">
        <v>173</v>
      </c>
    </row>
    <row r="70" spans="1:3" x14ac:dyDescent="0.25">
      <c r="A70" s="220" t="s">
        <v>373</v>
      </c>
      <c r="B70" t="str">
        <f t="shared" si="1"/>
        <v>GS014913</v>
      </c>
      <c r="C70" s="55" t="s">
        <v>173</v>
      </c>
    </row>
    <row r="71" spans="1:3" x14ac:dyDescent="0.25">
      <c r="A71" s="220" t="s">
        <v>374</v>
      </c>
      <c r="B71" t="str">
        <f t="shared" si="1"/>
        <v>GS014917</v>
      </c>
      <c r="C71" s="55" t="s">
        <v>173</v>
      </c>
    </row>
    <row r="72" spans="1:3" x14ac:dyDescent="0.25">
      <c r="A72" s="220" t="s">
        <v>375</v>
      </c>
      <c r="B72" t="str">
        <f t="shared" si="1"/>
        <v>GS014994</v>
      </c>
      <c r="C72" s="55" t="s">
        <v>173</v>
      </c>
    </row>
    <row r="73" spans="1:3" x14ac:dyDescent="0.25">
      <c r="A73" s="220" t="s">
        <v>376</v>
      </c>
      <c r="B73" t="str">
        <f t="shared" si="1"/>
        <v>GS015016</v>
      </c>
      <c r="C73" s="55" t="s">
        <v>173</v>
      </c>
    </row>
    <row r="74" spans="1:3" x14ac:dyDescent="0.25">
      <c r="A74" s="220" t="s">
        <v>377</v>
      </c>
      <c r="B74" t="str">
        <f t="shared" si="1"/>
        <v>GS015060</v>
      </c>
      <c r="C74" s="55" t="s">
        <v>173</v>
      </c>
    </row>
    <row r="75" spans="1:3" x14ac:dyDescent="0.25">
      <c r="A75" s="220" t="s">
        <v>378</v>
      </c>
      <c r="B75" t="str">
        <f t="shared" si="1"/>
        <v>GS015190</v>
      </c>
      <c r="C75" s="55" t="s">
        <v>173</v>
      </c>
    </row>
    <row r="76" spans="1:3" x14ac:dyDescent="0.25">
      <c r="A76" s="220" t="s">
        <v>379</v>
      </c>
      <c r="B76" t="str">
        <f t="shared" si="1"/>
        <v>GS015213</v>
      </c>
      <c r="C76" s="55" t="s">
        <v>173</v>
      </c>
    </row>
    <row r="77" spans="1:3" x14ac:dyDescent="0.25">
      <c r="A77" s="220" t="s">
        <v>380</v>
      </c>
      <c r="B77" t="str">
        <f t="shared" si="1"/>
        <v>GS015231</v>
      </c>
      <c r="C77" s="55" t="s">
        <v>173</v>
      </c>
    </row>
    <row r="78" spans="1:3" x14ac:dyDescent="0.25">
      <c r="A78" s="220" t="s">
        <v>381</v>
      </c>
      <c r="B78" t="str">
        <f t="shared" si="1"/>
        <v>GS015243</v>
      </c>
      <c r="C78" s="55" t="s">
        <v>173</v>
      </c>
    </row>
    <row r="79" spans="1:3" x14ac:dyDescent="0.25">
      <c r="A79" s="220" t="s">
        <v>382</v>
      </c>
      <c r="B79" t="str">
        <f t="shared" si="1"/>
        <v>GS015258</v>
      </c>
      <c r="C79" s="55" t="s">
        <v>173</v>
      </c>
    </row>
    <row r="80" spans="1:3" x14ac:dyDescent="0.25">
      <c r="A80" s="220" t="s">
        <v>383</v>
      </c>
      <c r="B80" t="str">
        <f t="shared" si="1"/>
        <v>GS015268</v>
      </c>
      <c r="C80" s="55" t="s">
        <v>173</v>
      </c>
    </row>
    <row r="81" spans="1:3" x14ac:dyDescent="0.25">
      <c r="A81" s="220" t="s">
        <v>384</v>
      </c>
      <c r="B81" t="str">
        <f t="shared" si="1"/>
        <v>GS015270</v>
      </c>
      <c r="C81" s="55" t="s">
        <v>173</v>
      </c>
    </row>
    <row r="82" spans="1:3" x14ac:dyDescent="0.25">
      <c r="A82" s="220" t="s">
        <v>385</v>
      </c>
      <c r="B82" t="str">
        <f t="shared" si="1"/>
        <v>GS015295</v>
      </c>
      <c r="C82" s="55" t="s">
        <v>173</v>
      </c>
    </row>
    <row r="83" spans="1:3" x14ac:dyDescent="0.25">
      <c r="A83" s="220" t="s">
        <v>386</v>
      </c>
      <c r="B83" t="str">
        <f t="shared" si="1"/>
        <v>GS015299</v>
      </c>
      <c r="C83" s="55" t="s">
        <v>173</v>
      </c>
    </row>
    <row r="84" spans="1:3" x14ac:dyDescent="0.25">
      <c r="A84" s="220" t="s">
        <v>387</v>
      </c>
      <c r="B84" t="str">
        <f t="shared" si="1"/>
        <v>GS015330</v>
      </c>
      <c r="C84" s="55" t="s">
        <v>173</v>
      </c>
    </row>
    <row r="85" spans="1:3" x14ac:dyDescent="0.25">
      <c r="A85" s="220" t="s">
        <v>388</v>
      </c>
      <c r="B85" t="str">
        <f t="shared" si="1"/>
        <v>GS015357</v>
      </c>
      <c r="C85" s="55" t="s">
        <v>173</v>
      </c>
    </row>
    <row r="86" spans="1:3" x14ac:dyDescent="0.25">
      <c r="A86" s="220" t="s">
        <v>389</v>
      </c>
      <c r="B86" t="str">
        <f t="shared" si="1"/>
        <v>GS015369</v>
      </c>
      <c r="C86" s="55" t="s">
        <v>173</v>
      </c>
    </row>
    <row r="87" spans="1:3" x14ac:dyDescent="0.25">
      <c r="A87" s="220" t="s">
        <v>390</v>
      </c>
      <c r="B87" t="str">
        <f t="shared" si="1"/>
        <v>GS015420</v>
      </c>
      <c r="C87" s="55" t="s">
        <v>173</v>
      </c>
    </row>
    <row r="88" spans="1:3" x14ac:dyDescent="0.25">
      <c r="A88" s="220" t="s">
        <v>391</v>
      </c>
      <c r="B88" t="str">
        <f t="shared" si="1"/>
        <v>GS015457</v>
      </c>
      <c r="C88" s="55" t="s">
        <v>173</v>
      </c>
    </row>
    <row r="89" spans="1:3" x14ac:dyDescent="0.25">
      <c r="A89" s="220" t="s">
        <v>392</v>
      </c>
      <c r="B89" t="str">
        <f t="shared" si="1"/>
        <v>GS015480</v>
      </c>
      <c r="C89" s="55" t="s">
        <v>173</v>
      </c>
    </row>
    <row r="90" spans="1:3" x14ac:dyDescent="0.25">
      <c r="A90" s="220" t="s">
        <v>393</v>
      </c>
      <c r="B90" t="str">
        <f t="shared" si="1"/>
        <v>GS015566</v>
      </c>
      <c r="C90" s="55" t="s">
        <v>173</v>
      </c>
    </row>
    <row r="91" spans="1:3" x14ac:dyDescent="0.25">
      <c r="A91" s="220" t="s">
        <v>394</v>
      </c>
      <c r="B91" t="str">
        <f t="shared" si="1"/>
        <v>GS015573</v>
      </c>
      <c r="C91" s="55" t="s">
        <v>173</v>
      </c>
    </row>
    <row r="92" spans="1:3" x14ac:dyDescent="0.25">
      <c r="A92" s="220" t="s">
        <v>395</v>
      </c>
      <c r="B92" t="str">
        <f t="shared" si="1"/>
        <v>GS015672</v>
      </c>
      <c r="C92" s="55" t="s">
        <v>173</v>
      </c>
    </row>
    <row r="93" spans="1:3" x14ac:dyDescent="0.25">
      <c r="A93" s="220" t="s">
        <v>396</v>
      </c>
      <c r="B93" t="str">
        <f t="shared" si="1"/>
        <v>GS015718</v>
      </c>
      <c r="C93" s="55" t="s">
        <v>173</v>
      </c>
    </row>
    <row r="94" spans="1:3" x14ac:dyDescent="0.25">
      <c r="A94" s="220" t="s">
        <v>397</v>
      </c>
      <c r="B94" t="str">
        <f t="shared" si="1"/>
        <v>GS015741</v>
      </c>
      <c r="C94" s="55" t="s">
        <v>173</v>
      </c>
    </row>
    <row r="95" spans="1:3" x14ac:dyDescent="0.25">
      <c r="A95" s="220" t="s">
        <v>398</v>
      </c>
      <c r="B95" t="str">
        <f t="shared" si="1"/>
        <v>GS015807</v>
      </c>
      <c r="C95" s="55" t="s">
        <v>173</v>
      </c>
    </row>
    <row r="96" spans="1:3" x14ac:dyDescent="0.25">
      <c r="A96" s="220" t="s">
        <v>399</v>
      </c>
      <c r="B96" t="str">
        <f t="shared" si="1"/>
        <v>GS015819</v>
      </c>
      <c r="C96" s="55" t="s">
        <v>173</v>
      </c>
    </row>
    <row r="97" spans="1:3" x14ac:dyDescent="0.25">
      <c r="A97" s="220" t="s">
        <v>400</v>
      </c>
      <c r="B97" t="str">
        <f t="shared" si="1"/>
        <v>GS015825</v>
      </c>
      <c r="C97" s="55" t="s">
        <v>173</v>
      </c>
    </row>
    <row r="98" spans="1:3" x14ac:dyDescent="0.25">
      <c r="A98" s="220" t="s">
        <v>401</v>
      </c>
      <c r="B98" t="str">
        <f t="shared" si="1"/>
        <v>GS015831</v>
      </c>
      <c r="C98" s="55" t="s">
        <v>173</v>
      </c>
    </row>
    <row r="99" spans="1:3" x14ac:dyDescent="0.25">
      <c r="A99" s="220" t="s">
        <v>402</v>
      </c>
      <c r="B99" t="str">
        <f t="shared" si="1"/>
        <v>GS015867</v>
      </c>
      <c r="C99" s="55" t="s">
        <v>173</v>
      </c>
    </row>
    <row r="100" spans="1:3" x14ac:dyDescent="0.25">
      <c r="A100" s="220" t="s">
        <v>403</v>
      </c>
      <c r="B100" t="str">
        <f t="shared" si="1"/>
        <v>GS015888</v>
      </c>
      <c r="C100" s="55" t="s">
        <v>173</v>
      </c>
    </row>
    <row r="101" spans="1:3" x14ac:dyDescent="0.25">
      <c r="A101" s="220" t="s">
        <v>404</v>
      </c>
      <c r="B101" t="str">
        <f t="shared" si="1"/>
        <v>GS015913</v>
      </c>
      <c r="C101" s="55" t="s">
        <v>173</v>
      </c>
    </row>
    <row r="102" spans="1:3" x14ac:dyDescent="0.25">
      <c r="A102" s="220" t="s">
        <v>405</v>
      </c>
      <c r="B102" t="str">
        <f t="shared" si="1"/>
        <v>GS015924</v>
      </c>
      <c r="C102" s="55" t="s">
        <v>173</v>
      </c>
    </row>
    <row r="103" spans="1:3" x14ac:dyDescent="0.25">
      <c r="A103" s="220" t="s">
        <v>406</v>
      </c>
      <c r="B103" t="str">
        <f t="shared" si="1"/>
        <v>GS015928</v>
      </c>
      <c r="C103" s="55" t="s">
        <v>173</v>
      </c>
    </row>
    <row r="104" spans="1:3" x14ac:dyDescent="0.25">
      <c r="A104" s="220" t="s">
        <v>407</v>
      </c>
      <c r="B104" t="str">
        <f t="shared" si="1"/>
        <v>GS016064</v>
      </c>
      <c r="C104" s="55" t="s">
        <v>173</v>
      </c>
    </row>
    <row r="105" spans="1:3" x14ac:dyDescent="0.25">
      <c r="A105" s="220" t="s">
        <v>408</v>
      </c>
      <c r="B105" t="str">
        <f t="shared" si="1"/>
        <v>GS016079</v>
      </c>
      <c r="C105" s="55" t="s">
        <v>173</v>
      </c>
    </row>
    <row r="106" spans="1:3" x14ac:dyDescent="0.25">
      <c r="A106" s="220" t="s">
        <v>409</v>
      </c>
      <c r="B106" t="str">
        <f t="shared" si="1"/>
        <v>GS016094</v>
      </c>
      <c r="C106" s="55" t="s">
        <v>173</v>
      </c>
    </row>
    <row r="107" spans="1:3" x14ac:dyDescent="0.25">
      <c r="A107" s="220" t="s">
        <v>410</v>
      </c>
      <c r="B107" t="str">
        <f t="shared" si="1"/>
        <v>GS016108</v>
      </c>
      <c r="C107" s="55" t="s">
        <v>173</v>
      </c>
    </row>
    <row r="108" spans="1:3" x14ac:dyDescent="0.25">
      <c r="A108" s="220" t="s">
        <v>411</v>
      </c>
      <c r="B108" t="str">
        <f t="shared" si="1"/>
        <v>GS016134</v>
      </c>
      <c r="C108" s="55" t="s">
        <v>173</v>
      </c>
    </row>
    <row r="109" spans="1:3" x14ac:dyDescent="0.25">
      <c r="A109" s="220" t="s">
        <v>412</v>
      </c>
      <c r="B109" t="str">
        <f t="shared" si="1"/>
        <v>GS016170</v>
      </c>
      <c r="C109" s="55" t="s">
        <v>173</v>
      </c>
    </row>
    <row r="110" spans="1:3" x14ac:dyDescent="0.25">
      <c r="A110" s="220" t="s">
        <v>413</v>
      </c>
      <c r="B110" t="str">
        <f t="shared" si="1"/>
        <v>GS016191</v>
      </c>
      <c r="C110" s="55" t="s">
        <v>173</v>
      </c>
    </row>
    <row r="111" spans="1:3" x14ac:dyDescent="0.25">
      <c r="A111" s="220" t="s">
        <v>414</v>
      </c>
      <c r="B111" t="str">
        <f t="shared" si="1"/>
        <v>GS016264</v>
      </c>
      <c r="C111" s="55" t="s">
        <v>173</v>
      </c>
    </row>
    <row r="112" spans="1:3" x14ac:dyDescent="0.25">
      <c r="A112" s="220" t="s">
        <v>415</v>
      </c>
      <c r="B112" t="str">
        <f t="shared" si="1"/>
        <v>GS016265</v>
      </c>
      <c r="C112" s="55" t="s">
        <v>173</v>
      </c>
    </row>
    <row r="113" spans="1:3" x14ac:dyDescent="0.25">
      <c r="A113" s="220" t="s">
        <v>416</v>
      </c>
      <c r="B113" t="str">
        <f t="shared" si="1"/>
        <v>GS016268</v>
      </c>
      <c r="C113" s="55" t="s">
        <v>173</v>
      </c>
    </row>
    <row r="114" spans="1:3" x14ac:dyDescent="0.25">
      <c r="A114" s="220" t="s">
        <v>417</v>
      </c>
      <c r="B114" t="str">
        <f t="shared" si="1"/>
        <v>GS016275</v>
      </c>
      <c r="C114" s="55" t="s">
        <v>173</v>
      </c>
    </row>
    <row r="115" spans="1:3" x14ac:dyDescent="0.25">
      <c r="A115" s="220" t="s">
        <v>418</v>
      </c>
      <c r="B115" t="str">
        <f t="shared" si="1"/>
        <v>GS016296</v>
      </c>
      <c r="C115" s="55" t="s">
        <v>173</v>
      </c>
    </row>
    <row r="116" spans="1:3" x14ac:dyDescent="0.25">
      <c r="A116" s="220" t="s">
        <v>419</v>
      </c>
      <c r="B116" t="str">
        <f t="shared" si="1"/>
        <v>GS016316</v>
      </c>
      <c r="C116" s="55" t="s">
        <v>173</v>
      </c>
    </row>
    <row r="117" spans="1:3" x14ac:dyDescent="0.25">
      <c r="A117" s="220" t="s">
        <v>420</v>
      </c>
      <c r="B117" t="str">
        <f t="shared" si="1"/>
        <v>GS016363</v>
      </c>
      <c r="C117" s="55" t="s">
        <v>173</v>
      </c>
    </row>
    <row r="118" spans="1:3" x14ac:dyDescent="0.25">
      <c r="A118" s="220" t="s">
        <v>421</v>
      </c>
      <c r="B118" t="str">
        <f t="shared" si="1"/>
        <v>GS016366</v>
      </c>
      <c r="C118" s="55" t="s">
        <v>173</v>
      </c>
    </row>
    <row r="119" spans="1:3" x14ac:dyDescent="0.25">
      <c r="A119" s="220" t="s">
        <v>422</v>
      </c>
      <c r="B119" t="str">
        <f t="shared" si="1"/>
        <v>GS016369</v>
      </c>
      <c r="C119" s="55" t="s">
        <v>173</v>
      </c>
    </row>
    <row r="120" spans="1:3" x14ac:dyDescent="0.25">
      <c r="A120" s="220" t="s">
        <v>423</v>
      </c>
      <c r="B120" t="str">
        <f t="shared" si="1"/>
        <v>GS016383</v>
      </c>
      <c r="C120" s="55" t="s">
        <v>173</v>
      </c>
    </row>
    <row r="121" spans="1:3" x14ac:dyDescent="0.25">
      <c r="A121" s="220" t="s">
        <v>424</v>
      </c>
      <c r="B121" t="str">
        <f t="shared" si="1"/>
        <v>GS016523</v>
      </c>
      <c r="C121" s="55" t="s">
        <v>173</v>
      </c>
    </row>
    <row r="122" spans="1:3" x14ac:dyDescent="0.25">
      <c r="A122" s="220" t="s">
        <v>425</v>
      </c>
      <c r="B122" t="str">
        <f t="shared" si="1"/>
        <v>GS016553</v>
      </c>
      <c r="C122" s="55" t="s">
        <v>173</v>
      </c>
    </row>
    <row r="123" spans="1:3" x14ac:dyDescent="0.25">
      <c r="A123" s="220" t="s">
        <v>426</v>
      </c>
      <c r="B123" t="str">
        <f t="shared" si="1"/>
        <v>GS016576</v>
      </c>
      <c r="C123" s="55" t="s">
        <v>173</v>
      </c>
    </row>
    <row r="124" spans="1:3" x14ac:dyDescent="0.25">
      <c r="A124" s="220" t="s">
        <v>427</v>
      </c>
      <c r="B124" t="str">
        <f t="shared" si="1"/>
        <v>GS016600</v>
      </c>
      <c r="C124" s="55" t="s">
        <v>173</v>
      </c>
    </row>
    <row r="125" spans="1:3" x14ac:dyDescent="0.25">
      <c r="A125" s="220" t="s">
        <v>428</v>
      </c>
      <c r="B125" t="str">
        <f t="shared" si="1"/>
        <v>GS016620</v>
      </c>
      <c r="C125" s="55" t="s">
        <v>173</v>
      </c>
    </row>
    <row r="126" spans="1:3" x14ac:dyDescent="0.25">
      <c r="A126" s="220" t="s">
        <v>429</v>
      </c>
      <c r="B126" t="str">
        <f t="shared" si="1"/>
        <v>GS016644</v>
      </c>
      <c r="C126" s="55" t="s">
        <v>173</v>
      </c>
    </row>
    <row r="127" spans="1:3" x14ac:dyDescent="0.25">
      <c r="A127" s="220" t="s">
        <v>430</v>
      </c>
      <c r="B127" t="str">
        <f t="shared" si="1"/>
        <v>GS016669</v>
      </c>
      <c r="C127" s="55" t="s">
        <v>173</v>
      </c>
    </row>
    <row r="128" spans="1:3" x14ac:dyDescent="0.25">
      <c r="A128" s="220" t="s">
        <v>431</v>
      </c>
      <c r="B128" t="str">
        <f t="shared" si="1"/>
        <v>GS017098</v>
      </c>
      <c r="C128" s="55" t="s">
        <v>173</v>
      </c>
    </row>
    <row r="129" spans="1:3" x14ac:dyDescent="0.25">
      <c r="A129" s="220" t="s">
        <v>432</v>
      </c>
      <c r="B129" t="str">
        <f t="shared" si="1"/>
        <v>GS017245</v>
      </c>
      <c r="C129" s="55" t="s">
        <v>173</v>
      </c>
    </row>
    <row r="130" spans="1:3" x14ac:dyDescent="0.25">
      <c r="A130" s="220" t="s">
        <v>433</v>
      </c>
      <c r="B130" t="str">
        <f t="shared" si="1"/>
        <v>GS017471</v>
      </c>
      <c r="C130" s="55" t="s">
        <v>173</v>
      </c>
    </row>
    <row r="131" spans="1:3" x14ac:dyDescent="0.25">
      <c r="A131" s="220" t="s">
        <v>434</v>
      </c>
      <c r="B131" t="str">
        <f t="shared" si="1"/>
        <v>GS017501</v>
      </c>
      <c r="C131" s="55" t="s">
        <v>173</v>
      </c>
    </row>
    <row r="132" spans="1:3" x14ac:dyDescent="0.25">
      <c r="A132" s="220" t="s">
        <v>435</v>
      </c>
      <c r="B132" t="str">
        <f t="shared" ref="B132:B195" si="2">MID(A132,1,8)</f>
        <v>GS017533</v>
      </c>
      <c r="C132" s="55" t="s">
        <v>173</v>
      </c>
    </row>
    <row r="133" spans="1:3" x14ac:dyDescent="0.25">
      <c r="A133" s="220" t="s">
        <v>436</v>
      </c>
      <c r="B133" t="str">
        <f t="shared" si="2"/>
        <v>GS017608</v>
      </c>
      <c r="C133" s="55" t="s">
        <v>173</v>
      </c>
    </row>
    <row r="134" spans="1:3" x14ac:dyDescent="0.25">
      <c r="A134" s="220" t="s">
        <v>437</v>
      </c>
      <c r="B134" t="str">
        <f t="shared" si="2"/>
        <v>GS017609</v>
      </c>
      <c r="C134" s="55" t="s">
        <v>173</v>
      </c>
    </row>
    <row r="135" spans="1:3" x14ac:dyDescent="0.25">
      <c r="A135" s="220" t="s">
        <v>438</v>
      </c>
      <c r="B135" t="str">
        <f t="shared" si="2"/>
        <v>GS017610</v>
      </c>
      <c r="C135" s="55" t="s">
        <v>173</v>
      </c>
    </row>
    <row r="136" spans="1:3" x14ac:dyDescent="0.25">
      <c r="A136" s="220" t="s">
        <v>439</v>
      </c>
      <c r="B136" t="str">
        <f t="shared" si="2"/>
        <v>GS017649</v>
      </c>
      <c r="C136" s="55" t="s">
        <v>173</v>
      </c>
    </row>
    <row r="137" spans="1:3" x14ac:dyDescent="0.25">
      <c r="A137" s="220" t="s">
        <v>440</v>
      </c>
      <c r="B137" t="str">
        <f t="shared" si="2"/>
        <v>GS017739</v>
      </c>
      <c r="C137" s="55" t="s">
        <v>173</v>
      </c>
    </row>
    <row r="138" spans="1:3" x14ac:dyDescent="0.25">
      <c r="A138" s="220" t="s">
        <v>441</v>
      </c>
      <c r="B138" t="str">
        <f t="shared" si="2"/>
        <v>GS017760</v>
      </c>
      <c r="C138" s="55" t="s">
        <v>173</v>
      </c>
    </row>
    <row r="139" spans="1:3" x14ac:dyDescent="0.25">
      <c r="A139" s="220" t="s">
        <v>442</v>
      </c>
      <c r="B139" t="str">
        <f t="shared" si="2"/>
        <v>GS017761</v>
      </c>
      <c r="C139" s="55" t="s">
        <v>173</v>
      </c>
    </row>
    <row r="140" spans="1:3" x14ac:dyDescent="0.25">
      <c r="A140" s="220" t="s">
        <v>443</v>
      </c>
      <c r="B140" t="str">
        <f t="shared" si="2"/>
        <v>GS017789</v>
      </c>
      <c r="C140" s="55" t="s">
        <v>173</v>
      </c>
    </row>
    <row r="141" spans="1:3" x14ac:dyDescent="0.25">
      <c r="A141" s="220" t="s">
        <v>444</v>
      </c>
      <c r="B141" t="str">
        <f t="shared" si="2"/>
        <v>GS018021</v>
      </c>
      <c r="C141" s="55" t="s">
        <v>173</v>
      </c>
    </row>
    <row r="142" spans="1:3" x14ac:dyDescent="0.25">
      <c r="A142" s="220" t="s">
        <v>445</v>
      </c>
      <c r="B142" t="str">
        <f t="shared" si="2"/>
        <v>GS018236</v>
      </c>
      <c r="C142" s="55" t="s">
        <v>173</v>
      </c>
    </row>
    <row r="143" spans="1:3" x14ac:dyDescent="0.25">
      <c r="A143" s="220" t="s">
        <v>446</v>
      </c>
      <c r="B143" t="str">
        <f t="shared" si="2"/>
        <v>GS018266</v>
      </c>
      <c r="C143" s="55" t="s">
        <v>173</v>
      </c>
    </row>
    <row r="144" spans="1:3" x14ac:dyDescent="0.25">
      <c r="A144" s="220" t="s">
        <v>447</v>
      </c>
      <c r="B144" t="str">
        <f t="shared" si="2"/>
        <v>GS018479</v>
      </c>
      <c r="C144" s="55" t="s">
        <v>173</v>
      </c>
    </row>
    <row r="145" spans="1:3" x14ac:dyDescent="0.25">
      <c r="A145" s="220" t="s">
        <v>448</v>
      </c>
      <c r="B145" t="str">
        <f t="shared" si="2"/>
        <v>GS018491</v>
      </c>
      <c r="C145" s="55" t="s">
        <v>173</v>
      </c>
    </row>
    <row r="146" spans="1:3" x14ac:dyDescent="0.25">
      <c r="A146" s="220" t="s">
        <v>449</v>
      </c>
      <c r="B146" t="str">
        <f t="shared" si="2"/>
        <v>GS018507</v>
      </c>
      <c r="C146" s="55" t="s">
        <v>173</v>
      </c>
    </row>
    <row r="147" spans="1:3" x14ac:dyDescent="0.25">
      <c r="A147" s="220" t="s">
        <v>450</v>
      </c>
      <c r="B147" t="str">
        <f t="shared" si="2"/>
        <v>GS018517</v>
      </c>
      <c r="C147" s="55" t="s">
        <v>173</v>
      </c>
    </row>
    <row r="148" spans="1:3" x14ac:dyDescent="0.25">
      <c r="A148" s="220" t="s">
        <v>451</v>
      </c>
      <c r="B148" t="str">
        <f t="shared" si="2"/>
        <v>GS018524</v>
      </c>
      <c r="C148" s="55" t="s">
        <v>173</v>
      </c>
    </row>
    <row r="149" spans="1:3" x14ac:dyDescent="0.25">
      <c r="A149" s="220" t="s">
        <v>452</v>
      </c>
      <c r="B149" t="str">
        <f t="shared" si="2"/>
        <v>GS018560</v>
      </c>
      <c r="C149" s="55" t="s">
        <v>173</v>
      </c>
    </row>
    <row r="150" spans="1:3" x14ac:dyDescent="0.25">
      <c r="A150" s="220" t="s">
        <v>453</v>
      </c>
      <c r="B150" t="str">
        <f t="shared" si="2"/>
        <v>GS018598</v>
      </c>
      <c r="C150" s="55" t="s">
        <v>173</v>
      </c>
    </row>
    <row r="151" spans="1:3" x14ac:dyDescent="0.25">
      <c r="A151" s="220" t="s">
        <v>454</v>
      </c>
      <c r="B151" t="str">
        <f t="shared" si="2"/>
        <v>GS018627</v>
      </c>
      <c r="C151" s="55" t="s">
        <v>173</v>
      </c>
    </row>
    <row r="152" spans="1:3" x14ac:dyDescent="0.25">
      <c r="A152" s="220" t="s">
        <v>455</v>
      </c>
      <c r="B152" t="str">
        <f t="shared" si="2"/>
        <v>GS018641</v>
      </c>
      <c r="C152" s="55" t="s">
        <v>173</v>
      </c>
    </row>
    <row r="153" spans="1:3" x14ac:dyDescent="0.25">
      <c r="A153" s="220" t="s">
        <v>456</v>
      </c>
      <c r="B153" t="str">
        <f t="shared" si="2"/>
        <v>GS018648</v>
      </c>
      <c r="C153" s="55" t="s">
        <v>173</v>
      </c>
    </row>
    <row r="154" spans="1:3" x14ac:dyDescent="0.25">
      <c r="A154" s="220" t="s">
        <v>457</v>
      </c>
      <c r="B154" t="str">
        <f t="shared" si="2"/>
        <v>GS018664</v>
      </c>
      <c r="C154" s="55" t="s">
        <v>173</v>
      </c>
    </row>
    <row r="155" spans="1:3" x14ac:dyDescent="0.25">
      <c r="A155" s="220" t="s">
        <v>458</v>
      </c>
      <c r="B155" t="str">
        <f t="shared" si="2"/>
        <v>GS018685</v>
      </c>
      <c r="C155" s="55" t="s">
        <v>173</v>
      </c>
    </row>
    <row r="156" spans="1:3" x14ac:dyDescent="0.25">
      <c r="A156" s="220" t="s">
        <v>459</v>
      </c>
      <c r="B156" t="str">
        <f t="shared" si="2"/>
        <v>GS018705</v>
      </c>
      <c r="C156" s="55" t="s">
        <v>173</v>
      </c>
    </row>
    <row r="157" spans="1:3" x14ac:dyDescent="0.25">
      <c r="A157" s="220" t="s">
        <v>460</v>
      </c>
      <c r="B157" t="str">
        <f t="shared" si="2"/>
        <v>GS018710</v>
      </c>
      <c r="C157" s="55" t="s">
        <v>173</v>
      </c>
    </row>
    <row r="158" spans="1:3" x14ac:dyDescent="0.25">
      <c r="A158" s="220" t="s">
        <v>461</v>
      </c>
      <c r="B158" t="str">
        <f t="shared" si="2"/>
        <v>GS018714</v>
      </c>
      <c r="C158" s="55" t="s">
        <v>173</v>
      </c>
    </row>
    <row r="159" spans="1:3" x14ac:dyDescent="0.25">
      <c r="A159" s="220" t="s">
        <v>462</v>
      </c>
      <c r="B159" t="str">
        <f t="shared" si="2"/>
        <v>GS018726</v>
      </c>
      <c r="C159" s="55" t="s">
        <v>173</v>
      </c>
    </row>
    <row r="160" spans="1:3" x14ac:dyDescent="0.25">
      <c r="A160" s="220" t="s">
        <v>463</v>
      </c>
      <c r="B160" t="str">
        <f t="shared" si="2"/>
        <v>GS018735</v>
      </c>
      <c r="C160" s="55" t="s">
        <v>173</v>
      </c>
    </row>
    <row r="161" spans="1:3" x14ac:dyDescent="0.25">
      <c r="A161" s="220" t="s">
        <v>464</v>
      </c>
      <c r="B161" t="str">
        <f t="shared" si="2"/>
        <v>GS018743</v>
      </c>
      <c r="C161" s="55" t="s">
        <v>173</v>
      </c>
    </row>
    <row r="162" spans="1:3" x14ac:dyDescent="0.25">
      <c r="A162" s="220" t="s">
        <v>465</v>
      </c>
      <c r="B162" t="str">
        <f t="shared" si="2"/>
        <v>GS018745</v>
      </c>
      <c r="C162" s="55" t="s">
        <v>173</v>
      </c>
    </row>
    <row r="163" spans="1:3" x14ac:dyDescent="0.25">
      <c r="A163" s="220" t="s">
        <v>466</v>
      </c>
      <c r="B163" t="str">
        <f t="shared" si="2"/>
        <v>GS018779</v>
      </c>
      <c r="C163" s="55" t="s">
        <v>173</v>
      </c>
    </row>
    <row r="164" spans="1:3" x14ac:dyDescent="0.25">
      <c r="A164" s="220" t="s">
        <v>467</v>
      </c>
      <c r="B164" t="str">
        <f t="shared" si="2"/>
        <v>GS018827</v>
      </c>
      <c r="C164" s="55" t="s">
        <v>173</v>
      </c>
    </row>
    <row r="165" spans="1:3" x14ac:dyDescent="0.25">
      <c r="A165" s="220" t="s">
        <v>468</v>
      </c>
      <c r="B165" t="str">
        <f t="shared" si="2"/>
        <v>GS018863</v>
      </c>
      <c r="C165" s="55" t="s">
        <v>173</v>
      </c>
    </row>
    <row r="166" spans="1:3" x14ac:dyDescent="0.25">
      <c r="A166" s="220" t="s">
        <v>469</v>
      </c>
      <c r="B166" t="str">
        <f t="shared" si="2"/>
        <v>GS018910</v>
      </c>
      <c r="C166" s="55" t="s">
        <v>173</v>
      </c>
    </row>
    <row r="167" spans="1:3" x14ac:dyDescent="0.25">
      <c r="A167" s="220" t="s">
        <v>470</v>
      </c>
      <c r="B167" t="str">
        <f t="shared" si="2"/>
        <v>GS018935</v>
      </c>
      <c r="C167" s="55" t="s">
        <v>173</v>
      </c>
    </row>
    <row r="168" spans="1:3" x14ac:dyDescent="0.25">
      <c r="A168" s="220" t="s">
        <v>471</v>
      </c>
      <c r="B168" t="str">
        <f t="shared" si="2"/>
        <v>GS018980</v>
      </c>
      <c r="C168" s="55" t="s">
        <v>173</v>
      </c>
    </row>
    <row r="169" spans="1:3" x14ac:dyDescent="0.25">
      <c r="A169" s="220" t="s">
        <v>472</v>
      </c>
      <c r="B169" t="str">
        <f t="shared" si="2"/>
        <v>GS019016</v>
      </c>
      <c r="C169" s="55" t="s">
        <v>173</v>
      </c>
    </row>
    <row r="170" spans="1:3" x14ac:dyDescent="0.25">
      <c r="A170" s="220" t="s">
        <v>473</v>
      </c>
      <c r="B170" t="str">
        <f t="shared" si="2"/>
        <v>GS019042</v>
      </c>
      <c r="C170" s="55" t="s">
        <v>173</v>
      </c>
    </row>
    <row r="171" spans="1:3" x14ac:dyDescent="0.25">
      <c r="A171" s="220" t="s">
        <v>474</v>
      </c>
      <c r="B171" t="str">
        <f t="shared" si="2"/>
        <v>GS019125</v>
      </c>
      <c r="C171" s="55" t="s">
        <v>173</v>
      </c>
    </row>
    <row r="172" spans="1:3" x14ac:dyDescent="0.25">
      <c r="A172" s="220" t="s">
        <v>475</v>
      </c>
      <c r="B172" t="str">
        <f t="shared" si="2"/>
        <v>GS019135</v>
      </c>
      <c r="C172" s="55" t="s">
        <v>173</v>
      </c>
    </row>
    <row r="173" spans="1:3" x14ac:dyDescent="0.25">
      <c r="A173" s="220" t="s">
        <v>476</v>
      </c>
      <c r="B173" t="str">
        <f t="shared" si="2"/>
        <v>GS019194</v>
      </c>
      <c r="C173" s="55" t="s">
        <v>173</v>
      </c>
    </row>
    <row r="174" spans="1:3" x14ac:dyDescent="0.25">
      <c r="A174" s="220" t="s">
        <v>477</v>
      </c>
      <c r="B174" t="str">
        <f t="shared" si="2"/>
        <v>GS019204</v>
      </c>
      <c r="C174" s="55" t="s">
        <v>173</v>
      </c>
    </row>
    <row r="175" spans="1:3" x14ac:dyDescent="0.25">
      <c r="A175" s="220" t="s">
        <v>478</v>
      </c>
      <c r="B175" t="str">
        <f t="shared" si="2"/>
        <v>GS019237</v>
      </c>
      <c r="C175" s="55" t="s">
        <v>173</v>
      </c>
    </row>
    <row r="176" spans="1:3" x14ac:dyDescent="0.25">
      <c r="A176" s="220" t="s">
        <v>479</v>
      </c>
      <c r="B176" t="str">
        <f t="shared" si="2"/>
        <v>GS019351</v>
      </c>
      <c r="C176" s="55" t="s">
        <v>173</v>
      </c>
    </row>
    <row r="177" spans="1:3" x14ac:dyDescent="0.25">
      <c r="A177" s="220" t="s">
        <v>480</v>
      </c>
      <c r="B177" t="str">
        <f t="shared" si="2"/>
        <v>GS019417</v>
      </c>
      <c r="C177" s="55" t="s">
        <v>173</v>
      </c>
    </row>
    <row r="178" spans="1:3" x14ac:dyDescent="0.25">
      <c r="A178" s="220" t="s">
        <v>481</v>
      </c>
      <c r="B178" t="str">
        <f t="shared" si="2"/>
        <v>GS019479</v>
      </c>
      <c r="C178" s="55" t="s">
        <v>173</v>
      </c>
    </row>
    <row r="179" spans="1:3" x14ac:dyDescent="0.25">
      <c r="A179" s="220" t="s">
        <v>482</v>
      </c>
      <c r="B179" t="str">
        <f t="shared" si="2"/>
        <v>GS019541</v>
      </c>
      <c r="C179" s="55" t="s">
        <v>173</v>
      </c>
    </row>
    <row r="180" spans="1:3" x14ac:dyDescent="0.25">
      <c r="A180" s="220" t="s">
        <v>483</v>
      </c>
      <c r="B180" t="str">
        <f t="shared" si="2"/>
        <v>GS019548</v>
      </c>
      <c r="C180" s="55" t="s">
        <v>173</v>
      </c>
    </row>
    <row r="181" spans="1:3" x14ac:dyDescent="0.25">
      <c r="A181" s="220" t="s">
        <v>484</v>
      </c>
      <c r="B181" t="str">
        <f t="shared" si="2"/>
        <v>GS019562</v>
      </c>
      <c r="C181" s="55" t="s">
        <v>173</v>
      </c>
    </row>
    <row r="182" spans="1:3" x14ac:dyDescent="0.25">
      <c r="A182" s="220" t="s">
        <v>485</v>
      </c>
      <c r="B182" t="str">
        <f t="shared" si="2"/>
        <v>GS019572</v>
      </c>
      <c r="C182" s="55" t="s">
        <v>173</v>
      </c>
    </row>
    <row r="183" spans="1:3" x14ac:dyDescent="0.25">
      <c r="A183" s="220" t="s">
        <v>486</v>
      </c>
      <c r="B183" t="str">
        <f t="shared" si="2"/>
        <v>GS019597</v>
      </c>
      <c r="C183" s="55" t="s">
        <v>173</v>
      </c>
    </row>
    <row r="184" spans="1:3" x14ac:dyDescent="0.25">
      <c r="A184" s="220" t="s">
        <v>487</v>
      </c>
      <c r="B184" t="str">
        <f t="shared" si="2"/>
        <v>GS019634</v>
      </c>
      <c r="C184" s="55" t="s">
        <v>173</v>
      </c>
    </row>
    <row r="185" spans="1:3" x14ac:dyDescent="0.25">
      <c r="A185" s="220" t="s">
        <v>488</v>
      </c>
      <c r="B185" t="str">
        <f t="shared" si="2"/>
        <v>GS019637</v>
      </c>
      <c r="C185" s="55" t="s">
        <v>173</v>
      </c>
    </row>
    <row r="186" spans="1:3" x14ac:dyDescent="0.25">
      <c r="A186" s="220" t="s">
        <v>489</v>
      </c>
      <c r="B186" t="str">
        <f t="shared" si="2"/>
        <v>GS019640</v>
      </c>
      <c r="C186" s="55" t="s">
        <v>173</v>
      </c>
    </row>
    <row r="187" spans="1:3" x14ac:dyDescent="0.25">
      <c r="A187" s="220" t="s">
        <v>490</v>
      </c>
      <c r="B187" t="str">
        <f t="shared" si="2"/>
        <v>GS019643</v>
      </c>
      <c r="C187" s="55" t="s">
        <v>173</v>
      </c>
    </row>
    <row r="188" spans="1:3" x14ac:dyDescent="0.25">
      <c r="A188" s="220" t="s">
        <v>491</v>
      </c>
      <c r="B188" t="str">
        <f t="shared" si="2"/>
        <v>GS019656</v>
      </c>
      <c r="C188" s="55" t="s">
        <v>173</v>
      </c>
    </row>
    <row r="189" spans="1:3" x14ac:dyDescent="0.25">
      <c r="A189" s="220" t="s">
        <v>492</v>
      </c>
      <c r="B189" t="str">
        <f t="shared" si="2"/>
        <v>GS019680</v>
      </c>
      <c r="C189" s="55" t="s">
        <v>173</v>
      </c>
    </row>
    <row r="190" spans="1:3" x14ac:dyDescent="0.25">
      <c r="A190" s="220" t="s">
        <v>493</v>
      </c>
      <c r="B190" t="str">
        <f t="shared" si="2"/>
        <v>GS019686</v>
      </c>
      <c r="C190" s="55" t="s">
        <v>173</v>
      </c>
    </row>
    <row r="191" spans="1:3" x14ac:dyDescent="0.25">
      <c r="A191" s="220" t="s">
        <v>494</v>
      </c>
      <c r="B191" t="str">
        <f t="shared" si="2"/>
        <v>GS019724</v>
      </c>
      <c r="C191" s="55" t="s">
        <v>173</v>
      </c>
    </row>
    <row r="192" spans="1:3" x14ac:dyDescent="0.25">
      <c r="A192" s="220" t="s">
        <v>495</v>
      </c>
      <c r="B192" t="str">
        <f t="shared" si="2"/>
        <v>GS019770</v>
      </c>
      <c r="C192" s="55" t="s">
        <v>173</v>
      </c>
    </row>
    <row r="193" spans="1:3" x14ac:dyDescent="0.25">
      <c r="A193" s="220" t="s">
        <v>496</v>
      </c>
      <c r="B193" t="str">
        <f t="shared" si="2"/>
        <v>GS019825</v>
      </c>
      <c r="C193" s="55" t="s">
        <v>173</v>
      </c>
    </row>
    <row r="194" spans="1:3" x14ac:dyDescent="0.25">
      <c r="A194" s="220" t="s">
        <v>497</v>
      </c>
      <c r="B194" t="str">
        <f t="shared" si="2"/>
        <v>GS019828</v>
      </c>
      <c r="C194" s="55" t="s">
        <v>173</v>
      </c>
    </row>
    <row r="195" spans="1:3" x14ac:dyDescent="0.25">
      <c r="A195" s="220" t="s">
        <v>498</v>
      </c>
      <c r="B195" t="str">
        <f t="shared" si="2"/>
        <v>GS019933</v>
      </c>
      <c r="C195" s="55" t="s">
        <v>173</v>
      </c>
    </row>
    <row r="196" spans="1:3" x14ac:dyDescent="0.25">
      <c r="A196" s="220" t="s">
        <v>499</v>
      </c>
      <c r="B196" t="str">
        <f t="shared" ref="B196:B201" si="3">MID(A196,1,8)</f>
        <v>GS019994</v>
      </c>
      <c r="C196" s="55" t="s">
        <v>173</v>
      </c>
    </row>
    <row r="197" spans="1:3" x14ac:dyDescent="0.25">
      <c r="A197" s="220" t="s">
        <v>500</v>
      </c>
      <c r="B197" t="str">
        <f t="shared" si="3"/>
        <v>GS019995</v>
      </c>
      <c r="C197" s="55" t="s">
        <v>173</v>
      </c>
    </row>
    <row r="198" spans="1:3" x14ac:dyDescent="0.25">
      <c r="A198" s="220" t="s">
        <v>501</v>
      </c>
      <c r="B198" t="str">
        <f t="shared" si="3"/>
        <v>GS020024</v>
      </c>
      <c r="C198" s="55" t="s">
        <v>173</v>
      </c>
    </row>
    <row r="199" spans="1:3" x14ac:dyDescent="0.25">
      <c r="A199" s="220" t="s">
        <v>502</v>
      </c>
      <c r="B199" t="str">
        <f t="shared" si="3"/>
        <v>GS020078</v>
      </c>
      <c r="C199" s="55" t="s">
        <v>173</v>
      </c>
    </row>
    <row r="200" spans="1:3" x14ac:dyDescent="0.25">
      <c r="A200" s="220" t="s">
        <v>503</v>
      </c>
      <c r="B200" t="str">
        <f t="shared" si="3"/>
        <v>GS020082</v>
      </c>
      <c r="C200" s="55" t="s">
        <v>173</v>
      </c>
    </row>
    <row r="201" spans="1:3" x14ac:dyDescent="0.25">
      <c r="A201" t="s">
        <v>544</v>
      </c>
      <c r="B201" t="str">
        <f t="shared" si="3"/>
        <v>GS022727</v>
      </c>
      <c r="C201" s="55" t="s">
        <v>173</v>
      </c>
    </row>
    <row r="202" spans="1:3" x14ac:dyDescent="0.25">
      <c r="A202" s="220" t="s">
        <v>545</v>
      </c>
      <c r="B202" t="str">
        <f>MID(A202,1,9)</f>
        <v>GS1002638</v>
      </c>
      <c r="C202" s="55" t="s">
        <v>173</v>
      </c>
    </row>
    <row r="203" spans="1:3" x14ac:dyDescent="0.25">
      <c r="A203" s="220" t="s">
        <v>546</v>
      </c>
      <c r="B203" t="str">
        <f>MID(A203,1,9)</f>
        <v>GS017560</v>
      </c>
      <c r="C203" s="55" t="s">
        <v>173</v>
      </c>
    </row>
    <row r="204" spans="1:3" x14ac:dyDescent="0.25">
      <c r="A204" s="220" t="s">
        <v>547</v>
      </c>
      <c r="B204" t="str">
        <f>MID(A204,1,9)</f>
        <v>GS020506</v>
      </c>
      <c r="C204" s="55" t="s">
        <v>173</v>
      </c>
    </row>
    <row r="205" spans="1:3" x14ac:dyDescent="0.25">
      <c r="A205" s="220" t="s">
        <v>549</v>
      </c>
      <c r="B205" t="str">
        <f>MID(A205,1,9)</f>
        <v>GS021002</v>
      </c>
      <c r="C205" s="55" t="s">
        <v>173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37</vt:i4>
      </vt:variant>
    </vt:vector>
  </HeadingPairs>
  <TitlesOfParts>
    <vt:vector size="42" baseType="lpstr">
      <vt:lpstr>GOLDEN SALUD IND</vt:lpstr>
      <vt:lpstr>CARTA PROPUESTA</vt:lpstr>
      <vt:lpstr>INFOGRAFÍA</vt:lpstr>
      <vt:lpstr>ASISTENCIAS</vt:lpstr>
      <vt:lpstr>INDIVIDUAL</vt:lpstr>
      <vt:lpstr>ANTI</vt:lpstr>
      <vt:lpstr>ASISTENCIAS!Área_de_impresión</vt:lpstr>
      <vt:lpstr>'CARTA PROPUESTA'!Área_de_impresión</vt:lpstr>
      <vt:lpstr>'GOLDEN SALUD IND'!Área_de_impresión</vt:lpstr>
      <vt:lpstr>INFOGRAFÍA!Área_de_impresión</vt:lpstr>
      <vt:lpstr>RESUMEN_REGIONES!Área_de_impresión</vt:lpstr>
      <vt:lpstr>BASE</vt:lpstr>
      <vt:lpstr>CE</vt:lpstr>
      <vt:lpstr>COA</vt:lpstr>
      <vt:lpstr>DED</vt:lpstr>
      <vt:lpstr>DEDXACC</vt:lpstr>
      <vt:lpstr>DENTAL</vt:lpstr>
      <vt:lpstr>EDAD</vt:lpstr>
      <vt:lpstr>EDOS</vt:lpstr>
      <vt:lpstr>EE</vt:lpstr>
      <vt:lpstr>ESTADOS</vt:lpstr>
      <vt:lpstr>ICF</vt:lpstr>
      <vt:lpstr>IDHA</vt:lpstr>
      <vt:lpstr>NARIZ</vt:lpstr>
      <vt:lpstr>PAGO</vt:lpstr>
      <vt:lpstr>PARTO</vt:lpstr>
      <vt:lpstr>POLIZA</vt:lpstr>
      <vt:lpstr>SA</vt:lpstr>
      <vt:lpstr>SA_1</vt:lpstr>
      <vt:lpstr>SA_10</vt:lpstr>
      <vt:lpstr>SA_2</vt:lpstr>
      <vt:lpstr>SA_3</vt:lpstr>
      <vt:lpstr>SA_4</vt:lpstr>
      <vt:lpstr>SA_5</vt:lpstr>
      <vt:lpstr>SA_6</vt:lpstr>
      <vt:lpstr>SA_7</vt:lpstr>
      <vt:lpstr>SA_8</vt:lpstr>
      <vt:lpstr>SA_9</vt:lpstr>
      <vt:lpstr>SEXO</vt:lpstr>
      <vt:lpstr>TARIFA</vt:lpstr>
      <vt:lpstr>THQ</vt:lpstr>
      <vt:lpstr>TMC</vt:lpstr>
    </vt:vector>
  </TitlesOfParts>
  <Company>Plan Seguro S.A. de C.V.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Plan Seguro S.A. de C.V.</dc:creator>
  <cp:lastModifiedBy>Usuario de Windows</cp:lastModifiedBy>
  <cp:lastPrinted>2020-07-01T20:55:02Z</cp:lastPrinted>
  <dcterms:created xsi:type="dcterms:W3CDTF">2015-01-06T18:12:06Z</dcterms:created>
  <dcterms:modified xsi:type="dcterms:W3CDTF">2020-07-01T20:55:27Z</dcterms:modified>
</cp:coreProperties>
</file>