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melia\Desktop\GONIX\2020\GASTOS MEDICOS\"/>
    </mc:Choice>
  </mc:AlternateContent>
  <workbookProtection workbookAlgorithmName="SHA-512" workbookHashValue="NTr8CGcaH3SiEO8t3gjitzexIjET3J0XpckzUUQuENNIFxn15Rgq58rUAoLn71suE405gVOcdfMaVKbixSU0BA==" workbookSaltValue="nOWhMnP020wj0ArC7HGOZg==" workbookSpinCount="100000" lockStructure="1"/>
  <bookViews>
    <workbookView xWindow="0" yWindow="0" windowWidth="19200" windowHeight="6470"/>
  </bookViews>
  <sheets>
    <sheet name="Cotizador" sheetId="1" r:id="rId1"/>
    <sheet name="Calculos" sheetId="2" state="hidden" r:id="rId2"/>
    <sheet name="Factores" sheetId="7" state="hidden" r:id="rId3"/>
    <sheet name="Primas_Importes " sheetId="6" state="hidden" r:id="rId4"/>
    <sheet name="tablas" sheetId="8" state="hidden" r:id="rId5"/>
  </sheets>
  <externalReferences>
    <externalReference r:id="rId6"/>
    <externalReference r:id="rId7"/>
  </externalReferences>
  <definedNames>
    <definedName name="_xlnm._FilterDatabase" localSheetId="2" hidden="1">Factores!$O$2:$R$104</definedName>
    <definedName name="Año">tablas!$E$5:$E$104</definedName>
    <definedName name="dia">tablas!$C$4:$C$34</definedName>
    <definedName name="Mes">tablas!$D$4:$D$15</definedName>
    <definedName name="PAGO">'[1]CARTA PROPUESTA'!$F$64:$F$67</definedName>
    <definedName name="SA_ICF_Aseg1">tablas!#REF!</definedName>
    <definedName name="SA_ICF_Aseg10">tablas!#REF!</definedName>
    <definedName name="SA_ICF_Aseg2">tablas!#REF!</definedName>
    <definedName name="SA_ICF_Aseg3">tablas!#REF!</definedName>
    <definedName name="SA_ICF_Aseg4">tablas!#REF!</definedName>
    <definedName name="SA_ICF_Aseg5">tablas!#REF!</definedName>
    <definedName name="SA_ICF_Aseg6">tablas!#REF!</definedName>
    <definedName name="SA_ICF_Aseg7">tablas!#REF!</definedName>
    <definedName name="SA_ICF_Aseg8">tablas!#REF!</definedName>
    <definedName name="SA_ICF_Aseg9">tablas!#REF!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  <c r="E15" i="2"/>
  <c r="F15" i="2"/>
  <c r="G15" i="2"/>
  <c r="H15" i="2"/>
  <c r="I15" i="2"/>
  <c r="J15" i="2"/>
  <c r="K15" i="2"/>
  <c r="L15" i="2"/>
  <c r="C15" i="2"/>
  <c r="AK78" i="7"/>
  <c r="AK79" i="7"/>
  <c r="AK80" i="7"/>
  <c r="AK81" i="7"/>
  <c r="AK82" i="7"/>
  <c r="AK83" i="7"/>
  <c r="AK84" i="7"/>
  <c r="AK85" i="7"/>
  <c r="AK86" i="7"/>
  <c r="AK87" i="7"/>
  <c r="AK88" i="7"/>
  <c r="AK89" i="7"/>
  <c r="AK90" i="7"/>
  <c r="AK91" i="7"/>
  <c r="AK92" i="7"/>
  <c r="AK93" i="7"/>
  <c r="AK94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3" i="7"/>
  <c r="AK54" i="7"/>
  <c r="AK55" i="7"/>
  <c r="AK56" i="7"/>
  <c r="AK57" i="7"/>
  <c r="AK58" i="7"/>
  <c r="AK59" i="7"/>
  <c r="AK60" i="7"/>
  <c r="AK61" i="7"/>
  <c r="AK62" i="7"/>
  <c r="AK63" i="7"/>
  <c r="AK64" i="7"/>
  <c r="AK65" i="7"/>
  <c r="AK66" i="7"/>
  <c r="AK67" i="7"/>
  <c r="AK68" i="7"/>
  <c r="AK69" i="7"/>
  <c r="AK70" i="7"/>
  <c r="AK71" i="7"/>
  <c r="AK72" i="7"/>
  <c r="AK73" i="7"/>
  <c r="AK74" i="7"/>
  <c r="AK75" i="7"/>
  <c r="AK76" i="7"/>
  <c r="AK77" i="7"/>
  <c r="H1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H58" i="7"/>
  <c r="AH59" i="7"/>
  <c r="AH60" i="7"/>
  <c r="AH61" i="7"/>
  <c r="AH62" i="7"/>
  <c r="AH63" i="7"/>
  <c r="AH64" i="7"/>
  <c r="AH65" i="7"/>
  <c r="AH66" i="7"/>
  <c r="AH67" i="7"/>
  <c r="AH68" i="7"/>
  <c r="AH69" i="7"/>
  <c r="AH70" i="7"/>
  <c r="AH71" i="7"/>
  <c r="AH72" i="7"/>
  <c r="AH73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7" i="7"/>
  <c r="E1" i="7"/>
  <c r="C12" i="2" l="1"/>
  <c r="G23" i="1" l="1"/>
  <c r="G24" i="1"/>
  <c r="G25" i="1"/>
  <c r="G26" i="1"/>
  <c r="G27" i="1"/>
  <c r="G28" i="1"/>
  <c r="G29" i="1"/>
  <c r="G30" i="1"/>
  <c r="G31" i="1"/>
  <c r="G22" i="1"/>
  <c r="AH6" i="7" l="1"/>
  <c r="AN6" i="7" l="1"/>
  <c r="G13" i="1"/>
  <c r="AN7" i="7"/>
  <c r="AN8" i="7"/>
  <c r="AN9" i="7"/>
  <c r="AN10" i="7"/>
  <c r="AN11" i="7"/>
  <c r="AN12" i="7"/>
  <c r="AN13" i="7"/>
  <c r="G12" i="1" l="1"/>
  <c r="I9" i="8"/>
  <c r="I10" i="8" s="1"/>
  <c r="K17" i="7"/>
  <c r="K16" i="7"/>
  <c r="K15" i="7"/>
  <c r="K14" i="7"/>
  <c r="D12" i="2" l="1"/>
  <c r="E12" i="2"/>
  <c r="F12" i="2"/>
  <c r="G12" i="2"/>
  <c r="H12" i="2"/>
  <c r="I12" i="2"/>
  <c r="J12" i="2"/>
  <c r="K12" i="2"/>
  <c r="L12" i="2"/>
  <c r="Y1" i="7" l="1"/>
  <c r="AN4" i="7"/>
  <c r="O9" i="7"/>
  <c r="O1" i="7"/>
  <c r="K1" i="7"/>
  <c r="L13" i="8" l="1"/>
  <c r="L3" i="8" l="1"/>
  <c r="L7" i="8" s="1"/>
  <c r="D3" i="2" l="1"/>
  <c r="E3" i="2" l="1"/>
  <c r="L3" i="2"/>
  <c r="K3" i="2"/>
  <c r="J3" i="2"/>
  <c r="I3" i="2"/>
  <c r="H3" i="2"/>
  <c r="G3" i="2"/>
  <c r="F3" i="2"/>
  <c r="C3" i="2"/>
  <c r="C4" i="2" l="1"/>
  <c r="C13" i="2" s="1"/>
  <c r="AK4" i="7"/>
  <c r="C14" i="2" l="1"/>
  <c r="Y8" i="7"/>
  <c r="V8" i="7"/>
  <c r="V1" i="7"/>
  <c r="R1" i="7"/>
  <c r="H4" i="2" l="1"/>
  <c r="H13" i="2" s="1"/>
  <c r="L4" i="2"/>
  <c r="L13" i="2" s="1"/>
  <c r="L14" i="2" l="1"/>
  <c r="K4" i="2"/>
  <c r="K13" i="2" s="1"/>
  <c r="J4" i="2"/>
  <c r="J13" i="2" s="1"/>
  <c r="I4" i="2"/>
  <c r="I13" i="2" s="1"/>
  <c r="G4" i="2"/>
  <c r="G13" i="2" s="1"/>
  <c r="F4" i="2"/>
  <c r="F13" i="2" s="1"/>
  <c r="E4" i="2"/>
  <c r="E13" i="2" s="1"/>
  <c r="D4" i="2"/>
  <c r="D13" i="2" s="1"/>
  <c r="D13" i="8"/>
  <c r="D14" i="8" s="1"/>
  <c r="D15" i="8" s="1"/>
  <c r="D17" i="1"/>
  <c r="H7" i="2" s="1"/>
  <c r="L7" i="2" l="1"/>
  <c r="K11" i="7"/>
  <c r="C7" i="2"/>
  <c r="G7" i="2"/>
  <c r="D7" i="2"/>
  <c r="I7" i="2"/>
  <c r="E7" i="2"/>
  <c r="J7" i="2"/>
  <c r="K7" i="2"/>
  <c r="F7" i="2"/>
  <c r="K14" i="2"/>
  <c r="I14" i="2"/>
  <c r="F14" i="2"/>
  <c r="E14" i="2"/>
  <c r="C26" i="7" l="1"/>
  <c r="C70" i="7"/>
  <c r="C72" i="7"/>
  <c r="C93" i="7"/>
  <c r="C67" i="7"/>
  <c r="C52" i="7"/>
  <c r="C81" i="7"/>
  <c r="B55" i="7"/>
  <c r="B16" i="7"/>
  <c r="B80" i="7"/>
  <c r="B41" i="7"/>
  <c r="C4" i="7"/>
  <c r="B86" i="7"/>
  <c r="C46" i="7"/>
  <c r="C49" i="7"/>
  <c r="C22" i="7"/>
  <c r="B47" i="7"/>
  <c r="B72" i="7"/>
  <c r="B97" i="7"/>
  <c r="C38" i="7"/>
  <c r="C15" i="7"/>
  <c r="C79" i="7"/>
  <c r="C42" i="7"/>
  <c r="C32" i="7"/>
  <c r="C23" i="7"/>
  <c r="C21" i="7"/>
  <c r="C103" i="7"/>
  <c r="C37" i="7"/>
  <c r="B27" i="7"/>
  <c r="B91" i="7"/>
  <c r="B52" i="7"/>
  <c r="B13" i="7"/>
  <c r="B77" i="7"/>
  <c r="B50" i="7"/>
  <c r="B94" i="7"/>
  <c r="C56" i="7"/>
  <c r="C59" i="7"/>
  <c r="C7" i="7"/>
  <c r="B95" i="7"/>
  <c r="B17" i="7"/>
  <c r="B66" i="7"/>
  <c r="C82" i="7"/>
  <c r="C13" i="7"/>
  <c r="C73" i="7"/>
  <c r="B37" i="7"/>
  <c r="B58" i="7"/>
  <c r="B30" i="7"/>
  <c r="B82" i="7"/>
  <c r="B28" i="7"/>
  <c r="B44" i="7"/>
  <c r="B60" i="7"/>
  <c r="C76" i="7"/>
  <c r="C20" i="7"/>
  <c r="C102" i="7"/>
  <c r="C19" i="7"/>
  <c r="C17" i="7"/>
  <c r="C99" i="7"/>
  <c r="C33" i="7"/>
  <c r="B23" i="7"/>
  <c r="B87" i="7"/>
  <c r="B48" i="7"/>
  <c r="B9" i="7"/>
  <c r="B73" i="7"/>
  <c r="B34" i="7"/>
  <c r="B78" i="7"/>
  <c r="C40" i="7"/>
  <c r="C43" i="7"/>
  <c r="C65" i="7"/>
  <c r="B8" i="7"/>
  <c r="B33" i="7"/>
  <c r="B54" i="7"/>
  <c r="C98" i="7"/>
  <c r="C35" i="7"/>
  <c r="C30" i="7"/>
  <c r="C74" i="7"/>
  <c r="C80" i="7"/>
  <c r="C27" i="7"/>
  <c r="C71" i="7"/>
  <c r="C60" i="7"/>
  <c r="C89" i="7"/>
  <c r="B59" i="7"/>
  <c r="B20" i="7"/>
  <c r="B84" i="7"/>
  <c r="B45" i="7"/>
  <c r="B6" i="7"/>
  <c r="B102" i="7"/>
  <c r="C62" i="7"/>
  <c r="C77" i="7"/>
  <c r="C28" i="7"/>
  <c r="B31" i="7"/>
  <c r="B56" i="7"/>
  <c r="C16" i="7"/>
  <c r="C96" i="7"/>
  <c r="C95" i="7"/>
  <c r="B12" i="7"/>
  <c r="B70" i="7"/>
  <c r="B83" i="7"/>
  <c r="B99" i="7"/>
  <c r="C101" i="7"/>
  <c r="B14" i="7"/>
  <c r="B62" i="7"/>
  <c r="C54" i="7"/>
  <c r="C18" i="7"/>
  <c r="C61" i="7"/>
  <c r="C51" i="7"/>
  <c r="C6" i="7"/>
  <c r="C45" i="7"/>
  <c r="B39" i="7"/>
  <c r="B103" i="7"/>
  <c r="B64" i="7"/>
  <c r="B25" i="7"/>
  <c r="B89" i="7"/>
  <c r="B98" i="7"/>
  <c r="C12" i="7"/>
  <c r="C88" i="7"/>
  <c r="C91" i="7"/>
  <c r="B15" i="7"/>
  <c r="B40" i="7"/>
  <c r="B65" i="7"/>
  <c r="B46" i="7"/>
  <c r="C64" i="7"/>
  <c r="C47" i="7"/>
  <c r="C8" i="7"/>
  <c r="C90" i="7"/>
  <c r="C29" i="7"/>
  <c r="C5" i="7"/>
  <c r="C92" i="7"/>
  <c r="B11" i="7"/>
  <c r="B75" i="7"/>
  <c r="B36" i="7"/>
  <c r="B61" i="7"/>
  <c r="B90" i="7"/>
  <c r="C9" i="7"/>
  <c r="B63" i="7"/>
  <c r="C50" i="7"/>
  <c r="B67" i="7"/>
  <c r="B35" i="7"/>
  <c r="C24" i="7"/>
  <c r="C86" i="7"/>
  <c r="C104" i="7"/>
  <c r="C39" i="7"/>
  <c r="C83" i="7"/>
  <c r="C84" i="7"/>
  <c r="B7" i="7"/>
  <c r="B71" i="7"/>
  <c r="B32" i="7"/>
  <c r="B96" i="7"/>
  <c r="B57" i="7"/>
  <c r="B18" i="7"/>
  <c r="B74" i="7"/>
  <c r="C78" i="7"/>
  <c r="C31" i="7"/>
  <c r="C100" i="7"/>
  <c r="B79" i="7"/>
  <c r="B104" i="7"/>
  <c r="B26" i="7"/>
  <c r="C66" i="7"/>
  <c r="C53" i="7"/>
  <c r="C36" i="7"/>
  <c r="C58" i="7"/>
  <c r="C44" i="7"/>
  <c r="C69" i="7"/>
  <c r="C55" i="7"/>
  <c r="C14" i="7"/>
  <c r="C57" i="7"/>
  <c r="B43" i="7"/>
  <c r="B4" i="7"/>
  <c r="B68" i="7"/>
  <c r="B29" i="7"/>
  <c r="B93" i="7"/>
  <c r="B38" i="7"/>
  <c r="C34" i="7"/>
  <c r="C41" i="7"/>
  <c r="C75" i="7"/>
  <c r="C97" i="7"/>
  <c r="B24" i="7"/>
  <c r="B49" i="7"/>
  <c r="B42" i="7"/>
  <c r="C10" i="7"/>
  <c r="C63" i="7"/>
  <c r="B51" i="7"/>
  <c r="B101" i="7"/>
  <c r="C25" i="7"/>
  <c r="C11" i="7"/>
  <c r="B92" i="7"/>
  <c r="B69" i="7"/>
  <c r="B85" i="7"/>
  <c r="B81" i="7"/>
  <c r="C87" i="7"/>
  <c r="B100" i="7"/>
  <c r="B22" i="7"/>
  <c r="I8" i="2" s="1"/>
  <c r="I9" i="2" s="1"/>
  <c r="C94" i="7"/>
  <c r="C68" i="7"/>
  <c r="B88" i="7"/>
  <c r="B10" i="7"/>
  <c r="C85" i="7"/>
  <c r="C48" i="7"/>
  <c r="B76" i="7"/>
  <c r="B53" i="7"/>
  <c r="B5" i="7"/>
  <c r="B21" i="7"/>
  <c r="B19" i="7"/>
  <c r="H8" i="2"/>
  <c r="H9" i="2" s="1"/>
  <c r="F8" i="2"/>
  <c r="F9" i="2" s="1"/>
  <c r="F17" i="2" s="1"/>
  <c r="AN5" i="7"/>
  <c r="AK5" i="7"/>
  <c r="I17" i="2" l="1"/>
  <c r="I19" i="2" s="1"/>
  <c r="C13" i="8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I21" i="2" l="1"/>
  <c r="I22" i="2" s="1"/>
  <c r="I23" i="2" s="1"/>
  <c r="I24" i="2" s="1"/>
  <c r="H28" i="1"/>
  <c r="AB4" i="7"/>
  <c r="AB5" i="7" s="1"/>
  <c r="AB6" i="7" s="1"/>
  <c r="AB7" i="7" s="1"/>
  <c r="AB8" i="7" s="1"/>
  <c r="AB9" i="7" s="1"/>
  <c r="AB10" i="7" s="1"/>
  <c r="AB11" i="7" s="1"/>
  <c r="AB12" i="7" s="1"/>
  <c r="AB13" i="7" s="1"/>
  <c r="AB14" i="7" s="1"/>
  <c r="AB15" i="7" s="1"/>
  <c r="AB16" i="7" s="1"/>
  <c r="AB17" i="7" s="1"/>
  <c r="AB18" i="7" s="1"/>
  <c r="L5" i="6"/>
  <c r="T4" i="6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T84" i="6" s="1"/>
  <c r="T85" i="6" s="1"/>
  <c r="T86" i="6" s="1"/>
  <c r="T87" i="6" s="1"/>
  <c r="T88" i="6" s="1"/>
  <c r="T89" i="6" s="1"/>
  <c r="T90" i="6" s="1"/>
  <c r="T91" i="6" s="1"/>
  <c r="T92" i="6" s="1"/>
  <c r="T93" i="6" s="1"/>
  <c r="T94" i="6" s="1"/>
  <c r="T95" i="6" s="1"/>
  <c r="T96" i="6" s="1"/>
  <c r="T97" i="6" s="1"/>
  <c r="T98" i="6" s="1"/>
  <c r="T99" i="6" s="1"/>
  <c r="T100" i="6" s="1"/>
  <c r="T101" i="6" s="1"/>
  <c r="T102" i="6" s="1"/>
  <c r="T103" i="6" s="1"/>
  <c r="V2" i="6"/>
  <c r="H14" i="2" l="1"/>
  <c r="H17" i="2" s="1"/>
  <c r="H19" i="2" s="1"/>
  <c r="D14" i="2"/>
  <c r="W2" i="6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L6" i="6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F19" i="2"/>
  <c r="H21" i="2" l="1"/>
  <c r="H22" i="2" s="1"/>
  <c r="H23" i="2" s="1"/>
  <c r="H24" i="2" s="1"/>
  <c r="H27" i="1"/>
  <c r="J14" i="2"/>
  <c r="G14" i="2"/>
  <c r="H25" i="1"/>
  <c r="F21" i="2"/>
  <c r="F22" i="2" s="1"/>
  <c r="F23" i="2" s="1"/>
  <c r="F24" i="2" l="1"/>
  <c r="K8" i="2" l="1"/>
  <c r="K9" i="2" s="1"/>
  <c r="K17" i="2" s="1"/>
  <c r="K19" i="2" s="1"/>
  <c r="J8" i="2"/>
  <c r="J9" i="2" s="1"/>
  <c r="J17" i="2" s="1"/>
  <c r="J19" i="2" s="1"/>
  <c r="C8" i="2"/>
  <c r="C9" i="2" s="1"/>
  <c r="G8" i="2"/>
  <c r="G9" i="2" s="1"/>
  <c r="G17" i="2" s="1"/>
  <c r="G19" i="2" s="1"/>
  <c r="D8" i="2"/>
  <c r="D9" i="2" s="1"/>
  <c r="E8" i="2"/>
  <c r="E9" i="2" s="1"/>
  <c r="E17" i="2" s="1"/>
  <c r="E19" i="2" s="1"/>
  <c r="L8" i="2"/>
  <c r="L9" i="2" s="1"/>
  <c r="L17" i="2" s="1"/>
  <c r="L19" i="2" s="1"/>
  <c r="C17" i="2" l="1"/>
  <c r="C19" i="2" s="1"/>
  <c r="D17" i="2"/>
  <c r="D19" i="2" s="1"/>
  <c r="H29" i="1"/>
  <c r="J21" i="2"/>
  <c r="J22" i="2" s="1"/>
  <c r="J23" i="2" s="1"/>
  <c r="J24" i="2" s="1"/>
  <c r="H24" i="1"/>
  <c r="E21" i="2"/>
  <c r="E22" i="2" s="1"/>
  <c r="E23" i="2" s="1"/>
  <c r="E24" i="2" s="1"/>
  <c r="H30" i="1"/>
  <c r="K21" i="2"/>
  <c r="K22" i="2" s="1"/>
  <c r="K23" i="2" s="1"/>
  <c r="K24" i="2" s="1"/>
  <c r="L21" i="2"/>
  <c r="L22" i="2" s="1"/>
  <c r="L23" i="2" s="1"/>
  <c r="L24" i="2" s="1"/>
  <c r="H31" i="1"/>
  <c r="G21" i="2"/>
  <c r="G22" i="2" s="1"/>
  <c r="G23" i="2" s="1"/>
  <c r="G24" i="2" s="1"/>
  <c r="H26" i="1"/>
  <c r="H22" i="1" l="1"/>
  <c r="C21" i="2"/>
  <c r="C22" i="2" s="1"/>
  <c r="C23" i="2" s="1"/>
  <c r="C24" i="2" s="1"/>
  <c r="D21" i="2"/>
  <c r="D22" i="2" s="1"/>
  <c r="D23" i="2" s="1"/>
  <c r="D24" i="2" s="1"/>
  <c r="H23" i="1"/>
  <c r="H32" i="1" l="1"/>
  <c r="D34" i="1" s="1"/>
  <c r="H41" i="1" l="1"/>
  <c r="F41" i="1"/>
  <c r="H40" i="1"/>
  <c r="F40" i="1"/>
  <c r="D36" i="1"/>
  <c r="D37" i="1" s="1"/>
  <c r="D40" i="1" s="1"/>
  <c r="D42" i="1" s="1"/>
  <c r="J41" i="1"/>
  <c r="J40" i="1"/>
  <c r="F42" i="1" l="1"/>
  <c r="J42" i="1"/>
  <c r="H42" i="1"/>
</calcChain>
</file>

<file path=xl/sharedStrings.xml><?xml version="1.0" encoding="utf-8"?>
<sst xmlns="http://schemas.openxmlformats.org/spreadsheetml/2006/main" count="320" uniqueCount="190">
  <si>
    <t>PRIMAS NETAS DE ICF</t>
  </si>
  <si>
    <t xml:space="preserve"> </t>
  </si>
  <si>
    <t>Edad</t>
  </si>
  <si>
    <t>Hombres</t>
  </si>
  <si>
    <t>Mujeres</t>
  </si>
  <si>
    <t>SUMAS ASEGURADAS</t>
  </si>
  <si>
    <t>COBERTURA DED X ACC</t>
  </si>
  <si>
    <t>Edad/Durac</t>
  </si>
  <si>
    <t>SA de ICF</t>
  </si>
  <si>
    <t>No</t>
  </si>
  <si>
    <t>RANGO DEDUCIBLE</t>
  </si>
  <si>
    <t>TARIFA</t>
  </si>
  <si>
    <t>SI</t>
  </si>
  <si>
    <t>NO</t>
  </si>
  <si>
    <t>COBERTURA IDHA</t>
  </si>
  <si>
    <t>SA X DÍA DE HOSP</t>
  </si>
  <si>
    <t>500.00 x día.</t>
  </si>
  <si>
    <t>1,000.00 x día.</t>
  </si>
  <si>
    <t>1,500.00 x día.</t>
  </si>
  <si>
    <t>2,000.00 x día.</t>
  </si>
  <si>
    <t>OCPION</t>
  </si>
  <si>
    <t>BAJIO</t>
  </si>
  <si>
    <t>Zacatecas</t>
  </si>
  <si>
    <t>SURESTE</t>
  </si>
  <si>
    <t>Yucatán</t>
  </si>
  <si>
    <t>SUR</t>
  </si>
  <si>
    <t>Veracruz</t>
  </si>
  <si>
    <t>Tlaxcala</t>
  </si>
  <si>
    <t>NORESTE</t>
  </si>
  <si>
    <t>Tamaulipas</t>
  </si>
  <si>
    <t>Tabasco</t>
  </si>
  <si>
    <t>NOROESTE</t>
  </si>
  <si>
    <t>Sonora</t>
  </si>
  <si>
    <t>OCCIDENTE_2</t>
  </si>
  <si>
    <t>Sinaloa</t>
  </si>
  <si>
    <t>OPCIÓN</t>
  </si>
  <si>
    <t>San Luís Potosí</t>
  </si>
  <si>
    <t>Quintana Roo</t>
  </si>
  <si>
    <t>FACTOR</t>
  </si>
  <si>
    <t>UMAM</t>
  </si>
  <si>
    <t>Querétaro</t>
  </si>
  <si>
    <t>Mensual</t>
  </si>
  <si>
    <t>HONORARIOS QUIRUR.</t>
  </si>
  <si>
    <t>Puebla</t>
  </si>
  <si>
    <t>Trimestral</t>
  </si>
  <si>
    <t>Oaxaca</t>
  </si>
  <si>
    <t>Semestral</t>
  </si>
  <si>
    <t>Nuevo León</t>
  </si>
  <si>
    <t>Anual</t>
  </si>
  <si>
    <t>SERIE 400</t>
  </si>
  <si>
    <t>OCCIDENTE</t>
  </si>
  <si>
    <t>Nayarit</t>
  </si>
  <si>
    <t>SERIE 100</t>
  </si>
  <si>
    <t>ESTADO DE MÉXICO</t>
  </si>
  <si>
    <t>Morelos</t>
  </si>
  <si>
    <t>SERIE 200</t>
  </si>
  <si>
    <t>Michoacán</t>
  </si>
  <si>
    <t>SERIE 300</t>
  </si>
  <si>
    <t>Jalisco</t>
  </si>
  <si>
    <t>BASE</t>
  </si>
  <si>
    <t>Hidalgo</t>
  </si>
  <si>
    <t>IVA Fronterizo</t>
  </si>
  <si>
    <t>HOSPITAL</t>
  </si>
  <si>
    <t>Guerrero</t>
  </si>
  <si>
    <t>IVA No Froterizo</t>
  </si>
  <si>
    <t>Guanajuato</t>
  </si>
  <si>
    <t>GASTOS OPERACIÓN</t>
  </si>
  <si>
    <t>FORMA DE PAGO</t>
  </si>
  <si>
    <t>C</t>
  </si>
  <si>
    <t>Estado de México</t>
  </si>
  <si>
    <t>B</t>
  </si>
  <si>
    <t>Durango</t>
  </si>
  <si>
    <t>A</t>
  </si>
  <si>
    <t>Colima</t>
  </si>
  <si>
    <t>Coahuila</t>
  </si>
  <si>
    <t>LINEA</t>
  </si>
  <si>
    <t>Ciudad de México y Zona Metropolitana</t>
  </si>
  <si>
    <t>RED COASEG PAD NARIZ X ACC</t>
  </si>
  <si>
    <t>COB. EXT.</t>
  </si>
  <si>
    <t>Chihuahua</t>
  </si>
  <si>
    <t>Total</t>
  </si>
  <si>
    <t>Chiapas</t>
  </si>
  <si>
    <t>Operación</t>
  </si>
  <si>
    <t>Comisión</t>
  </si>
  <si>
    <t>SA 100,000 dlls</t>
  </si>
  <si>
    <t>Campeche</t>
  </si>
  <si>
    <t>Fondo especial</t>
  </si>
  <si>
    <t>Utilidad</t>
  </si>
  <si>
    <t>SA 50,000 dlls</t>
  </si>
  <si>
    <t>Baja California Sur</t>
  </si>
  <si>
    <t>Reaseguro</t>
  </si>
  <si>
    <t>MSI</t>
  </si>
  <si>
    <t>Baja California</t>
  </si>
  <si>
    <t>COASEGURO</t>
  </si>
  <si>
    <t>Aguascalientes</t>
  </si>
  <si>
    <t>Tope</t>
  </si>
  <si>
    <t>%</t>
  </si>
  <si>
    <t>Pesos</t>
  </si>
  <si>
    <t>GASTOS FIJOS</t>
  </si>
  <si>
    <t>ANTIGÜEDAD REC</t>
  </si>
  <si>
    <t>INCREMENTO SA PARTO Y CESÁREA</t>
  </si>
  <si>
    <t>E.EXT.</t>
  </si>
  <si>
    <t>REGION</t>
  </si>
  <si>
    <t>ESTADOS</t>
  </si>
  <si>
    <t>SUMA ASEGURADA</t>
  </si>
  <si>
    <t>DEDUCIBLE</t>
  </si>
  <si>
    <t>Cliente</t>
  </si>
  <si>
    <t xml:space="preserve">Párametros de cobertura básica </t>
  </si>
  <si>
    <t>Suma Asegurada</t>
  </si>
  <si>
    <t>Deducible</t>
  </si>
  <si>
    <t>Coaseguro</t>
  </si>
  <si>
    <t>Serie Hospitalaria</t>
  </si>
  <si>
    <t>T.H.Q (Tabulador Quirurgico)</t>
  </si>
  <si>
    <t>Region</t>
  </si>
  <si>
    <t>Fecha de nacimiento</t>
  </si>
  <si>
    <t>Sexo</t>
  </si>
  <si>
    <t>Fecha Antigüedad</t>
  </si>
  <si>
    <t>Recon Ant</t>
  </si>
  <si>
    <t>dia</t>
  </si>
  <si>
    <t>Mes</t>
  </si>
  <si>
    <t>Año</t>
  </si>
  <si>
    <t>01</t>
  </si>
  <si>
    <t>Si</t>
  </si>
  <si>
    <t>02</t>
  </si>
  <si>
    <t>03</t>
  </si>
  <si>
    <t>04</t>
  </si>
  <si>
    <t>05</t>
  </si>
  <si>
    <t>06</t>
  </si>
  <si>
    <t>07</t>
  </si>
  <si>
    <t>08</t>
  </si>
  <si>
    <t>09</t>
  </si>
  <si>
    <t>Coberturas Opcionales con Costo</t>
  </si>
  <si>
    <t>EMER (Emergencia en el Extranjero)</t>
  </si>
  <si>
    <t>CE (Cobertura en el Extranjero)</t>
  </si>
  <si>
    <t>IDHA (Indemnización Diaria por Hospitalización)</t>
  </si>
  <si>
    <t>Incremento de Suma Asegurada por Parto</t>
  </si>
  <si>
    <t>Reducción de Coaseguro por Padecimiento de Nariz por Acc</t>
  </si>
  <si>
    <t>Eliminación de Deducible por Accidente</t>
  </si>
  <si>
    <t>FEBRERO 2022</t>
  </si>
  <si>
    <t>Masculino</t>
  </si>
  <si>
    <t>Femenino</t>
  </si>
  <si>
    <t>Aseg</t>
  </si>
  <si>
    <t>Estado</t>
  </si>
  <si>
    <t>Factor GM</t>
  </si>
  <si>
    <t>Inicio de Vigencia</t>
  </si>
  <si>
    <t>Prima</t>
  </si>
  <si>
    <t>Asegurados</t>
  </si>
  <si>
    <t>Genero</t>
  </si>
  <si>
    <t>Asistencia Dental</t>
  </si>
  <si>
    <t>Eliminacion de Deducible por Accidente</t>
  </si>
  <si>
    <t>RxPF</t>
  </si>
  <si>
    <t>Derecho de póliza</t>
  </si>
  <si>
    <t>IVA</t>
  </si>
  <si>
    <t>Prima Anual Total</t>
  </si>
  <si>
    <t>Factores GM</t>
  </si>
  <si>
    <t>Prima Neta</t>
  </si>
  <si>
    <t>IDHA (Indemnizacion Diaria por Hospitalizacion)</t>
  </si>
  <si>
    <t>ICF(Indemnizacion por Cancer Femenino)</t>
  </si>
  <si>
    <t>Prima Antes IVA</t>
  </si>
  <si>
    <t xml:space="preserve">PRIMA GM </t>
  </si>
  <si>
    <t>IMPORTES</t>
  </si>
  <si>
    <t xml:space="preserve">Prima GM </t>
  </si>
  <si>
    <t>SA por ICF (Indemnización por Cáncer Feménino)</t>
  </si>
  <si>
    <t xml:space="preserve">Factor por Duración </t>
  </si>
  <si>
    <t>Prima Neta Agregada</t>
  </si>
  <si>
    <t>Derecho de poliza</t>
  </si>
  <si>
    <t>Prima Total Anual</t>
  </si>
  <si>
    <t>1er Pago</t>
  </si>
  <si>
    <t>Subsecuente</t>
  </si>
  <si>
    <t>Sin Límite</t>
  </si>
  <si>
    <t>TMC</t>
  </si>
  <si>
    <t>Linea</t>
  </si>
  <si>
    <t>Bajio/Noreste</t>
  </si>
  <si>
    <t>Tope Maximo Coaseguro</t>
  </si>
  <si>
    <t>GUA</t>
  </si>
  <si>
    <t>SA 20 UMAM</t>
  </si>
  <si>
    <t>SA 25 UMAM</t>
  </si>
  <si>
    <t>PRIMA DE TARIFA LINEA</t>
  </si>
  <si>
    <t>PRIMA DE TARIFA OCCIDENTE/BAJIO</t>
  </si>
  <si>
    <t>PRIMA DE TARIFA NORESTE</t>
  </si>
  <si>
    <t xml:space="preserve">Prima de Tarifa </t>
  </si>
  <si>
    <t>Atencion Dental</t>
  </si>
  <si>
    <t>COBERTURA DENTAL</t>
  </si>
  <si>
    <t>Atención Dental +</t>
  </si>
  <si>
    <t>Atención Dental Total</t>
  </si>
  <si>
    <t>-</t>
  </si>
  <si>
    <t>DDA-GSICOT-01072022</t>
  </si>
  <si>
    <t>Vigencia cotizador: 01 de julio 2022-30 de junio 2023</t>
  </si>
  <si>
    <t>Valor UMAM 2022: $2,925.09</t>
  </si>
  <si>
    <t>40,000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</si>
</sst>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;[Red]\-&quot;$&quot;#,##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0"/>
    <numFmt numFmtId="165" formatCode="_-* #,##0.0000_-;\-* #,##0.0000_-;_-* &quot;-&quot;??_-;_-@_-"/>
    <numFmt numFmtId="166" formatCode="#,##0.00000"/>
    <numFmt numFmtId="167" formatCode="0.000000"/>
    <numFmt numFmtId="168" formatCode="0.00000"/>
    <numFmt numFmtId="169" formatCode="0.0000000"/>
    <numFmt numFmtId="170" formatCode="0.000"/>
    <numFmt numFmtId="171" formatCode="#,##0.0000"/>
    <numFmt numFmtId="172" formatCode="#,##0.0"/>
    <numFmt numFmtId="173" formatCode="0.000%"/>
    <numFmt numFmtId="174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9"/>
      <color rgb="FFFFFFFF"/>
      <name val="Calibri"/>
      <family val="2"/>
      <scheme val="minor"/>
    </font>
    <font>
      <sz val="12"/>
      <color theme="1"/>
      <name val="Century Gothic"/>
      <family val="2"/>
    </font>
    <font>
      <b/>
      <sz val="12"/>
      <color theme="0"/>
      <name val="Century Gothic"/>
      <family val="2"/>
    </font>
    <font>
      <sz val="12"/>
      <name val="Century Gothic"/>
      <family val="2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Calibri"/>
      <family val="2"/>
      <scheme val="minor"/>
    </font>
    <font>
      <sz val="9"/>
      <name val="Arial"/>
      <family val="2"/>
    </font>
    <font>
      <sz val="9"/>
      <color indexed="8"/>
      <name val="Arial"/>
      <family val="2"/>
    </font>
    <font>
      <sz val="8"/>
      <name val="Century Gothic"/>
      <family val="2"/>
    </font>
    <font>
      <b/>
      <sz val="11"/>
      <color theme="8" tint="-0.499984740745262"/>
      <name val="Century Gothic"/>
      <family val="2"/>
    </font>
  </fonts>
  <fills count="1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indexed="9"/>
        <bgColor indexed="64"/>
      </patternFill>
    </fill>
  </fills>
  <borders count="100">
    <border>
      <left/>
      <right/>
      <top/>
      <bottom/>
      <diagonal/>
    </border>
    <border>
      <left style="medium">
        <color rgb="FF339966"/>
      </left>
      <right/>
      <top style="medium">
        <color rgb="FF339966"/>
      </top>
      <bottom style="medium">
        <color rgb="FF339966"/>
      </bottom>
      <diagonal/>
    </border>
    <border>
      <left/>
      <right style="medium">
        <color rgb="FF339966"/>
      </right>
      <top style="medium">
        <color rgb="FF339966"/>
      </top>
      <bottom style="medium">
        <color rgb="FF339966"/>
      </bottom>
      <diagonal/>
    </border>
    <border>
      <left style="medium">
        <color rgb="FF00B050"/>
      </left>
      <right/>
      <top style="medium">
        <color rgb="FF00B050"/>
      </top>
      <bottom style="medium">
        <color rgb="FF00B0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339966"/>
      </left>
      <right style="medium">
        <color rgb="FF339966"/>
      </right>
      <top style="medium">
        <color rgb="FF339966"/>
      </top>
      <bottom style="medium">
        <color rgb="FF339966"/>
      </bottom>
      <diagonal/>
    </border>
    <border>
      <left style="medium">
        <color rgb="FF339966"/>
      </left>
      <right style="thin">
        <color rgb="FF339966"/>
      </right>
      <top style="medium">
        <color rgb="FF339966"/>
      </top>
      <bottom style="medium">
        <color rgb="FF339966"/>
      </bottom>
      <diagonal/>
    </border>
    <border>
      <left style="thin">
        <color rgb="FF339966"/>
      </left>
      <right style="medium">
        <color rgb="FF339966"/>
      </right>
      <top style="medium">
        <color rgb="FF339966"/>
      </top>
      <bottom style="medium">
        <color rgb="FF339966"/>
      </bottom>
      <diagonal/>
    </border>
    <border>
      <left/>
      <right/>
      <top style="medium">
        <color rgb="FF339966"/>
      </top>
      <bottom style="medium">
        <color rgb="FF33996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339966"/>
      </left>
      <right style="medium">
        <color rgb="FF339966"/>
      </right>
      <top style="medium">
        <color rgb="FF339966"/>
      </top>
      <bottom/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9966"/>
      </left>
      <right style="medium">
        <color rgb="FF339966"/>
      </right>
      <top/>
      <bottom/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thin">
        <color rgb="FF00B050"/>
      </left>
      <right style="thin">
        <color rgb="FF00B050"/>
      </right>
      <top style="medium">
        <color rgb="FF00B050"/>
      </top>
      <bottom style="hair">
        <color rgb="FF00B050"/>
      </bottom>
      <diagonal/>
    </border>
    <border>
      <left style="thin">
        <color rgb="FF00B050"/>
      </left>
      <right style="medium">
        <color rgb="FF00B050"/>
      </right>
      <top style="medium">
        <color rgb="FF00B050"/>
      </top>
      <bottom style="hair">
        <color rgb="FF00B050"/>
      </bottom>
      <diagonal/>
    </border>
    <border>
      <left style="medium">
        <color indexed="64"/>
      </left>
      <right/>
      <top/>
      <bottom/>
      <diagonal/>
    </border>
    <border>
      <left style="thin">
        <color rgb="FF00B050"/>
      </left>
      <right style="thin">
        <color rgb="FF00B050"/>
      </right>
      <top/>
      <bottom style="hair">
        <color rgb="FF00B050"/>
      </bottom>
      <diagonal/>
    </border>
    <border>
      <left style="thin">
        <color rgb="FF00B050"/>
      </left>
      <right style="medium">
        <color rgb="FF00B050"/>
      </right>
      <top/>
      <bottom style="hair">
        <color rgb="FF00B050"/>
      </bottom>
      <diagonal/>
    </border>
    <border>
      <left style="medium">
        <color rgb="FF339966"/>
      </left>
      <right/>
      <top/>
      <bottom style="medium">
        <color rgb="FF339966"/>
      </bottom>
      <diagonal/>
    </border>
    <border>
      <left style="medium">
        <color rgb="FF339966"/>
      </left>
      <right style="medium">
        <color rgb="FF339966"/>
      </right>
      <top/>
      <bottom style="medium">
        <color rgb="FF339966"/>
      </bottom>
      <diagonal/>
    </border>
    <border>
      <left style="medium">
        <color rgb="FF339966"/>
      </left>
      <right style="thin">
        <color indexed="64"/>
      </right>
      <top style="medium">
        <color rgb="FF339966"/>
      </top>
      <bottom style="medium">
        <color rgb="FF339966"/>
      </bottom>
      <diagonal/>
    </border>
    <border>
      <left style="thin">
        <color indexed="64"/>
      </left>
      <right style="medium">
        <color rgb="FF339966"/>
      </right>
      <top style="medium">
        <color rgb="FF339966"/>
      </top>
      <bottom style="medium">
        <color rgb="FF339966"/>
      </bottom>
      <diagonal/>
    </border>
    <border>
      <left style="thin">
        <color rgb="FF00B050"/>
      </left>
      <right style="thin">
        <color rgb="FF00B050"/>
      </right>
      <top/>
      <bottom style="medium">
        <color rgb="FF00B050"/>
      </bottom>
      <diagonal/>
    </border>
    <border>
      <left style="thin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339966"/>
      </right>
      <top/>
      <bottom style="medium">
        <color rgb="FF339966"/>
      </bottom>
      <diagonal/>
    </border>
    <border>
      <left/>
      <right style="medium">
        <color rgb="FF339966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339966"/>
      </right>
      <top style="medium">
        <color rgb="FF339966"/>
      </top>
      <bottom/>
      <diagonal/>
    </border>
    <border>
      <left/>
      <right/>
      <top/>
      <bottom style="medium">
        <color rgb="FF339966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4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4" tint="-0.499984740745262"/>
      </top>
      <bottom style="thin">
        <color theme="4" tint="-0.499984740745262"/>
      </bottom>
      <diagonal/>
    </border>
    <border>
      <left style="medium">
        <color indexed="64"/>
      </left>
      <right/>
      <top style="thin">
        <color theme="4" tint="-0.499984740745262"/>
      </top>
      <bottom style="medium">
        <color indexed="64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/>
      <right/>
      <top style="medium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rgb="FF00B050"/>
      </left>
      <right style="medium">
        <color indexed="64"/>
      </right>
      <top style="medium">
        <color rgb="FF00B050"/>
      </top>
      <bottom style="medium">
        <color indexed="64"/>
      </bottom>
      <diagonal/>
    </border>
    <border>
      <left/>
      <right/>
      <top style="medium">
        <color rgb="FF00B050"/>
      </top>
      <bottom style="medium">
        <color indexed="64"/>
      </bottom>
      <diagonal/>
    </border>
    <border>
      <left/>
      <right style="medium">
        <color rgb="FF00B050"/>
      </right>
      <top style="medium">
        <color rgb="FF00B050"/>
      </top>
      <bottom style="medium">
        <color indexed="64"/>
      </bottom>
      <diagonal/>
    </border>
    <border>
      <left style="medium">
        <color rgb="FF00B050"/>
      </left>
      <right style="medium">
        <color indexed="64"/>
      </right>
      <top/>
      <bottom/>
      <diagonal/>
    </border>
    <border>
      <left style="medium">
        <color rgb="FF00B050"/>
      </left>
      <right style="medium">
        <color indexed="64"/>
      </right>
      <top/>
      <bottom style="medium">
        <color rgb="FF00B050"/>
      </bottom>
      <diagonal/>
    </border>
    <border>
      <left style="medium">
        <color indexed="64"/>
      </left>
      <right/>
      <top/>
      <bottom style="medium">
        <color rgb="FF00B050"/>
      </bottom>
      <diagonal/>
    </border>
    <border>
      <left/>
      <right style="thin">
        <color rgb="FF00B050"/>
      </right>
      <top style="medium">
        <color rgb="FF00B050"/>
      </top>
      <bottom style="hair">
        <color rgb="FF00B050"/>
      </bottom>
      <diagonal/>
    </border>
    <border>
      <left/>
      <right style="thin">
        <color rgb="FF00B050"/>
      </right>
      <top/>
      <bottom style="hair">
        <color rgb="FF00B050"/>
      </bottom>
      <diagonal/>
    </border>
    <border>
      <left/>
      <right style="thin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B050"/>
      </left>
      <right style="medium">
        <color rgb="FF339966"/>
      </right>
      <top/>
      <bottom/>
      <diagonal/>
    </border>
    <border>
      <left style="medium">
        <color rgb="FF00B050"/>
      </left>
      <right style="medium">
        <color rgb="FF339966"/>
      </right>
      <top/>
      <bottom style="medium">
        <color rgb="FF00B050"/>
      </bottom>
      <diagonal/>
    </border>
    <border>
      <left style="medium">
        <color rgb="FF00B050"/>
      </left>
      <right style="medium">
        <color rgb="FF339966"/>
      </right>
      <top style="medium">
        <color rgb="FF00B050"/>
      </top>
      <bottom/>
      <diagonal/>
    </border>
    <border>
      <left style="medium">
        <color rgb="FF339966"/>
      </left>
      <right style="medium">
        <color rgb="FF00B050"/>
      </right>
      <top style="medium">
        <color rgb="FF00B050"/>
      </top>
      <bottom/>
      <diagonal/>
    </border>
    <border>
      <left style="medium">
        <color rgb="FF339966"/>
      </left>
      <right style="medium">
        <color rgb="FF00B050"/>
      </right>
      <top/>
      <bottom/>
      <diagonal/>
    </border>
    <border>
      <left style="medium">
        <color rgb="FF339966"/>
      </left>
      <right style="medium">
        <color rgb="FF00B050"/>
      </right>
      <top/>
      <bottom style="medium">
        <color rgb="FF00B050"/>
      </bottom>
      <diagonal/>
    </border>
    <border>
      <left style="medium">
        <color indexed="64"/>
      </left>
      <right style="medium">
        <color indexed="64"/>
      </right>
      <top style="thin">
        <color theme="4" tint="-0.499984740745262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4" fontId="9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358">
    <xf numFmtId="0" fontId="0" fillId="0" borderId="0" xfId="0"/>
    <xf numFmtId="0" fontId="4" fillId="0" borderId="0" xfId="0" applyFont="1"/>
    <xf numFmtId="9" fontId="4" fillId="0" borderId="0" xfId="0" applyNumberFormat="1" applyFont="1"/>
    <xf numFmtId="0" fontId="7" fillId="0" borderId="5" xfId="4" applyFont="1" applyFill="1" applyBorder="1" applyAlignment="1" applyProtection="1">
      <alignment horizontal="center" vertical="center"/>
      <protection hidden="1"/>
    </xf>
    <xf numFmtId="0" fontId="7" fillId="0" borderId="6" xfId="4" applyFont="1" applyFill="1" applyBorder="1" applyAlignment="1" applyProtection="1">
      <alignment horizontal="center" vertical="center"/>
      <protection hidden="1"/>
    </xf>
    <xf numFmtId="0" fontId="7" fillId="0" borderId="7" xfId="4" applyFont="1" applyFill="1" applyBorder="1" applyAlignment="1" applyProtection="1">
      <alignment horizontal="center" vertical="center"/>
      <protection hidden="1"/>
    </xf>
    <xf numFmtId="0" fontId="8" fillId="0" borderId="12" xfId="4" quotePrefix="1" applyNumberFormat="1" applyFont="1" applyFill="1" applyBorder="1" applyAlignment="1" applyProtection="1">
      <alignment horizontal="center" vertical="center"/>
      <protection hidden="1"/>
    </xf>
    <xf numFmtId="0" fontId="5" fillId="0" borderId="0" xfId="7" applyFont="1"/>
    <xf numFmtId="0" fontId="8" fillId="0" borderId="17" xfId="4" quotePrefix="1" applyNumberFormat="1" applyFont="1" applyFill="1" applyBorder="1" applyAlignment="1" applyProtection="1">
      <alignment horizontal="center" vertical="center"/>
      <protection hidden="1"/>
    </xf>
    <xf numFmtId="0" fontId="5" fillId="0" borderId="12" xfId="5" applyFont="1" applyFill="1" applyBorder="1" applyAlignment="1" applyProtection="1">
      <alignment horizontal="center" vertical="center"/>
      <protection hidden="1"/>
    </xf>
    <xf numFmtId="0" fontId="5" fillId="0" borderId="12" xfId="4" applyFont="1" applyFill="1" applyBorder="1" applyAlignment="1" applyProtection="1">
      <alignment horizontal="center" vertical="center"/>
      <protection hidden="1"/>
    </xf>
    <xf numFmtId="0" fontId="5" fillId="0" borderId="12" xfId="4" applyFont="1" applyBorder="1" applyAlignment="1" applyProtection="1">
      <alignment horizontal="center" vertical="center"/>
      <protection hidden="1"/>
    </xf>
    <xf numFmtId="0" fontId="5" fillId="0" borderId="17" xfId="4" applyFont="1" applyFill="1" applyBorder="1" applyAlignment="1" applyProtection="1">
      <alignment horizontal="center" vertical="center"/>
      <protection hidden="1"/>
    </xf>
    <xf numFmtId="1" fontId="8" fillId="0" borderId="17" xfId="4" applyNumberFormat="1" applyFont="1" applyBorder="1" applyAlignment="1" applyProtection="1">
      <alignment horizontal="center" vertical="center" wrapText="1"/>
      <protection hidden="1"/>
    </xf>
    <xf numFmtId="0" fontId="5" fillId="0" borderId="25" xfId="4" applyFont="1" applyBorder="1" applyAlignment="1" applyProtection="1">
      <alignment horizontal="center" vertical="center"/>
      <protection hidden="1"/>
    </xf>
    <xf numFmtId="1" fontId="5" fillId="0" borderId="25" xfId="4" applyNumberFormat="1" applyFont="1" applyBorder="1" applyAlignment="1" applyProtection="1">
      <alignment horizontal="center" vertical="center"/>
      <protection hidden="1"/>
    </xf>
    <xf numFmtId="0" fontId="8" fillId="0" borderId="25" xfId="4" applyFont="1" applyFill="1" applyBorder="1" applyAlignment="1" applyProtection="1">
      <alignment horizontal="center" vertical="center"/>
      <protection hidden="1"/>
    </xf>
    <xf numFmtId="0" fontId="4" fillId="6" borderId="0" xfId="0" applyFont="1" applyFill="1"/>
    <xf numFmtId="3" fontId="4" fillId="0" borderId="0" xfId="0" applyNumberFormat="1" applyFont="1"/>
    <xf numFmtId="164" fontId="4" fillId="0" borderId="0" xfId="0" applyNumberFormat="1" applyFont="1"/>
    <xf numFmtId="168" fontId="4" fillId="0" borderId="0" xfId="0" applyNumberFormat="1" applyFont="1"/>
    <xf numFmtId="0" fontId="4" fillId="0" borderId="0" xfId="0" applyFont="1" applyAlignment="1">
      <alignment horizontal="center"/>
    </xf>
    <xf numFmtId="169" fontId="4" fillId="0" borderId="0" xfId="0" applyNumberFormat="1" applyFont="1"/>
    <xf numFmtId="0" fontId="5" fillId="0" borderId="17" xfId="4" applyFont="1" applyBorder="1" applyAlignment="1" applyProtection="1">
      <alignment horizontal="center" vertical="center"/>
      <protection hidden="1"/>
    </xf>
    <xf numFmtId="0" fontId="5" fillId="0" borderId="25" xfId="4" applyFont="1" applyFill="1" applyBorder="1" applyAlignment="1" applyProtection="1">
      <alignment vertical="center"/>
      <protection hidden="1"/>
    </xf>
    <xf numFmtId="167" fontId="5" fillId="0" borderId="25" xfId="4" applyNumberFormat="1" applyFont="1" applyFill="1" applyBorder="1" applyAlignment="1" applyProtection="1">
      <alignment vertical="center"/>
      <protection hidden="1"/>
    </xf>
    <xf numFmtId="0" fontId="5" fillId="0" borderId="34" xfId="4" applyFont="1" applyFill="1" applyBorder="1" applyAlignment="1" applyProtection="1">
      <alignment vertical="center"/>
      <protection hidden="1"/>
    </xf>
    <xf numFmtId="167" fontId="5" fillId="0" borderId="17" xfId="5" applyNumberFormat="1" applyFont="1" applyFill="1" applyBorder="1"/>
    <xf numFmtId="0" fontId="5" fillId="0" borderId="0" xfId="4" applyFont="1" applyFill="1" applyBorder="1" applyAlignment="1" applyProtection="1">
      <alignment vertical="center"/>
      <protection hidden="1"/>
    </xf>
    <xf numFmtId="0" fontId="5" fillId="0" borderId="17" xfId="4" applyFont="1" applyFill="1" applyBorder="1" applyAlignment="1" applyProtection="1">
      <alignment vertical="center"/>
      <protection hidden="1"/>
    </xf>
    <xf numFmtId="0" fontId="5" fillId="0" borderId="35" xfId="4" applyFont="1" applyFill="1" applyBorder="1" applyAlignment="1" applyProtection="1">
      <alignment vertical="center"/>
      <protection hidden="1"/>
    </xf>
    <xf numFmtId="2" fontId="8" fillId="0" borderId="25" xfId="5" applyNumberFormat="1" applyFont="1" applyFill="1" applyBorder="1" applyAlignment="1" applyProtection="1">
      <alignment horizontal="center" vertical="center" wrapText="1"/>
      <protection hidden="1"/>
    </xf>
    <xf numFmtId="2" fontId="8" fillId="0" borderId="17" xfId="5" applyNumberFormat="1" applyFont="1" applyFill="1" applyBorder="1" applyAlignment="1" applyProtection="1">
      <alignment horizontal="center" vertical="center" wrapText="1"/>
      <protection hidden="1"/>
    </xf>
    <xf numFmtId="44" fontId="4" fillId="0" borderId="0" xfId="2" applyFont="1"/>
    <xf numFmtId="0" fontId="5" fillId="0" borderId="17" xfId="4" quotePrefix="1" applyFont="1" applyBorder="1" applyAlignment="1" applyProtection="1">
      <alignment horizontal="center" vertical="center"/>
      <protection hidden="1"/>
    </xf>
    <xf numFmtId="44" fontId="5" fillId="7" borderId="25" xfId="2" applyFont="1" applyFill="1" applyBorder="1" applyAlignment="1" applyProtection="1">
      <alignment horizontal="center" vertical="center"/>
      <protection hidden="1"/>
    </xf>
    <xf numFmtId="172" fontId="5" fillId="7" borderId="25" xfId="4" applyNumberFormat="1" applyFont="1" applyFill="1" applyBorder="1" applyAlignment="1" applyProtection="1">
      <alignment horizontal="center" vertical="center"/>
      <protection hidden="1"/>
    </xf>
    <xf numFmtId="171" fontId="5" fillId="0" borderId="17" xfId="6" applyNumberFormat="1" applyFont="1" applyFill="1" applyBorder="1" applyAlignment="1" applyProtection="1">
      <alignment horizontal="center" vertical="center"/>
      <protection hidden="1"/>
    </xf>
    <xf numFmtId="44" fontId="5" fillId="7" borderId="17" xfId="2" applyFont="1" applyFill="1" applyBorder="1" applyAlignment="1" applyProtection="1">
      <alignment horizontal="center" vertical="center"/>
      <protection hidden="1"/>
    </xf>
    <xf numFmtId="172" fontId="5" fillId="7" borderId="17" xfId="4" applyNumberFormat="1" applyFont="1" applyFill="1" applyBorder="1" applyAlignment="1" applyProtection="1">
      <alignment horizontal="center" vertical="center"/>
      <protection hidden="1"/>
    </xf>
    <xf numFmtId="170" fontId="5" fillId="0" borderId="25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25" xfId="5" applyNumberFormat="1" applyFont="1" applyFill="1" applyBorder="1" applyAlignment="1" applyProtection="1">
      <alignment horizontal="center" vertical="center" wrapText="1"/>
      <protection hidden="1"/>
    </xf>
    <xf numFmtId="170" fontId="5" fillId="0" borderId="17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17" xfId="5" applyNumberFormat="1" applyFont="1" applyFill="1" applyBorder="1" applyAlignment="1" applyProtection="1">
      <alignment horizontal="center" vertical="center" wrapText="1"/>
      <protection hidden="1"/>
    </xf>
    <xf numFmtId="167" fontId="7" fillId="0" borderId="17" xfId="5" applyNumberFormat="1" applyFont="1" applyFill="1" applyBorder="1"/>
    <xf numFmtId="0" fontId="7" fillId="0" borderId="25" xfId="4" applyFont="1" applyFill="1" applyBorder="1" applyAlignment="1" applyProtection="1">
      <alignment horizontal="center" vertical="center"/>
      <protection hidden="1"/>
    </xf>
    <xf numFmtId="168" fontId="5" fillId="0" borderId="25" xfId="4" applyNumberFormat="1" applyFont="1" applyFill="1" applyBorder="1" applyAlignment="1" applyProtection="1">
      <alignment horizontal="center" vertical="center"/>
      <protection hidden="1"/>
    </xf>
    <xf numFmtId="44" fontId="4" fillId="0" borderId="0" xfId="0" applyNumberFormat="1" applyFont="1"/>
    <xf numFmtId="168" fontId="5" fillId="0" borderId="17" xfId="4" applyNumberFormat="1" applyFont="1" applyFill="1" applyBorder="1" applyAlignment="1" applyProtection="1">
      <alignment horizontal="center" vertical="center"/>
      <protection hidden="1"/>
    </xf>
    <xf numFmtId="172" fontId="5" fillId="0" borderId="17" xfId="4" applyNumberFormat="1" applyFont="1" applyFill="1" applyBorder="1" applyAlignment="1" applyProtection="1">
      <alignment horizontal="center" vertical="center"/>
      <protection hidden="1"/>
    </xf>
    <xf numFmtId="168" fontId="5" fillId="0" borderId="25" xfId="4" applyNumberFormat="1" applyFont="1" applyBorder="1" applyAlignment="1" applyProtection="1">
      <alignment horizontal="center" vertical="center" wrapText="1"/>
      <protection hidden="1"/>
    </xf>
    <xf numFmtId="164" fontId="5" fillId="0" borderId="17" xfId="4" applyNumberFormat="1" applyFont="1" applyBorder="1" applyAlignment="1" applyProtection="1">
      <alignment horizontal="center" vertical="center"/>
      <protection hidden="1"/>
    </xf>
    <xf numFmtId="0" fontId="5" fillId="0" borderId="0" xfId="5" applyFont="1"/>
    <xf numFmtId="44" fontId="5" fillId="7" borderId="17" xfId="2" applyFont="1" applyFill="1" applyBorder="1" applyAlignment="1" applyProtection="1">
      <alignment horizontal="right" vertical="center"/>
      <protection hidden="1"/>
    </xf>
    <xf numFmtId="168" fontId="5" fillId="0" borderId="17" xfId="4" applyNumberFormat="1" applyFont="1" applyBorder="1" applyAlignment="1" applyProtection="1">
      <alignment horizontal="center" vertical="center" wrapText="1"/>
      <protection hidden="1"/>
    </xf>
    <xf numFmtId="167" fontId="5" fillId="0" borderId="17" xfId="4" applyNumberFormat="1" applyFont="1" applyFill="1" applyBorder="1" applyAlignment="1" applyProtection="1">
      <alignment vertical="center"/>
      <protection hidden="1"/>
    </xf>
    <xf numFmtId="164" fontId="5" fillId="0" borderId="17" xfId="4" applyNumberFormat="1" applyFont="1" applyFill="1" applyBorder="1" applyAlignment="1" applyProtection="1">
      <alignment horizontal="center" vertical="center"/>
      <protection hidden="1"/>
    </xf>
    <xf numFmtId="2" fontId="5" fillId="0" borderId="25" xfId="5" applyNumberFormat="1" applyFont="1" applyFill="1" applyBorder="1" applyAlignment="1" applyProtection="1">
      <alignment horizontal="center" vertical="center" wrapText="1"/>
      <protection hidden="1"/>
    </xf>
    <xf numFmtId="170" fontId="5" fillId="0" borderId="25" xfId="4" applyNumberFormat="1" applyFont="1" applyBorder="1" applyAlignment="1" applyProtection="1">
      <alignment horizontal="center" vertical="center"/>
      <protection hidden="1"/>
    </xf>
    <xf numFmtId="2" fontId="5" fillId="0" borderId="17" xfId="5" applyNumberFormat="1" applyFont="1" applyFill="1" applyBorder="1" applyAlignment="1" applyProtection="1">
      <alignment horizontal="center" vertical="center" wrapText="1"/>
      <protection hidden="1"/>
    </xf>
    <xf numFmtId="170" fontId="5" fillId="0" borderId="17" xfId="4" applyNumberFormat="1" applyFont="1" applyBorder="1" applyAlignment="1" applyProtection="1">
      <alignment horizontal="center" vertical="center"/>
      <protection hidden="1"/>
    </xf>
    <xf numFmtId="170" fontId="5" fillId="0" borderId="12" xfId="4" applyNumberFormat="1" applyFont="1" applyBorder="1" applyAlignment="1" applyProtection="1">
      <alignment horizontal="center" vertical="center"/>
      <protection hidden="1"/>
    </xf>
    <xf numFmtId="164" fontId="5" fillId="0" borderId="12" xfId="4" applyNumberFormat="1" applyFont="1" applyFill="1" applyBorder="1" applyAlignment="1" applyProtection="1">
      <alignment horizontal="center" vertical="center"/>
      <protection hidden="1"/>
    </xf>
    <xf numFmtId="44" fontId="5" fillId="7" borderId="12" xfId="2" applyFont="1" applyFill="1" applyBorder="1" applyAlignment="1" applyProtection="1">
      <alignment horizontal="center" vertical="center"/>
      <protection hidden="1"/>
    </xf>
    <xf numFmtId="172" fontId="5" fillId="7" borderId="12" xfId="4" applyNumberFormat="1" applyFont="1" applyFill="1" applyBorder="1" applyAlignment="1" applyProtection="1">
      <alignment horizontal="center" vertical="center"/>
      <protection hidden="1"/>
    </xf>
    <xf numFmtId="44" fontId="5" fillId="7" borderId="12" xfId="2" applyFont="1" applyFill="1" applyBorder="1" applyAlignment="1" applyProtection="1">
      <alignment horizontal="right" vertical="center"/>
      <protection hidden="1"/>
    </xf>
    <xf numFmtId="170" fontId="5" fillId="0" borderId="12" xfId="5" applyNumberFormat="1" applyFont="1" applyFill="1" applyBorder="1" applyAlignment="1" applyProtection="1">
      <alignment horizontal="center" vertical="center"/>
      <protection hidden="1"/>
    </xf>
    <xf numFmtId="167" fontId="5" fillId="0" borderId="12" xfId="5" applyNumberFormat="1" applyFont="1" applyFill="1" applyBorder="1"/>
    <xf numFmtId="0" fontId="5" fillId="0" borderId="37" xfId="4" applyFont="1" applyBorder="1" applyAlignment="1" applyProtection="1">
      <alignment vertical="center"/>
      <protection hidden="1"/>
    </xf>
    <xf numFmtId="0" fontId="5" fillId="0" borderId="12" xfId="4" applyFont="1" applyBorder="1" applyAlignment="1" applyProtection="1">
      <alignment vertical="center"/>
      <protection hidden="1"/>
    </xf>
    <xf numFmtId="44" fontId="7" fillId="0" borderId="5" xfId="2" applyFont="1" applyFill="1" applyBorder="1" applyAlignment="1" applyProtection="1">
      <alignment horizontal="center" vertical="center"/>
      <protection hidden="1"/>
    </xf>
    <xf numFmtId="0" fontId="3" fillId="2" borderId="18" xfId="5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horizontal="center"/>
    </xf>
    <xf numFmtId="0" fontId="4" fillId="0" borderId="0" xfId="0" quotePrefix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/>
    <xf numFmtId="0" fontId="7" fillId="0" borderId="5" xfId="4" quotePrefix="1" applyFont="1" applyFill="1" applyBorder="1" applyAlignment="1" applyProtection="1">
      <alignment horizontal="center" vertical="center"/>
      <protection hidden="1"/>
    </xf>
    <xf numFmtId="0" fontId="4" fillId="9" borderId="0" xfId="0" applyFont="1" applyFill="1"/>
    <xf numFmtId="0" fontId="0" fillId="9" borderId="0" xfId="0" applyFill="1"/>
    <xf numFmtId="0" fontId="4" fillId="0" borderId="0" xfId="0" applyFont="1" applyBorder="1"/>
    <xf numFmtId="0" fontId="4" fillId="0" borderId="14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1" xfId="0" applyFont="1" applyBorder="1"/>
    <xf numFmtId="0" fontId="6" fillId="0" borderId="16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6" fillId="0" borderId="4" xfId="0" applyFont="1" applyBorder="1"/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36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40" xfId="0" applyFont="1" applyBorder="1" applyAlignment="1">
      <alignment horizontal="center" vertical="center"/>
    </xf>
    <xf numFmtId="14" fontId="12" fillId="0" borderId="0" xfId="0" applyNumberFormat="1" applyFont="1" applyBorder="1" applyAlignment="1">
      <alignment horizontal="center" vertical="center"/>
    </xf>
    <xf numFmtId="0" fontId="12" fillId="0" borderId="36" xfId="0" applyFont="1" applyBorder="1" applyAlignment="1">
      <alignment vertical="center"/>
    </xf>
    <xf numFmtId="0" fontId="12" fillId="0" borderId="40" xfId="0" applyFont="1" applyBorder="1" applyAlignment="1">
      <alignment vertical="center"/>
    </xf>
    <xf numFmtId="44" fontId="12" fillId="0" borderId="41" xfId="2" applyFont="1" applyBorder="1" applyAlignment="1">
      <alignment vertical="center"/>
    </xf>
    <xf numFmtId="44" fontId="12" fillId="0" borderId="49" xfId="2" applyFont="1" applyBorder="1" applyAlignment="1">
      <alignment vertical="center"/>
    </xf>
    <xf numFmtId="0" fontId="14" fillId="0" borderId="39" xfId="0" applyFont="1" applyFill="1" applyBorder="1" applyAlignment="1">
      <alignment vertical="center"/>
    </xf>
    <xf numFmtId="0" fontId="15" fillId="4" borderId="0" xfId="0" applyFont="1" applyFill="1"/>
    <xf numFmtId="0" fontId="16" fillId="4" borderId="0" xfId="0" applyFont="1" applyFill="1"/>
    <xf numFmtId="0" fontId="0" fillId="0" borderId="0" xfId="0" applyAlignment="1">
      <alignment textRotation="45"/>
    </xf>
    <xf numFmtId="0" fontId="19" fillId="0" borderId="0" xfId="0" applyFont="1"/>
    <xf numFmtId="0" fontId="18" fillId="9" borderId="53" xfId="0" applyFont="1" applyFill="1" applyBorder="1"/>
    <xf numFmtId="0" fontId="18" fillId="9" borderId="56" xfId="0" applyFont="1" applyFill="1" applyBorder="1" applyAlignment="1">
      <alignment horizontal="center"/>
    </xf>
    <xf numFmtId="0" fontId="18" fillId="9" borderId="42" xfId="0" applyFont="1" applyFill="1" applyBorder="1" applyAlignment="1">
      <alignment horizontal="center"/>
    </xf>
    <xf numFmtId="0" fontId="19" fillId="10" borderId="36" xfId="0" applyFont="1" applyFill="1" applyBorder="1" applyAlignment="1">
      <alignment horizontal="center"/>
    </xf>
    <xf numFmtId="0" fontId="19" fillId="10" borderId="43" xfId="0" applyFont="1" applyFill="1" applyBorder="1" applyAlignment="1">
      <alignment horizontal="center"/>
    </xf>
    <xf numFmtId="0" fontId="20" fillId="0" borderId="0" xfId="0" applyFont="1" applyAlignment="1">
      <alignment vertical="center" textRotation="90"/>
    </xf>
    <xf numFmtId="0" fontId="19" fillId="11" borderId="44" xfId="0" applyFont="1" applyFill="1" applyBorder="1"/>
    <xf numFmtId="0" fontId="18" fillId="9" borderId="67" xfId="0" applyFont="1" applyFill="1" applyBorder="1"/>
    <xf numFmtId="0" fontId="18" fillId="9" borderId="68" xfId="0" applyFont="1" applyFill="1" applyBorder="1"/>
    <xf numFmtId="0" fontId="18" fillId="9" borderId="69" xfId="0" applyFont="1" applyFill="1" applyBorder="1"/>
    <xf numFmtId="0" fontId="18" fillId="9" borderId="4" xfId="0" applyFont="1" applyFill="1" applyBorder="1"/>
    <xf numFmtId="0" fontId="0" fillId="3" borderId="39" xfId="0" applyFill="1" applyBorder="1"/>
    <xf numFmtId="44" fontId="0" fillId="3" borderId="65" xfId="2" applyFont="1" applyFill="1" applyBorder="1"/>
    <xf numFmtId="44" fontId="0" fillId="10" borderId="65" xfId="2" applyFont="1" applyFill="1" applyBorder="1"/>
    <xf numFmtId="44" fontId="0" fillId="10" borderId="39" xfId="2" applyFont="1" applyFill="1" applyBorder="1"/>
    <xf numFmtId="44" fontId="0" fillId="10" borderId="66" xfId="2" applyFont="1" applyFill="1" applyBorder="1"/>
    <xf numFmtId="0" fontId="0" fillId="3" borderId="71" xfId="0" applyFill="1" applyBorder="1"/>
    <xf numFmtId="44" fontId="0" fillId="3" borderId="66" xfId="2" applyFont="1" applyFill="1" applyBorder="1"/>
    <xf numFmtId="44" fontId="0" fillId="3" borderId="70" xfId="0" applyNumberFormat="1" applyFill="1" applyBorder="1"/>
    <xf numFmtId="0" fontId="12" fillId="0" borderId="0" xfId="0" quotePrefix="1" applyFont="1" applyAlignment="1">
      <alignment vertical="center"/>
    </xf>
    <xf numFmtId="3" fontId="5" fillId="0" borderId="19" xfId="8" applyNumberFormat="1" applyFont="1" applyFill="1" applyBorder="1"/>
    <xf numFmtId="3" fontId="5" fillId="0" borderId="20" xfId="8" applyNumberFormat="1" applyFont="1" applyFill="1" applyBorder="1"/>
    <xf numFmtId="3" fontId="5" fillId="0" borderId="22" xfId="8" applyNumberFormat="1" applyFont="1" applyFill="1" applyBorder="1"/>
    <xf numFmtId="3" fontId="5" fillId="0" borderId="23" xfId="8" applyNumberFormat="1" applyFont="1" applyFill="1" applyBorder="1"/>
    <xf numFmtId="3" fontId="5" fillId="0" borderId="28" xfId="8" applyNumberFormat="1" applyFont="1" applyFill="1" applyBorder="1"/>
    <xf numFmtId="3" fontId="5" fillId="0" borderId="29" xfId="8" applyNumberFormat="1" applyFont="1" applyFill="1" applyBorder="1"/>
    <xf numFmtId="3" fontId="7" fillId="0" borderId="19" xfId="8" applyNumberFormat="1" applyFont="1" applyFill="1" applyBorder="1"/>
    <xf numFmtId="3" fontId="7" fillId="0" borderId="20" xfId="8" applyNumberFormat="1" applyFont="1" applyFill="1" applyBorder="1"/>
    <xf numFmtId="3" fontId="7" fillId="0" borderId="22" xfId="8" applyNumberFormat="1" applyFont="1" applyFill="1" applyBorder="1"/>
    <xf numFmtId="3" fontId="7" fillId="0" borderId="23" xfId="8" applyNumberFormat="1" applyFont="1" applyFill="1" applyBorder="1"/>
    <xf numFmtId="3" fontId="7" fillId="0" borderId="28" xfId="8" applyNumberFormat="1" applyFont="1" applyFill="1" applyBorder="1"/>
    <xf numFmtId="3" fontId="7" fillId="0" borderId="29" xfId="8" applyNumberFormat="1" applyFont="1" applyFill="1" applyBorder="1"/>
    <xf numFmtId="44" fontId="12" fillId="0" borderId="36" xfId="0" applyNumberFormat="1" applyFont="1" applyBorder="1" applyAlignment="1">
      <alignment vertical="center"/>
    </xf>
    <xf numFmtId="165" fontId="5" fillId="0" borderId="0" xfId="6" applyNumberFormat="1" applyFont="1" applyFill="1" applyBorder="1"/>
    <xf numFmtId="165" fontId="5" fillId="0" borderId="15" xfId="6" applyNumberFormat="1" applyFont="1" applyFill="1" applyBorder="1" applyAlignment="1">
      <alignment horizontal="center"/>
    </xf>
    <xf numFmtId="165" fontId="5" fillId="0" borderId="21" xfId="6" applyNumberFormat="1" applyFont="1" applyFill="1" applyBorder="1" applyAlignment="1">
      <alignment horizontal="center"/>
    </xf>
    <xf numFmtId="0" fontId="3" fillId="9" borderId="79" xfId="0" applyFont="1" applyFill="1" applyBorder="1" applyAlignment="1">
      <alignment horizontal="center" vertical="center"/>
    </xf>
    <xf numFmtId="0" fontId="3" fillId="9" borderId="80" xfId="0" applyFont="1" applyFill="1" applyBorder="1" applyAlignment="1">
      <alignment horizontal="center" vertical="center"/>
    </xf>
    <xf numFmtId="0" fontId="3" fillId="9" borderId="81" xfId="0" applyFont="1" applyFill="1" applyBorder="1" applyAlignment="1">
      <alignment horizontal="center" vertical="center"/>
    </xf>
    <xf numFmtId="0" fontId="3" fillId="9" borderId="82" xfId="0" applyFont="1" applyFill="1" applyBorder="1"/>
    <xf numFmtId="165" fontId="5" fillId="0" borderId="72" xfId="6" applyNumberFormat="1" applyFont="1" applyFill="1" applyBorder="1"/>
    <xf numFmtId="0" fontId="3" fillId="9" borderId="83" xfId="0" applyFont="1" applyFill="1" applyBorder="1"/>
    <xf numFmtId="165" fontId="5" fillId="0" borderId="84" xfId="6" applyNumberFormat="1" applyFont="1" applyFill="1" applyBorder="1" applyAlignment="1">
      <alignment horizontal="center"/>
    </xf>
    <xf numFmtId="165" fontId="5" fillId="0" borderId="63" xfId="6" applyNumberFormat="1" applyFont="1" applyFill="1" applyBorder="1"/>
    <xf numFmtId="165" fontId="5" fillId="0" borderId="64" xfId="6" applyNumberFormat="1" applyFont="1" applyFill="1" applyBorder="1"/>
    <xf numFmtId="44" fontId="5" fillId="13" borderId="13" xfId="2" applyFont="1" applyFill="1" applyBorder="1"/>
    <xf numFmtId="3" fontId="5" fillId="0" borderId="85" xfId="8" applyNumberFormat="1" applyFont="1" applyFill="1" applyBorder="1"/>
    <xf numFmtId="3" fontId="5" fillId="0" borderId="86" xfId="8" applyNumberFormat="1" applyFont="1" applyFill="1" applyBorder="1"/>
    <xf numFmtId="3" fontId="5" fillId="0" borderId="87" xfId="8" applyNumberFormat="1" applyFont="1" applyFill="1" applyBorder="1"/>
    <xf numFmtId="3" fontId="7" fillId="0" borderId="85" xfId="8" applyNumberFormat="1" applyFont="1" applyFill="1" applyBorder="1"/>
    <xf numFmtId="3" fontId="7" fillId="0" borderId="86" xfId="8" applyNumberFormat="1" applyFont="1" applyFill="1" applyBorder="1"/>
    <xf numFmtId="3" fontId="7" fillId="0" borderId="87" xfId="8" applyNumberFormat="1" applyFont="1" applyFill="1" applyBorder="1"/>
    <xf numFmtId="0" fontId="3" fillId="12" borderId="88" xfId="5" applyFont="1" applyFill="1" applyBorder="1" applyAlignment="1">
      <alignment horizontal="center" vertical="center"/>
    </xf>
    <xf numFmtId="0" fontId="3" fillId="9" borderId="18" xfId="5" applyFont="1" applyFill="1" applyBorder="1" applyAlignment="1" applyProtection="1">
      <alignment horizontal="center"/>
      <protection hidden="1"/>
    </xf>
    <xf numFmtId="0" fontId="3" fillId="9" borderId="88" xfId="5" applyFont="1" applyFill="1" applyBorder="1" applyAlignment="1" applyProtection="1">
      <alignment horizontal="center"/>
      <protection hidden="1"/>
    </xf>
    <xf numFmtId="0" fontId="3" fillId="9" borderId="73" xfId="5" applyFont="1" applyFill="1" applyBorder="1" applyAlignment="1" applyProtection="1">
      <alignment horizontal="center"/>
      <protection hidden="1"/>
    </xf>
    <xf numFmtId="0" fontId="12" fillId="0" borderId="39" xfId="2" applyNumberFormat="1" applyFont="1" applyBorder="1" applyAlignment="1">
      <alignment horizontal="left" vertical="center"/>
    </xf>
    <xf numFmtId="0" fontId="12" fillId="0" borderId="41" xfId="2" applyNumberFormat="1" applyFont="1" applyBorder="1" applyAlignment="1">
      <alignment horizontal="left" vertical="center"/>
    </xf>
    <xf numFmtId="0" fontId="4" fillId="0" borderId="14" xfId="2" applyNumberFormat="1" applyFont="1" applyBorder="1" applyAlignment="1">
      <alignment horizontal="left"/>
    </xf>
    <xf numFmtId="6" fontId="4" fillId="0" borderId="14" xfId="2" applyNumberFormat="1" applyFont="1" applyBorder="1" applyAlignment="1">
      <alignment horizontal="left"/>
    </xf>
    <xf numFmtId="174" fontId="4" fillId="0" borderId="14" xfId="2" applyNumberFormat="1" applyFont="1" applyBorder="1" applyAlignment="1">
      <alignment horizontal="left"/>
    </xf>
    <xf numFmtId="174" fontId="4" fillId="0" borderId="30" xfId="2" applyNumberFormat="1" applyFont="1" applyBorder="1" applyAlignment="1">
      <alignment horizontal="left"/>
    </xf>
    <xf numFmtId="174" fontId="12" fillId="0" borderId="39" xfId="2" applyNumberFormat="1" applyFont="1" applyBorder="1" applyAlignment="1">
      <alignment horizontal="left" vertical="center"/>
    </xf>
    <xf numFmtId="0" fontId="12" fillId="0" borderId="21" xfId="0" applyFont="1" applyBorder="1" applyAlignment="1">
      <alignment vertical="center"/>
    </xf>
    <xf numFmtId="0" fontId="12" fillId="0" borderId="16" xfId="0" applyFont="1" applyBorder="1" applyAlignment="1">
      <alignment vertical="center"/>
    </xf>
    <xf numFmtId="0" fontId="17" fillId="0" borderId="88" xfId="6" applyNumberFormat="1" applyFont="1" applyFill="1" applyBorder="1" applyAlignment="1" applyProtection="1">
      <alignment horizontal="center" vertical="center"/>
      <protection hidden="1"/>
    </xf>
    <xf numFmtId="0" fontId="17" fillId="0" borderId="73" xfId="6" applyNumberFormat="1" applyFont="1" applyFill="1" applyBorder="1" applyAlignment="1" applyProtection="1">
      <alignment horizontal="center" vertical="center"/>
      <protection hidden="1"/>
    </xf>
    <xf numFmtId="166" fontId="17" fillId="0" borderId="13" xfId="6" applyNumberFormat="1" applyFont="1" applyFill="1" applyBorder="1" applyAlignment="1" applyProtection="1">
      <alignment horizontal="center" vertical="center"/>
      <protection hidden="1"/>
    </xf>
    <xf numFmtId="166" fontId="17" fillId="0" borderId="78" xfId="6" applyNumberFormat="1" applyFont="1" applyFill="1" applyBorder="1" applyAlignment="1" applyProtection="1">
      <alignment horizontal="center" vertical="center"/>
      <protection hidden="1"/>
    </xf>
    <xf numFmtId="0" fontId="6" fillId="0" borderId="4" xfId="0" applyFont="1" applyBorder="1" applyAlignment="1">
      <alignment horizontal="center"/>
    </xf>
    <xf numFmtId="166" fontId="23" fillId="0" borderId="88" xfId="6" applyNumberFormat="1" applyFont="1" applyFill="1" applyBorder="1" applyAlignment="1" applyProtection="1">
      <alignment horizontal="center" vertical="center"/>
      <protection hidden="1"/>
    </xf>
    <xf numFmtId="166" fontId="23" fillId="0" borderId="72" xfId="6" applyNumberFormat="1" applyFont="1" applyFill="1" applyBorder="1" applyAlignment="1" applyProtection="1">
      <alignment horizontal="center" vertical="center"/>
      <protection hidden="1"/>
    </xf>
    <xf numFmtId="173" fontId="5" fillId="0" borderId="16" xfId="4" applyNumberFormat="1" applyFont="1" applyFill="1" applyBorder="1"/>
    <xf numFmtId="173" fontId="5" fillId="0" borderId="33" xfId="4" applyNumberFormat="1" applyFont="1" applyFill="1" applyBorder="1"/>
    <xf numFmtId="0" fontId="5" fillId="0" borderId="53" xfId="4" applyFont="1" applyFill="1" applyBorder="1"/>
    <xf numFmtId="0" fontId="5" fillId="0" borderId="14" xfId="4" applyFont="1" applyFill="1" applyBorder="1"/>
    <xf numFmtId="0" fontId="5" fillId="0" borderId="30" xfId="4" applyFont="1" applyFill="1" applyBorder="1"/>
    <xf numFmtId="0" fontId="5" fillId="0" borderId="44" xfId="0" applyFont="1" applyFill="1" applyBorder="1"/>
    <xf numFmtId="173" fontId="5" fillId="0" borderId="43" xfId="0" applyNumberFormat="1" applyFont="1" applyFill="1" applyBorder="1"/>
    <xf numFmtId="0" fontId="7" fillId="0" borderId="46" xfId="4" applyFont="1" applyFill="1" applyBorder="1"/>
    <xf numFmtId="173" fontId="7" fillId="0" borderId="48" xfId="0" applyNumberFormat="1" applyFont="1" applyFill="1" applyBorder="1"/>
    <xf numFmtId="0" fontId="5" fillId="0" borderId="89" xfId="0" applyFont="1" applyFill="1" applyBorder="1"/>
    <xf numFmtId="173" fontId="5" fillId="0" borderId="90" xfId="0" applyNumberFormat="1" applyFont="1" applyFill="1" applyBorder="1"/>
    <xf numFmtId="0" fontId="5" fillId="0" borderId="46" xfId="0" applyFont="1" applyFill="1" applyBorder="1"/>
    <xf numFmtId="43" fontId="5" fillId="0" borderId="47" xfId="1" applyFont="1" applyFill="1" applyBorder="1"/>
    <xf numFmtId="173" fontId="5" fillId="0" borderId="48" xfId="0" applyNumberFormat="1" applyFont="1" applyFill="1" applyBorder="1"/>
    <xf numFmtId="43" fontId="5" fillId="0" borderId="40" xfId="1" applyFont="1" applyFill="1" applyBorder="1"/>
    <xf numFmtId="0" fontId="7" fillId="0" borderId="11" xfId="4" applyFont="1" applyFill="1" applyBorder="1" applyAlignment="1" applyProtection="1">
      <alignment horizontal="center" vertical="center"/>
      <protection hidden="1"/>
    </xf>
    <xf numFmtId="0" fontId="5" fillId="0" borderId="16" xfId="4" applyFont="1" applyFill="1" applyBorder="1" applyAlignment="1" applyProtection="1">
      <alignment horizontal="center" vertical="center"/>
      <protection hidden="1"/>
    </xf>
    <xf numFmtId="0" fontId="5" fillId="0" borderId="16" xfId="4" applyFont="1" applyFill="1" applyBorder="1" applyAlignment="1" applyProtection="1">
      <alignment horizontal="center" vertical="center" wrapText="1"/>
      <protection hidden="1"/>
    </xf>
    <xf numFmtId="0" fontId="5" fillId="0" borderId="33" xfId="4" applyFont="1" applyFill="1" applyBorder="1" applyAlignment="1" applyProtection="1">
      <alignment horizontal="center" vertical="center" wrapText="1"/>
      <protection hidden="1"/>
    </xf>
    <xf numFmtId="0" fontId="7" fillId="0" borderId="4" xfId="4" applyFont="1" applyFill="1" applyBorder="1" applyAlignment="1" applyProtection="1">
      <alignment horizontal="center" vertical="center"/>
      <protection hidden="1"/>
    </xf>
    <xf numFmtId="0" fontId="5" fillId="0" borderId="14" xfId="4" applyFont="1" applyFill="1" applyBorder="1" applyAlignment="1" applyProtection="1">
      <alignment horizontal="center" vertical="center"/>
      <protection hidden="1"/>
    </xf>
    <xf numFmtId="0" fontId="5" fillId="0" borderId="30" xfId="4" applyFont="1" applyFill="1" applyBorder="1" applyAlignment="1" applyProtection="1">
      <alignment horizontal="center" vertical="center"/>
      <protection hidden="1"/>
    </xf>
    <xf numFmtId="0" fontId="5" fillId="0" borderId="42" xfId="4" applyFont="1" applyFill="1" applyBorder="1" applyAlignment="1" applyProtection="1">
      <alignment horizontal="center" vertical="center"/>
      <protection hidden="1"/>
    </xf>
    <xf numFmtId="173" fontId="5" fillId="0" borderId="42" xfId="4" applyNumberFormat="1" applyFont="1" applyFill="1" applyBorder="1"/>
    <xf numFmtId="44" fontId="0" fillId="3" borderId="91" xfId="2" applyFont="1" applyFill="1" applyBorder="1"/>
    <xf numFmtId="44" fontId="0" fillId="3" borderId="11" xfId="0" applyNumberFormat="1" applyFill="1" applyBorder="1"/>
    <xf numFmtId="44" fontId="0" fillId="10" borderId="71" xfId="2" applyFont="1" applyFill="1" applyBorder="1"/>
    <xf numFmtId="0" fontId="13" fillId="14" borderId="53" xfId="0" applyFont="1" applyFill="1" applyBorder="1" applyAlignment="1">
      <alignment vertical="center"/>
    </xf>
    <xf numFmtId="0" fontId="13" fillId="14" borderId="30" xfId="0" applyFont="1" applyFill="1" applyBorder="1" applyAlignment="1">
      <alignment vertical="center"/>
    </xf>
    <xf numFmtId="0" fontId="12" fillId="14" borderId="57" xfId="0" applyFont="1" applyFill="1" applyBorder="1" applyAlignment="1">
      <alignment vertical="center"/>
    </xf>
    <xf numFmtId="0" fontId="13" fillId="14" borderId="60" xfId="0" applyFont="1" applyFill="1" applyBorder="1" applyAlignment="1">
      <alignment horizontal="center" vertical="center"/>
    </xf>
    <xf numFmtId="0" fontId="13" fillId="14" borderId="61" xfId="0" applyFont="1" applyFill="1" applyBorder="1" applyAlignment="1">
      <alignment vertical="center"/>
    </xf>
    <xf numFmtId="0" fontId="13" fillId="14" borderId="62" xfId="0" applyFont="1" applyFill="1" applyBorder="1" applyAlignment="1">
      <alignment vertical="center"/>
    </xf>
    <xf numFmtId="0" fontId="13" fillId="14" borderId="59" xfId="0" applyFont="1" applyFill="1" applyBorder="1" applyAlignment="1">
      <alignment vertical="center"/>
    </xf>
    <xf numFmtId="0" fontId="13" fillId="14" borderId="54" xfId="0" applyFont="1" applyFill="1" applyBorder="1" applyAlignment="1">
      <alignment vertical="center"/>
    </xf>
    <xf numFmtId="0" fontId="13" fillId="14" borderId="58" xfId="0" applyFont="1" applyFill="1" applyBorder="1" applyAlignment="1">
      <alignment vertical="center"/>
    </xf>
    <xf numFmtId="0" fontId="13" fillId="14" borderId="10" xfId="0" applyFont="1" applyFill="1" applyBorder="1" applyAlignment="1">
      <alignment vertical="center"/>
    </xf>
    <xf numFmtId="0" fontId="13" fillId="14" borderId="4" xfId="0" applyFont="1" applyFill="1" applyBorder="1" applyAlignment="1">
      <alignment horizontal="center" vertical="center"/>
    </xf>
    <xf numFmtId="0" fontId="13" fillId="14" borderId="53" xfId="0" applyFont="1" applyFill="1" applyBorder="1" applyAlignment="1">
      <alignment horizontal="center" vertical="center"/>
    </xf>
    <xf numFmtId="0" fontId="13" fillId="14" borderId="9" xfId="0" applyFont="1" applyFill="1" applyBorder="1" applyAlignment="1">
      <alignment vertical="center"/>
    </xf>
    <xf numFmtId="44" fontId="13" fillId="14" borderId="4" xfId="2" applyFont="1" applyFill="1" applyBorder="1" applyAlignment="1">
      <alignment horizontal="center" vertical="center"/>
    </xf>
    <xf numFmtId="9" fontId="5" fillId="0" borderId="12" xfId="9" applyNumberFormat="1" applyFont="1" applyFill="1" applyBorder="1" applyAlignment="1" applyProtection="1">
      <alignment horizontal="center" vertical="center"/>
      <protection hidden="1"/>
    </xf>
    <xf numFmtId="9" fontId="5" fillId="0" borderId="17" xfId="9" applyNumberFormat="1" applyFont="1" applyFill="1" applyBorder="1" applyAlignment="1" applyProtection="1">
      <alignment horizontal="center" vertical="center"/>
      <protection hidden="1"/>
    </xf>
    <xf numFmtId="0" fontId="0" fillId="0" borderId="0" xfId="0" applyBorder="1"/>
    <xf numFmtId="164" fontId="5" fillId="0" borderId="78" xfId="4" applyNumberFormat="1" applyFont="1" applyFill="1" applyBorder="1" applyAlignment="1" applyProtection="1">
      <alignment horizontal="center" vertical="center"/>
      <protection hidden="1"/>
    </xf>
    <xf numFmtId="0" fontId="4" fillId="0" borderId="13" xfId="0" applyFont="1" applyBorder="1"/>
    <xf numFmtId="2" fontId="5" fillId="0" borderId="88" xfId="3" applyNumberFormat="1" applyFont="1" applyFill="1" applyBorder="1" applyAlignment="1" applyProtection="1">
      <alignment horizontal="center" vertical="center"/>
      <protection hidden="1"/>
    </xf>
    <xf numFmtId="9" fontId="7" fillId="0" borderId="73" xfId="3" applyFont="1" applyFill="1" applyBorder="1" applyAlignment="1" applyProtection="1">
      <alignment horizontal="center" vertical="center"/>
      <protection hidden="1"/>
    </xf>
    <xf numFmtId="164" fontId="5" fillId="0" borderId="88" xfId="4" applyNumberFormat="1" applyFont="1" applyFill="1" applyBorder="1" applyAlignment="1" applyProtection="1">
      <alignment horizontal="center" vertical="center"/>
      <protection hidden="1"/>
    </xf>
    <xf numFmtId="168" fontId="5" fillId="0" borderId="73" xfId="4" applyNumberFormat="1" applyFont="1" applyFill="1" applyBorder="1" applyAlignment="1" applyProtection="1">
      <alignment horizontal="center" vertical="center"/>
      <protection hidden="1"/>
    </xf>
    <xf numFmtId="9" fontId="5" fillId="0" borderId="25" xfId="3" applyFont="1" applyFill="1" applyBorder="1" applyAlignment="1" applyProtection="1">
      <alignment horizontal="center" vertical="center"/>
      <protection hidden="1"/>
    </xf>
    <xf numFmtId="170" fontId="15" fillId="4" borderId="0" xfId="0" applyNumberFormat="1" applyFont="1" applyFill="1"/>
    <xf numFmtId="0" fontId="7" fillId="0" borderId="12" xfId="4" applyFont="1" applyFill="1" applyBorder="1" applyAlignment="1" applyProtection="1">
      <alignment horizontal="center" vertical="center"/>
      <protection hidden="1"/>
    </xf>
    <xf numFmtId="0" fontId="5" fillId="0" borderId="94" xfId="4" applyFont="1" applyBorder="1" applyAlignment="1" applyProtection="1">
      <alignment horizontal="center" vertical="center"/>
      <protection hidden="1"/>
    </xf>
    <xf numFmtId="168" fontId="5" fillId="0" borderId="95" xfId="4" applyNumberFormat="1" applyFont="1" applyBorder="1" applyAlignment="1" applyProtection="1">
      <alignment horizontal="center" vertical="center"/>
      <protection hidden="1"/>
    </xf>
    <xf numFmtId="0" fontId="5" fillId="0" borderId="92" xfId="4" applyFont="1" applyBorder="1" applyAlignment="1" applyProtection="1">
      <alignment horizontal="center" vertical="center"/>
      <protection hidden="1"/>
    </xf>
    <xf numFmtId="168" fontId="5" fillId="0" borderId="96" xfId="4" applyNumberFormat="1" applyFont="1" applyBorder="1" applyAlignment="1" applyProtection="1">
      <alignment horizontal="center" vertical="center"/>
      <protection hidden="1"/>
    </xf>
    <xf numFmtId="0" fontId="5" fillId="0" borderId="93" xfId="4" applyFont="1" applyBorder="1" applyAlignment="1" applyProtection="1">
      <alignment horizontal="center" vertical="center"/>
      <protection hidden="1"/>
    </xf>
    <xf numFmtId="168" fontId="5" fillId="0" borderId="97" xfId="4" applyNumberFormat="1" applyFont="1" applyBorder="1" applyAlignment="1" applyProtection="1">
      <alignment horizontal="center" vertical="center"/>
      <protection hidden="1"/>
    </xf>
    <xf numFmtId="0" fontId="23" fillId="0" borderId="73" xfId="6" applyNumberFormat="1" applyFont="1" applyFill="1" applyBorder="1" applyAlignment="1" applyProtection="1">
      <alignment horizontal="center" vertical="center"/>
      <protection hidden="1"/>
    </xf>
    <xf numFmtId="43" fontId="24" fillId="0" borderId="12" xfId="1" applyFont="1" applyFill="1" applyBorder="1" applyAlignment="1" applyProtection="1">
      <alignment vertical="center"/>
      <protection hidden="1"/>
    </xf>
    <xf numFmtId="43" fontId="24" fillId="0" borderId="17" xfId="1" applyFont="1" applyFill="1" applyBorder="1" applyAlignment="1" applyProtection="1">
      <alignment vertical="center"/>
      <protection hidden="1"/>
    </xf>
    <xf numFmtId="43" fontId="25" fillId="0" borderId="17" xfId="1" applyFont="1" applyFill="1" applyBorder="1" applyAlignment="1" applyProtection="1">
      <alignment vertical="center"/>
      <protection hidden="1"/>
    </xf>
    <xf numFmtId="0" fontId="25" fillId="0" borderId="17" xfId="4" quotePrefix="1" applyNumberFormat="1" applyFont="1" applyFill="1" applyBorder="1" applyAlignment="1" applyProtection="1">
      <alignment horizontal="center" vertical="center"/>
      <protection hidden="1"/>
    </xf>
    <xf numFmtId="43" fontId="24" fillId="0" borderId="25" xfId="1" applyFont="1" applyFill="1" applyBorder="1" applyAlignment="1" applyProtection="1">
      <alignment vertical="center"/>
      <protection hidden="1"/>
    </xf>
    <xf numFmtId="0" fontId="13" fillId="14" borderId="98" xfId="0" applyFont="1" applyFill="1" applyBorder="1" applyAlignment="1">
      <alignment vertical="center"/>
    </xf>
    <xf numFmtId="9" fontId="8" fillId="0" borderId="17" xfId="4" quotePrefix="1" applyNumberFormat="1" applyFont="1" applyBorder="1" applyAlignment="1" applyProtection="1">
      <alignment horizontal="center" vertical="center" wrapText="1"/>
      <protection hidden="1"/>
    </xf>
    <xf numFmtId="2" fontId="8" fillId="0" borderId="17" xfId="4" applyNumberFormat="1" applyFont="1" applyBorder="1" applyAlignment="1" applyProtection="1">
      <alignment horizontal="center" vertical="center" wrapText="1"/>
      <protection hidden="1"/>
    </xf>
    <xf numFmtId="9" fontId="8" fillId="0" borderId="25" xfId="4" quotePrefix="1" applyNumberFormat="1" applyFont="1" applyBorder="1" applyAlignment="1" applyProtection="1">
      <alignment horizontal="center" vertical="center" wrapText="1"/>
      <protection hidden="1"/>
    </xf>
    <xf numFmtId="2" fontId="8" fillId="0" borderId="25" xfId="4" applyNumberFormat="1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1" fillId="6" borderId="0" xfId="0" applyFont="1" applyFill="1" applyBorder="1" applyAlignment="1" applyProtection="1">
      <alignment horizontal="center" wrapText="1"/>
      <protection hidden="1"/>
    </xf>
    <xf numFmtId="0" fontId="1" fillId="6" borderId="0" xfId="0" applyFont="1" applyFill="1" applyAlignment="1" applyProtection="1">
      <alignment horizontal="left" wrapText="1"/>
      <protection hidden="1"/>
    </xf>
    <xf numFmtId="0" fontId="0" fillId="6" borderId="0" xfId="0" applyFill="1" applyProtection="1">
      <protection hidden="1"/>
    </xf>
    <xf numFmtId="0" fontId="0" fillId="0" borderId="0" xfId="0" applyBorder="1" applyProtection="1">
      <protection hidden="1"/>
    </xf>
    <xf numFmtId="172" fontId="5" fillId="0" borderId="25" xfId="4" applyNumberFormat="1" applyFont="1" applyFill="1" applyBorder="1" applyAlignment="1" applyProtection="1">
      <alignment horizontal="center" vertical="center"/>
      <protection hidden="1"/>
    </xf>
    <xf numFmtId="0" fontId="26" fillId="15" borderId="0" xfId="5" applyFont="1" applyFill="1" applyBorder="1" applyAlignment="1" applyProtection="1">
      <alignment vertical="center" textRotation="90"/>
      <protection locked="0" hidden="1"/>
    </xf>
    <xf numFmtId="164" fontId="24" fillId="0" borderId="17" xfId="4" applyNumberFormat="1" applyFont="1" applyBorder="1" applyAlignment="1" applyProtection="1">
      <alignment horizontal="center" vertical="center"/>
      <protection hidden="1"/>
    </xf>
    <xf numFmtId="164" fontId="24" fillId="0" borderId="17" xfId="4" applyNumberFormat="1" applyFont="1" applyFill="1" applyBorder="1" applyAlignment="1" applyProtection="1">
      <alignment horizontal="center" vertical="center"/>
      <protection hidden="1"/>
    </xf>
    <xf numFmtId="164" fontId="24" fillId="0" borderId="25" xfId="4" applyNumberFormat="1" applyFont="1" applyFill="1" applyBorder="1" applyAlignment="1" applyProtection="1">
      <alignment horizontal="center" vertical="center"/>
      <protection hidden="1"/>
    </xf>
    <xf numFmtId="3" fontId="24" fillId="0" borderId="12" xfId="4" applyNumberFormat="1" applyFont="1" applyBorder="1" applyAlignment="1" applyProtection="1">
      <alignment horizontal="right" vertical="center"/>
      <protection hidden="1"/>
    </xf>
    <xf numFmtId="164" fontId="24" fillId="0" borderId="12" xfId="4" applyNumberFormat="1" applyFont="1" applyBorder="1" applyAlignment="1" applyProtection="1">
      <alignment horizontal="center" vertical="center"/>
      <protection hidden="1"/>
    </xf>
    <xf numFmtId="3" fontId="24" fillId="0" borderId="17" xfId="4" applyNumberFormat="1" applyFont="1" applyBorder="1" applyAlignment="1" applyProtection="1">
      <alignment horizontal="right" vertical="center"/>
      <protection hidden="1"/>
    </xf>
    <xf numFmtId="3" fontId="24" fillId="0" borderId="17" xfId="4" applyNumberFormat="1" applyFont="1" applyFill="1" applyBorder="1" applyAlignment="1" applyProtection="1">
      <alignment horizontal="right" vertical="center"/>
      <protection hidden="1"/>
    </xf>
    <xf numFmtId="3" fontId="24" fillId="0" borderId="25" xfId="4" applyNumberFormat="1" applyFont="1" applyFill="1" applyBorder="1" applyAlignment="1" applyProtection="1">
      <alignment horizontal="right" vertical="center"/>
      <protection hidden="1"/>
    </xf>
    <xf numFmtId="172" fontId="5" fillId="0" borderId="12" xfId="4" applyNumberFormat="1" applyFont="1" applyFill="1" applyBorder="1" applyAlignment="1" applyProtection="1">
      <alignment horizontal="center" vertical="center"/>
      <protection hidden="1"/>
    </xf>
    <xf numFmtId="44" fontId="5" fillId="0" borderId="12" xfId="2" applyFont="1" applyFill="1" applyBorder="1" applyAlignment="1" applyProtection="1">
      <alignment horizontal="center" vertical="center"/>
      <protection hidden="1"/>
    </xf>
    <xf numFmtId="44" fontId="5" fillId="0" borderId="17" xfId="2" applyFont="1" applyFill="1" applyBorder="1" applyAlignment="1" applyProtection="1">
      <alignment horizontal="center" vertical="center"/>
      <protection hidden="1"/>
    </xf>
    <xf numFmtId="44" fontId="5" fillId="0" borderId="25" xfId="2" applyFont="1" applyFill="1" applyBorder="1" applyAlignment="1" applyProtection="1">
      <alignment horizontal="center" vertical="center"/>
      <protection hidden="1"/>
    </xf>
    <xf numFmtId="44" fontId="0" fillId="10" borderId="99" xfId="2" applyFont="1" applyFill="1" applyBorder="1"/>
    <xf numFmtId="44" fontId="0" fillId="10" borderId="91" xfId="2" applyFont="1" applyFill="1" applyBorder="1"/>
    <xf numFmtId="0" fontId="27" fillId="0" borderId="0" xfId="0" applyFont="1" applyAlignment="1">
      <alignment vertical="center"/>
    </xf>
    <xf numFmtId="0" fontId="13" fillId="14" borderId="9" xfId="0" applyFont="1" applyFill="1" applyBorder="1" applyAlignment="1">
      <alignment horizontal="center" vertical="center"/>
    </xf>
    <xf numFmtId="0" fontId="13" fillId="14" borderId="11" xfId="0" applyFont="1" applyFill="1" applyBorder="1" applyAlignment="1">
      <alignment horizontal="center" vertical="center"/>
    </xf>
    <xf numFmtId="44" fontId="12" fillId="0" borderId="15" xfId="2" applyFont="1" applyBorder="1" applyAlignment="1">
      <alignment horizontal="center" vertical="center"/>
    </xf>
    <xf numFmtId="44" fontId="12" fillId="0" borderId="42" xfId="2" applyFont="1" applyBorder="1" applyAlignment="1">
      <alignment horizontal="center" vertical="center"/>
    </xf>
    <xf numFmtId="44" fontId="12" fillId="0" borderId="31" xfId="2" applyFont="1" applyBorder="1" applyAlignment="1">
      <alignment horizontal="center" vertical="center"/>
    </xf>
    <xf numFmtId="44" fontId="12" fillId="0" borderId="33" xfId="2" applyFont="1" applyBorder="1" applyAlignment="1">
      <alignment horizontal="center" vertical="center"/>
    </xf>
    <xf numFmtId="44" fontId="12" fillId="0" borderId="9" xfId="0" applyNumberFormat="1" applyFont="1" applyBorder="1" applyAlignment="1">
      <alignment horizontal="center" vertical="center"/>
    </xf>
    <xf numFmtId="44" fontId="12" fillId="0" borderId="11" xfId="0" applyNumberFormat="1" applyFont="1" applyBorder="1" applyAlignment="1">
      <alignment horizontal="center" vertical="center"/>
    </xf>
    <xf numFmtId="0" fontId="22" fillId="14" borderId="9" xfId="0" applyFont="1" applyFill="1" applyBorder="1" applyAlignment="1">
      <alignment horizontal="center"/>
    </xf>
    <xf numFmtId="0" fontId="22" fillId="14" borderId="11" xfId="0" applyFont="1" applyFill="1" applyBorder="1" applyAlignment="1">
      <alignment horizontal="center"/>
    </xf>
    <xf numFmtId="44" fontId="12" fillId="0" borderId="21" xfId="2" applyFont="1" applyBorder="1" applyAlignment="1">
      <alignment horizontal="center" vertical="center"/>
    </xf>
    <xf numFmtId="44" fontId="12" fillId="0" borderId="16" xfId="2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44" fontId="13" fillId="14" borderId="10" xfId="2" applyFont="1" applyFill="1" applyBorder="1" applyAlignment="1">
      <alignment horizontal="center" vertical="center"/>
    </xf>
    <xf numFmtId="44" fontId="13" fillId="14" borderId="11" xfId="2" applyFont="1" applyFill="1" applyBorder="1" applyAlignment="1">
      <alignment horizontal="center" vertical="center"/>
    </xf>
    <xf numFmtId="44" fontId="12" fillId="0" borderId="56" xfId="0" applyNumberFormat="1" applyFont="1" applyBorder="1" applyAlignment="1">
      <alignment horizontal="center" vertical="center"/>
    </xf>
    <xf numFmtId="44" fontId="12" fillId="0" borderId="42" xfId="0" applyNumberFormat="1" applyFont="1" applyBorder="1" applyAlignment="1">
      <alignment horizontal="center" vertical="center"/>
    </xf>
    <xf numFmtId="44" fontId="12" fillId="0" borderId="0" xfId="2" applyFont="1" applyBorder="1" applyAlignment="1">
      <alignment horizontal="center" vertical="center"/>
    </xf>
    <xf numFmtId="44" fontId="12" fillId="0" borderId="21" xfId="0" applyNumberFormat="1" applyFont="1" applyBorder="1" applyAlignment="1">
      <alignment horizontal="center" vertical="center"/>
    </xf>
    <xf numFmtId="44" fontId="12" fillId="0" borderId="16" xfId="0" applyNumberFormat="1" applyFont="1" applyBorder="1" applyAlignment="1">
      <alignment horizontal="center" vertical="center"/>
    </xf>
    <xf numFmtId="0" fontId="26" fillId="15" borderId="0" xfId="5" applyFont="1" applyFill="1" applyBorder="1" applyAlignment="1" applyProtection="1">
      <alignment horizontal="center" vertical="center" textRotation="90"/>
      <protection locked="0" hidden="1"/>
    </xf>
    <xf numFmtId="0" fontId="12" fillId="0" borderId="45" xfId="0" applyFont="1" applyBorder="1" applyAlignment="1">
      <alignment horizontal="center" vertical="center"/>
    </xf>
    <xf numFmtId="0" fontId="12" fillId="0" borderId="55" xfId="0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3" fillId="14" borderId="10" xfId="0" applyFont="1" applyFill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0" fontId="12" fillId="0" borderId="51" xfId="0" applyFont="1" applyBorder="1" applyAlignment="1">
      <alignment horizontal="center" vertical="center"/>
    </xf>
    <xf numFmtId="0" fontId="12" fillId="0" borderId="52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13" fillId="14" borderId="15" xfId="0" applyFont="1" applyFill="1" applyBorder="1" applyAlignment="1">
      <alignment horizontal="center" vertical="center"/>
    </xf>
    <xf numFmtId="0" fontId="13" fillId="14" borderId="56" xfId="0" applyFont="1" applyFill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9" fontId="12" fillId="0" borderId="44" xfId="3" applyFont="1" applyBorder="1" applyAlignment="1">
      <alignment horizontal="center" vertical="center"/>
    </xf>
    <xf numFmtId="9" fontId="12" fillId="0" borderId="36" xfId="3" applyFont="1" applyBorder="1" applyAlignment="1">
      <alignment horizontal="center" vertical="center"/>
    </xf>
    <xf numFmtId="9" fontId="12" fillId="0" borderId="43" xfId="3" applyFont="1" applyBorder="1" applyAlignment="1">
      <alignment horizontal="center" vertical="center"/>
    </xf>
    <xf numFmtId="0" fontId="12" fillId="0" borderId="44" xfId="0" applyFont="1" applyFill="1" applyBorder="1" applyAlignment="1">
      <alignment horizontal="center" vertical="center"/>
    </xf>
    <xf numFmtId="0" fontId="12" fillId="0" borderId="36" xfId="0" applyFont="1" applyFill="1" applyBorder="1" applyAlignment="1">
      <alignment horizontal="center" vertical="center"/>
    </xf>
    <xf numFmtId="0" fontId="12" fillId="0" borderId="43" xfId="0" applyFont="1" applyFill="1" applyBorder="1" applyAlignment="1">
      <alignment horizontal="center" vertical="center"/>
    </xf>
    <xf numFmtId="0" fontId="12" fillId="0" borderId="44" xfId="0" applyFont="1" applyBorder="1" applyAlignment="1">
      <alignment horizontal="left" vertical="center"/>
    </xf>
    <xf numFmtId="0" fontId="12" fillId="0" borderId="36" xfId="0" applyFont="1" applyBorder="1" applyAlignment="1">
      <alignment horizontal="left" vertical="center"/>
    </xf>
    <xf numFmtId="0" fontId="12" fillId="0" borderId="43" xfId="0" applyFont="1" applyBorder="1" applyAlignment="1">
      <alignment horizontal="left" vertical="center"/>
    </xf>
    <xf numFmtId="0" fontId="13" fillId="14" borderId="66" xfId="0" applyFont="1" applyFill="1" applyBorder="1" applyAlignment="1">
      <alignment horizontal="center" vertical="center"/>
    </xf>
    <xf numFmtId="0" fontId="13" fillId="14" borderId="48" xfId="0" applyFont="1" applyFill="1" applyBorder="1" applyAlignment="1">
      <alignment horizontal="center" vertical="center"/>
    </xf>
    <xf numFmtId="0" fontId="19" fillId="5" borderId="16" xfId="0" applyFont="1" applyFill="1" applyBorder="1" applyAlignment="1">
      <alignment horizontal="center" vertical="center" textRotation="90"/>
    </xf>
    <xf numFmtId="0" fontId="3" fillId="2" borderId="3" xfId="4" applyFont="1" applyFill="1" applyBorder="1" applyAlignment="1" applyProtection="1">
      <alignment horizontal="center" vertical="center"/>
      <protection hidden="1"/>
    </xf>
    <xf numFmtId="0" fontId="3" fillId="2" borderId="77" xfId="4" applyFont="1" applyFill="1" applyBorder="1" applyAlignment="1" applyProtection="1">
      <alignment horizontal="center" vertical="center"/>
      <protection hidden="1"/>
    </xf>
    <xf numFmtId="0" fontId="3" fillId="2" borderId="78" xfId="4" applyFont="1" applyFill="1" applyBorder="1" applyAlignment="1" applyProtection="1">
      <alignment horizontal="center" vertical="center"/>
      <protection hidden="1"/>
    </xf>
    <xf numFmtId="0" fontId="3" fillId="2" borderId="1" xfId="4" applyFont="1" applyFill="1" applyBorder="1" applyAlignment="1" applyProtection="1">
      <alignment horizontal="center" vertical="center"/>
      <protection hidden="1"/>
    </xf>
    <xf numFmtId="0" fontId="3" fillId="2" borderId="8" xfId="4" applyFont="1" applyFill="1" applyBorder="1" applyAlignment="1" applyProtection="1">
      <alignment horizontal="center" vertical="center"/>
      <protection hidden="1"/>
    </xf>
    <xf numFmtId="0" fontId="3" fillId="2" borderId="2" xfId="4" applyFont="1" applyFill="1" applyBorder="1" applyAlignment="1" applyProtection="1">
      <alignment horizontal="center" vertical="center"/>
      <protection hidden="1"/>
    </xf>
    <xf numFmtId="0" fontId="3" fillId="2" borderId="24" xfId="4" applyFont="1" applyFill="1" applyBorder="1" applyAlignment="1" applyProtection="1">
      <alignment horizontal="center" vertical="center"/>
      <protection hidden="1"/>
    </xf>
    <xf numFmtId="0" fontId="3" fillId="2" borderId="38" xfId="4" applyFont="1" applyFill="1" applyBorder="1" applyAlignment="1" applyProtection="1">
      <alignment horizontal="center" vertical="center"/>
      <protection hidden="1"/>
    </xf>
    <xf numFmtId="0" fontId="11" fillId="8" borderId="1" xfId="4" applyFont="1" applyFill="1" applyBorder="1" applyAlignment="1" applyProtection="1">
      <alignment horizontal="center" vertical="center"/>
      <protection hidden="1"/>
    </xf>
    <xf numFmtId="0" fontId="11" fillId="8" borderId="8" xfId="4" applyFont="1" applyFill="1" applyBorder="1" applyAlignment="1" applyProtection="1">
      <alignment horizontal="center" vertical="center"/>
      <protection hidden="1"/>
    </xf>
    <xf numFmtId="0" fontId="3" fillId="2" borderId="74" xfId="4" applyFont="1" applyFill="1" applyBorder="1" applyAlignment="1" applyProtection="1">
      <alignment horizontal="center" vertical="center"/>
      <protection hidden="1"/>
    </xf>
    <xf numFmtId="0" fontId="3" fillId="2" borderId="75" xfId="4" applyFont="1" applyFill="1" applyBorder="1" applyAlignment="1" applyProtection="1">
      <alignment horizontal="center" vertical="center"/>
      <protection hidden="1"/>
    </xf>
    <xf numFmtId="0" fontId="3" fillId="2" borderId="76" xfId="4" applyFont="1" applyFill="1" applyBorder="1" applyAlignment="1" applyProtection="1">
      <alignment horizontal="center" vertical="center"/>
      <protection hidden="1"/>
    </xf>
    <xf numFmtId="0" fontId="3" fillId="2" borderId="26" xfId="4" applyFont="1" applyFill="1" applyBorder="1" applyAlignment="1" applyProtection="1">
      <alignment horizontal="center" vertical="center"/>
      <protection hidden="1"/>
    </xf>
    <xf numFmtId="0" fontId="3" fillId="2" borderId="27" xfId="4" applyFont="1" applyFill="1" applyBorder="1" applyAlignment="1" applyProtection="1">
      <alignment horizontal="center" vertical="center"/>
      <protection hidden="1"/>
    </xf>
    <xf numFmtId="0" fontId="21" fillId="0" borderId="3" xfId="0" applyFont="1" applyBorder="1" applyAlignment="1">
      <alignment horizontal="center"/>
    </xf>
    <xf numFmtId="0" fontId="21" fillId="0" borderId="77" xfId="0" applyFont="1" applyBorder="1" applyAlignment="1">
      <alignment horizontal="center"/>
    </xf>
    <xf numFmtId="0" fontId="21" fillId="0" borderId="78" xfId="0" applyFont="1" applyBorder="1" applyAlignment="1">
      <alignment horizontal="center"/>
    </xf>
    <xf numFmtId="0" fontId="3" fillId="2" borderId="74" xfId="5" applyFont="1" applyFill="1" applyBorder="1" applyAlignment="1">
      <alignment horizontal="center"/>
    </xf>
    <xf numFmtId="0" fontId="3" fillId="2" borderId="75" xfId="5" applyFont="1" applyFill="1" applyBorder="1" applyAlignment="1">
      <alignment horizontal="center"/>
    </xf>
    <xf numFmtId="0" fontId="3" fillId="2" borderId="76" xfId="5" applyFont="1" applyFill="1" applyBorder="1" applyAlignment="1">
      <alignment horizontal="center"/>
    </xf>
    <xf numFmtId="0" fontId="3" fillId="12" borderId="3" xfId="5" applyFont="1" applyFill="1" applyBorder="1" applyAlignment="1">
      <alignment horizontal="center"/>
    </xf>
    <xf numFmtId="0" fontId="3" fillId="12" borderId="77" xfId="5" applyFont="1" applyFill="1" applyBorder="1" applyAlignment="1">
      <alignment horizontal="center"/>
    </xf>
    <xf numFmtId="0" fontId="3" fillId="12" borderId="78" xfId="5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7" fillId="0" borderId="9" xfId="4" applyFont="1" applyFill="1" applyBorder="1" applyAlignment="1" applyProtection="1">
      <alignment horizontal="center" vertical="center"/>
      <protection hidden="1"/>
    </xf>
    <xf numFmtId="0" fontId="7" fillId="0" borderId="10" xfId="4" applyFont="1" applyFill="1" applyBorder="1" applyAlignment="1" applyProtection="1">
      <alignment horizontal="center" vertical="center"/>
      <protection hidden="1"/>
    </xf>
    <xf numFmtId="0" fontId="7" fillId="0" borderId="11" xfId="4" applyFont="1" applyFill="1" applyBorder="1" applyAlignment="1" applyProtection="1">
      <alignment horizontal="center" vertical="center"/>
      <protection hidden="1"/>
    </xf>
  </cellXfs>
  <cellStyles count="10">
    <cellStyle name="Millares" xfId="1" builtinId="3"/>
    <cellStyle name="Millares 2 2" xfId="6"/>
    <cellStyle name="Moneda" xfId="2" builtinId="4"/>
    <cellStyle name="Moneda 3" xfId="8"/>
    <cellStyle name="Normal" xfId="0" builtinId="0"/>
    <cellStyle name="Normal 2" xfId="4"/>
    <cellStyle name="Normal 2 3" xfId="7"/>
    <cellStyle name="Normal 3" xfId="5"/>
    <cellStyle name="Porcentaje" xfId="3" builtinId="5"/>
    <cellStyle name="Porcentaje 2" xfId="9"/>
  </cellStyles>
  <dxfs count="1">
    <dxf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54D7D4"/>
      <color rgb="FF33CCCC"/>
      <color rgb="FF33CCFF"/>
      <color rgb="FF00FF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969167</xdr:colOff>
      <xdr:row>0</xdr:row>
      <xdr:rowOff>0</xdr:rowOff>
    </xdr:from>
    <xdr:to>
      <xdr:col>11</xdr:col>
      <xdr:colOff>4058769</xdr:colOff>
      <xdr:row>4</xdr:row>
      <xdr:rowOff>114300</xdr:rowOff>
    </xdr:to>
    <xdr:pic>
      <xdr:nvPicPr>
        <xdr:cNvPr id="3" name="Imagen 2" descr="Plan Seguro - Mi Salud es HOY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745" t="28970" r="19746" b="32493"/>
        <a:stretch/>
      </xdr:blipFill>
      <xdr:spPr bwMode="auto">
        <a:xfrm>
          <a:off x="10046492" y="0"/>
          <a:ext cx="3089602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369094</xdr:colOff>
      <xdr:row>0</xdr:row>
      <xdr:rowOff>135733</xdr:rowOff>
    </xdr:from>
    <xdr:to>
      <xdr:col>4</xdr:col>
      <xdr:colOff>133350</xdr:colOff>
      <xdr:row>5</xdr:row>
      <xdr:rowOff>44261</xdr:rowOff>
    </xdr:to>
    <xdr:pic>
      <xdr:nvPicPr>
        <xdr:cNvPr id="4" name="1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769" y="135733"/>
          <a:ext cx="2469356" cy="11467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419101</xdr:colOff>
      <xdr:row>45</xdr:row>
      <xdr:rowOff>123820</xdr:rowOff>
    </xdr:from>
    <xdr:to>
      <xdr:col>10</xdr:col>
      <xdr:colOff>514351</xdr:colOff>
      <xdr:row>46</xdr:row>
      <xdr:rowOff>106182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A0DE845C-9E0E-474F-8115-3D4D8657C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flipV="1">
          <a:off x="419101" y="11477620"/>
          <a:ext cx="8515350" cy="611012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276226</xdr:colOff>
      <xdr:row>44</xdr:row>
      <xdr:rowOff>336235</xdr:rowOff>
    </xdr:from>
    <xdr:to>
      <xdr:col>7</xdr:col>
      <xdr:colOff>762001</xdr:colOff>
      <xdr:row>45</xdr:row>
      <xdr:rowOff>346407</xdr:rowOff>
    </xdr:to>
    <xdr:pic>
      <xdr:nvPicPr>
        <xdr:cNvPr id="6" name="Picture 4">
          <a:extLst>
            <a:ext uri="{FF2B5EF4-FFF2-40B4-BE49-F238E27FC236}">
              <a16:creationId xmlns:a16="http://schemas.microsoft.com/office/drawing/2014/main" id="{503DFDED-9422-CA4C-A9BF-0A1A2AE8A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3901" y="11061385"/>
          <a:ext cx="5905500" cy="6388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9525</xdr:rowOff>
    </xdr:from>
    <xdr:to>
      <xdr:col>8</xdr:col>
      <xdr:colOff>228600</xdr:colOff>
      <xdr:row>47</xdr:row>
      <xdr:rowOff>115032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EF872CDB-FA3C-CD45-A5BA-44DA00778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7675" y="11991975"/>
          <a:ext cx="6715125" cy="2960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3\Area%20Tecnica\Users\jmartinez\Documents\COTIZACIONES\CotizadorSaludOptimaIndividual_Abierto_v1_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oto/Documents/Planes/Plan%20Avanzado/Cotizadores/2022/COTI_PLANAVANZADO_1804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pañasPreventivas"/>
      <sheetName val="RevisionClinica"/>
      <sheetName val="OPTIMA IND"/>
      <sheetName val="CARTA PROPUESTA"/>
      <sheetName val="INFOGRAFÍA"/>
      <sheetName val="ASISTENCIAS"/>
      <sheetName val="INDIVIDUAL"/>
      <sheetName val="Hoja2"/>
      <sheetName val="Hoja3"/>
      <sheetName val="Hoja1"/>
    </sheetNames>
    <sheetDataSet>
      <sheetData sheetId="0" refreshError="1"/>
      <sheetData sheetId="1" refreshError="1"/>
      <sheetData sheetId="2">
        <row r="28">
          <cell r="L28" t="str">
            <v>SUBTOTAL</v>
          </cell>
        </row>
      </sheetData>
      <sheetData sheetId="3">
        <row r="64">
          <cell r="F64" t="str">
            <v>Anual</v>
          </cell>
        </row>
        <row r="65">
          <cell r="F65" t="str">
            <v>Semestral</v>
          </cell>
        </row>
        <row r="66">
          <cell r="F66" t="str">
            <v>Trimestral</v>
          </cell>
        </row>
        <row r="67">
          <cell r="F67" t="str">
            <v>Mensual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tizador"/>
      <sheetName val="Calculo"/>
      <sheetName val="Factores"/>
      <sheetName val="Primas"/>
      <sheetName val="paso"/>
      <sheetName val="FactoresCompleto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showGridLines="0" tabSelected="1" zoomScaleNormal="100" workbookViewId="0">
      <selection sqref="A1:A6"/>
    </sheetView>
  </sheetViews>
  <sheetFormatPr baseColWidth="10" defaultColWidth="11.453125" defaultRowHeight="20.149999999999999" customHeight="1" x14ac:dyDescent="0.35"/>
  <cols>
    <col min="1" max="1" width="3.26953125" style="91" customWidth="1"/>
    <col min="2" max="2" width="6.81640625" style="91" bestFit="1" customWidth="1"/>
    <col min="3" max="3" width="24.1796875" style="91" bestFit="1" customWidth="1"/>
    <col min="4" max="4" width="9.54296875" style="91" customWidth="1"/>
    <col min="5" max="5" width="8.26953125" style="91" customWidth="1"/>
    <col min="6" max="6" width="10.7265625" style="91" customWidth="1"/>
    <col min="7" max="7" width="21.7265625" style="91" customWidth="1"/>
    <col min="8" max="8" width="16" style="91" bestFit="1" customWidth="1"/>
    <col min="9" max="9" width="14.1796875" style="91" customWidth="1"/>
    <col min="10" max="10" width="8.54296875" style="91" customWidth="1"/>
    <col min="11" max="11" width="9.54296875" style="91" bestFit="1" customWidth="1"/>
    <col min="12" max="12" width="70.7265625" style="91" bestFit="1" customWidth="1"/>
    <col min="13" max="13" width="27.453125" style="91" customWidth="1"/>
    <col min="14" max="14" width="19.7265625" style="91" customWidth="1"/>
    <col min="15" max="15" width="9.7265625" style="91" customWidth="1"/>
    <col min="16" max="16" width="14.81640625" style="91" customWidth="1"/>
    <col min="17" max="17" width="6.7265625" style="91" customWidth="1"/>
    <col min="18" max="18" width="6.26953125" style="91" customWidth="1"/>
    <col min="19" max="19" width="7.26953125" style="91" customWidth="1"/>
    <col min="20" max="20" width="15" style="91" customWidth="1"/>
    <col min="21" max="16384" width="11.453125" style="91"/>
  </cols>
  <sheetData>
    <row r="1" spans="1:21" ht="20.149999999999999" customHeight="1" x14ac:dyDescent="0.35">
      <c r="A1" s="300" t="s">
        <v>186</v>
      </c>
      <c r="L1" s="92"/>
    </row>
    <row r="2" spans="1:21" ht="20.149999999999999" customHeight="1" x14ac:dyDescent="0.35">
      <c r="A2" s="300"/>
      <c r="L2" s="92"/>
    </row>
    <row r="3" spans="1:21" ht="20.149999999999999" customHeight="1" x14ac:dyDescent="0.35">
      <c r="A3" s="300"/>
      <c r="L3" s="92"/>
    </row>
    <row r="4" spans="1:21" ht="20.149999999999999" customHeight="1" x14ac:dyDescent="0.35">
      <c r="A4" s="300"/>
      <c r="L4" s="92"/>
    </row>
    <row r="5" spans="1:21" ht="20.149999999999999" customHeight="1" x14ac:dyDescent="0.35">
      <c r="A5" s="300"/>
      <c r="L5" s="92"/>
    </row>
    <row r="6" spans="1:21" ht="20.149999999999999" customHeight="1" thickBot="1" x14ac:dyDescent="0.4">
      <c r="A6" s="300"/>
      <c r="L6" s="92"/>
    </row>
    <row r="7" spans="1:21" ht="20.149999999999999" customHeight="1" x14ac:dyDescent="0.35">
      <c r="A7" s="259"/>
      <c r="C7" s="210" t="s">
        <v>106</v>
      </c>
      <c r="D7" s="301"/>
      <c r="E7" s="302"/>
      <c r="F7" s="302"/>
      <c r="G7" s="303"/>
      <c r="H7" s="92"/>
      <c r="I7" s="92"/>
      <c r="J7" s="92"/>
      <c r="K7" s="92"/>
      <c r="L7" s="92"/>
      <c r="N7" s="93"/>
      <c r="O7" s="94"/>
      <c r="P7" s="94"/>
      <c r="Q7" s="94"/>
      <c r="R7" s="94"/>
      <c r="S7" s="94"/>
      <c r="U7" s="95"/>
    </row>
    <row r="8" spans="1:21" ht="20.149999999999999" customHeight="1" thickBot="1" x14ac:dyDescent="0.4">
      <c r="A8" s="259"/>
      <c r="C8" s="211" t="s">
        <v>144</v>
      </c>
      <c r="D8" s="100">
        <v>16</v>
      </c>
      <c r="E8" s="100" t="s">
        <v>128</v>
      </c>
      <c r="F8" s="100">
        <v>2022</v>
      </c>
      <c r="G8"/>
      <c r="H8" s="92"/>
      <c r="I8" s="92"/>
      <c r="J8" s="92"/>
      <c r="K8" s="92"/>
      <c r="L8" s="97"/>
      <c r="N8" s="94"/>
      <c r="O8" s="96"/>
      <c r="P8" s="96"/>
      <c r="Q8" s="96"/>
      <c r="R8" s="96"/>
      <c r="S8" s="96"/>
      <c r="U8" s="95"/>
    </row>
    <row r="9" spans="1:21" ht="15" customHeight="1" thickBot="1" x14ac:dyDescent="0.4">
      <c r="A9" s="259"/>
      <c r="C9"/>
      <c r="D9" s="101"/>
      <c r="E9" s="101"/>
      <c r="F9" s="101"/>
      <c r="G9" s="101"/>
      <c r="H9" s="92"/>
      <c r="I9" s="92"/>
      <c r="J9" s="92"/>
      <c r="K9" s="92"/>
      <c r="L9" s="97"/>
      <c r="N9" s="94"/>
      <c r="O9" s="96"/>
      <c r="P9" s="96"/>
      <c r="Q9" s="96"/>
      <c r="R9" s="96"/>
      <c r="S9" s="96"/>
      <c r="U9" s="95"/>
    </row>
    <row r="10" spans="1:21" ht="20.149999999999999" customHeight="1" thickBot="1" x14ac:dyDescent="0.4">
      <c r="A10" s="259"/>
      <c r="C10" s="275" t="s">
        <v>107</v>
      </c>
      <c r="D10" s="304"/>
      <c r="E10" s="304"/>
      <c r="F10" s="304"/>
      <c r="G10" s="276"/>
      <c r="H10"/>
      <c r="I10"/>
      <c r="J10"/>
      <c r="K10"/>
      <c r="L10" s="275" t="s">
        <v>131</v>
      </c>
      <c r="M10" s="276"/>
    </row>
    <row r="11" spans="1:21" ht="20.149999999999999" customHeight="1" thickBot="1" x14ac:dyDescent="0.4">
      <c r="C11" s="212"/>
      <c r="D11" s="311" t="s">
        <v>39</v>
      </c>
      <c r="E11" s="312"/>
      <c r="F11" s="312"/>
      <c r="G11" s="213" t="s">
        <v>97</v>
      </c>
      <c r="L11" s="216" t="s">
        <v>132</v>
      </c>
      <c r="M11" s="168" t="s">
        <v>88</v>
      </c>
    </row>
    <row r="12" spans="1:21" ht="20.149999999999999" customHeight="1" x14ac:dyDescent="0.35">
      <c r="C12" s="214" t="s">
        <v>108</v>
      </c>
      <c r="D12" s="305">
        <v>150</v>
      </c>
      <c r="E12" s="306"/>
      <c r="F12" s="307"/>
      <c r="G12" s="104">
        <f>+VLOOKUP(D12,Factores!AG6:AH28,2,FALSE)</f>
        <v>438763.5</v>
      </c>
      <c r="L12" s="217" t="s">
        <v>133</v>
      </c>
      <c r="M12" s="167" t="s">
        <v>13</v>
      </c>
    </row>
    <row r="13" spans="1:21" ht="20.149999999999999" customHeight="1" x14ac:dyDescent="0.35">
      <c r="C13" s="214" t="s">
        <v>109</v>
      </c>
      <c r="D13" s="313">
        <v>2.9</v>
      </c>
      <c r="E13" s="314"/>
      <c r="F13" s="315"/>
      <c r="G13" s="105">
        <f>+VLOOKUP(D13,Factores!AJ4:AK77,2,FALSE)</f>
        <v>8482.76</v>
      </c>
      <c r="L13" s="217" t="s">
        <v>134</v>
      </c>
      <c r="M13" s="167" t="s">
        <v>17</v>
      </c>
    </row>
    <row r="14" spans="1:21" ht="20.149999999999999" customHeight="1" thickBot="1" x14ac:dyDescent="0.4">
      <c r="C14" s="214" t="s">
        <v>110</v>
      </c>
      <c r="D14" s="316">
        <v>0.1</v>
      </c>
      <c r="E14" s="317"/>
      <c r="F14" s="318"/>
      <c r="G14" s="325" t="s">
        <v>173</v>
      </c>
      <c r="H14" s="326"/>
      <c r="I14" s="106" t="s">
        <v>189</v>
      </c>
      <c r="L14" s="217" t="s">
        <v>162</v>
      </c>
      <c r="M14" s="173">
        <v>250000</v>
      </c>
      <c r="N14" s="130"/>
    </row>
    <row r="15" spans="1:21" ht="20.149999999999999" customHeight="1" thickBot="1" x14ac:dyDescent="0.4">
      <c r="C15" s="214" t="s">
        <v>111</v>
      </c>
      <c r="D15" s="319" t="s">
        <v>57</v>
      </c>
      <c r="E15" s="320"/>
      <c r="F15" s="321"/>
      <c r="G15" s="325" t="s">
        <v>112</v>
      </c>
      <c r="H15" s="326"/>
      <c r="I15" s="106">
        <v>40</v>
      </c>
      <c r="L15" s="217" t="s">
        <v>135</v>
      </c>
      <c r="M15" s="167" t="s">
        <v>175</v>
      </c>
    </row>
    <row r="16" spans="1:21" ht="20.149999999999999" customHeight="1" x14ac:dyDescent="0.35">
      <c r="C16" s="214" t="s">
        <v>142</v>
      </c>
      <c r="D16" s="322" t="s">
        <v>27</v>
      </c>
      <c r="E16" s="323"/>
      <c r="F16" s="324"/>
      <c r="L16" s="217" t="s">
        <v>136</v>
      </c>
      <c r="M16" s="167" t="s">
        <v>12</v>
      </c>
    </row>
    <row r="17" spans="2:13" ht="20.149999999999999" customHeight="1" thickBot="1" x14ac:dyDescent="0.4">
      <c r="C17" s="215" t="s">
        <v>113</v>
      </c>
      <c r="D17" s="308" t="str">
        <f>+VLOOKUP(D16,Factores!R3:S35,2,FALSE)</f>
        <v>SUR</v>
      </c>
      <c r="E17" s="309"/>
      <c r="F17" s="310"/>
      <c r="L17" s="248" t="s">
        <v>181</v>
      </c>
      <c r="M17" s="167" t="s">
        <v>184</v>
      </c>
    </row>
    <row r="18" spans="2:13" ht="19.5" customHeight="1" thickBot="1" x14ac:dyDescent="0.4">
      <c r="C18" s="99"/>
      <c r="L18" s="218" t="s">
        <v>137</v>
      </c>
      <c r="M18" s="167" t="s">
        <v>12</v>
      </c>
    </row>
    <row r="19" spans="2:13" ht="15" customHeight="1" x14ac:dyDescent="0.35">
      <c r="C19" s="99"/>
    </row>
    <row r="20" spans="2:13" ht="15" customHeight="1" thickBot="1" x14ac:dyDescent="0.4">
      <c r="C20" s="99"/>
    </row>
    <row r="21" spans="2:13" ht="20.149999999999999" customHeight="1" thickBot="1" x14ac:dyDescent="0.4">
      <c r="B21" s="222" t="s">
        <v>141</v>
      </c>
      <c r="C21" s="219" t="s">
        <v>115</v>
      </c>
      <c r="D21" s="275" t="s">
        <v>114</v>
      </c>
      <c r="E21" s="304"/>
      <c r="F21" s="276"/>
      <c r="G21" s="220" t="s">
        <v>2</v>
      </c>
      <c r="H21" s="221" t="s">
        <v>145</v>
      </c>
      <c r="J21"/>
      <c r="K21"/>
      <c r="L21"/>
    </row>
    <row r="22" spans="2:13" ht="20.149999999999999" customHeight="1" x14ac:dyDescent="0.35">
      <c r="B22" s="100">
        <v>1</v>
      </c>
      <c r="C22" s="103" t="s">
        <v>139</v>
      </c>
      <c r="D22" s="100">
        <v>11</v>
      </c>
      <c r="E22" s="100">
        <v>11</v>
      </c>
      <c r="F22" s="100">
        <v>1976</v>
      </c>
      <c r="G22" s="100">
        <f>IF(OR(D22="",E22="",F22=""),"",DATEDIF(DATE(F22,E22,D22),DATE($F$8,$E$8,$D$8),"Y"))</f>
        <v>45</v>
      </c>
      <c r="H22" s="143">
        <f>+Calculos!C19</f>
        <v>22634.910939790436</v>
      </c>
      <c r="I22"/>
      <c r="J22"/>
      <c r="K22"/>
      <c r="L22"/>
    </row>
    <row r="23" spans="2:13" ht="20.149999999999999" customHeight="1" x14ac:dyDescent="0.35">
      <c r="B23" s="98">
        <v>2</v>
      </c>
      <c r="C23" s="102" t="s">
        <v>140</v>
      </c>
      <c r="D23" s="100">
        <v>14</v>
      </c>
      <c r="E23" s="100" t="s">
        <v>125</v>
      </c>
      <c r="F23" s="100">
        <v>1959</v>
      </c>
      <c r="G23" s="100">
        <f t="shared" ref="G23:G31" si="0">IF(OR(D23="",E23="",F23=""),"",DATEDIF(DATE(F23,E23,D23),DATE($F$8,$E$8,$D$8),"Y"))</f>
        <v>63</v>
      </c>
      <c r="H23" s="143">
        <f>+Calculos!D19</f>
        <v>41770.82861560017</v>
      </c>
      <c r="I23"/>
      <c r="J23"/>
      <c r="K23"/>
      <c r="L23"/>
    </row>
    <row r="24" spans="2:13" ht="20.149999999999999" customHeight="1" x14ac:dyDescent="0.35">
      <c r="B24" s="98">
        <v>3</v>
      </c>
      <c r="C24" s="102" t="s">
        <v>140</v>
      </c>
      <c r="D24" s="100"/>
      <c r="E24" s="100" t="s">
        <v>129</v>
      </c>
      <c r="F24" s="100">
        <v>1959</v>
      </c>
      <c r="G24" s="100" t="str">
        <f t="shared" si="0"/>
        <v/>
      </c>
      <c r="H24" s="143" t="str">
        <f>+Calculos!E19</f>
        <v/>
      </c>
      <c r="I24"/>
      <c r="J24"/>
      <c r="K24"/>
      <c r="L24"/>
    </row>
    <row r="25" spans="2:13" ht="20.149999999999999" customHeight="1" x14ac:dyDescent="0.35">
      <c r="B25" s="98">
        <v>4</v>
      </c>
      <c r="C25" s="102" t="s">
        <v>139</v>
      </c>
      <c r="D25" s="100" t="s">
        <v>124</v>
      </c>
      <c r="E25" s="100" t="s">
        <v>129</v>
      </c>
      <c r="F25" s="100"/>
      <c r="G25" s="100" t="str">
        <f t="shared" si="0"/>
        <v/>
      </c>
      <c r="H25" s="143" t="str">
        <f>+Calculos!F19</f>
        <v/>
      </c>
      <c r="I25"/>
      <c r="J25"/>
      <c r="K25"/>
      <c r="L25"/>
    </row>
    <row r="26" spans="2:13" ht="20.149999999999999" customHeight="1" x14ac:dyDescent="0.35">
      <c r="B26" s="98">
        <v>5</v>
      </c>
      <c r="C26" s="102" t="s">
        <v>140</v>
      </c>
      <c r="D26" s="100" t="s">
        <v>121</v>
      </c>
      <c r="E26" s="100" t="s">
        <v>121</v>
      </c>
      <c r="F26" s="100"/>
      <c r="G26" s="100" t="str">
        <f t="shared" si="0"/>
        <v/>
      </c>
      <c r="H26" s="143" t="str">
        <f>+Calculos!G19</f>
        <v/>
      </c>
      <c r="I26"/>
      <c r="J26"/>
      <c r="K26"/>
      <c r="L26"/>
    </row>
    <row r="27" spans="2:13" ht="20.149999999999999" customHeight="1" x14ac:dyDescent="0.35">
      <c r="B27" s="98">
        <v>6</v>
      </c>
      <c r="C27" s="102" t="s">
        <v>140</v>
      </c>
      <c r="D27" s="100" t="s">
        <v>121</v>
      </c>
      <c r="E27" s="100" t="s">
        <v>123</v>
      </c>
      <c r="F27" s="100"/>
      <c r="G27" s="100" t="str">
        <f t="shared" si="0"/>
        <v/>
      </c>
      <c r="H27" s="143" t="str">
        <f>+Calculos!H19</f>
        <v/>
      </c>
      <c r="I27"/>
      <c r="J27"/>
      <c r="K27"/>
      <c r="L27"/>
    </row>
    <row r="28" spans="2:13" ht="20.149999999999999" customHeight="1" x14ac:dyDescent="0.35">
      <c r="B28" s="98">
        <v>7</v>
      </c>
      <c r="C28" s="102" t="s">
        <v>140</v>
      </c>
      <c r="D28" s="100" t="s">
        <v>123</v>
      </c>
      <c r="E28" s="100" t="s">
        <v>125</v>
      </c>
      <c r="F28" s="100"/>
      <c r="G28" s="100" t="str">
        <f t="shared" si="0"/>
        <v/>
      </c>
      <c r="H28" s="143" t="str">
        <f>+Calculos!I19</f>
        <v/>
      </c>
      <c r="I28"/>
      <c r="J28"/>
      <c r="K28"/>
      <c r="L28"/>
    </row>
    <row r="29" spans="2:13" ht="20.149999999999999" customHeight="1" x14ac:dyDescent="0.35">
      <c r="B29" s="98">
        <v>8</v>
      </c>
      <c r="C29" s="102" t="s">
        <v>140</v>
      </c>
      <c r="D29" s="100" t="s">
        <v>128</v>
      </c>
      <c r="E29" s="100" t="s">
        <v>123</v>
      </c>
      <c r="F29" s="100"/>
      <c r="G29" s="100" t="str">
        <f t="shared" si="0"/>
        <v/>
      </c>
      <c r="H29" s="143" t="str">
        <f>+Calculos!J19</f>
        <v/>
      </c>
      <c r="I29"/>
      <c r="J29"/>
      <c r="K29"/>
      <c r="L29"/>
    </row>
    <row r="30" spans="2:13" ht="20.149999999999999" customHeight="1" x14ac:dyDescent="0.35">
      <c r="B30" s="98">
        <v>9</v>
      </c>
      <c r="C30" s="102" t="s">
        <v>139</v>
      </c>
      <c r="D30" s="100" t="s">
        <v>128</v>
      </c>
      <c r="E30" s="100" t="s">
        <v>124</v>
      </c>
      <c r="F30" s="100"/>
      <c r="G30" s="100" t="str">
        <f t="shared" si="0"/>
        <v/>
      </c>
      <c r="H30" s="143" t="str">
        <f>+Calculos!K19</f>
        <v/>
      </c>
      <c r="I30"/>
      <c r="J30"/>
      <c r="K30"/>
      <c r="L30"/>
    </row>
    <row r="31" spans="2:13" ht="20.149999999999999" customHeight="1" thickBot="1" x14ac:dyDescent="0.4">
      <c r="B31" s="98">
        <v>10</v>
      </c>
      <c r="C31" s="102" t="s">
        <v>140</v>
      </c>
      <c r="D31" s="100" t="s">
        <v>128</v>
      </c>
      <c r="E31" s="100" t="s">
        <v>124</v>
      </c>
      <c r="F31" s="100"/>
      <c r="G31" s="100" t="str">
        <f t="shared" si="0"/>
        <v/>
      </c>
      <c r="H31" s="143" t="str">
        <f>+Calculos!L19</f>
        <v/>
      </c>
      <c r="I31"/>
      <c r="J31"/>
      <c r="K31"/>
      <c r="L31"/>
    </row>
    <row r="32" spans="2:13" ht="20.149999999999999" customHeight="1" thickBot="1" x14ac:dyDescent="0.4">
      <c r="H32" s="223">
        <f>+SUM(H22:H31)</f>
        <v>64405.73955539061</v>
      </c>
      <c r="I32"/>
    </row>
    <row r="33" spans="2:25" ht="20.149999999999999" customHeight="1" thickBot="1" x14ac:dyDescent="0.4"/>
    <row r="34" spans="2:25" ht="20.149999999999999" customHeight="1" x14ac:dyDescent="0.35">
      <c r="B34" s="291" t="s">
        <v>164</v>
      </c>
      <c r="C34" s="292"/>
      <c r="D34" s="295">
        <f>+H32</f>
        <v>64405.73955539061</v>
      </c>
      <c r="E34" s="296"/>
    </row>
    <row r="35" spans="2:25" ht="20.149999999999999" customHeight="1" x14ac:dyDescent="0.35">
      <c r="B35" s="288" t="s">
        <v>165</v>
      </c>
      <c r="C35" s="289"/>
      <c r="D35" s="297">
        <v>1500</v>
      </c>
      <c r="E35" s="286"/>
    </row>
    <row r="36" spans="2:25" ht="20.149999999999999" customHeight="1" thickBot="1" x14ac:dyDescent="0.4">
      <c r="B36" s="288" t="s">
        <v>152</v>
      </c>
      <c r="C36" s="289"/>
      <c r="D36" s="297">
        <f>+SUM(D34:E35)*0.16</f>
        <v>10544.918328862497</v>
      </c>
      <c r="E36" s="286"/>
    </row>
    <row r="37" spans="2:25" ht="20.149999999999999" customHeight="1" thickBot="1" x14ac:dyDescent="0.4">
      <c r="B37" s="275" t="s">
        <v>166</v>
      </c>
      <c r="C37" s="276"/>
      <c r="D37" s="293">
        <f>SUM(D34:E36)</f>
        <v>76450.657884253102</v>
      </c>
      <c r="E37" s="294"/>
    </row>
    <row r="38" spans="2:25" ht="20.149999999999999" customHeight="1" thickBot="1" x14ac:dyDescent="0.4"/>
    <row r="39" spans="2:25" ht="20.149999999999999" customHeight="1" thickBot="1" x14ac:dyDescent="0.4">
      <c r="B39" s="283"/>
      <c r="C39" s="284"/>
      <c r="D39" s="275" t="s">
        <v>48</v>
      </c>
      <c r="E39" s="276"/>
      <c r="F39" s="275" t="s">
        <v>46</v>
      </c>
      <c r="G39" s="276"/>
      <c r="H39" s="275" t="s">
        <v>44</v>
      </c>
      <c r="I39" s="276"/>
      <c r="J39" s="275" t="s">
        <v>41</v>
      </c>
      <c r="K39" s="276"/>
    </row>
    <row r="40" spans="2:25" ht="20.149999999999999" customHeight="1" x14ac:dyDescent="0.35">
      <c r="B40" s="288" t="s">
        <v>167</v>
      </c>
      <c r="C40" s="289"/>
      <c r="D40" s="298">
        <f>+D37</f>
        <v>76450.657884253102</v>
      </c>
      <c r="E40" s="299"/>
      <c r="F40" s="285">
        <f>+(((D34/2)*(1+tablas!$O$9))+$D$35)*(1+0.16)</f>
        <v>40963.095389232876</v>
      </c>
      <c r="G40" s="286"/>
      <c r="H40" s="285">
        <f>+(((D34/4)*(1+tablas!O10))+$D$35)*(1+0.16)</f>
        <v>22285.430918169604</v>
      </c>
      <c r="I40" s="286"/>
      <c r="J40" s="277">
        <f>+(((D34/12)*(1+tablas!O11))+$D$35)*(1+0.16)</f>
        <v>8899.7713805742533</v>
      </c>
      <c r="K40" s="278"/>
    </row>
    <row r="41" spans="2:25" ht="20.149999999999999" customHeight="1" thickBot="1" x14ac:dyDescent="0.4">
      <c r="B41" s="288" t="s">
        <v>168</v>
      </c>
      <c r="C41" s="289"/>
      <c r="D41" s="174"/>
      <c r="E41" s="175"/>
      <c r="F41" s="285">
        <f>+(((D34/2)*(1+tablas!$O$9)))*(1+0.16)</f>
        <v>39223.095389232876</v>
      </c>
      <c r="G41" s="286"/>
      <c r="H41" s="285">
        <f>+(((D34/4)*(1+tablas!O10)))*(1+0.16)</f>
        <v>20545.430918169604</v>
      </c>
      <c r="I41" s="286"/>
      <c r="J41" s="279">
        <f>+(((D34/12)*(1+tablas!O11)))*(1+0.16)</f>
        <v>7159.7713805742542</v>
      </c>
      <c r="K41" s="280"/>
    </row>
    <row r="42" spans="2:25" ht="20.149999999999999" customHeight="1" thickBot="1" x14ac:dyDescent="0.4">
      <c r="B42" s="290" t="s">
        <v>80</v>
      </c>
      <c r="C42" s="287"/>
      <c r="D42" s="281">
        <f>+D40</f>
        <v>76450.657884253102</v>
      </c>
      <c r="E42" s="287"/>
      <c r="F42" s="281">
        <f>+SUM(F40:G41)</f>
        <v>80186.190778465752</v>
      </c>
      <c r="G42" s="287"/>
      <c r="H42" s="281">
        <f>+H40+(H41*3)</f>
        <v>83921.723672678418</v>
      </c>
      <c r="I42" s="287"/>
      <c r="J42" s="281">
        <f>+J40+(J41*11)</f>
        <v>87657.256566891054</v>
      </c>
      <c r="K42" s="282"/>
    </row>
    <row r="45" spans="2:25" s="253" customFormat="1" ht="49.5" customHeight="1" x14ac:dyDescent="0.35">
      <c r="B45" s="254"/>
      <c r="C45" s="254"/>
      <c r="D45" s="254"/>
      <c r="E45" s="254"/>
      <c r="F45" s="254"/>
      <c r="G45" s="254"/>
      <c r="H45" s="254"/>
      <c r="I45" s="254"/>
      <c r="J45" s="254"/>
      <c r="K45" s="254"/>
      <c r="L45" s="254"/>
      <c r="M45" s="254"/>
      <c r="N45" s="254"/>
      <c r="O45" s="254"/>
      <c r="P45" s="254"/>
      <c r="Q45" s="254"/>
      <c r="R45" s="254"/>
      <c r="S45" s="254"/>
      <c r="T45" s="254"/>
      <c r="U45" s="254"/>
      <c r="V45" s="254"/>
      <c r="W45" s="254"/>
      <c r="X45" s="254"/>
      <c r="Y45" s="254"/>
    </row>
    <row r="46" spans="2:25" s="253" customFormat="1" ht="49.5" customHeight="1" x14ac:dyDescent="0.35">
      <c r="B46" s="254"/>
      <c r="C46" s="254"/>
      <c r="D46" s="254"/>
      <c r="E46" s="254"/>
      <c r="F46" s="254"/>
      <c r="G46" s="254"/>
      <c r="H46" s="254"/>
      <c r="I46" s="254"/>
      <c r="J46" s="254"/>
      <c r="K46" s="254"/>
      <c r="L46" s="254"/>
      <c r="M46" s="254"/>
      <c r="N46" s="254"/>
      <c r="O46" s="254"/>
      <c r="P46" s="254"/>
      <c r="Q46" s="254"/>
      <c r="R46" s="254"/>
      <c r="S46" s="254"/>
      <c r="T46" s="254"/>
      <c r="U46" s="254"/>
      <c r="V46" s="254"/>
      <c r="W46" s="254"/>
      <c r="X46" s="254"/>
      <c r="Y46" s="254"/>
    </row>
    <row r="47" spans="2:25" s="253" customFormat="1" ht="14.5" x14ac:dyDescent="0.35">
      <c r="B47" s="255"/>
      <c r="C47" s="255"/>
      <c r="D47" s="255"/>
      <c r="E47" s="255"/>
      <c r="F47" s="255"/>
      <c r="G47" s="255"/>
      <c r="H47" s="255"/>
      <c r="I47" s="255"/>
      <c r="J47" s="255"/>
      <c r="K47" s="255"/>
      <c r="L47" s="255"/>
      <c r="M47" s="256"/>
      <c r="U47" s="257"/>
    </row>
    <row r="49" spans="1:1" ht="20.149999999999999" customHeight="1" x14ac:dyDescent="0.35">
      <c r="A49" s="274" t="s">
        <v>187</v>
      </c>
    </row>
    <row r="50" spans="1:1" ht="20.149999999999999" customHeight="1" x14ac:dyDescent="0.35">
      <c r="A50" s="274" t="s">
        <v>188</v>
      </c>
    </row>
  </sheetData>
  <sheetProtection algorithmName="SHA-512" hashValue="oCaR7gO/1sWX1XAMeh5Pk88gmtqg317WGZ1a2XuCtCZdR4tO9DwG9/uVtOvlCXwzlYCSTCVbL4geVQR0w7a5tw==" saltValue="ev+4m/oD8Sj1Ww6O/8ytBQ==" spinCount="100000" sheet="1" objects="1" scenarios="1" formatCells="0"/>
  <protectedRanges>
    <protectedRange sqref="D12:F16 M11:M18 I14:I15 D8:F8 D7 C22:F31" name="Cambios"/>
  </protectedRanges>
  <mergeCells count="41">
    <mergeCell ref="A1:A6"/>
    <mergeCell ref="D7:G7"/>
    <mergeCell ref="C10:G10"/>
    <mergeCell ref="L10:M10"/>
    <mergeCell ref="D21:F21"/>
    <mergeCell ref="D12:F12"/>
    <mergeCell ref="D17:F17"/>
    <mergeCell ref="D11:F11"/>
    <mergeCell ref="D13:F13"/>
    <mergeCell ref="D14:F14"/>
    <mergeCell ref="D15:F15"/>
    <mergeCell ref="D16:F16"/>
    <mergeCell ref="G14:H14"/>
    <mergeCell ref="G15:H15"/>
    <mergeCell ref="D42:E42"/>
    <mergeCell ref="B34:C34"/>
    <mergeCell ref="B35:C35"/>
    <mergeCell ref="B36:C36"/>
    <mergeCell ref="B37:C37"/>
    <mergeCell ref="D37:E37"/>
    <mergeCell ref="D34:E34"/>
    <mergeCell ref="D35:E35"/>
    <mergeCell ref="D36:E36"/>
    <mergeCell ref="D39:E39"/>
    <mergeCell ref="D40:E40"/>
    <mergeCell ref="J39:K39"/>
    <mergeCell ref="J40:K40"/>
    <mergeCell ref="J41:K41"/>
    <mergeCell ref="J42:K42"/>
    <mergeCell ref="B39:C39"/>
    <mergeCell ref="F39:G39"/>
    <mergeCell ref="F40:G40"/>
    <mergeCell ref="F41:G41"/>
    <mergeCell ref="F42:G42"/>
    <mergeCell ref="H39:I39"/>
    <mergeCell ref="H40:I40"/>
    <mergeCell ref="H41:I41"/>
    <mergeCell ref="H42:I42"/>
    <mergeCell ref="B40:C40"/>
    <mergeCell ref="B41:C41"/>
    <mergeCell ref="B42:C42"/>
  </mergeCells>
  <dataValidations count="3">
    <dataValidation type="list" allowBlank="1" showInputMessage="1" showErrorMessage="1" sqref="D22:D31 D8">
      <formula1>dia</formula1>
    </dataValidation>
    <dataValidation type="list" allowBlank="1" showInputMessage="1" showErrorMessage="1" sqref="E22:E31 E8">
      <formula1>Mes</formula1>
    </dataValidation>
    <dataValidation type="list" allowBlank="1" showInputMessage="1" showErrorMessage="1" sqref="F22:F24">
      <formula1>Año</formula1>
    </dataValidation>
  </dataValidations>
  <pageMargins left="0.7" right="0.7" top="0.75" bottom="0.75" header="0.3" footer="0.3"/>
  <pageSetup paperSize="256" orientation="portrait" horizontalDpi="203" verticalDpi="20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2A999C5-EF61-4021-BE1B-0894FDD10B08}">
            <xm:f>'\Users\asoto\Documents\Planes\Plan Avanzado\Cotizadores\2022\[COTI_PLANAVANZADO_180422.xlsx]Factores'!#REF!=2</xm:f>
            <x14:dxf>
              <border>
                <left/>
                <right/>
                <top/>
                <bottom/>
                <vertical/>
                <horizontal/>
              </border>
            </x14:dxf>
          </x14:cfRule>
          <xm:sqref>B45:Y46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tablas!$G$4:$G$5</xm:f>
          </x14:formula1>
          <xm:sqref>U7 C22:C31</xm:sqref>
        </x14:dataValidation>
        <x14:dataValidation type="list" allowBlank="1" showInputMessage="1" showErrorMessage="1">
          <x14:formula1>
            <xm:f>'Primas_Importes '!$I$4:$I$8</xm:f>
          </x14:formula1>
          <xm:sqref>M13</xm:sqref>
        </x14:dataValidation>
        <x14:dataValidation type="custom" allowBlank="1" showInputMessage="1" showErrorMessage="1">
          <x14:formula1>
            <xm:f>IF($M$14="NO","",'Primas_Importes '!#REF!)</xm:f>
          </x14:formula1>
          <xm:sqref>N14</xm:sqref>
        </x14:dataValidation>
        <x14:dataValidation type="list" allowBlank="1" showInputMessage="1" showErrorMessage="1">
          <x14:formula1>
            <xm:f>tablas!$E$4:$E$5</xm:f>
          </x14:formula1>
          <xm:sqref>F8</xm:sqref>
        </x14:dataValidation>
        <x14:dataValidation type="list" allowBlank="1" showInputMessage="1" showErrorMessage="1">
          <x14:formula1>
            <xm:f>Factores!$V$4:$V$6</xm:f>
          </x14:formula1>
          <xm:sqref>M11</xm:sqref>
        </x14:dataValidation>
        <x14:dataValidation type="list" allowBlank="1" showInputMessage="1" showErrorMessage="1">
          <x14:formula1>
            <xm:f>Factores!$Y$4:$Y$6</xm:f>
          </x14:formula1>
          <xm:sqref>M15</xm:sqref>
        </x14:dataValidation>
        <x14:dataValidation type="list" allowBlank="1" showInputMessage="1" showErrorMessage="1">
          <x14:formula1>
            <xm:f>Factores!$V$11:$V$14</xm:f>
          </x14:formula1>
          <xm:sqref>M12</xm:sqref>
        </x14:dataValidation>
        <x14:dataValidation type="list" allowBlank="1" showInputMessage="1" showErrorMessage="1">
          <x14:formula1>
            <xm:f>Factores!$R$3:$R$34</xm:f>
          </x14:formula1>
          <xm:sqref>D16</xm:sqref>
        </x14:dataValidation>
        <x14:dataValidation type="list" allowBlank="1" showInputMessage="1" showErrorMessage="1">
          <x14:formula1>
            <xm:f>IF(OR($D$15="SERIE 100",$D$15="SERIE 200"),Factores!$O$12:$O$21,Factores!$O$12:$O$20)</xm:f>
          </x14:formula1>
          <xm:sqref>I15</xm:sqref>
        </x14:dataValidation>
        <x14:dataValidation type="list" allowBlank="1" showInputMessage="1" showErrorMessage="1">
          <x14:formula1>
            <xm:f>tablas!$G$9:$G$15</xm:f>
          </x14:formula1>
          <xm:sqref>M14</xm:sqref>
        </x14:dataValidation>
        <x14:dataValidation type="list" allowBlank="1" showInputMessage="1" showErrorMessage="1">
          <x14:formula1>
            <xm:f>tablas!$E$5:$E$86</xm:f>
          </x14:formula1>
          <xm:sqref>F25:F31</xm:sqref>
        </x14:dataValidation>
        <x14:dataValidation type="list" allowBlank="1" showInputMessage="1" showErrorMessage="1">
          <x14:formula1>
            <xm:f>Factores!$K$4:$K$8</xm:f>
          </x14:formula1>
          <xm:sqref>D14:F14</xm:sqref>
        </x14:dataValidation>
        <x14:dataValidation type="list" allowBlank="1" showInputMessage="1" showErrorMessage="1">
          <x14:formula1>
            <xm:f>Factores!$K$14:$K$17</xm:f>
          </x14:formula1>
          <xm:sqref>I14</xm:sqref>
        </x14:dataValidation>
        <x14:dataValidation type="list" allowBlank="1" showInputMessage="1" showErrorMessage="1">
          <x14:formula1>
            <xm:f>Factores!$O$4:$O$7</xm:f>
          </x14:formula1>
          <xm:sqref>D15:F15</xm:sqref>
        </x14:dataValidation>
        <x14:dataValidation type="list" allowBlank="1" showInputMessage="1" showErrorMessage="1">
          <x14:formula1>
            <xm:f>Factores!$Y$11:$Y$12</xm:f>
          </x14:formula1>
          <xm:sqref>M16</xm:sqref>
        </x14:dataValidation>
        <x14:dataValidation type="list" allowBlank="1" showInputMessage="1" showErrorMessage="1">
          <x14:formula1>
            <xm:f>tablas!$I$9:$I$10</xm:f>
          </x14:formula1>
          <xm:sqref>M18</xm:sqref>
        </x14:dataValidation>
        <x14:dataValidation type="list" allowBlank="1" showInputMessage="1" showErrorMessage="1">
          <x14:formula1>
            <xm:f>Factores!$E$4:$E$72</xm:f>
          </x14:formula1>
          <xm:sqref>D12:F12</xm:sqref>
        </x14:dataValidation>
        <x14:dataValidation type="list" allowBlank="1" showInputMessage="1" showErrorMessage="1">
          <x14:formula1>
            <xm:f>Factores!$H$4:$H$94</xm:f>
          </x14:formula1>
          <xm:sqref>D13:F13</xm:sqref>
        </x14:dataValidation>
        <x14:dataValidation type="list" allowBlank="1" showInputMessage="1" showErrorMessage="1">
          <x14:formula1>
            <xm:f>'Primas_Importes '!$I$11:$I$13</xm:f>
          </x14:formula1>
          <xm:sqref>M17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A10" workbookViewId="0">
      <selection activeCell="C18" sqref="C18"/>
    </sheetView>
  </sheetViews>
  <sheetFormatPr baseColWidth="10" defaultRowHeight="14.5" x14ac:dyDescent="0.35"/>
  <cols>
    <col min="1" max="1" width="5.453125" customWidth="1"/>
    <col min="2" max="2" width="43.453125" customWidth="1"/>
    <col min="3" max="3" width="14.54296875" customWidth="1"/>
    <col min="4" max="4" width="14.1796875" customWidth="1"/>
  </cols>
  <sheetData>
    <row r="1" spans="1:12" ht="15" thickBot="1" x14ac:dyDescent="0.4"/>
    <row r="2" spans="1:12" x14ac:dyDescent="0.35">
      <c r="B2" s="111" t="s">
        <v>146</v>
      </c>
      <c r="C2" s="112">
        <v>1</v>
      </c>
      <c r="D2" s="112">
        <v>2</v>
      </c>
      <c r="E2" s="112">
        <v>3</v>
      </c>
      <c r="F2" s="112">
        <v>4</v>
      </c>
      <c r="G2" s="112">
        <v>5</v>
      </c>
      <c r="H2" s="112">
        <v>6</v>
      </c>
      <c r="I2" s="112">
        <v>7</v>
      </c>
      <c r="J2" s="112">
        <v>8</v>
      </c>
      <c r="K2" s="112">
        <v>9</v>
      </c>
      <c r="L2" s="113">
        <v>10</v>
      </c>
    </row>
    <row r="3" spans="1:12" x14ac:dyDescent="0.35">
      <c r="B3" s="117" t="s">
        <v>147</v>
      </c>
      <c r="C3" s="114" t="str">
        <f>+Cotizador!C22</f>
        <v>Masculino</v>
      </c>
      <c r="D3" s="114" t="str">
        <f>+Cotizador!C23</f>
        <v>Femenino</v>
      </c>
      <c r="E3" s="114" t="str">
        <f>+Cotizador!C24</f>
        <v>Femenino</v>
      </c>
      <c r="F3" s="114" t="str">
        <f>+Cotizador!C25</f>
        <v>Masculino</v>
      </c>
      <c r="G3" s="114" t="str">
        <f>+Cotizador!C26</f>
        <v>Femenino</v>
      </c>
      <c r="H3" s="114" t="str">
        <f>+Cotizador!C27</f>
        <v>Femenino</v>
      </c>
      <c r="I3" s="114" t="str">
        <f>+Cotizador!C28</f>
        <v>Femenino</v>
      </c>
      <c r="J3" s="114" t="str">
        <f>+Cotizador!C29</f>
        <v>Femenino</v>
      </c>
      <c r="K3" s="114" t="str">
        <f>+Cotizador!C30</f>
        <v>Masculino</v>
      </c>
      <c r="L3" s="115" t="str">
        <f>+Cotizador!C31</f>
        <v>Femenino</v>
      </c>
    </row>
    <row r="4" spans="1:12" x14ac:dyDescent="0.35">
      <c r="B4" s="117" t="s">
        <v>2</v>
      </c>
      <c r="C4" s="114">
        <f>+Cotizador!G22</f>
        <v>45</v>
      </c>
      <c r="D4" s="114">
        <f>+Cotizador!G23</f>
        <v>63</v>
      </c>
      <c r="E4" s="114" t="str">
        <f>+Cotizador!G24</f>
        <v/>
      </c>
      <c r="F4" s="114" t="str">
        <f>+Cotizador!G25</f>
        <v/>
      </c>
      <c r="G4" s="114" t="str">
        <f>+Cotizador!G26</f>
        <v/>
      </c>
      <c r="H4" s="114" t="str">
        <f>+Cotizador!G27</f>
        <v/>
      </c>
      <c r="I4" s="114" t="str">
        <f>+Cotizador!G28</f>
        <v/>
      </c>
      <c r="J4" s="114" t="str">
        <f>+Cotizador!G29</f>
        <v/>
      </c>
      <c r="K4" s="114" t="str">
        <f>+Cotizador!G30</f>
        <v/>
      </c>
      <c r="L4" s="115" t="str">
        <f>+Cotizador!G31</f>
        <v/>
      </c>
    </row>
    <row r="5" spans="1:12" ht="9.75" customHeight="1" x14ac:dyDescent="0.35"/>
    <row r="6" spans="1:12" ht="10.5" customHeight="1" thickBot="1" x14ac:dyDescent="0.4"/>
    <row r="7" spans="1:12" ht="15" customHeight="1" x14ac:dyDescent="0.35">
      <c r="A7" s="327" t="s">
        <v>159</v>
      </c>
      <c r="B7" s="118" t="s">
        <v>180</v>
      </c>
      <c r="C7" s="123">
        <f>+IF(OR(C3=0,C4=""),"",IF(OR(Cotizador!$D$17="LINEA",Cotizador!$D$17="SUR",Cotizador!$D$17="ESTADO DE MÉXICO",Cotizador!$D$17="NOROESTE",Cotizador!$D$17="SURESTE"),IF(C3="Masculino",VLOOKUP(C4,'Primas_Importes '!$A$2:$G$103,2,FALSE),VLOOKUP(C4,'Primas_Importes '!$A$2:$G$103,3,FALSE)),IF(Cotizador!$D$17="NORESTE",IF(C3="Masculino",VLOOKUP(C4,'Primas_Importes '!$A$2:$G$103,6,FALSE),VLOOKUP(C4,'Primas_Importes '!$A$2:$G$103,7,FALSE)),IF(C3="Masculino",VLOOKUP(C4,'Primas_Importes '!$A$2:$G$103,4,FALSE),VLOOKUP(C4,'Primas_Importes '!$A$2:$G$103,5,FALSE)))))</f>
        <v>29253</v>
      </c>
      <c r="D7" s="123">
        <f>+IF(OR(D3=0,D4=""),"",IF(OR(Cotizador!$D$17="LINEA",Cotizador!$D$17="SUR",Cotizador!$D$17="ESTADO DE MÉXICO",Cotizador!$D$17="NOROESTE",Cotizador!$D$17="SURESTE"),IF(D3="Masculino",VLOOKUP(D4,'Primas_Importes '!$A$2:$G$103,2,FALSE),VLOOKUP(D4,'Primas_Importes '!$A$2:$G$103,3,FALSE)),IF(Cotizador!$D$17="NORESTE",IF(D3="Masculino",VLOOKUP(D4,'Primas_Importes '!$A$2:$G$103,6,FALSE),VLOOKUP(D4,'Primas_Importes '!$A$2:$G$103,7,FALSE)),IF(D3="Masculino",VLOOKUP(D4,'Primas_Importes '!$A$2:$G$103,4,FALSE),VLOOKUP(D4,'Primas_Importes '!$A$2:$G$103,5,FALSE)))))</f>
        <v>57015</v>
      </c>
      <c r="E7" s="123" t="str">
        <f>+IF(OR(E3=0,E4=""),"",IF(OR(Cotizador!$D$17="LINEA",Cotizador!$D$17="SUR",Cotizador!$D$17="ESTADO DE MÉXICO",Cotizador!$D$17="NOROESTE",Cotizador!$D$17="SURESTE"),IF(E3="Masculino",VLOOKUP(E4,'Primas_Importes '!$A$2:$G$103,2,FALSE),VLOOKUP(E4,'Primas_Importes '!$A$2:$G$103,3,FALSE)),IF(Cotizador!$D$17="NORESTE",IF(E3="Masculino",VLOOKUP(E4,'Primas_Importes '!$A$2:$G$103,6,FALSE),VLOOKUP(E4,'Primas_Importes '!$A$2:$G$103,7,FALSE)),IF(E3="Masculino",VLOOKUP(E4,'Primas_Importes '!$A$2:$G$103,4,FALSE),VLOOKUP(E4,'Primas_Importes '!$A$2:$G$103,5,FALSE)))))</f>
        <v/>
      </c>
      <c r="F7" s="123" t="str">
        <f>+IF(OR(F3=0,F4=""),"",IF(OR(Cotizador!$D$17="LINEA",Cotizador!$D$17="SUR",Cotizador!$D$17="ESTADO DE MÉXICO",Cotizador!$D$17="NOROESTE",Cotizador!$D$17="SURESTE"),IF(F3="Masculino",VLOOKUP(F4,'Primas_Importes '!$A$2:$G$103,2,FALSE),VLOOKUP(F4,'Primas_Importes '!$A$2:$G$103,3,FALSE)),IF(Cotizador!$D$17="NORESTE",IF(F3="Masculino",VLOOKUP(F4,'Primas_Importes '!$A$2:$G$103,6,FALSE),VLOOKUP(F4,'Primas_Importes '!$A$2:$G$103,7,FALSE)),IF(F3="Masculino",VLOOKUP(F4,'Primas_Importes '!$A$2:$G$103,4,FALSE),VLOOKUP(F4,'Primas_Importes '!$A$2:$G$103,5,FALSE)))))</f>
        <v/>
      </c>
      <c r="G7" s="123" t="str">
        <f>+IF(OR(G3=0,G4=""),"",IF(OR(Cotizador!$D$17="LINEA",Cotizador!$D$17="SUR",Cotizador!$D$17="ESTADO DE MÉXICO",Cotizador!$D$17="NOROESTE",Cotizador!$D$17="SURESTE"),IF(G3="Masculino",VLOOKUP(G4,'Primas_Importes '!$A$2:$G$103,2,FALSE),VLOOKUP(G4,'Primas_Importes '!$A$2:$G$103,3,FALSE)),IF(Cotizador!$D$17="NORESTE",IF(G3="Masculino",VLOOKUP(G4,'Primas_Importes '!$A$2:$G$103,6,FALSE),VLOOKUP(G4,'Primas_Importes '!$A$2:$G$103,7,FALSE)),IF(G3="Masculino",VLOOKUP(G4,'Primas_Importes '!$A$2:$G$103,4,FALSE),VLOOKUP(G4,'Primas_Importes '!$A$2:$G$103,5,FALSE)))))</f>
        <v/>
      </c>
      <c r="H7" s="123" t="str">
        <f>+IF(OR(H3=0,H4=""),"",IF(OR(Cotizador!$D$17="LINEA",Cotizador!$D$17="SUR",Cotizador!$D$17="ESTADO DE MÉXICO",Cotizador!$D$17="NOROESTE",Cotizador!$D$17="SURESTE"),IF(H3="Masculino",VLOOKUP(H4,'Primas_Importes '!$A$2:$G$103,2,FALSE),VLOOKUP(H4,'Primas_Importes '!$A$2:$G$103,3,FALSE)),IF(Cotizador!$D$17="NORESTE",IF(H3="Masculino",VLOOKUP(H4,'Primas_Importes '!$A$2:$G$103,6,FALSE),VLOOKUP(H4,'Primas_Importes '!$A$2:$G$103,7,FALSE)),IF(H3="Masculino",VLOOKUP(H4,'Primas_Importes '!$A$2:$G$103,4,FALSE),VLOOKUP(H4,'Primas_Importes '!$A$2:$G$103,5,FALSE)))))</f>
        <v/>
      </c>
      <c r="I7" s="123" t="str">
        <f>+IF(OR(I3=0,I4=""),"",IF(OR(Cotizador!$D$17="LINEA",Cotizador!$D$17="SUR",Cotizador!$D$17="ESTADO DE MÉXICO",Cotizador!$D$17="NOROESTE",Cotizador!$D$17="SURESTE"),IF(I3="Masculino",VLOOKUP(I4,'Primas_Importes '!$A$2:$G$103,2,FALSE),VLOOKUP(I4,'Primas_Importes '!$A$2:$G$103,3,FALSE)),IF(Cotizador!$D$17="NORESTE",IF(I3="Masculino",VLOOKUP(I4,'Primas_Importes '!$A$2:$G$103,6,FALSE),VLOOKUP(I4,'Primas_Importes '!$A$2:$G$103,7,FALSE)),IF(I3="Masculino",VLOOKUP(I4,'Primas_Importes '!$A$2:$G$103,4,FALSE),VLOOKUP(I4,'Primas_Importes '!$A$2:$G$103,5,FALSE)))))</f>
        <v/>
      </c>
      <c r="J7" s="123" t="str">
        <f>+IF(OR(J3=0,J4=""),"",IF(OR(Cotizador!$D$17="LINEA",Cotizador!$D$17="SUR",Cotizador!$D$17="ESTADO DE MÉXICO",Cotizador!$D$17="NOROESTE",Cotizador!$D$17="SURESTE"),IF(J3="Masculino",VLOOKUP(J4,'Primas_Importes '!$A$2:$G$103,2,FALSE),VLOOKUP(J4,'Primas_Importes '!$A$2:$G$103,3,FALSE)),IF(Cotizador!$D$17="NORESTE",IF(J3="Masculino",VLOOKUP(J4,'Primas_Importes '!$A$2:$G$103,6,FALSE),VLOOKUP(J4,'Primas_Importes '!$A$2:$G$103,7,FALSE)),IF(J3="Masculino",VLOOKUP(J4,'Primas_Importes '!$A$2:$G$103,4,FALSE),VLOOKUP(J4,'Primas_Importes '!$A$2:$G$103,5,FALSE)))))</f>
        <v/>
      </c>
      <c r="K7" s="123" t="str">
        <f>+IF(OR(K3=0,K4=""),"",IF(OR(Cotizador!$D$17="LINEA",Cotizador!$D$17="SUR",Cotizador!$D$17="ESTADO DE MÉXICO",Cotizador!$D$17="NOROESTE",Cotizador!$D$17="SURESTE"),IF(K3="Masculino",VLOOKUP(K4,'Primas_Importes '!$A$2:$G$103,2,FALSE),VLOOKUP(K4,'Primas_Importes '!$A$2:$G$103,3,FALSE)),IF(Cotizador!$D$17="NORESTE",IF(K3="Masculino",VLOOKUP(K4,'Primas_Importes '!$A$2:$G$103,6,FALSE),VLOOKUP(K4,'Primas_Importes '!$A$2:$G$103,7,FALSE)),IF(K3="Masculino",VLOOKUP(K4,'Primas_Importes '!$A$2:$G$103,4,FALSE),VLOOKUP(K4,'Primas_Importes '!$A$2:$G$103,5,FALSE)))))</f>
        <v/>
      </c>
      <c r="L7" s="123" t="str">
        <f>+IF(OR(L3=0,L4=""),"",IF(OR(Cotizador!$D$17="LINEA",Cotizador!$D$17="SUR",Cotizador!$D$17="ESTADO DE MÉXICO",Cotizador!$D$17="NOROESTE",Cotizador!$D$17="SURESTE"),IF(L3="Masculino",VLOOKUP(L4,'Primas_Importes '!$A$2:$G$103,2,FALSE),VLOOKUP(L4,'Primas_Importes '!$A$2:$G$103,3,FALSE)),IF(Cotizador!$D$17="NORESTE",IF(L3="Masculino",VLOOKUP(L4,'Primas_Importes '!$A$2:$G$103,6,FALSE),VLOOKUP(L4,'Primas_Importes '!$A$2:$G$103,7,FALSE)),IF(L3="Masculino",VLOOKUP(L4,'Primas_Importes '!$A$2:$G$103,4,FALSE),VLOOKUP(L4,'Primas_Importes '!$A$2:$G$103,5,FALSE)))))</f>
        <v/>
      </c>
    </row>
    <row r="8" spans="1:12" x14ac:dyDescent="0.35">
      <c r="A8" s="327"/>
      <c r="B8" s="119" t="s">
        <v>154</v>
      </c>
      <c r="C8" s="122">
        <f>+IF(OR(C3=0,C4=""),"",VLOOKUP(C4,Factores!$A$3:$C$104,MATCH(C3,Factores!$A$3:$C$3,0),FALSE))</f>
        <v>0.68928454995352395</v>
      </c>
      <c r="D8" s="122">
        <f>+IF(OR(D3=0,D4=""),"",VLOOKUP(D4,Factores!$A$3:$C$104,MATCH(D3,Factores!$A$3:$C$3,0),FALSE))</f>
        <v>0.68928454995352395</v>
      </c>
      <c r="E8" s="122" t="str">
        <f>+IF(OR(E3=0,E4=""),"",VLOOKUP(E4,Factores!$A$3:$C$104,MATCH(E3,Factores!$A$3:$C$3,0),FALSE))</f>
        <v/>
      </c>
      <c r="F8" s="122" t="str">
        <f>+IF(OR(F3=0,F4=""),"",VLOOKUP(F4,Factores!$A$3:$C$104,MATCH(F3,Factores!$A$3:$C$3,0),FALSE))</f>
        <v/>
      </c>
      <c r="G8" s="122" t="str">
        <f>+IF(OR(G3=0,G4=""),"",VLOOKUP(G4,Factores!$A$3:$C$104,MATCH(G3,Factores!$A$3:$C$3,0),FALSE))</f>
        <v/>
      </c>
      <c r="H8" s="122" t="str">
        <f>+IF(OR(H3=0,H4=""),"",VLOOKUP(H4,Factores!$A$3:$C$104,MATCH(H3,Factores!$A$3:$C$3,0),FALSE))</f>
        <v/>
      </c>
      <c r="I8" s="122" t="str">
        <f>+IF(OR(I3=0,I4=""),"",VLOOKUP(I4,Factores!$A$3:$C$104,MATCH(I3,Factores!$A$3:$C$3,0),FALSE))</f>
        <v/>
      </c>
      <c r="J8" s="122" t="str">
        <f>+IF(OR(J3=0,J4=""),"",VLOOKUP(J4,Factores!$A$3:$C$104,MATCH(J3,Factores!$A$3:$C$3,0),FALSE))</f>
        <v/>
      </c>
      <c r="K8" s="122" t="str">
        <f>+IF(OR(K3=0,K4=""),"",VLOOKUP(K4,Factores!$A$3:$C$104,MATCH(K3,Factores!$A$3:$C$3,0),FALSE))</f>
        <v/>
      </c>
      <c r="L8" s="127" t="str">
        <f>+IF(OR(L3=0,L4=""),"",VLOOKUP(L4,Factores!$A$3:$C$104,MATCH(L3,Factores!$A$3:$C$3,0),FALSE))</f>
        <v/>
      </c>
    </row>
    <row r="9" spans="1:12" ht="15" thickBot="1" x14ac:dyDescent="0.4">
      <c r="A9" s="327"/>
      <c r="B9" s="120" t="s">
        <v>161</v>
      </c>
      <c r="C9" s="128">
        <f t="shared" ref="C9:L9" si="0">+IF(OR(C3=0,C4=""),"",PRODUCT(C7:C8))</f>
        <v>20163.640939790435</v>
      </c>
      <c r="D9" s="128">
        <f t="shared" si="0"/>
        <v>39299.558615600166</v>
      </c>
      <c r="E9" s="128" t="str">
        <f t="shared" si="0"/>
        <v/>
      </c>
      <c r="F9" s="128" t="str">
        <f t="shared" si="0"/>
        <v/>
      </c>
      <c r="G9" s="128" t="str">
        <f t="shared" si="0"/>
        <v/>
      </c>
      <c r="H9" s="128" t="str">
        <f t="shared" si="0"/>
        <v/>
      </c>
      <c r="I9" s="128" t="str">
        <f t="shared" si="0"/>
        <v/>
      </c>
      <c r="J9" s="128" t="str">
        <f t="shared" si="0"/>
        <v/>
      </c>
      <c r="K9" s="128" t="str">
        <f t="shared" si="0"/>
        <v/>
      </c>
      <c r="L9" s="207" t="str">
        <f t="shared" si="0"/>
        <v/>
      </c>
    </row>
    <row r="10" spans="1:12" x14ac:dyDescent="0.35">
      <c r="A10" s="116"/>
      <c r="C10" s="109"/>
    </row>
    <row r="11" spans="1:12" ht="15" thickBot="1" x14ac:dyDescent="0.4">
      <c r="A11" s="110"/>
    </row>
    <row r="12" spans="1:12" ht="15" customHeight="1" x14ac:dyDescent="0.35">
      <c r="A12" s="327" t="s">
        <v>160</v>
      </c>
      <c r="B12" s="118" t="s">
        <v>148</v>
      </c>
      <c r="C12" s="124">
        <f>+VLOOKUP(Cotizador!$M$17,'Primas_Importes '!$I$11:$J$13,2,FALSE)</f>
        <v>1223.3699999999999</v>
      </c>
      <c r="D12" s="124">
        <f>+VLOOKUP(Cotizador!$M$17,'Primas_Importes '!$I$11:$J$13,2,FALSE)</f>
        <v>1223.3699999999999</v>
      </c>
      <c r="E12" s="124">
        <f>+VLOOKUP(Cotizador!$M$17,'Primas_Importes '!$I$11:$J$13,2,FALSE)</f>
        <v>1223.3699999999999</v>
      </c>
      <c r="F12" s="124">
        <f>+VLOOKUP(Cotizador!$M$17,'Primas_Importes '!$I$11:$J$13,2,FALSE)</f>
        <v>1223.3699999999999</v>
      </c>
      <c r="G12" s="124">
        <f>+VLOOKUP(Cotizador!$M$17,'Primas_Importes '!$I$11:$J$13,2,FALSE)</f>
        <v>1223.3699999999999</v>
      </c>
      <c r="H12" s="124">
        <f>+VLOOKUP(Cotizador!$M$17,'Primas_Importes '!$I$11:$J$13,2,FALSE)</f>
        <v>1223.3699999999999</v>
      </c>
      <c r="I12" s="124">
        <f>+VLOOKUP(Cotizador!$M$17,'Primas_Importes '!$I$11:$J$13,2,FALSE)</f>
        <v>1223.3699999999999</v>
      </c>
      <c r="J12" s="124">
        <f>+VLOOKUP(Cotizador!$M$17,'Primas_Importes '!$I$11:$J$13,2,FALSE)</f>
        <v>1223.3699999999999</v>
      </c>
      <c r="K12" s="124">
        <f>+VLOOKUP(Cotizador!$M$17,'Primas_Importes '!$I$11:$J$13,2,FALSE)</f>
        <v>1223.3699999999999</v>
      </c>
      <c r="L12" s="272">
        <f>+VLOOKUP(Cotizador!$M$17,'Primas_Importes '!$I$11:$J$13,2,FALSE)</f>
        <v>1223.3699999999999</v>
      </c>
    </row>
    <row r="13" spans="1:12" x14ac:dyDescent="0.35">
      <c r="A13" s="327"/>
      <c r="B13" s="119" t="s">
        <v>156</v>
      </c>
      <c r="C13" s="125">
        <f>+IF(AND(20&lt;=C4,C4&lt;=65),IF(OR(C3=0,C4=""),"",VLOOKUP(Cotizador!$M$13,'Primas_Importes '!$I$4:$J$8,2,FALSE)),0)</f>
        <v>100</v>
      </c>
      <c r="D13" s="125">
        <f>+IF(AND(20&lt;=D4,D4&lt;=65),IF(OR(D3=0,D4=""),"",VLOOKUP(Cotizador!$M$13,'Primas_Importes '!$I$4:$J$8,2,FALSE)),0)</f>
        <v>100</v>
      </c>
      <c r="E13" s="125">
        <f>+IF(AND(20&lt;=E4,E4&lt;=65),IF(OR(E3=0,E4=""),"",VLOOKUP(Cotizador!$M$13,'Primas_Importes '!$I$4:$J$8,2,FALSE)),0)</f>
        <v>0</v>
      </c>
      <c r="F13" s="125">
        <f>+IF(AND(20&lt;=F4,F4&lt;=65),IF(OR(F3=0,F4=""),"",VLOOKUP(Cotizador!$M$13,'Primas_Importes '!$I$4:$J$8,2,FALSE)),0)</f>
        <v>0</v>
      </c>
      <c r="G13" s="125">
        <f>+IF(AND(20&lt;=G4,G4&lt;=65),IF(OR(G3=0,G4=""),"",VLOOKUP(Cotizador!$M$13,'Primas_Importes '!$I$4:$J$8,2,FALSE)),0)</f>
        <v>0</v>
      </c>
      <c r="H13" s="125">
        <f>+IF(AND(20&lt;=H4,H4&lt;=65),IF(OR(H3=0,H4=""),"",VLOOKUP(Cotizador!$M$13,'Primas_Importes '!$I$4:$J$8,2,FALSE)),0)</f>
        <v>0</v>
      </c>
      <c r="I13" s="125">
        <f>+IF(AND(20&lt;=I4,I4&lt;=65),IF(OR(I3=0,I4=""),"",VLOOKUP(Cotizador!$M$13,'Primas_Importes '!$I$4:$J$8,2,FALSE)),0)</f>
        <v>0</v>
      </c>
      <c r="J13" s="125">
        <f>+IF(AND(20&lt;=J4,J4&lt;=65),IF(OR(J3=0,J4=""),"",VLOOKUP(Cotizador!$M$13,'Primas_Importes '!$I$4:$J$8,2,FALSE)),0)</f>
        <v>0</v>
      </c>
      <c r="K13" s="125">
        <f>+IF(AND(20&lt;=K4,K4&lt;=65),IF(OR(K3=0,K4=""),"",VLOOKUP(Cotizador!$M$13,'Primas_Importes '!$I$4:$J$8,2,FALSE)),0)</f>
        <v>0</v>
      </c>
      <c r="L13" s="209">
        <f>+IF(AND(20&lt;=L4,L4&lt;=65),IF(OR(L3=0,L4=""),"",VLOOKUP(Cotizador!$M$13,'Primas_Importes '!$I$4:$J$8,2,FALSE)),0)</f>
        <v>0</v>
      </c>
    </row>
    <row r="14" spans="1:12" x14ac:dyDescent="0.35">
      <c r="A14" s="327"/>
      <c r="B14" s="119" t="s">
        <v>157</v>
      </c>
      <c r="C14" s="125">
        <f>+IF(AND(C4&lt;=55,C4&gt;=20),IF(C3="Femenino",IF(Cotizador!$M$14="NO",0,VLOOKUP(Cotizador!G22,'Primas_Importes '!$L$4:$R$103,MATCH(Cotizador!$M$14,'Primas_Importes '!$L$3:$R$3,0),FALSE)),0),0)</f>
        <v>0</v>
      </c>
      <c r="D14" s="125">
        <f>+IF(AND(D4&lt;=55,D4&gt;=20),IF(D3="Femenino",IF(Cotizador!$M$14="NO",0,VLOOKUP(Cotizador!G23,'Primas_Importes '!$L$4:$R$103,MATCH(Cotizador!$M$14,'Primas_Importes '!$L$3:$R$3,0),FALSE)),0),0)</f>
        <v>0</v>
      </c>
      <c r="E14" s="125">
        <f>+IF(AND(E4&lt;=55,E4&gt;=20),IF(E3="Femenino",IF(Cotizador!$M$14="NO",0,VLOOKUP(Cotizador!G24,'Primas_Importes '!$L$4:$R$103,MATCH(Cotizador!$M$14,'Primas_Importes '!$L$3:$R$3,0),FALSE)),0),0)</f>
        <v>0</v>
      </c>
      <c r="F14" s="125">
        <f>+IF(AND(F4&lt;=55,F4&gt;=20),IF(F3="Femenino",IF(Cotizador!$M$14="NO",0,VLOOKUP(Cotizador!G25,'Primas_Importes '!$L$4:$R$103,MATCH(Cotizador!$M$14,'Primas_Importes '!$L$3:$R$3,0),FALSE)),0),0)</f>
        <v>0</v>
      </c>
      <c r="G14" s="125">
        <f>+IF(AND(G4&lt;=55,G4&gt;=20),IF(G3="Femenino",IF(Cotizador!$M$14="NO",0,VLOOKUP(Cotizador!G26,'Primas_Importes '!$L$4:$R$103,MATCH(Cotizador!$M$14,'Primas_Importes '!$L$3:$R$3,0),FALSE)),0),0)</f>
        <v>0</v>
      </c>
      <c r="H14" s="125">
        <f>+IF(AND(H4&lt;=55,H4&gt;=20),IF(H3="Femenino",IF(Cotizador!$M$14="NO",0,VLOOKUP(Cotizador!G27,'Primas_Importes '!$L$4:$R$103,MATCH(Cotizador!$M$14,'Primas_Importes '!$L$3:$R$3,0),FALSE)),0),0)</f>
        <v>0</v>
      </c>
      <c r="I14" s="125">
        <f>+IF(AND(I4&lt;=55,I4&gt;=20),IF(I3="Femenino",IF(Cotizador!$M$14="NO",0,VLOOKUP(Cotizador!G28,'Primas_Importes '!$L$4:$R$103,MATCH(Cotizador!$M$14,'Primas_Importes '!$L$3:$R$3,0),FALSE)),0),0)</f>
        <v>0</v>
      </c>
      <c r="J14" s="125">
        <f>+IF(AND(J4&lt;=55,J4&gt;=20),IF(J3="Femenino",IF(Cotizador!$M$14="NO",0,VLOOKUP(Cotizador!G29,'Primas_Importes '!$L$4:$R$103,MATCH(Cotizador!$M$14,'Primas_Importes '!$L$3:$R$3,0),FALSE)),0),0)</f>
        <v>0</v>
      </c>
      <c r="K14" s="125">
        <f>+IF(AND(K4&lt;=55,K4&gt;=20),IF(K3="Femenino",IF(Cotizador!$M$14="NO",0,VLOOKUP(Cotizador!G30,'Primas_Importes '!$L$4:$R$103,MATCH(Cotizador!$M$14,'Primas_Importes '!$L$3:$R$3,0),FALSE)),0),0)</f>
        <v>0</v>
      </c>
      <c r="L14" s="209">
        <f>+IF(AND(L4&lt;=55,L4&gt;=20),IF(L3="Femenino",IF(Cotizador!$M$14="NO",0,VLOOKUP(Cotizador!G31,'Primas_Importes '!$L$4:$R$103,MATCH(Cotizador!$M$14,'Primas_Importes '!$L$3:$R$3,0),FALSE)),0),0)</f>
        <v>0</v>
      </c>
    </row>
    <row r="15" spans="1:12" ht="15" thickBot="1" x14ac:dyDescent="0.4">
      <c r="A15" s="327"/>
      <c r="B15" s="120" t="s">
        <v>149</v>
      </c>
      <c r="C15" s="126">
        <f>+IF(OR(C3=0,C4=""),"",IF(Cotizador!$D$13&gt;20,0,IF(Cotizador!$M$18="SI",VLOOKUP(Cotizador!$D$13,'Primas_Importes '!$I$18:$J$87,2,FALSE),0)))</f>
        <v>1147.9000000000001</v>
      </c>
      <c r="D15" s="126">
        <f>+IF(OR(D3=0,D4=""),"",IF(Cotizador!$D$13&gt;20,0,IF(Cotizador!$M$18="SI",VLOOKUP(Cotizador!$D$13,'Primas_Importes '!$I$18:$J$87,2,FALSE),0)))</f>
        <v>1147.9000000000001</v>
      </c>
      <c r="E15" s="126" t="str">
        <f>+IF(OR(E3=0,E4=""),"",IF(Cotizador!$D$13&gt;20,0,IF(Cotizador!$M$18="SI",VLOOKUP(Cotizador!$D$13,'Primas_Importes '!$I$18:$J$87,2,FALSE),0)))</f>
        <v/>
      </c>
      <c r="F15" s="126" t="str">
        <f>+IF(OR(F3=0,F4=""),"",IF(Cotizador!$D$13&gt;20,0,IF(Cotizador!$M$18="SI",VLOOKUP(Cotizador!$D$13,'Primas_Importes '!$I$18:$J$87,2,FALSE),0)))</f>
        <v/>
      </c>
      <c r="G15" s="126" t="str">
        <f>+IF(OR(G3=0,G4=""),"",IF(Cotizador!$D$13&gt;20,0,IF(Cotizador!$M$18="SI",VLOOKUP(Cotizador!$D$13,'Primas_Importes '!$I$18:$J$87,2,FALSE),0)))</f>
        <v/>
      </c>
      <c r="H15" s="126" t="str">
        <f>+IF(OR(H3=0,H4=""),"",IF(Cotizador!$D$13&gt;20,0,IF(Cotizador!$M$18="SI",VLOOKUP(Cotizador!$D$13,'Primas_Importes '!$I$18:$J$87,2,FALSE),0)))</f>
        <v/>
      </c>
      <c r="I15" s="126" t="str">
        <f>+IF(OR(I3=0,I4=""),"",IF(Cotizador!$D$13&gt;20,0,IF(Cotizador!$M$18="SI",VLOOKUP(Cotizador!$D$13,'Primas_Importes '!$I$18:$J$87,2,FALSE),0)))</f>
        <v/>
      </c>
      <c r="J15" s="126" t="str">
        <f>+IF(OR(J3=0,J4=""),"",IF(Cotizador!$D$13&gt;20,0,IF(Cotizador!$M$18="SI",VLOOKUP(Cotizador!$D$13,'Primas_Importes '!$I$18:$J$87,2,FALSE),0)))</f>
        <v/>
      </c>
      <c r="K15" s="126" t="str">
        <f>+IF(OR(K3=0,K4=""),"",IF(Cotizador!$D$13&gt;20,0,IF(Cotizador!$M$18="SI",VLOOKUP(Cotizador!$D$13,'Primas_Importes '!$I$18:$J$87,2,FALSE),0)))</f>
        <v/>
      </c>
      <c r="L15" s="273" t="str">
        <f>+IF(OR(L3=0,L4=""),"",IF(Cotizador!$D$13&gt;20,0,IF(Cotizador!$M$18="SI",VLOOKUP(Cotizador!$D$13,'Primas_Importes '!$I$18:$J$87,2,FALSE),0)))</f>
        <v/>
      </c>
    </row>
    <row r="16" spans="1:12" ht="15" thickBot="1" x14ac:dyDescent="0.4"/>
    <row r="17" spans="2:12" ht="15" thickBot="1" x14ac:dyDescent="0.4">
      <c r="B17" s="121" t="s">
        <v>155</v>
      </c>
      <c r="C17" s="129">
        <f>+IF(OR(C3=0,C4=""), "", C9+C12+C13+C14+C15)</f>
        <v>22634.910939790436</v>
      </c>
      <c r="D17" s="129">
        <f t="shared" ref="D17:L17" si="1">+IF(OR(D3=0,D4=""), "", D9+D12+D13+D14+D15)</f>
        <v>41770.82861560017</v>
      </c>
      <c r="E17" s="129" t="str">
        <f t="shared" si="1"/>
        <v/>
      </c>
      <c r="F17" s="129" t="str">
        <f t="shared" si="1"/>
        <v/>
      </c>
      <c r="G17" s="129" t="str">
        <f t="shared" si="1"/>
        <v/>
      </c>
      <c r="H17" s="129" t="str">
        <f t="shared" si="1"/>
        <v/>
      </c>
      <c r="I17" s="129" t="str">
        <f t="shared" si="1"/>
        <v/>
      </c>
      <c r="J17" s="129" t="str">
        <f t="shared" si="1"/>
        <v/>
      </c>
      <c r="K17" s="129" t="str">
        <f t="shared" si="1"/>
        <v/>
      </c>
      <c r="L17" s="208" t="str">
        <f t="shared" si="1"/>
        <v/>
      </c>
    </row>
    <row r="18" spans="2:12" ht="15" thickBot="1" x14ac:dyDescent="0.4"/>
    <row r="19" spans="2:12" x14ac:dyDescent="0.35">
      <c r="B19" s="118" t="s">
        <v>155</v>
      </c>
      <c r="C19" s="124">
        <f>+C17</f>
        <v>22634.910939790436</v>
      </c>
      <c r="D19" s="124">
        <f t="shared" ref="D19:L19" si="2">+D17</f>
        <v>41770.82861560017</v>
      </c>
      <c r="E19" s="124" t="str">
        <f t="shared" si="2"/>
        <v/>
      </c>
      <c r="F19" s="124" t="str">
        <f t="shared" si="2"/>
        <v/>
      </c>
      <c r="G19" s="124" t="str">
        <f t="shared" si="2"/>
        <v/>
      </c>
      <c r="H19" s="124" t="str">
        <f t="shared" si="2"/>
        <v/>
      </c>
      <c r="I19" s="124" t="str">
        <f t="shared" si="2"/>
        <v/>
      </c>
      <c r="J19" s="124" t="str">
        <f t="shared" si="2"/>
        <v/>
      </c>
      <c r="K19" s="124" t="str">
        <f t="shared" si="2"/>
        <v/>
      </c>
      <c r="L19" s="124" t="str">
        <f t="shared" si="2"/>
        <v/>
      </c>
    </row>
    <row r="20" spans="2:12" x14ac:dyDescent="0.35">
      <c r="B20" s="119" t="s">
        <v>150</v>
      </c>
      <c r="C20" s="125">
        <v>0</v>
      </c>
      <c r="D20" s="125">
        <v>0</v>
      </c>
      <c r="E20" s="125">
        <v>0</v>
      </c>
      <c r="F20" s="125">
        <v>0</v>
      </c>
      <c r="G20" s="125">
        <v>0</v>
      </c>
      <c r="H20" s="125">
        <v>0</v>
      </c>
      <c r="I20" s="125">
        <v>0</v>
      </c>
      <c r="J20" s="125">
        <v>0</v>
      </c>
      <c r="K20" s="125">
        <v>0</v>
      </c>
      <c r="L20" s="125">
        <v>0</v>
      </c>
    </row>
    <row r="21" spans="2:12" x14ac:dyDescent="0.35">
      <c r="B21" s="119" t="s">
        <v>151</v>
      </c>
      <c r="C21" s="125">
        <f>+IF(C19="","",1500)</f>
        <v>1500</v>
      </c>
      <c r="D21" s="125">
        <f t="shared" ref="D21:L21" si="3">+IF(D19="","",1500)</f>
        <v>1500</v>
      </c>
      <c r="E21" s="125" t="str">
        <f t="shared" si="3"/>
        <v/>
      </c>
      <c r="F21" s="125" t="str">
        <f t="shared" si="3"/>
        <v/>
      </c>
      <c r="G21" s="125" t="str">
        <f t="shared" si="3"/>
        <v/>
      </c>
      <c r="H21" s="125" t="str">
        <f t="shared" si="3"/>
        <v/>
      </c>
      <c r="I21" s="125" t="str">
        <f t="shared" si="3"/>
        <v/>
      </c>
      <c r="J21" s="125" t="str">
        <f t="shared" si="3"/>
        <v/>
      </c>
      <c r="K21" s="125" t="str">
        <f t="shared" si="3"/>
        <v/>
      </c>
      <c r="L21" s="125" t="str">
        <f t="shared" si="3"/>
        <v/>
      </c>
    </row>
    <row r="22" spans="2:12" x14ac:dyDescent="0.35">
      <c r="B22" s="119" t="s">
        <v>158</v>
      </c>
      <c r="C22" s="125">
        <f>+SUM(C19:C21)</f>
        <v>24134.910939790436</v>
      </c>
      <c r="D22" s="125">
        <f t="shared" ref="D22:L22" si="4">+SUM(D19:D21)</f>
        <v>43270.82861560017</v>
      </c>
      <c r="E22" s="125">
        <f t="shared" si="4"/>
        <v>0</v>
      </c>
      <c r="F22" s="125">
        <f t="shared" si="4"/>
        <v>0</v>
      </c>
      <c r="G22" s="125">
        <f t="shared" si="4"/>
        <v>0</v>
      </c>
      <c r="H22" s="125">
        <f t="shared" si="4"/>
        <v>0</v>
      </c>
      <c r="I22" s="125">
        <f t="shared" si="4"/>
        <v>0</v>
      </c>
      <c r="J22" s="125">
        <f t="shared" si="4"/>
        <v>0</v>
      </c>
      <c r="K22" s="125">
        <f t="shared" si="4"/>
        <v>0</v>
      </c>
      <c r="L22" s="125">
        <f t="shared" si="4"/>
        <v>0</v>
      </c>
    </row>
    <row r="23" spans="2:12" x14ac:dyDescent="0.35">
      <c r="B23" s="119" t="s">
        <v>152</v>
      </c>
      <c r="C23" s="125">
        <f>+C22*0.16</f>
        <v>3861.5857503664697</v>
      </c>
      <c r="D23" s="125">
        <f>+D22*0.16</f>
        <v>6923.3325784960271</v>
      </c>
      <c r="E23" s="125">
        <f t="shared" ref="E23:L23" si="5">+E22*0.16</f>
        <v>0</v>
      </c>
      <c r="F23" s="125">
        <f t="shared" si="5"/>
        <v>0</v>
      </c>
      <c r="G23" s="125">
        <f t="shared" si="5"/>
        <v>0</v>
      </c>
      <c r="H23" s="125">
        <f t="shared" si="5"/>
        <v>0</v>
      </c>
      <c r="I23" s="125">
        <f t="shared" si="5"/>
        <v>0</v>
      </c>
      <c r="J23" s="125">
        <f t="shared" si="5"/>
        <v>0</v>
      </c>
      <c r="K23" s="125">
        <f t="shared" si="5"/>
        <v>0</v>
      </c>
      <c r="L23" s="125">
        <f t="shared" si="5"/>
        <v>0</v>
      </c>
    </row>
    <row r="24" spans="2:12" ht="15" thickBot="1" x14ac:dyDescent="0.4">
      <c r="B24" s="120" t="s">
        <v>153</v>
      </c>
      <c r="C24" s="126">
        <f>+C23+C22</f>
        <v>27996.496690156906</v>
      </c>
      <c r="D24" s="126">
        <f t="shared" ref="D24:L24" si="6">+D23+D22</f>
        <v>50194.161194096196</v>
      </c>
      <c r="E24" s="126">
        <f t="shared" si="6"/>
        <v>0</v>
      </c>
      <c r="F24" s="126">
        <f t="shared" si="6"/>
        <v>0</v>
      </c>
      <c r="G24" s="126">
        <f t="shared" si="6"/>
        <v>0</v>
      </c>
      <c r="H24" s="126">
        <f t="shared" si="6"/>
        <v>0</v>
      </c>
      <c r="I24" s="126">
        <f t="shared" si="6"/>
        <v>0</v>
      </c>
      <c r="J24" s="126">
        <f t="shared" si="6"/>
        <v>0</v>
      </c>
      <c r="K24" s="126">
        <f t="shared" si="6"/>
        <v>0</v>
      </c>
      <c r="L24" s="126">
        <f t="shared" si="6"/>
        <v>0</v>
      </c>
    </row>
  </sheetData>
  <mergeCells count="2">
    <mergeCell ref="A12:A15"/>
    <mergeCell ref="A7:A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AO141"/>
  <sheetViews>
    <sheetView topLeftCell="S1" zoomScale="110" zoomScaleNormal="110" workbookViewId="0">
      <selection activeCell="AH2" sqref="AH2"/>
    </sheetView>
  </sheetViews>
  <sheetFormatPr baseColWidth="10" defaultColWidth="11.453125" defaultRowHeight="15" customHeight="1" x14ac:dyDescent="0.35"/>
  <cols>
    <col min="1" max="1" width="4.81640625" style="1" bestFit="1" customWidth="1"/>
    <col min="2" max="2" width="11.26953125" customWidth="1"/>
    <col min="3" max="3" width="11" customWidth="1"/>
    <col min="4" max="4" width="4.54296875" style="1" customWidth="1"/>
    <col min="5" max="5" width="10.54296875" style="1" customWidth="1"/>
    <col min="6" max="6" width="8.81640625" style="1" customWidth="1"/>
    <col min="7" max="7" width="5.7265625" customWidth="1"/>
    <col min="8" max="9" width="8.81640625" customWidth="1"/>
    <col min="10" max="10" width="5.26953125" customWidth="1"/>
    <col min="11" max="11" width="9.26953125" customWidth="1"/>
    <col min="12" max="12" width="8.26953125" customWidth="1"/>
    <col min="13" max="13" width="10.26953125" customWidth="1"/>
    <col min="14" max="14" width="4.453125" style="1" customWidth="1"/>
    <col min="15" max="15" width="11.453125" style="1" customWidth="1"/>
    <col min="16" max="16" width="8" style="1" customWidth="1"/>
    <col min="17" max="17" width="5" style="1" customWidth="1"/>
    <col min="18" max="18" width="21.7265625" style="1" customWidth="1"/>
    <col min="19" max="19" width="15.453125" style="1" bestFit="1" customWidth="1"/>
    <col min="20" max="20" width="10.54296875" style="1" customWidth="1"/>
    <col min="21" max="21" width="5.1796875" style="1" customWidth="1"/>
    <col min="22" max="22" width="12.453125" style="1" customWidth="1"/>
    <col min="23" max="23" width="8.7265625" style="1" customWidth="1"/>
    <col min="24" max="24" width="4.54296875" customWidth="1"/>
    <col min="25" max="25" width="13.54296875" bestFit="1" customWidth="1"/>
    <col min="26" max="26" width="12.7265625" customWidth="1"/>
    <col min="27" max="27" width="4.1796875" customWidth="1"/>
    <col min="28" max="28" width="7.81640625" style="1" bestFit="1" customWidth="1"/>
    <col min="29" max="29" width="14.453125" style="1" customWidth="1"/>
    <col min="30" max="30" width="5.453125" style="1" customWidth="1"/>
    <col min="31" max="31" width="6" style="79" bestFit="1" customWidth="1"/>
    <col min="32" max="32" width="4.1796875" customWidth="1"/>
    <col min="33" max="33" width="12.81640625" bestFit="1" customWidth="1"/>
    <col min="34" max="34" width="14.54296875" customWidth="1"/>
    <col min="35" max="35" width="6.26953125" customWidth="1"/>
    <col min="36" max="36" width="8.26953125" customWidth="1"/>
    <col min="37" max="37" width="10.81640625" customWidth="1"/>
    <col min="38" max="38" width="6.81640625" customWidth="1"/>
    <col min="39" max="16384" width="11.453125" style="1"/>
  </cols>
  <sheetData>
    <row r="1" spans="1:40" ht="15" customHeight="1" thickBot="1" x14ac:dyDescent="0.4">
      <c r="E1" s="107">
        <f>+VLOOKUP(Cotizador!D12,E4:F72,2,FALSE)</f>
        <v>0.72750000000000004</v>
      </c>
      <c r="H1" s="107">
        <f>+VLOOKUP(Cotizador!D13,Factores!H4:I94,2,FALSE)</f>
        <v>0.9204</v>
      </c>
      <c r="I1" s="1"/>
      <c r="K1" s="107">
        <f>+VLOOKUP(Cotizador!D14,Factores!K4:L8,2,FALSE)</f>
        <v>1</v>
      </c>
      <c r="L1" s="1"/>
      <c r="O1" s="234">
        <f>+VLOOKUP(Cotizador!D15,Factores!O4:P7,2,FALSE)</f>
        <v>1.1000000000000001</v>
      </c>
      <c r="R1" s="107">
        <f>+VLOOKUP(Cotizador!D16,Factores!R3:T34,3,FALSE)</f>
        <v>0.59830000000000005</v>
      </c>
      <c r="V1" s="107">
        <f>+VLOOKUP(Cotizador!M11,Factores!V4:W6,2,FALSE)</f>
        <v>1.0289999999999999</v>
      </c>
      <c r="Y1" s="108">
        <f>+VLOOKUP(Cotizador!M15,Factores!Y4:Z6,2,FALSE)</f>
        <v>1.1499999999999999</v>
      </c>
      <c r="AE1" s="78"/>
      <c r="AH1" s="77" t="s">
        <v>138</v>
      </c>
    </row>
    <row r="2" spans="1:40" ht="15" customHeight="1" thickBot="1" x14ac:dyDescent="0.4">
      <c r="A2" s="338" t="s">
        <v>143</v>
      </c>
      <c r="B2" s="339"/>
      <c r="C2" s="340"/>
      <c r="E2" s="331" t="s">
        <v>104</v>
      </c>
      <c r="F2" s="332"/>
      <c r="H2" s="336" t="s">
        <v>105</v>
      </c>
      <c r="I2" s="337"/>
      <c r="K2" s="334" t="s">
        <v>93</v>
      </c>
      <c r="L2" s="335"/>
      <c r="O2" s="331" t="s">
        <v>62</v>
      </c>
      <c r="P2" s="332"/>
      <c r="R2" s="71" t="s">
        <v>103</v>
      </c>
      <c r="S2" s="71" t="s">
        <v>102</v>
      </c>
      <c r="T2" s="71" t="s">
        <v>38</v>
      </c>
      <c r="V2" s="331" t="s">
        <v>101</v>
      </c>
      <c r="W2" s="333"/>
      <c r="Y2" s="331" t="s">
        <v>100</v>
      </c>
      <c r="Z2" s="333"/>
      <c r="AB2" s="331" t="s">
        <v>99</v>
      </c>
      <c r="AC2" s="333"/>
      <c r="AD2"/>
      <c r="AE2" s="78"/>
      <c r="AG2" s="3" t="s">
        <v>39</v>
      </c>
      <c r="AH2" s="70">
        <v>2925.09</v>
      </c>
      <c r="AI2" s="1"/>
      <c r="AJ2" s="336" t="s">
        <v>105</v>
      </c>
      <c r="AK2" s="337"/>
      <c r="AM2" s="331" t="s">
        <v>42</v>
      </c>
      <c r="AN2" s="332"/>
    </row>
    <row r="3" spans="1:40" ht="15" customHeight="1" thickBot="1" x14ac:dyDescent="0.4">
      <c r="A3" s="178" t="s">
        <v>2</v>
      </c>
      <c r="B3" s="178" t="s">
        <v>139</v>
      </c>
      <c r="C3" s="179" t="s">
        <v>140</v>
      </c>
      <c r="E3" s="3" t="s">
        <v>39</v>
      </c>
      <c r="F3" s="3" t="s">
        <v>38</v>
      </c>
      <c r="H3" s="3" t="s">
        <v>39</v>
      </c>
      <c r="I3" s="3" t="s">
        <v>38</v>
      </c>
      <c r="K3" s="3" t="s">
        <v>96</v>
      </c>
      <c r="L3" s="3" t="s">
        <v>38</v>
      </c>
      <c r="O3" s="45" t="s">
        <v>59</v>
      </c>
      <c r="P3" s="45" t="s">
        <v>38</v>
      </c>
      <c r="R3" s="69" t="s">
        <v>94</v>
      </c>
      <c r="S3" s="68" t="s">
        <v>21</v>
      </c>
      <c r="T3" s="67">
        <v>0.60819999999999996</v>
      </c>
      <c r="U3"/>
      <c r="V3" s="3" t="s">
        <v>20</v>
      </c>
      <c r="W3" s="3" t="s">
        <v>38</v>
      </c>
      <c r="Y3" s="3" t="s">
        <v>93</v>
      </c>
      <c r="Z3" s="3" t="s">
        <v>11</v>
      </c>
      <c r="AB3" s="9">
        <v>0</v>
      </c>
      <c r="AC3" s="66">
        <v>1</v>
      </c>
      <c r="AD3"/>
      <c r="AE3" s="78"/>
      <c r="AG3" s="1"/>
      <c r="AH3" s="1"/>
      <c r="AI3" s="1"/>
      <c r="AJ3" s="3" t="s">
        <v>39</v>
      </c>
      <c r="AK3" s="3" t="s">
        <v>97</v>
      </c>
      <c r="AM3" s="3" t="s">
        <v>39</v>
      </c>
      <c r="AN3" s="3" t="s">
        <v>97</v>
      </c>
    </row>
    <row r="4" spans="1:40" ht="15" customHeight="1" thickBot="1" x14ac:dyDescent="0.4">
      <c r="A4" s="176">
        <v>0</v>
      </c>
      <c r="B4" s="181">
        <f t="shared" ref="B4:C23" si="0">+$E$1*$H$1*$K$1*$O$1*$O$9*$R$1*$V$1*$V$8*$Y$8*$K$11</f>
        <v>0.68928454995352395</v>
      </c>
      <c r="C4" s="182">
        <f t="shared" si="0"/>
        <v>0.68928454995352395</v>
      </c>
      <c r="D4"/>
      <c r="E4" s="263">
        <v>19</v>
      </c>
      <c r="F4" s="264">
        <v>0.29409999999999997</v>
      </c>
      <c r="H4" s="49">
        <v>0.8</v>
      </c>
      <c r="I4" s="48">
        <v>1</v>
      </c>
      <c r="K4" s="224">
        <v>0.1</v>
      </c>
      <c r="L4" s="62">
        <v>1</v>
      </c>
      <c r="O4" s="34" t="s">
        <v>52</v>
      </c>
      <c r="P4" s="37">
        <v>0.83499999999999996</v>
      </c>
      <c r="Q4" s="76"/>
      <c r="R4" s="29" t="s">
        <v>92</v>
      </c>
      <c r="S4" s="30" t="s">
        <v>31</v>
      </c>
      <c r="T4" s="27">
        <v>0.49159999999999998</v>
      </c>
      <c r="U4"/>
      <c r="V4" s="11" t="s">
        <v>13</v>
      </c>
      <c r="W4" s="61">
        <v>1</v>
      </c>
      <c r="Y4" s="9" t="s">
        <v>13</v>
      </c>
      <c r="Z4" s="9">
        <v>1</v>
      </c>
      <c r="AB4" s="43">
        <f>AB3+1</f>
        <v>1</v>
      </c>
      <c r="AC4" s="42">
        <v>1</v>
      </c>
      <c r="AD4"/>
      <c r="AE4" s="78"/>
      <c r="AG4" s="331" t="s">
        <v>104</v>
      </c>
      <c r="AH4" s="332"/>
      <c r="AJ4" s="64">
        <v>0.8</v>
      </c>
      <c r="AK4" s="63">
        <f>ROUND(AJ4*$AH$2,2)</f>
        <v>2340.0700000000002</v>
      </c>
      <c r="AM4" s="64" t="s">
        <v>174</v>
      </c>
      <c r="AN4" s="65">
        <f>ROUND(45*$AH$2,2)</f>
        <v>131629.04999999999</v>
      </c>
    </row>
    <row r="5" spans="1:40" ht="15" customHeight="1" thickBot="1" x14ac:dyDescent="0.4">
      <c r="A5" s="176">
        <v>1</v>
      </c>
      <c r="B5" s="181">
        <f t="shared" si="0"/>
        <v>0.68928454995352395</v>
      </c>
      <c r="C5" s="182">
        <f t="shared" si="0"/>
        <v>0.68928454995352395</v>
      </c>
      <c r="D5"/>
      <c r="E5" s="265">
        <v>23</v>
      </c>
      <c r="F5" s="260">
        <v>0.3342</v>
      </c>
      <c r="H5" s="49">
        <v>1</v>
      </c>
      <c r="I5" s="48">
        <v>0.99209999999999998</v>
      </c>
      <c r="K5" s="225">
        <v>0.15</v>
      </c>
      <c r="L5" s="56">
        <v>0.94</v>
      </c>
      <c r="O5" s="34" t="s">
        <v>55</v>
      </c>
      <c r="P5" s="37">
        <v>1</v>
      </c>
      <c r="R5" s="29" t="s">
        <v>89</v>
      </c>
      <c r="S5" s="28" t="s">
        <v>31</v>
      </c>
      <c r="T5" s="27">
        <v>0.49159999999999998</v>
      </c>
      <c r="U5"/>
      <c r="V5" s="23" t="s">
        <v>88</v>
      </c>
      <c r="W5" s="60">
        <v>1.0289999999999999</v>
      </c>
      <c r="Y5" s="32" t="s">
        <v>175</v>
      </c>
      <c r="Z5" s="59">
        <v>1.1499999999999999</v>
      </c>
      <c r="AB5" s="43">
        <f t="shared" ref="AB5:AB18" si="1">AB4+1</f>
        <v>2</v>
      </c>
      <c r="AC5" s="42">
        <v>1</v>
      </c>
      <c r="AD5"/>
      <c r="AE5" s="78"/>
      <c r="AG5" s="3" t="s">
        <v>39</v>
      </c>
      <c r="AH5" s="3" t="s">
        <v>97</v>
      </c>
      <c r="AI5" s="1"/>
      <c r="AJ5" s="39">
        <v>1</v>
      </c>
      <c r="AK5" s="38">
        <f t="shared" ref="AK5:AK68" si="2">ROUND(AJ5*$AH$2,2)</f>
        <v>2925.09</v>
      </c>
      <c r="AM5" s="39">
        <v>60</v>
      </c>
      <c r="AN5" s="53">
        <f t="shared" ref="AN5:AN12" si="3">ROUND(AM5*$AH$2,2)</f>
        <v>175505.4</v>
      </c>
    </row>
    <row r="6" spans="1:40" ht="15" customHeight="1" thickBot="1" x14ac:dyDescent="0.4">
      <c r="A6" s="176">
        <v>2</v>
      </c>
      <c r="B6" s="181">
        <f t="shared" si="0"/>
        <v>0.68928454995352395</v>
      </c>
      <c r="C6" s="182">
        <f t="shared" si="0"/>
        <v>0.68928454995352395</v>
      </c>
      <c r="D6"/>
      <c r="E6" s="265">
        <v>31</v>
      </c>
      <c r="F6" s="260">
        <v>0.39679999999999999</v>
      </c>
      <c r="H6" s="49">
        <v>1.3</v>
      </c>
      <c r="I6" s="48">
        <v>0.98040000000000005</v>
      </c>
      <c r="K6" s="225">
        <v>0.2</v>
      </c>
      <c r="L6" s="56">
        <v>0.89</v>
      </c>
      <c r="O6" s="34" t="s">
        <v>57</v>
      </c>
      <c r="P6" s="37">
        <v>1.1000000000000001</v>
      </c>
      <c r="R6" s="29" t="s">
        <v>85</v>
      </c>
      <c r="S6" s="28" t="s">
        <v>23</v>
      </c>
      <c r="T6" s="55">
        <v>0.43109999999999998</v>
      </c>
      <c r="U6"/>
      <c r="V6" s="31" t="s">
        <v>84</v>
      </c>
      <c r="W6" s="58">
        <v>1.0580000000000001</v>
      </c>
      <c r="Y6" s="31" t="s">
        <v>176</v>
      </c>
      <c r="Z6" s="57">
        <v>1.3</v>
      </c>
      <c r="AB6" s="43">
        <f t="shared" si="1"/>
        <v>3</v>
      </c>
      <c r="AC6" s="42">
        <v>1</v>
      </c>
      <c r="AD6"/>
      <c r="AE6" s="78"/>
      <c r="AG6" s="64">
        <v>19</v>
      </c>
      <c r="AH6" s="63">
        <f>+ROUND(AG6*$AH$2,2)</f>
        <v>55576.71</v>
      </c>
      <c r="AI6" s="1"/>
      <c r="AJ6" s="39">
        <v>1.3</v>
      </c>
      <c r="AK6" s="38">
        <f t="shared" si="2"/>
        <v>3802.62</v>
      </c>
      <c r="AM6" s="39">
        <v>50</v>
      </c>
      <c r="AN6" s="53">
        <f t="shared" si="3"/>
        <v>146254.5</v>
      </c>
    </row>
    <row r="7" spans="1:40" ht="15" customHeight="1" thickBot="1" x14ac:dyDescent="0.4">
      <c r="A7" s="176">
        <v>3</v>
      </c>
      <c r="B7" s="181">
        <f t="shared" si="0"/>
        <v>0.68928454995352395</v>
      </c>
      <c r="C7" s="182">
        <f t="shared" si="0"/>
        <v>0.68928454995352395</v>
      </c>
      <c r="D7"/>
      <c r="E7" s="265">
        <v>38</v>
      </c>
      <c r="F7" s="260">
        <v>0.4395</v>
      </c>
      <c r="H7" s="49">
        <v>1.5</v>
      </c>
      <c r="I7" s="48">
        <v>0.97270000000000001</v>
      </c>
      <c r="K7" s="225">
        <v>0.25</v>
      </c>
      <c r="L7" s="56">
        <v>0.83</v>
      </c>
      <c r="O7" s="233" t="s">
        <v>49</v>
      </c>
      <c r="P7" s="46">
        <v>1.25</v>
      </c>
      <c r="R7" s="29" t="s">
        <v>81</v>
      </c>
      <c r="S7" s="28" t="s">
        <v>25</v>
      </c>
      <c r="T7" s="55">
        <v>0.59830000000000005</v>
      </c>
      <c r="U7"/>
      <c r="W7"/>
      <c r="Y7" s="1"/>
      <c r="Z7" s="1"/>
      <c r="AB7" s="43">
        <f t="shared" si="1"/>
        <v>4</v>
      </c>
      <c r="AC7" s="42">
        <v>1</v>
      </c>
      <c r="AD7"/>
      <c r="AE7" s="78"/>
      <c r="AG7" s="39">
        <v>23</v>
      </c>
      <c r="AH7" s="38">
        <f t="shared" ref="AH7:AH70" si="4">ROUND(AG7*$AH$2,2)</f>
        <v>67277.070000000007</v>
      </c>
      <c r="AI7" s="1"/>
      <c r="AJ7" s="39">
        <v>1.5</v>
      </c>
      <c r="AK7" s="38">
        <f t="shared" si="2"/>
        <v>4387.6400000000003</v>
      </c>
      <c r="AM7" s="39">
        <v>40</v>
      </c>
      <c r="AN7" s="53">
        <f t="shared" si="3"/>
        <v>117003.6</v>
      </c>
    </row>
    <row r="8" spans="1:40" ht="15" customHeight="1" thickBot="1" x14ac:dyDescent="0.4">
      <c r="A8" s="176">
        <v>4</v>
      </c>
      <c r="B8" s="181">
        <f t="shared" si="0"/>
        <v>0.68928454995352395</v>
      </c>
      <c r="C8" s="182">
        <f t="shared" si="0"/>
        <v>0.68928454995352395</v>
      </c>
      <c r="D8"/>
      <c r="E8" s="265">
        <v>46</v>
      </c>
      <c r="F8" s="260">
        <v>0.47960000000000003</v>
      </c>
      <c r="H8" s="49">
        <v>1.7</v>
      </c>
      <c r="I8" s="48">
        <v>0.96509999999999996</v>
      </c>
      <c r="K8" s="233">
        <v>0.3</v>
      </c>
      <c r="L8" s="46">
        <v>0.78</v>
      </c>
      <c r="R8" s="29" t="s">
        <v>79</v>
      </c>
      <c r="S8" s="28" t="s">
        <v>31</v>
      </c>
      <c r="T8" s="27">
        <v>0.49159999999999998</v>
      </c>
      <c r="U8"/>
      <c r="V8" s="107">
        <f>+VLOOKUP(Cotizador!M12,Factores!V11:W14,2,FALSE)</f>
        <v>1</v>
      </c>
      <c r="Y8" s="108">
        <f>+VLOOKUP(Cotizador!M16,Factores!Y11:Z12,2,FALSE)</f>
        <v>1.04</v>
      </c>
      <c r="AB8" s="43">
        <f t="shared" si="1"/>
        <v>5</v>
      </c>
      <c r="AC8" s="42">
        <v>1</v>
      </c>
      <c r="AD8"/>
      <c r="AE8" s="78"/>
      <c r="AG8" s="39">
        <v>31</v>
      </c>
      <c r="AH8" s="38">
        <f t="shared" si="4"/>
        <v>90677.79</v>
      </c>
      <c r="AI8" s="1"/>
      <c r="AJ8" s="39">
        <v>1.7</v>
      </c>
      <c r="AK8" s="38">
        <f t="shared" si="2"/>
        <v>4972.6499999999996</v>
      </c>
      <c r="AM8" s="39">
        <v>36</v>
      </c>
      <c r="AN8" s="53">
        <f t="shared" si="3"/>
        <v>105303.24</v>
      </c>
    </row>
    <row r="9" spans="1:40" ht="15" customHeight="1" thickBot="1" x14ac:dyDescent="0.4">
      <c r="A9" s="176">
        <v>5</v>
      </c>
      <c r="B9" s="181">
        <f t="shared" si="0"/>
        <v>0.68928454995352395</v>
      </c>
      <c r="C9" s="182">
        <f t="shared" si="0"/>
        <v>0.68928454995352395</v>
      </c>
      <c r="D9"/>
      <c r="E9" s="265">
        <v>53</v>
      </c>
      <c r="F9" s="260">
        <v>0.50929999999999997</v>
      </c>
      <c r="H9" s="49">
        <v>1.8</v>
      </c>
      <c r="I9" s="48">
        <v>0.96130000000000004</v>
      </c>
      <c r="K9" s="226"/>
      <c r="O9" s="107">
        <f>+VLOOKUP(Cotizador!I15,Factores!O12:P21,2,FALSE)</f>
        <v>1.3919999999999999</v>
      </c>
      <c r="R9" s="29" t="s">
        <v>76</v>
      </c>
      <c r="S9" s="30" t="s">
        <v>75</v>
      </c>
      <c r="T9" s="27">
        <v>1</v>
      </c>
      <c r="U9"/>
      <c r="V9" s="331" t="s">
        <v>78</v>
      </c>
      <c r="W9" s="333"/>
      <c r="Y9" s="331" t="s">
        <v>77</v>
      </c>
      <c r="Z9" s="333"/>
      <c r="AB9" s="43">
        <f t="shared" si="1"/>
        <v>6</v>
      </c>
      <c r="AC9" s="42">
        <v>1</v>
      </c>
      <c r="AD9"/>
      <c r="AE9" s="78"/>
      <c r="AG9" s="39">
        <v>38</v>
      </c>
      <c r="AH9" s="38">
        <f t="shared" si="4"/>
        <v>111153.42</v>
      </c>
      <c r="AI9" s="1"/>
      <c r="AJ9" s="39">
        <v>1.8</v>
      </c>
      <c r="AK9" s="38">
        <f t="shared" si="2"/>
        <v>5265.16</v>
      </c>
      <c r="AM9" s="39">
        <v>33</v>
      </c>
      <c r="AN9" s="53">
        <f t="shared" si="3"/>
        <v>96527.97</v>
      </c>
    </row>
    <row r="10" spans="1:40" ht="15" customHeight="1" thickBot="1" x14ac:dyDescent="0.4">
      <c r="A10" s="176">
        <v>6</v>
      </c>
      <c r="B10" s="181">
        <f t="shared" si="0"/>
        <v>0.68928454995352395</v>
      </c>
      <c r="C10" s="182">
        <f t="shared" si="0"/>
        <v>0.68928454995352395</v>
      </c>
      <c r="D10"/>
      <c r="E10" s="265">
        <v>61</v>
      </c>
      <c r="F10" s="260">
        <v>0.53879999999999995</v>
      </c>
      <c r="H10" s="49">
        <v>1.9</v>
      </c>
      <c r="I10" s="48">
        <v>0.95750000000000002</v>
      </c>
      <c r="O10" s="331" t="s">
        <v>42</v>
      </c>
      <c r="P10" s="332"/>
      <c r="R10" s="29" t="s">
        <v>74</v>
      </c>
      <c r="S10" s="28" t="s">
        <v>28</v>
      </c>
      <c r="T10" s="55">
        <v>0.64490000000000003</v>
      </c>
      <c r="U10"/>
      <c r="V10" s="3" t="s">
        <v>20</v>
      </c>
      <c r="W10" s="3" t="s">
        <v>38</v>
      </c>
      <c r="Y10" s="3" t="s">
        <v>35</v>
      </c>
      <c r="Z10" s="3" t="s">
        <v>11</v>
      </c>
      <c r="AB10" s="43">
        <f t="shared" si="1"/>
        <v>7</v>
      </c>
      <c r="AC10" s="42">
        <v>1</v>
      </c>
      <c r="AD10"/>
      <c r="AE10" s="78"/>
      <c r="AG10" s="39">
        <v>46</v>
      </c>
      <c r="AH10" s="38">
        <f t="shared" si="4"/>
        <v>134554.14000000001</v>
      </c>
      <c r="AI10" s="1"/>
      <c r="AJ10" s="39">
        <v>1.9</v>
      </c>
      <c r="AK10" s="38">
        <f t="shared" si="2"/>
        <v>5557.67</v>
      </c>
      <c r="AM10" s="39">
        <v>30</v>
      </c>
      <c r="AN10" s="53">
        <f t="shared" si="3"/>
        <v>87752.7</v>
      </c>
    </row>
    <row r="11" spans="1:40" ht="15" customHeight="1" thickBot="1" x14ac:dyDescent="0.4">
      <c r="A11" s="176">
        <v>7</v>
      </c>
      <c r="B11" s="181">
        <f t="shared" si="0"/>
        <v>0.68928454995352395</v>
      </c>
      <c r="C11" s="182">
        <f t="shared" si="0"/>
        <v>0.68928454995352395</v>
      </c>
      <c r="D11"/>
      <c r="E11" s="265">
        <v>69</v>
      </c>
      <c r="F11" s="260">
        <v>0.56459999999999999</v>
      </c>
      <c r="H11" s="49">
        <v>2</v>
      </c>
      <c r="I11" s="48">
        <v>0.95369999999999999</v>
      </c>
      <c r="K11" s="107">
        <f>+IF(Cotizador!$D$14=0.1,IF(OR(Cotizador!D17="LINEA",Cotizador!D17="SUR",Cotizador!D17="ESTADO DE MÉXICO",Cotizador!D17="NOROESTE",Cotizador!D17="SURESTE"),VLOOKUP(Cotizador!I14,Factores!K14:L17,2,FALSE),VLOOKUP(Cotizador!I14,Factores!K14:M17,3,FALSE)),1)</f>
        <v>1.05</v>
      </c>
      <c r="O11" s="235" t="s">
        <v>39</v>
      </c>
      <c r="P11" s="235" t="s">
        <v>38</v>
      </c>
      <c r="R11" s="29" t="s">
        <v>73</v>
      </c>
      <c r="S11" s="28" t="s">
        <v>50</v>
      </c>
      <c r="T11" s="55">
        <v>0.62270000000000003</v>
      </c>
      <c r="U11"/>
      <c r="V11" s="11" t="s">
        <v>13</v>
      </c>
      <c r="W11" s="11">
        <v>1</v>
      </c>
      <c r="Y11" s="9" t="s">
        <v>13</v>
      </c>
      <c r="Z11" s="9">
        <v>1</v>
      </c>
      <c r="AB11" s="43">
        <f t="shared" si="1"/>
        <v>8</v>
      </c>
      <c r="AC11" s="42">
        <v>1</v>
      </c>
      <c r="AD11"/>
      <c r="AE11" s="78"/>
      <c r="AG11" s="39">
        <v>53</v>
      </c>
      <c r="AH11" s="38">
        <f t="shared" si="4"/>
        <v>155029.76999999999</v>
      </c>
      <c r="AI11" s="1"/>
      <c r="AJ11" s="39">
        <v>2</v>
      </c>
      <c r="AK11" s="38">
        <f t="shared" si="2"/>
        <v>5850.18</v>
      </c>
      <c r="AM11" s="39">
        <v>27</v>
      </c>
      <c r="AN11" s="53">
        <f t="shared" si="3"/>
        <v>78977.429999999993</v>
      </c>
    </row>
    <row r="12" spans="1:40" ht="15" customHeight="1" thickBot="1" x14ac:dyDescent="0.4">
      <c r="A12" s="176">
        <v>8</v>
      </c>
      <c r="B12" s="181">
        <f t="shared" si="0"/>
        <v>0.68928454995352395</v>
      </c>
      <c r="C12" s="182">
        <f t="shared" si="0"/>
        <v>0.68928454995352395</v>
      </c>
      <c r="D12"/>
      <c r="E12" s="265">
        <v>75</v>
      </c>
      <c r="F12" s="260">
        <v>0.58209999999999995</v>
      </c>
      <c r="H12" s="49">
        <v>2.2999999999999998</v>
      </c>
      <c r="I12" s="48">
        <v>0.9425</v>
      </c>
      <c r="K12" s="328" t="s">
        <v>170</v>
      </c>
      <c r="L12" s="329"/>
      <c r="M12" s="330"/>
      <c r="O12" s="236" t="s">
        <v>174</v>
      </c>
      <c r="P12" s="237">
        <v>1.4286000000000001</v>
      </c>
      <c r="R12" s="29" t="s">
        <v>71</v>
      </c>
      <c r="S12" s="30" t="s">
        <v>28</v>
      </c>
      <c r="T12" s="27">
        <v>0.64490000000000003</v>
      </c>
      <c r="U12"/>
      <c r="V12" s="23" t="s">
        <v>72</v>
      </c>
      <c r="W12" s="54">
        <v>2.3574000000000002</v>
      </c>
      <c r="Y12" s="31" t="s">
        <v>12</v>
      </c>
      <c r="Z12" s="31">
        <v>1.04</v>
      </c>
      <c r="AB12" s="43">
        <f t="shared" si="1"/>
        <v>9</v>
      </c>
      <c r="AC12" s="42">
        <v>1</v>
      </c>
      <c r="AD12"/>
      <c r="AE12" s="78"/>
      <c r="AG12" s="39">
        <v>61</v>
      </c>
      <c r="AH12" s="38">
        <f t="shared" si="4"/>
        <v>178430.49</v>
      </c>
      <c r="AI12" s="1"/>
      <c r="AJ12" s="39">
        <v>2.2999999999999998</v>
      </c>
      <c r="AK12" s="38">
        <f t="shared" si="2"/>
        <v>6727.71</v>
      </c>
      <c r="AM12" s="39">
        <v>24</v>
      </c>
      <c r="AN12" s="53">
        <f t="shared" si="3"/>
        <v>70202.16</v>
      </c>
    </row>
    <row r="13" spans="1:40" ht="15" customHeight="1" thickBot="1" x14ac:dyDescent="0.4">
      <c r="A13" s="176">
        <v>9</v>
      </c>
      <c r="B13" s="181">
        <f t="shared" si="0"/>
        <v>0.68928454995352395</v>
      </c>
      <c r="C13" s="182">
        <f t="shared" si="0"/>
        <v>0.68928454995352395</v>
      </c>
      <c r="D13"/>
      <c r="E13" s="265">
        <v>76</v>
      </c>
      <c r="F13" s="260">
        <v>0.58489999999999998</v>
      </c>
      <c r="H13" s="49">
        <v>2.5</v>
      </c>
      <c r="I13" s="51">
        <v>0.93500000000000005</v>
      </c>
      <c r="K13" s="228" t="s">
        <v>95</v>
      </c>
      <c r="L13" s="228" t="s">
        <v>171</v>
      </c>
      <c r="M13" s="227" t="s">
        <v>172</v>
      </c>
      <c r="O13" s="238">
        <v>60</v>
      </c>
      <c r="P13" s="239">
        <v>1.6484000000000001</v>
      </c>
      <c r="R13" s="29" t="s">
        <v>69</v>
      </c>
      <c r="S13" s="28" t="s">
        <v>53</v>
      </c>
      <c r="T13" s="27">
        <v>0.86</v>
      </c>
      <c r="U13"/>
      <c r="V13" s="23" t="s">
        <v>70</v>
      </c>
      <c r="W13" s="48">
        <v>2.0594000000000001</v>
      </c>
      <c r="AB13" s="43">
        <f>AB12+1</f>
        <v>10</v>
      </c>
      <c r="AC13" s="42">
        <v>1</v>
      </c>
      <c r="AD13"/>
      <c r="AE13" s="78"/>
      <c r="AG13" s="39">
        <v>69</v>
      </c>
      <c r="AH13" s="38">
        <f t="shared" si="4"/>
        <v>201831.21</v>
      </c>
      <c r="AI13" s="1"/>
      <c r="AJ13" s="39">
        <v>2.5</v>
      </c>
      <c r="AK13" s="38">
        <f t="shared" si="2"/>
        <v>7312.73</v>
      </c>
      <c r="AM13" s="36">
        <v>21</v>
      </c>
      <c r="AN13" s="35">
        <f>ROUND(AM13*$AH$2,2)</f>
        <v>61426.89</v>
      </c>
    </row>
    <row r="14" spans="1:40" ht="15" customHeight="1" thickBot="1" x14ac:dyDescent="0.4">
      <c r="A14" s="176">
        <v>10</v>
      </c>
      <c r="B14" s="181">
        <f t="shared" si="0"/>
        <v>0.68928454995352395</v>
      </c>
      <c r="C14" s="182">
        <f t="shared" si="0"/>
        <v>0.68928454995352395</v>
      </c>
      <c r="D14"/>
      <c r="E14" s="265">
        <v>100</v>
      </c>
      <c r="F14" s="260">
        <v>0.64249999999999996</v>
      </c>
      <c r="H14" s="49">
        <v>2.7</v>
      </c>
      <c r="I14" s="51">
        <v>0.92769999999999997</v>
      </c>
      <c r="K14" s="229" t="str">
        <f>+IF(Cotizador!$D$14=0.1,"50,000","")</f>
        <v>50,000</v>
      </c>
      <c r="L14" s="231">
        <v>1</v>
      </c>
      <c r="M14" s="231">
        <v>1.1000000000000001</v>
      </c>
      <c r="O14" s="238">
        <v>50</v>
      </c>
      <c r="P14" s="239">
        <v>1.4652000000000001</v>
      </c>
      <c r="R14" s="29" t="s">
        <v>65</v>
      </c>
      <c r="S14" s="28" t="s">
        <v>21</v>
      </c>
      <c r="T14" s="27">
        <v>0.60819999999999996</v>
      </c>
      <c r="U14"/>
      <c r="V14" s="14" t="s">
        <v>68</v>
      </c>
      <c r="W14" s="50">
        <v>1.4631000000000001</v>
      </c>
      <c r="Y14" s="1"/>
      <c r="Z14" s="52"/>
      <c r="AB14" s="43">
        <f t="shared" si="1"/>
        <v>11</v>
      </c>
      <c r="AC14" s="42">
        <v>1</v>
      </c>
      <c r="AD14"/>
      <c r="AE14" s="78"/>
      <c r="AG14" s="39">
        <v>75</v>
      </c>
      <c r="AH14" s="38">
        <f t="shared" si="4"/>
        <v>219381.75</v>
      </c>
      <c r="AI14" s="1"/>
      <c r="AJ14" s="39">
        <v>2.7</v>
      </c>
      <c r="AK14" s="38">
        <f t="shared" si="2"/>
        <v>7897.74</v>
      </c>
      <c r="AM14"/>
      <c r="AN14"/>
    </row>
    <row r="15" spans="1:40" ht="15" customHeight="1" x14ac:dyDescent="0.35">
      <c r="A15" s="176">
        <v>11</v>
      </c>
      <c r="B15" s="181">
        <f t="shared" si="0"/>
        <v>0.68928454995352395</v>
      </c>
      <c r="C15" s="182">
        <f t="shared" si="0"/>
        <v>0.68928454995352395</v>
      </c>
      <c r="D15"/>
      <c r="E15" s="265">
        <v>125</v>
      </c>
      <c r="F15" s="260">
        <v>0.68930000000000002</v>
      </c>
      <c r="H15" s="49">
        <v>2.9</v>
      </c>
      <c r="I15" s="51">
        <v>0.9204</v>
      </c>
      <c r="K15" s="229" t="str">
        <f>+IF(Cotizador!$D$14=0.1,"40,000","")</f>
        <v>40,000</v>
      </c>
      <c r="L15" s="231">
        <v>1.05</v>
      </c>
      <c r="M15" s="231">
        <v>1.155</v>
      </c>
      <c r="O15" s="238">
        <v>40</v>
      </c>
      <c r="P15" s="239">
        <v>1.3919999999999999</v>
      </c>
      <c r="R15" s="29" t="s">
        <v>63</v>
      </c>
      <c r="S15" s="28" t="s">
        <v>25</v>
      </c>
      <c r="T15" s="27">
        <v>0.59830000000000005</v>
      </c>
      <c r="U15"/>
      <c r="AB15" s="43">
        <f t="shared" si="1"/>
        <v>12</v>
      </c>
      <c r="AC15" s="42">
        <v>1</v>
      </c>
      <c r="AD15"/>
      <c r="AE15" s="78"/>
      <c r="AG15" s="39">
        <v>76</v>
      </c>
      <c r="AH15" s="38">
        <f t="shared" si="4"/>
        <v>222306.84</v>
      </c>
      <c r="AI15" s="1"/>
      <c r="AJ15" s="39">
        <v>2.9</v>
      </c>
      <c r="AK15" s="38">
        <f t="shared" si="2"/>
        <v>8482.76</v>
      </c>
      <c r="AM15"/>
      <c r="AN15"/>
    </row>
    <row r="16" spans="1:40" ht="15" customHeight="1" x14ac:dyDescent="0.35">
      <c r="A16" s="176">
        <v>12</v>
      </c>
      <c r="B16" s="181">
        <f t="shared" si="0"/>
        <v>0.68928454995352395</v>
      </c>
      <c r="C16" s="182">
        <f t="shared" si="0"/>
        <v>0.68928454995352395</v>
      </c>
      <c r="D16"/>
      <c r="E16" s="265">
        <v>150</v>
      </c>
      <c r="F16" s="260">
        <v>0.72750000000000004</v>
      </c>
      <c r="H16" s="49">
        <v>3</v>
      </c>
      <c r="I16" s="51">
        <v>0.91669999999999996</v>
      </c>
      <c r="K16" s="229" t="str">
        <f>+IF(Cotizador!$D$14=0.1,"30,000","")</f>
        <v>30,000</v>
      </c>
      <c r="L16" s="231">
        <v>1.07</v>
      </c>
      <c r="M16" s="231">
        <v>1.177</v>
      </c>
      <c r="O16" s="238">
        <v>36</v>
      </c>
      <c r="P16" s="239">
        <v>1.3319000000000001</v>
      </c>
      <c r="R16" s="29" t="s">
        <v>60</v>
      </c>
      <c r="S16" s="30" t="s">
        <v>53</v>
      </c>
      <c r="T16" s="27">
        <v>0.86</v>
      </c>
      <c r="U16"/>
      <c r="AB16" s="43">
        <f t="shared" si="1"/>
        <v>13</v>
      </c>
      <c r="AC16" s="42">
        <v>1</v>
      </c>
      <c r="AD16"/>
      <c r="AE16" s="78"/>
      <c r="AG16" s="39">
        <v>100</v>
      </c>
      <c r="AH16" s="38">
        <f t="shared" si="4"/>
        <v>292509</v>
      </c>
      <c r="AJ16" s="39">
        <v>3</v>
      </c>
      <c r="AK16" s="38">
        <f t="shared" si="2"/>
        <v>8775.27</v>
      </c>
      <c r="AN16" s="47"/>
    </row>
    <row r="17" spans="1:41" ht="15" customHeight="1" thickBot="1" x14ac:dyDescent="0.4">
      <c r="A17" s="176">
        <v>13</v>
      </c>
      <c r="B17" s="181">
        <f t="shared" si="0"/>
        <v>0.68928454995352395</v>
      </c>
      <c r="C17" s="182">
        <f t="shared" si="0"/>
        <v>0.68928454995352395</v>
      </c>
      <c r="D17"/>
      <c r="E17" s="265">
        <v>153</v>
      </c>
      <c r="F17" s="260">
        <v>0.73170000000000002</v>
      </c>
      <c r="H17" s="49">
        <v>3.1</v>
      </c>
      <c r="I17" s="51">
        <v>0.91310000000000002</v>
      </c>
      <c r="K17" s="230" t="str">
        <f>+IF(Cotizador!$D$14=0.1,"NO","")</f>
        <v>NO</v>
      </c>
      <c r="L17" s="232">
        <v>1</v>
      </c>
      <c r="M17" s="232">
        <v>1</v>
      </c>
      <c r="O17" s="238">
        <v>33</v>
      </c>
      <c r="P17" s="239">
        <v>1.2088000000000001</v>
      </c>
      <c r="R17" s="29" t="s">
        <v>58</v>
      </c>
      <c r="S17" s="28" t="s">
        <v>50</v>
      </c>
      <c r="T17" s="44">
        <v>0.62270000000000003</v>
      </c>
      <c r="U17"/>
      <c r="AB17" s="43">
        <f t="shared" si="1"/>
        <v>14</v>
      </c>
      <c r="AC17" s="42">
        <v>1</v>
      </c>
      <c r="AD17"/>
      <c r="AE17" s="78"/>
      <c r="AG17" s="39">
        <v>125</v>
      </c>
      <c r="AH17" s="38">
        <f t="shared" si="4"/>
        <v>365636.25</v>
      </c>
      <c r="AJ17" s="39">
        <v>3.1</v>
      </c>
      <c r="AK17" s="38">
        <f t="shared" si="2"/>
        <v>9067.7800000000007</v>
      </c>
      <c r="AN17" s="33"/>
    </row>
    <row r="18" spans="1:41" ht="15" customHeight="1" thickBot="1" x14ac:dyDescent="0.4">
      <c r="A18" s="176">
        <v>14</v>
      </c>
      <c r="B18" s="181">
        <f t="shared" si="0"/>
        <v>0.68928454995352395</v>
      </c>
      <c r="C18" s="182">
        <f t="shared" si="0"/>
        <v>0.68928454995352395</v>
      </c>
      <c r="D18"/>
      <c r="E18" s="265">
        <v>200</v>
      </c>
      <c r="F18" s="260">
        <v>0.78779999999999994</v>
      </c>
      <c r="H18" s="49">
        <v>3.3</v>
      </c>
      <c r="I18" s="51">
        <v>0.90600000000000003</v>
      </c>
      <c r="O18" s="238">
        <v>30</v>
      </c>
      <c r="P18" s="239">
        <v>1.1648000000000001</v>
      </c>
      <c r="R18" s="29" t="s">
        <v>56</v>
      </c>
      <c r="S18" s="28" t="s">
        <v>33</v>
      </c>
      <c r="T18" s="27">
        <v>0.56869999999999998</v>
      </c>
      <c r="U18"/>
      <c r="AB18" s="41">
        <f t="shared" si="1"/>
        <v>15</v>
      </c>
      <c r="AC18" s="40">
        <v>1</v>
      </c>
      <c r="AD18"/>
      <c r="AE18" s="78"/>
      <c r="AG18" s="39">
        <v>150</v>
      </c>
      <c r="AH18" s="38">
        <f t="shared" si="4"/>
        <v>438763.5</v>
      </c>
      <c r="AJ18" s="39">
        <v>3.3</v>
      </c>
      <c r="AK18" s="38">
        <f t="shared" si="2"/>
        <v>9652.7999999999993</v>
      </c>
      <c r="AM18"/>
      <c r="AN18" s="33"/>
      <c r="AO18"/>
    </row>
    <row r="19" spans="1:41" ht="15" customHeight="1" x14ac:dyDescent="0.35">
      <c r="A19" s="176">
        <v>15</v>
      </c>
      <c r="B19" s="181">
        <f t="shared" si="0"/>
        <v>0.68928454995352395</v>
      </c>
      <c r="C19" s="182">
        <f t="shared" si="0"/>
        <v>0.68928454995352395</v>
      </c>
      <c r="D19"/>
      <c r="E19" s="265">
        <v>220</v>
      </c>
      <c r="F19" s="260">
        <v>0.80779999999999996</v>
      </c>
      <c r="H19" s="49">
        <v>3.5</v>
      </c>
      <c r="I19" s="51">
        <v>0.89880000000000004</v>
      </c>
      <c r="O19" s="238">
        <v>27</v>
      </c>
      <c r="P19" s="239">
        <v>1.1175999999999999</v>
      </c>
      <c r="R19" s="29" t="s">
        <v>54</v>
      </c>
      <c r="S19" s="28" t="s">
        <v>53</v>
      </c>
      <c r="T19" s="27">
        <v>0.86</v>
      </c>
      <c r="U19"/>
      <c r="AB19"/>
      <c r="AC19"/>
      <c r="AD19"/>
      <c r="AE19" s="78"/>
      <c r="AG19" s="39">
        <v>153</v>
      </c>
      <c r="AH19" s="38">
        <f t="shared" si="4"/>
        <v>447538.77</v>
      </c>
      <c r="AJ19" s="39">
        <v>3.5</v>
      </c>
      <c r="AK19" s="38">
        <f t="shared" si="2"/>
        <v>10237.82</v>
      </c>
      <c r="AM19"/>
      <c r="AN19" s="33"/>
      <c r="AO19"/>
    </row>
    <row r="20" spans="1:41" ht="15" customHeight="1" x14ac:dyDescent="0.35">
      <c r="A20" s="176">
        <v>16</v>
      </c>
      <c r="B20" s="181">
        <f t="shared" si="0"/>
        <v>0.68928454995352395</v>
      </c>
      <c r="C20" s="182">
        <f t="shared" si="0"/>
        <v>0.68928454995352395</v>
      </c>
      <c r="D20"/>
      <c r="E20" s="265">
        <v>225</v>
      </c>
      <c r="F20" s="260">
        <v>0.8125</v>
      </c>
      <c r="H20" s="49">
        <v>3.8</v>
      </c>
      <c r="I20" s="48">
        <v>0.88819999999999999</v>
      </c>
      <c r="O20" s="238">
        <v>24</v>
      </c>
      <c r="P20" s="239">
        <v>1.0549999999999999</v>
      </c>
      <c r="R20" s="29" t="s">
        <v>51</v>
      </c>
      <c r="S20" s="30" t="s">
        <v>50</v>
      </c>
      <c r="T20" s="27">
        <v>0.62270000000000003</v>
      </c>
      <c r="U20"/>
      <c r="V20"/>
      <c r="AB20"/>
      <c r="AC20"/>
      <c r="AD20"/>
      <c r="AE20" s="78"/>
      <c r="AG20" s="39">
        <v>200</v>
      </c>
      <c r="AH20" s="38">
        <f t="shared" si="4"/>
        <v>585018</v>
      </c>
      <c r="AJ20" s="39">
        <v>3.8</v>
      </c>
      <c r="AK20" s="38">
        <f t="shared" si="2"/>
        <v>11115.34</v>
      </c>
      <c r="AM20"/>
      <c r="AN20" s="33"/>
      <c r="AO20"/>
    </row>
    <row r="21" spans="1:41" ht="15" customHeight="1" thickBot="1" x14ac:dyDescent="0.4">
      <c r="A21" s="176">
        <v>17</v>
      </c>
      <c r="B21" s="181">
        <f t="shared" si="0"/>
        <v>0.68928454995352395</v>
      </c>
      <c r="C21" s="182">
        <f t="shared" si="0"/>
        <v>0.68928454995352395</v>
      </c>
      <c r="D21"/>
      <c r="E21" s="265">
        <v>229</v>
      </c>
      <c r="F21" s="260">
        <v>0.81620000000000004</v>
      </c>
      <c r="H21" s="49">
        <v>4</v>
      </c>
      <c r="I21" s="48">
        <v>0.88119999999999998</v>
      </c>
      <c r="O21" s="240">
        <v>21</v>
      </c>
      <c r="P21" s="241">
        <v>1</v>
      </c>
      <c r="R21" s="29" t="s">
        <v>47</v>
      </c>
      <c r="S21" s="28" t="s">
        <v>28</v>
      </c>
      <c r="T21" s="27">
        <v>0.64490000000000003</v>
      </c>
      <c r="U21"/>
      <c r="V21"/>
      <c r="W21"/>
      <c r="AB21"/>
      <c r="AC21"/>
      <c r="AD21"/>
      <c r="AE21" s="78"/>
      <c r="AG21" s="39">
        <v>220</v>
      </c>
      <c r="AH21" s="38">
        <f t="shared" si="4"/>
        <v>643519.80000000005</v>
      </c>
      <c r="AJ21" s="39">
        <v>4</v>
      </c>
      <c r="AK21" s="38">
        <f t="shared" si="2"/>
        <v>11700.36</v>
      </c>
      <c r="AM21"/>
      <c r="AN21" s="33"/>
      <c r="AO21"/>
    </row>
    <row r="22" spans="1:41" ht="15" customHeight="1" x14ac:dyDescent="0.35">
      <c r="A22" s="176">
        <v>18</v>
      </c>
      <c r="B22" s="181">
        <f t="shared" si="0"/>
        <v>0.68928454995352395</v>
      </c>
      <c r="C22" s="182">
        <f t="shared" si="0"/>
        <v>0.68928454995352395</v>
      </c>
      <c r="D22"/>
      <c r="E22" s="265">
        <v>250</v>
      </c>
      <c r="F22" s="260">
        <v>0.83460000000000001</v>
      </c>
      <c r="H22" s="49">
        <v>4.0999999999999996</v>
      </c>
      <c r="I22" s="48">
        <v>0.87780000000000002</v>
      </c>
      <c r="O22"/>
      <c r="P22"/>
      <c r="R22" s="29" t="s">
        <v>45</v>
      </c>
      <c r="S22" s="28" t="s">
        <v>25</v>
      </c>
      <c r="T22" s="27">
        <v>0.59830000000000005</v>
      </c>
      <c r="U22"/>
      <c r="V22"/>
      <c r="AB22"/>
      <c r="AC22"/>
      <c r="AD22"/>
      <c r="AE22" s="78"/>
      <c r="AG22" s="39">
        <v>225</v>
      </c>
      <c r="AH22" s="38">
        <f t="shared" si="4"/>
        <v>658145.25</v>
      </c>
      <c r="AJ22" s="39">
        <v>4.0999999999999996</v>
      </c>
      <c r="AK22" s="38">
        <f t="shared" si="2"/>
        <v>11992.87</v>
      </c>
      <c r="AM22"/>
      <c r="AN22" s="33"/>
      <c r="AO22"/>
    </row>
    <row r="23" spans="1:41" ht="15" customHeight="1" x14ac:dyDescent="0.35">
      <c r="A23" s="176">
        <v>19</v>
      </c>
      <c r="B23" s="181">
        <f t="shared" si="0"/>
        <v>0.68928454995352395</v>
      </c>
      <c r="C23" s="182">
        <f t="shared" si="0"/>
        <v>0.68928454995352395</v>
      </c>
      <c r="D23"/>
      <c r="E23" s="265">
        <v>275</v>
      </c>
      <c r="F23" s="260">
        <v>0.85460000000000003</v>
      </c>
      <c r="H23" s="49">
        <v>4.5</v>
      </c>
      <c r="I23" s="48">
        <v>0.86399999999999999</v>
      </c>
      <c r="O23"/>
      <c r="P23"/>
      <c r="R23" s="29" t="s">
        <v>43</v>
      </c>
      <c r="S23" s="28" t="s">
        <v>25</v>
      </c>
      <c r="T23" s="27">
        <v>0.59830000000000005</v>
      </c>
      <c r="U23"/>
      <c r="V23"/>
      <c r="AB23"/>
      <c r="AC23"/>
      <c r="AD23"/>
      <c r="AE23" s="78"/>
      <c r="AG23" s="39">
        <v>229</v>
      </c>
      <c r="AH23" s="38">
        <f t="shared" si="4"/>
        <v>669845.61</v>
      </c>
      <c r="AJ23" s="39">
        <v>4.5</v>
      </c>
      <c r="AK23" s="38">
        <f t="shared" si="2"/>
        <v>13162.91</v>
      </c>
      <c r="AM23"/>
      <c r="AN23" s="33"/>
      <c r="AO23"/>
    </row>
    <row r="24" spans="1:41" ht="15" customHeight="1" x14ac:dyDescent="0.35">
      <c r="A24" s="176">
        <v>20</v>
      </c>
      <c r="B24" s="181">
        <f t="shared" ref="B24:B55" si="5">+$E$1*$H$1*$K$1*$O$1*$O$9*$R$1*$V$1*$V$8*$Y$8*$K$11</f>
        <v>0.68928454995352395</v>
      </c>
      <c r="C24" s="182">
        <f t="shared" ref="C24:C41" si="6">+$E$1*$H$1*$K$1*$O$1*$O$9*$R$1*$V$1*$V$8*$Y$8*$K$11*$Y$1</f>
        <v>0.79267723244655253</v>
      </c>
      <c r="D24"/>
      <c r="E24" s="265">
        <v>300</v>
      </c>
      <c r="F24" s="260">
        <v>0.87290000000000001</v>
      </c>
      <c r="H24" s="49">
        <v>4.5999999999999996</v>
      </c>
      <c r="I24" s="48">
        <v>0.86060000000000003</v>
      </c>
      <c r="R24" s="29" t="s">
        <v>40</v>
      </c>
      <c r="S24" s="28" t="s">
        <v>21</v>
      </c>
      <c r="T24" s="27">
        <v>0.60819999999999996</v>
      </c>
      <c r="U24"/>
      <c r="AB24"/>
      <c r="AC24"/>
      <c r="AD24"/>
      <c r="AE24" s="78"/>
      <c r="AG24" s="39">
        <v>250</v>
      </c>
      <c r="AH24" s="38">
        <f t="shared" si="4"/>
        <v>731272.5</v>
      </c>
      <c r="AJ24" s="39">
        <v>4.5999999999999996</v>
      </c>
      <c r="AK24" s="38">
        <f t="shared" si="2"/>
        <v>13455.41</v>
      </c>
      <c r="AM24"/>
      <c r="AN24" s="33"/>
      <c r="AO24"/>
    </row>
    <row r="25" spans="1:41" ht="15" customHeight="1" x14ac:dyDescent="0.35">
      <c r="A25" s="176">
        <v>21</v>
      </c>
      <c r="B25" s="181">
        <f t="shared" si="5"/>
        <v>0.68928454995352395</v>
      </c>
      <c r="C25" s="182">
        <f t="shared" si="6"/>
        <v>0.79267723244655253</v>
      </c>
      <c r="D25"/>
      <c r="E25" s="265">
        <v>305</v>
      </c>
      <c r="F25" s="260">
        <v>0.87629999999999997</v>
      </c>
      <c r="H25" s="49">
        <v>4.8</v>
      </c>
      <c r="I25" s="48">
        <v>0.85389999999999999</v>
      </c>
      <c r="R25" s="29" t="s">
        <v>37</v>
      </c>
      <c r="S25" s="30" t="s">
        <v>23</v>
      </c>
      <c r="T25" s="27">
        <v>0.43109999999999998</v>
      </c>
      <c r="U25"/>
      <c r="AB25"/>
      <c r="AC25"/>
      <c r="AD25"/>
      <c r="AE25" s="78"/>
      <c r="AG25" s="39">
        <v>275</v>
      </c>
      <c r="AH25" s="38">
        <f t="shared" si="4"/>
        <v>804399.75</v>
      </c>
      <c r="AJ25" s="39">
        <v>4.8</v>
      </c>
      <c r="AK25" s="38">
        <f t="shared" si="2"/>
        <v>14040.43</v>
      </c>
      <c r="AM25"/>
      <c r="AN25" s="33"/>
      <c r="AO25"/>
    </row>
    <row r="26" spans="1:41" ht="15" customHeight="1" x14ac:dyDescent="0.35">
      <c r="A26" s="176">
        <v>22</v>
      </c>
      <c r="B26" s="181">
        <f t="shared" si="5"/>
        <v>0.68928454995352395</v>
      </c>
      <c r="C26" s="182">
        <f t="shared" si="6"/>
        <v>0.79267723244655253</v>
      </c>
      <c r="D26"/>
      <c r="E26" s="265">
        <v>325</v>
      </c>
      <c r="F26" s="260">
        <v>0.88970000000000005</v>
      </c>
      <c r="H26" s="49">
        <v>5</v>
      </c>
      <c r="I26" s="48">
        <v>0.84709999999999996</v>
      </c>
      <c r="R26" s="29" t="s">
        <v>36</v>
      </c>
      <c r="S26" s="28" t="s">
        <v>21</v>
      </c>
      <c r="T26" s="27">
        <v>0.60819999999999996</v>
      </c>
      <c r="U26"/>
      <c r="AB26"/>
      <c r="AC26"/>
      <c r="AD26"/>
      <c r="AE26" s="78"/>
      <c r="AG26" s="39">
        <v>300</v>
      </c>
      <c r="AH26" s="38">
        <f t="shared" si="4"/>
        <v>877527</v>
      </c>
      <c r="AJ26" s="39">
        <v>5</v>
      </c>
      <c r="AK26" s="38">
        <f t="shared" si="2"/>
        <v>14625.45</v>
      </c>
      <c r="AM26"/>
      <c r="AN26"/>
      <c r="AO26"/>
    </row>
    <row r="27" spans="1:41" ht="15" customHeight="1" x14ac:dyDescent="0.35">
      <c r="A27" s="176">
        <v>23</v>
      </c>
      <c r="B27" s="181">
        <f t="shared" si="5"/>
        <v>0.68928454995352395</v>
      </c>
      <c r="C27" s="182">
        <f t="shared" si="6"/>
        <v>0.79267723244655253</v>
      </c>
      <c r="D27"/>
      <c r="E27" s="265">
        <v>350</v>
      </c>
      <c r="F27" s="260">
        <v>0.9052</v>
      </c>
      <c r="H27" s="49">
        <v>5.3</v>
      </c>
      <c r="I27" s="48">
        <v>0.83709999999999996</v>
      </c>
      <c r="R27" s="29" t="s">
        <v>34</v>
      </c>
      <c r="S27" s="28" t="s">
        <v>33</v>
      </c>
      <c r="T27" s="27">
        <v>0.56869999999999998</v>
      </c>
      <c r="U27"/>
      <c r="AB27"/>
      <c r="AC27"/>
      <c r="AD27"/>
      <c r="AE27" s="78"/>
      <c r="AG27" s="39">
        <v>305</v>
      </c>
      <c r="AH27" s="38">
        <f t="shared" si="4"/>
        <v>892152.45</v>
      </c>
      <c r="AJ27" s="39">
        <v>5.3</v>
      </c>
      <c r="AK27" s="38">
        <f t="shared" si="2"/>
        <v>15502.98</v>
      </c>
      <c r="AM27"/>
      <c r="AN27"/>
      <c r="AO27"/>
    </row>
    <row r="28" spans="1:41" ht="15" customHeight="1" x14ac:dyDescent="0.35">
      <c r="A28" s="176">
        <v>24</v>
      </c>
      <c r="B28" s="181">
        <f t="shared" si="5"/>
        <v>0.68928454995352395</v>
      </c>
      <c r="C28" s="182">
        <f t="shared" si="6"/>
        <v>0.79267723244655253</v>
      </c>
      <c r="D28"/>
      <c r="E28" s="265">
        <v>382</v>
      </c>
      <c r="F28" s="260">
        <v>0.92359999999999998</v>
      </c>
      <c r="H28" s="49">
        <v>5.5</v>
      </c>
      <c r="I28" s="48">
        <v>0.83050000000000002</v>
      </c>
      <c r="R28" s="29" t="s">
        <v>32</v>
      </c>
      <c r="S28" s="28" t="s">
        <v>31</v>
      </c>
      <c r="T28" s="27">
        <v>0.49159999999999998</v>
      </c>
      <c r="U28"/>
      <c r="AB28"/>
      <c r="AC28"/>
      <c r="AD28"/>
      <c r="AE28" s="78"/>
      <c r="AG28" s="39">
        <v>325</v>
      </c>
      <c r="AH28" s="38">
        <f t="shared" si="4"/>
        <v>950654.25</v>
      </c>
      <c r="AJ28" s="39">
        <v>5.5</v>
      </c>
      <c r="AK28" s="38">
        <f t="shared" si="2"/>
        <v>16088</v>
      </c>
      <c r="AM28"/>
      <c r="AN28"/>
      <c r="AO28"/>
    </row>
    <row r="29" spans="1:41" ht="15" customHeight="1" x14ac:dyDescent="0.35">
      <c r="A29" s="176">
        <v>25</v>
      </c>
      <c r="B29" s="181">
        <f t="shared" si="5"/>
        <v>0.68928454995352395</v>
      </c>
      <c r="C29" s="182">
        <f t="shared" si="6"/>
        <v>0.79267723244655253</v>
      </c>
      <c r="D29"/>
      <c r="E29" s="265">
        <v>400</v>
      </c>
      <c r="F29" s="260">
        <v>0.93320000000000003</v>
      </c>
      <c r="H29" s="49">
        <v>5.6</v>
      </c>
      <c r="I29" s="48">
        <v>0.82730000000000004</v>
      </c>
      <c r="R29" s="29" t="s">
        <v>30</v>
      </c>
      <c r="S29" s="28" t="s">
        <v>23</v>
      </c>
      <c r="T29" s="27">
        <v>0.43109999999999998</v>
      </c>
      <c r="U29"/>
      <c r="AB29"/>
      <c r="AC29"/>
      <c r="AD29"/>
      <c r="AE29" s="78"/>
      <c r="AG29" s="39">
        <v>350</v>
      </c>
      <c r="AH29" s="38">
        <f t="shared" si="4"/>
        <v>1023781.5</v>
      </c>
      <c r="AJ29" s="39">
        <v>5.6</v>
      </c>
      <c r="AK29" s="38">
        <f t="shared" si="2"/>
        <v>16380.5</v>
      </c>
      <c r="AM29"/>
      <c r="AN29"/>
      <c r="AO29"/>
    </row>
    <row r="30" spans="1:41" ht="15" customHeight="1" x14ac:dyDescent="0.35">
      <c r="A30" s="176">
        <v>26</v>
      </c>
      <c r="B30" s="181">
        <f t="shared" si="5"/>
        <v>0.68928454995352395</v>
      </c>
      <c r="C30" s="182">
        <f t="shared" si="6"/>
        <v>0.79267723244655253</v>
      </c>
      <c r="D30"/>
      <c r="E30" s="265">
        <v>442</v>
      </c>
      <c r="F30" s="260">
        <v>0.95420000000000005</v>
      </c>
      <c r="H30" s="49">
        <v>6</v>
      </c>
      <c r="I30" s="48">
        <v>0.81430000000000002</v>
      </c>
      <c r="R30" s="29" t="s">
        <v>29</v>
      </c>
      <c r="S30" s="28" t="s">
        <v>28</v>
      </c>
      <c r="T30" s="27">
        <v>0.64490000000000003</v>
      </c>
      <c r="U30"/>
      <c r="AB30"/>
      <c r="AC30"/>
      <c r="AD30"/>
      <c r="AE30" s="78"/>
      <c r="AG30" s="39">
        <v>382</v>
      </c>
      <c r="AH30" s="38">
        <f t="shared" si="4"/>
        <v>1117384.3799999999</v>
      </c>
      <c r="AJ30" s="39">
        <v>6</v>
      </c>
      <c r="AK30" s="38">
        <f t="shared" si="2"/>
        <v>17550.54</v>
      </c>
      <c r="AM30"/>
      <c r="AN30"/>
      <c r="AO30"/>
    </row>
    <row r="31" spans="1:41" ht="15" customHeight="1" x14ac:dyDescent="0.35">
      <c r="A31" s="176">
        <v>27</v>
      </c>
      <c r="B31" s="181">
        <f t="shared" si="5"/>
        <v>0.68928454995352395</v>
      </c>
      <c r="C31" s="182">
        <f t="shared" si="6"/>
        <v>0.79267723244655253</v>
      </c>
      <c r="D31"/>
      <c r="E31" s="265">
        <v>450</v>
      </c>
      <c r="F31" s="260">
        <v>0.95789999999999997</v>
      </c>
      <c r="H31" s="49">
        <v>6.1</v>
      </c>
      <c r="I31" s="48">
        <v>0.81110000000000004</v>
      </c>
      <c r="R31" s="29" t="s">
        <v>27</v>
      </c>
      <c r="S31" s="30" t="s">
        <v>25</v>
      </c>
      <c r="T31" s="27">
        <v>0.59830000000000005</v>
      </c>
      <c r="U31"/>
      <c r="AB31"/>
      <c r="AC31"/>
      <c r="AD31"/>
      <c r="AE31" s="78"/>
      <c r="AG31" s="39">
        <v>400</v>
      </c>
      <c r="AH31" s="38">
        <f t="shared" si="4"/>
        <v>1170036</v>
      </c>
      <c r="AJ31" s="39">
        <v>6.1</v>
      </c>
      <c r="AK31" s="38">
        <f t="shared" si="2"/>
        <v>17843.05</v>
      </c>
      <c r="AM31"/>
      <c r="AN31"/>
      <c r="AO31"/>
    </row>
    <row r="32" spans="1:41" ht="15" customHeight="1" x14ac:dyDescent="0.35">
      <c r="A32" s="176">
        <v>28</v>
      </c>
      <c r="B32" s="181">
        <f t="shared" si="5"/>
        <v>0.68928454995352395</v>
      </c>
      <c r="C32" s="182">
        <f t="shared" si="6"/>
        <v>0.79267723244655253</v>
      </c>
      <c r="D32"/>
      <c r="E32" s="265">
        <v>458</v>
      </c>
      <c r="F32" s="260">
        <v>0.96160000000000001</v>
      </c>
      <c r="H32" s="49">
        <v>6.3</v>
      </c>
      <c r="I32" s="48">
        <v>0.80469999999999997</v>
      </c>
      <c r="R32" s="29" t="s">
        <v>26</v>
      </c>
      <c r="S32" s="28" t="s">
        <v>25</v>
      </c>
      <c r="T32" s="27">
        <v>0.59830000000000005</v>
      </c>
      <c r="U32"/>
      <c r="AB32"/>
      <c r="AC32"/>
      <c r="AD32"/>
      <c r="AE32" s="78"/>
      <c r="AG32" s="39">
        <v>442</v>
      </c>
      <c r="AH32" s="38">
        <f t="shared" si="4"/>
        <v>1292889.78</v>
      </c>
      <c r="AJ32" s="39">
        <v>6.3</v>
      </c>
      <c r="AK32" s="38">
        <f t="shared" si="2"/>
        <v>18428.07</v>
      </c>
      <c r="AM32"/>
      <c r="AN32"/>
      <c r="AO32"/>
    </row>
    <row r="33" spans="1:41" ht="15" customHeight="1" x14ac:dyDescent="0.35">
      <c r="A33" s="176">
        <v>29</v>
      </c>
      <c r="B33" s="181">
        <f t="shared" si="5"/>
        <v>0.68928454995352395</v>
      </c>
      <c r="C33" s="182">
        <f t="shared" si="6"/>
        <v>0.79267723244655253</v>
      </c>
      <c r="D33"/>
      <c r="E33" s="265">
        <v>500</v>
      </c>
      <c r="F33" s="260">
        <v>0.98</v>
      </c>
      <c r="H33" s="49">
        <v>6.5</v>
      </c>
      <c r="I33" s="48">
        <v>0.79830000000000001</v>
      </c>
      <c r="R33" s="29" t="s">
        <v>24</v>
      </c>
      <c r="S33" s="28" t="s">
        <v>23</v>
      </c>
      <c r="T33" s="27">
        <v>0.43109999999999998</v>
      </c>
      <c r="U33"/>
      <c r="AB33"/>
      <c r="AC33"/>
      <c r="AD33"/>
      <c r="AE33" s="78"/>
      <c r="AG33" s="39">
        <v>450</v>
      </c>
      <c r="AH33" s="38">
        <f t="shared" si="4"/>
        <v>1316290.5</v>
      </c>
      <c r="AJ33" s="39">
        <v>6.5</v>
      </c>
      <c r="AK33" s="38">
        <f t="shared" si="2"/>
        <v>19013.09</v>
      </c>
      <c r="AM33"/>
      <c r="AN33"/>
      <c r="AO33"/>
    </row>
    <row r="34" spans="1:41" ht="15" customHeight="1" thickBot="1" x14ac:dyDescent="0.4">
      <c r="A34" s="176">
        <v>30</v>
      </c>
      <c r="B34" s="181">
        <f t="shared" si="5"/>
        <v>0.68928454995352395</v>
      </c>
      <c r="C34" s="182">
        <f t="shared" si="6"/>
        <v>0.79267723244655253</v>
      </c>
      <c r="D34"/>
      <c r="E34" s="265">
        <v>535</v>
      </c>
      <c r="F34" s="260">
        <v>0.99419999999999997</v>
      </c>
      <c r="H34" s="49">
        <v>6.9</v>
      </c>
      <c r="I34" s="48">
        <v>0.78580000000000005</v>
      </c>
      <c r="R34" s="24" t="s">
        <v>22</v>
      </c>
      <c r="S34" s="26" t="s">
        <v>21</v>
      </c>
      <c r="T34" s="25">
        <v>0.60819999999999996</v>
      </c>
      <c r="U34"/>
      <c r="AB34"/>
      <c r="AC34"/>
      <c r="AD34"/>
      <c r="AE34" s="78"/>
      <c r="AG34" s="39">
        <v>458</v>
      </c>
      <c r="AH34" s="38">
        <f t="shared" si="4"/>
        <v>1339691.22</v>
      </c>
      <c r="AJ34" s="39">
        <v>6.9</v>
      </c>
      <c r="AK34" s="38">
        <f t="shared" si="2"/>
        <v>20183.12</v>
      </c>
      <c r="AM34"/>
      <c r="AN34"/>
      <c r="AO34"/>
    </row>
    <row r="35" spans="1:41" ht="15" customHeight="1" x14ac:dyDescent="0.35">
      <c r="A35" s="176">
        <v>31</v>
      </c>
      <c r="B35" s="181">
        <f t="shared" si="5"/>
        <v>0.68928454995352395</v>
      </c>
      <c r="C35" s="182">
        <f t="shared" si="6"/>
        <v>0.79267723244655253</v>
      </c>
      <c r="D35"/>
      <c r="E35" s="265">
        <v>550</v>
      </c>
      <c r="F35" s="260">
        <v>1</v>
      </c>
      <c r="H35" s="49">
        <v>7</v>
      </c>
      <c r="I35" s="48">
        <v>0.78269999999999995</v>
      </c>
      <c r="R35"/>
      <c r="S35"/>
      <c r="T35"/>
      <c r="U35"/>
      <c r="AB35"/>
      <c r="AC35"/>
      <c r="AD35"/>
      <c r="AE35" s="78"/>
      <c r="AG35" s="39">
        <v>500</v>
      </c>
      <c r="AH35" s="38">
        <f t="shared" si="4"/>
        <v>1462545</v>
      </c>
      <c r="AJ35" s="39">
        <v>7</v>
      </c>
      <c r="AK35" s="38">
        <f t="shared" si="2"/>
        <v>20475.63</v>
      </c>
      <c r="AM35"/>
      <c r="AN35"/>
      <c r="AO35"/>
    </row>
    <row r="36" spans="1:41" ht="15" customHeight="1" x14ac:dyDescent="0.35">
      <c r="A36" s="176">
        <v>32</v>
      </c>
      <c r="B36" s="181">
        <f t="shared" si="5"/>
        <v>0.68928454995352395</v>
      </c>
      <c r="C36" s="182">
        <f t="shared" si="6"/>
        <v>0.79267723244655253</v>
      </c>
      <c r="D36"/>
      <c r="E36" s="265">
        <v>600</v>
      </c>
      <c r="F36" s="260">
        <v>1.0182</v>
      </c>
      <c r="H36" s="49">
        <v>7.1</v>
      </c>
      <c r="I36" s="48">
        <v>0.77959999999999996</v>
      </c>
      <c r="U36"/>
      <c r="V36"/>
      <c r="W36"/>
      <c r="AB36"/>
      <c r="AC36"/>
      <c r="AD36"/>
      <c r="AE36" s="78"/>
      <c r="AG36" s="39">
        <v>535</v>
      </c>
      <c r="AH36" s="38">
        <f t="shared" si="4"/>
        <v>1564923.15</v>
      </c>
      <c r="AJ36" s="39">
        <v>7.1</v>
      </c>
      <c r="AK36" s="38">
        <f t="shared" si="2"/>
        <v>20768.14</v>
      </c>
      <c r="AM36"/>
      <c r="AN36"/>
      <c r="AO36"/>
    </row>
    <row r="37" spans="1:41" ht="15" customHeight="1" x14ac:dyDescent="0.35">
      <c r="A37" s="176">
        <v>33</v>
      </c>
      <c r="B37" s="181">
        <f t="shared" si="5"/>
        <v>0.68928454995352395</v>
      </c>
      <c r="C37" s="182">
        <f t="shared" si="6"/>
        <v>0.79267723244655253</v>
      </c>
      <c r="D37"/>
      <c r="E37" s="265">
        <v>611</v>
      </c>
      <c r="F37" s="260">
        <v>1.0221</v>
      </c>
      <c r="H37" s="49">
        <v>7.5</v>
      </c>
      <c r="I37" s="48">
        <v>0.76739999999999997</v>
      </c>
      <c r="V37"/>
      <c r="W37"/>
      <c r="AB37"/>
      <c r="AC37"/>
      <c r="AD37"/>
      <c r="AE37" s="78"/>
      <c r="AG37" s="39">
        <v>550</v>
      </c>
      <c r="AH37" s="38">
        <f t="shared" si="4"/>
        <v>1608799.5</v>
      </c>
      <c r="AJ37" s="39">
        <v>7.5</v>
      </c>
      <c r="AK37" s="38">
        <f t="shared" si="2"/>
        <v>21938.18</v>
      </c>
      <c r="AM37"/>
      <c r="AN37"/>
      <c r="AO37"/>
    </row>
    <row r="38" spans="1:41" ht="15" customHeight="1" x14ac:dyDescent="0.35">
      <c r="A38" s="176">
        <v>34</v>
      </c>
      <c r="B38" s="181">
        <f t="shared" si="5"/>
        <v>0.68928454995352395</v>
      </c>
      <c r="C38" s="182">
        <f t="shared" si="6"/>
        <v>0.79267723244655253</v>
      </c>
      <c r="D38"/>
      <c r="E38" s="265">
        <v>615</v>
      </c>
      <c r="F38" s="260">
        <v>1.0234000000000001</v>
      </c>
      <c r="H38" s="49">
        <v>7.6</v>
      </c>
      <c r="I38" s="48">
        <v>0.76439999999999997</v>
      </c>
      <c r="T38" s="22"/>
      <c r="V38"/>
      <c r="W38"/>
      <c r="AB38"/>
      <c r="AC38"/>
      <c r="AD38"/>
      <c r="AE38" s="78"/>
      <c r="AG38" s="39">
        <v>600</v>
      </c>
      <c r="AH38" s="38">
        <f t="shared" si="4"/>
        <v>1755054</v>
      </c>
      <c r="AJ38" s="39">
        <v>7.6</v>
      </c>
      <c r="AK38" s="38">
        <f t="shared" si="2"/>
        <v>22230.68</v>
      </c>
      <c r="AM38"/>
      <c r="AN38"/>
      <c r="AO38"/>
    </row>
    <row r="39" spans="1:41" ht="15" customHeight="1" x14ac:dyDescent="0.35">
      <c r="A39" s="176">
        <v>35</v>
      </c>
      <c r="B39" s="181">
        <f t="shared" si="5"/>
        <v>0.68928454995352395</v>
      </c>
      <c r="C39" s="182">
        <f t="shared" si="6"/>
        <v>0.79267723244655253</v>
      </c>
      <c r="D39"/>
      <c r="E39" s="265">
        <v>650</v>
      </c>
      <c r="F39" s="260">
        <v>1.0349999999999999</v>
      </c>
      <c r="H39" s="49">
        <v>7.9</v>
      </c>
      <c r="I39" s="48">
        <v>0.75539999999999996</v>
      </c>
      <c r="T39" s="20"/>
      <c r="V39"/>
      <c r="W39"/>
      <c r="AB39"/>
      <c r="AC39"/>
      <c r="AD39"/>
      <c r="AE39" s="78"/>
      <c r="AG39" s="39">
        <v>611</v>
      </c>
      <c r="AH39" s="38">
        <f t="shared" si="4"/>
        <v>1787229.99</v>
      </c>
      <c r="AJ39" s="39">
        <v>7.9</v>
      </c>
      <c r="AK39" s="38">
        <f t="shared" si="2"/>
        <v>23108.21</v>
      </c>
      <c r="AM39"/>
      <c r="AN39"/>
      <c r="AO39"/>
    </row>
    <row r="40" spans="1:41" ht="15" customHeight="1" x14ac:dyDescent="0.35">
      <c r="A40" s="176">
        <v>36</v>
      </c>
      <c r="B40" s="181">
        <f t="shared" si="5"/>
        <v>0.68928454995352395</v>
      </c>
      <c r="C40" s="182">
        <f t="shared" si="6"/>
        <v>0.79267723244655253</v>
      </c>
      <c r="D40"/>
      <c r="E40" s="265">
        <v>687</v>
      </c>
      <c r="F40" s="260">
        <v>1.0466</v>
      </c>
      <c r="H40" s="49">
        <v>8</v>
      </c>
      <c r="I40" s="48">
        <v>0.75239999999999996</v>
      </c>
      <c r="T40" s="19"/>
      <c r="V40"/>
      <c r="W40"/>
      <c r="AB40"/>
      <c r="AC40"/>
      <c r="AD40"/>
      <c r="AE40" s="78"/>
      <c r="AG40" s="39">
        <v>615</v>
      </c>
      <c r="AH40" s="38">
        <f t="shared" si="4"/>
        <v>1798930.35</v>
      </c>
      <c r="AJ40" s="39">
        <v>8</v>
      </c>
      <c r="AK40" s="38">
        <f t="shared" si="2"/>
        <v>23400.720000000001</v>
      </c>
      <c r="AM40"/>
      <c r="AN40"/>
      <c r="AO40"/>
    </row>
    <row r="41" spans="1:41" ht="15" customHeight="1" x14ac:dyDescent="0.35">
      <c r="A41" s="176">
        <v>37</v>
      </c>
      <c r="B41" s="181">
        <f t="shared" si="5"/>
        <v>0.68928454995352395</v>
      </c>
      <c r="C41" s="182">
        <f t="shared" si="6"/>
        <v>0.79267723244655253</v>
      </c>
      <c r="D41"/>
      <c r="E41" s="265">
        <v>700</v>
      </c>
      <c r="F41" s="260">
        <v>1.0506</v>
      </c>
      <c r="H41" s="49">
        <v>8.4</v>
      </c>
      <c r="I41" s="48">
        <v>0.74060000000000004</v>
      </c>
      <c r="T41" s="19"/>
      <c r="V41"/>
      <c r="W41"/>
      <c r="Y41" s="1"/>
      <c r="Z41" s="1"/>
      <c r="AB41"/>
      <c r="AC41"/>
      <c r="AD41"/>
      <c r="AE41" s="78"/>
      <c r="AG41" s="39">
        <v>650</v>
      </c>
      <c r="AH41" s="38">
        <f t="shared" si="4"/>
        <v>1901308.5</v>
      </c>
      <c r="AJ41" s="39">
        <v>8.4</v>
      </c>
      <c r="AK41" s="38">
        <f t="shared" si="2"/>
        <v>24570.76</v>
      </c>
      <c r="AM41"/>
      <c r="AN41"/>
      <c r="AO41"/>
    </row>
    <row r="42" spans="1:41" ht="15" customHeight="1" x14ac:dyDescent="0.35">
      <c r="A42" s="176">
        <v>38</v>
      </c>
      <c r="B42" s="181">
        <f t="shared" si="5"/>
        <v>0.68928454995352395</v>
      </c>
      <c r="C42" s="182">
        <f t="shared" ref="C42:C73" si="7">+$E$1*$H$1*$K$1*$O$1*$O$9*$R$1*$V$1*$V$8*$Y$8*$K$11</f>
        <v>0.68928454995352395</v>
      </c>
      <c r="D42"/>
      <c r="E42" s="265">
        <v>750</v>
      </c>
      <c r="F42" s="260">
        <v>1.0649999999999999</v>
      </c>
      <c r="H42" s="49">
        <v>8.5</v>
      </c>
      <c r="I42" s="48">
        <v>0.73770000000000002</v>
      </c>
      <c r="T42" s="19"/>
      <c r="V42"/>
      <c r="W42"/>
      <c r="Y42" s="21"/>
      <c r="Z42" s="1"/>
      <c r="AB42"/>
      <c r="AC42"/>
      <c r="AD42"/>
      <c r="AE42" s="78"/>
      <c r="AG42" s="39">
        <v>687</v>
      </c>
      <c r="AH42" s="38">
        <f t="shared" si="4"/>
        <v>2009536.83</v>
      </c>
      <c r="AJ42" s="39">
        <v>8.5</v>
      </c>
      <c r="AK42" s="38">
        <f t="shared" si="2"/>
        <v>24863.27</v>
      </c>
      <c r="AM42"/>
      <c r="AN42"/>
      <c r="AO42"/>
    </row>
    <row r="43" spans="1:41" ht="15" customHeight="1" x14ac:dyDescent="0.35">
      <c r="A43" s="176">
        <v>39</v>
      </c>
      <c r="B43" s="181">
        <f t="shared" si="5"/>
        <v>0.68928454995352395</v>
      </c>
      <c r="C43" s="182">
        <f t="shared" si="7"/>
        <v>0.68928454995352395</v>
      </c>
      <c r="D43"/>
      <c r="E43" s="265">
        <v>764</v>
      </c>
      <c r="F43" s="260">
        <v>1.0689</v>
      </c>
      <c r="H43" s="49">
        <v>8.6</v>
      </c>
      <c r="I43" s="48">
        <v>0.73480000000000001</v>
      </c>
      <c r="T43" s="19"/>
      <c r="V43"/>
      <c r="W43"/>
      <c r="Y43" s="21"/>
      <c r="Z43" s="1"/>
      <c r="AB43"/>
      <c r="AC43"/>
      <c r="AD43"/>
      <c r="AE43" s="78"/>
      <c r="AG43" s="39">
        <v>700</v>
      </c>
      <c r="AH43" s="38">
        <f t="shared" si="4"/>
        <v>2047563</v>
      </c>
      <c r="AJ43" s="39">
        <v>8.6</v>
      </c>
      <c r="AK43" s="38">
        <f t="shared" si="2"/>
        <v>25155.77</v>
      </c>
      <c r="AM43"/>
      <c r="AN43"/>
      <c r="AO43"/>
    </row>
    <row r="44" spans="1:41" ht="15" customHeight="1" x14ac:dyDescent="0.35">
      <c r="A44" s="176">
        <v>40</v>
      </c>
      <c r="B44" s="181">
        <f t="shared" si="5"/>
        <v>0.68928454995352395</v>
      </c>
      <c r="C44" s="182">
        <f t="shared" si="7"/>
        <v>0.68928454995352395</v>
      </c>
      <c r="D44"/>
      <c r="E44" s="265">
        <v>800</v>
      </c>
      <c r="F44" s="260">
        <v>1.0786</v>
      </c>
      <c r="H44" s="49">
        <v>9</v>
      </c>
      <c r="I44" s="48">
        <v>0.72330000000000005</v>
      </c>
      <c r="T44" s="19"/>
      <c r="V44"/>
      <c r="W44"/>
      <c r="Y44" s="1"/>
      <c r="Z44" s="1"/>
      <c r="AB44"/>
      <c r="AC44"/>
      <c r="AD44"/>
      <c r="AE44" s="78"/>
      <c r="AG44" s="39">
        <v>750</v>
      </c>
      <c r="AH44" s="38">
        <f t="shared" si="4"/>
        <v>2193817.5</v>
      </c>
      <c r="AJ44" s="39">
        <v>9</v>
      </c>
      <c r="AK44" s="38">
        <f t="shared" si="2"/>
        <v>26325.81</v>
      </c>
      <c r="AM44"/>
      <c r="AN44"/>
      <c r="AO44"/>
    </row>
    <row r="45" spans="1:41" ht="15" customHeight="1" x14ac:dyDescent="0.35">
      <c r="A45" s="176">
        <v>41</v>
      </c>
      <c r="B45" s="181">
        <f t="shared" si="5"/>
        <v>0.68928454995352395</v>
      </c>
      <c r="C45" s="182">
        <f t="shared" si="7"/>
        <v>0.68928454995352395</v>
      </c>
      <c r="D45"/>
      <c r="E45" s="265">
        <v>900</v>
      </c>
      <c r="F45" s="260">
        <v>1.1032999999999999</v>
      </c>
      <c r="H45" s="49">
        <v>9.1999999999999993</v>
      </c>
      <c r="I45" s="48">
        <v>0.71750000000000003</v>
      </c>
      <c r="T45" s="19"/>
      <c r="V45"/>
      <c r="W45"/>
      <c r="Y45" s="1"/>
      <c r="Z45" s="1"/>
      <c r="AB45"/>
      <c r="AC45"/>
      <c r="AD45"/>
      <c r="AE45" s="78"/>
      <c r="AG45" s="39">
        <v>764</v>
      </c>
      <c r="AH45" s="38">
        <f t="shared" si="4"/>
        <v>2234768.7599999998</v>
      </c>
      <c r="AJ45" s="39">
        <v>9.1999999999999993</v>
      </c>
      <c r="AK45" s="38">
        <f t="shared" si="2"/>
        <v>26910.83</v>
      </c>
      <c r="AM45"/>
      <c r="AN45"/>
      <c r="AO45"/>
    </row>
    <row r="46" spans="1:41" ht="15" customHeight="1" x14ac:dyDescent="0.35">
      <c r="A46" s="176">
        <v>42</v>
      </c>
      <c r="B46" s="181">
        <f t="shared" si="5"/>
        <v>0.68928454995352395</v>
      </c>
      <c r="C46" s="182">
        <f t="shared" si="7"/>
        <v>0.68928454995352395</v>
      </c>
      <c r="D46"/>
      <c r="E46" s="265">
        <v>1000</v>
      </c>
      <c r="F46" s="260">
        <v>1.1254</v>
      </c>
      <c r="H46" s="49">
        <v>9.4</v>
      </c>
      <c r="I46" s="48">
        <v>0.71189999999999998</v>
      </c>
      <c r="T46" s="19"/>
      <c r="V46"/>
      <c r="W46"/>
      <c r="Y46" s="1"/>
      <c r="Z46" s="1"/>
      <c r="AB46"/>
      <c r="AC46"/>
      <c r="AD46"/>
      <c r="AE46" s="78"/>
      <c r="AG46" s="39">
        <v>800</v>
      </c>
      <c r="AH46" s="38">
        <f t="shared" si="4"/>
        <v>2340072</v>
      </c>
      <c r="AJ46" s="39">
        <v>9.4</v>
      </c>
      <c r="AK46" s="38">
        <f t="shared" si="2"/>
        <v>27495.85</v>
      </c>
      <c r="AM46"/>
      <c r="AN46"/>
      <c r="AO46"/>
    </row>
    <row r="47" spans="1:41" ht="15" customHeight="1" x14ac:dyDescent="0.35">
      <c r="A47" s="176">
        <v>43</v>
      </c>
      <c r="B47" s="181">
        <f t="shared" si="5"/>
        <v>0.68928454995352395</v>
      </c>
      <c r="C47" s="182">
        <f t="shared" si="7"/>
        <v>0.68928454995352395</v>
      </c>
      <c r="D47"/>
      <c r="E47" s="265">
        <v>1104</v>
      </c>
      <c r="F47" s="260">
        <v>1.1460999999999999</v>
      </c>
      <c r="H47" s="49">
        <v>9.9</v>
      </c>
      <c r="I47" s="48">
        <v>0.69799999999999995</v>
      </c>
      <c r="T47" s="19"/>
      <c r="V47"/>
      <c r="W47"/>
      <c r="Y47" s="1"/>
      <c r="Z47" s="1"/>
      <c r="AB47"/>
      <c r="AC47"/>
      <c r="AD47"/>
      <c r="AE47" s="78"/>
      <c r="AG47" s="39">
        <v>900</v>
      </c>
      <c r="AH47" s="38">
        <f t="shared" si="4"/>
        <v>2632581</v>
      </c>
      <c r="AJ47" s="39">
        <v>9.9</v>
      </c>
      <c r="AK47" s="38">
        <f t="shared" si="2"/>
        <v>28958.39</v>
      </c>
      <c r="AM47"/>
      <c r="AN47"/>
      <c r="AO47"/>
    </row>
    <row r="48" spans="1:41" ht="15" customHeight="1" x14ac:dyDescent="0.35">
      <c r="A48" s="176">
        <v>44</v>
      </c>
      <c r="B48" s="181">
        <f t="shared" si="5"/>
        <v>0.68928454995352395</v>
      </c>
      <c r="C48" s="182">
        <f t="shared" si="7"/>
        <v>0.68928454995352395</v>
      </c>
      <c r="D48"/>
      <c r="E48" s="265">
        <v>1500</v>
      </c>
      <c r="F48" s="260">
        <v>1.2103999999999999</v>
      </c>
      <c r="H48" s="49">
        <v>10</v>
      </c>
      <c r="I48" s="48">
        <v>0.62570000000000003</v>
      </c>
      <c r="T48" s="19"/>
      <c r="V48"/>
      <c r="W48"/>
      <c r="Y48" s="1"/>
      <c r="Z48" s="1"/>
      <c r="AB48"/>
      <c r="AC48"/>
      <c r="AD48"/>
      <c r="AE48" s="78"/>
      <c r="AG48" s="39">
        <v>1000</v>
      </c>
      <c r="AH48" s="38">
        <f t="shared" si="4"/>
        <v>2925090</v>
      </c>
      <c r="AJ48" s="39">
        <v>10</v>
      </c>
      <c r="AK48" s="38">
        <f t="shared" si="2"/>
        <v>29250.9</v>
      </c>
      <c r="AM48"/>
      <c r="AN48"/>
      <c r="AO48"/>
    </row>
    <row r="49" spans="1:41" ht="15" customHeight="1" x14ac:dyDescent="0.35">
      <c r="A49" s="176">
        <v>45</v>
      </c>
      <c r="B49" s="181">
        <f t="shared" si="5"/>
        <v>0.68928454995352395</v>
      </c>
      <c r="C49" s="182">
        <f t="shared" si="7"/>
        <v>0.68928454995352395</v>
      </c>
      <c r="D49"/>
      <c r="E49" s="265">
        <v>1527</v>
      </c>
      <c r="F49" s="260">
        <v>1.2141999999999999</v>
      </c>
      <c r="H49" s="49">
        <v>10.199999999999999</v>
      </c>
      <c r="I49" s="48">
        <v>0.61529999999999996</v>
      </c>
      <c r="T49" s="19"/>
      <c r="V49"/>
      <c r="W49"/>
      <c r="Y49" s="1"/>
      <c r="Z49" s="1"/>
      <c r="AB49"/>
      <c r="AC49"/>
      <c r="AD49"/>
      <c r="AE49" s="78"/>
      <c r="AG49" s="39">
        <v>1104</v>
      </c>
      <c r="AH49" s="38">
        <f t="shared" si="4"/>
        <v>3229299.36</v>
      </c>
      <c r="AJ49" s="39">
        <v>10.199999999999999</v>
      </c>
      <c r="AK49" s="38">
        <f t="shared" si="2"/>
        <v>29835.919999999998</v>
      </c>
      <c r="AM49"/>
      <c r="AN49"/>
      <c r="AO49"/>
    </row>
    <row r="50" spans="1:41" ht="15" customHeight="1" x14ac:dyDescent="0.35">
      <c r="A50" s="176">
        <v>46</v>
      </c>
      <c r="B50" s="181">
        <f t="shared" si="5"/>
        <v>0.68928454995352395</v>
      </c>
      <c r="C50" s="182">
        <f t="shared" si="7"/>
        <v>0.68928454995352395</v>
      </c>
      <c r="D50"/>
      <c r="E50" s="265">
        <v>1650</v>
      </c>
      <c r="F50" s="260">
        <v>1.2297</v>
      </c>
      <c r="H50" s="49">
        <v>10.7</v>
      </c>
      <c r="I50" s="48">
        <v>0.58940000000000003</v>
      </c>
      <c r="T50" s="20"/>
      <c r="V50"/>
      <c r="W50"/>
      <c r="Y50" s="1"/>
      <c r="Z50" s="1"/>
      <c r="AB50"/>
      <c r="AC50"/>
      <c r="AD50"/>
      <c r="AE50" s="78"/>
      <c r="AG50" s="39">
        <v>1500</v>
      </c>
      <c r="AH50" s="38">
        <f t="shared" si="4"/>
        <v>4387635</v>
      </c>
      <c r="AJ50" s="39">
        <v>10.7</v>
      </c>
      <c r="AK50" s="38">
        <f t="shared" si="2"/>
        <v>31298.46</v>
      </c>
      <c r="AM50"/>
      <c r="AN50"/>
      <c r="AO50"/>
    </row>
    <row r="51" spans="1:41" ht="15" customHeight="1" x14ac:dyDescent="0.35">
      <c r="A51" s="176">
        <v>47</v>
      </c>
      <c r="B51" s="181">
        <f t="shared" si="5"/>
        <v>0.68928454995352395</v>
      </c>
      <c r="C51" s="182">
        <f t="shared" si="7"/>
        <v>0.68928454995352395</v>
      </c>
      <c r="D51"/>
      <c r="E51" s="265">
        <v>1800</v>
      </c>
      <c r="F51" s="260">
        <v>1.2486999999999999</v>
      </c>
      <c r="H51" s="49">
        <v>10.9</v>
      </c>
      <c r="I51" s="48">
        <v>0.58479999999999999</v>
      </c>
      <c r="T51" s="19"/>
      <c r="V51"/>
      <c r="W51"/>
      <c r="Y51" s="1"/>
      <c r="Z51" s="1"/>
      <c r="AB51"/>
      <c r="AC51"/>
      <c r="AD51"/>
      <c r="AE51" s="78"/>
      <c r="AG51" s="39">
        <v>1527</v>
      </c>
      <c r="AH51" s="38">
        <f t="shared" si="4"/>
        <v>4466612.43</v>
      </c>
      <c r="AJ51" s="39">
        <v>10.9</v>
      </c>
      <c r="AK51" s="38">
        <f t="shared" si="2"/>
        <v>31883.48</v>
      </c>
      <c r="AM51"/>
      <c r="AN51"/>
      <c r="AO51"/>
    </row>
    <row r="52" spans="1:41" ht="15" customHeight="1" x14ac:dyDescent="0.35">
      <c r="A52" s="176">
        <v>48</v>
      </c>
      <c r="B52" s="181">
        <f t="shared" si="5"/>
        <v>0.68928454995352395</v>
      </c>
      <c r="C52" s="182">
        <f t="shared" si="7"/>
        <v>0.68928454995352395</v>
      </c>
      <c r="D52"/>
      <c r="E52" s="265">
        <v>1824</v>
      </c>
      <c r="F52" s="260">
        <v>1.2514000000000001</v>
      </c>
      <c r="H52" s="49">
        <v>11</v>
      </c>
      <c r="I52" s="48">
        <v>0.58250000000000002</v>
      </c>
      <c r="T52" s="19"/>
      <c r="Y52" s="1"/>
      <c r="Z52" s="1"/>
      <c r="AB52"/>
      <c r="AC52"/>
      <c r="AD52"/>
      <c r="AE52" s="78"/>
      <c r="AG52" s="39">
        <v>1650</v>
      </c>
      <c r="AH52" s="38">
        <f t="shared" si="4"/>
        <v>4826398.5</v>
      </c>
      <c r="AJ52" s="39">
        <v>11</v>
      </c>
      <c r="AK52" s="38">
        <f t="shared" si="2"/>
        <v>32175.99</v>
      </c>
      <c r="AM52"/>
      <c r="AN52"/>
      <c r="AO52"/>
    </row>
    <row r="53" spans="1:41" ht="15" customHeight="1" x14ac:dyDescent="0.35">
      <c r="A53" s="176">
        <v>49</v>
      </c>
      <c r="B53" s="181">
        <f t="shared" si="5"/>
        <v>0.68928454995352395</v>
      </c>
      <c r="C53" s="182">
        <f t="shared" si="7"/>
        <v>0.68928454995352395</v>
      </c>
      <c r="D53"/>
      <c r="E53" s="265">
        <v>1909</v>
      </c>
      <c r="F53" s="260">
        <v>1.2609999999999999</v>
      </c>
      <c r="H53" s="49">
        <v>11.5</v>
      </c>
      <c r="I53" s="48">
        <v>0.57099999999999995</v>
      </c>
      <c r="T53" s="19"/>
      <c r="Y53" s="1"/>
      <c r="Z53" s="1"/>
      <c r="AB53"/>
      <c r="AC53"/>
      <c r="AD53"/>
      <c r="AE53" s="78"/>
      <c r="AG53" s="39">
        <v>1800</v>
      </c>
      <c r="AH53" s="38">
        <f t="shared" si="4"/>
        <v>5265162</v>
      </c>
      <c r="AJ53" s="39">
        <v>11.5</v>
      </c>
      <c r="AK53" s="38">
        <f t="shared" si="2"/>
        <v>33638.54</v>
      </c>
      <c r="AM53"/>
      <c r="AN53"/>
      <c r="AO53"/>
    </row>
    <row r="54" spans="1:41" ht="15" customHeight="1" x14ac:dyDescent="0.35">
      <c r="A54" s="176">
        <v>50</v>
      </c>
      <c r="B54" s="181">
        <f t="shared" si="5"/>
        <v>0.68928454995352395</v>
      </c>
      <c r="C54" s="182">
        <f t="shared" si="7"/>
        <v>0.68928454995352395</v>
      </c>
      <c r="D54"/>
      <c r="E54" s="265">
        <v>2000</v>
      </c>
      <c r="F54" s="260">
        <v>1.2707999999999999</v>
      </c>
      <c r="H54" s="49">
        <v>11.7</v>
      </c>
      <c r="I54" s="48">
        <v>0.5665</v>
      </c>
      <c r="S54"/>
      <c r="T54"/>
      <c r="AE54" s="78"/>
      <c r="AG54" s="39">
        <v>1824</v>
      </c>
      <c r="AH54" s="38">
        <f t="shared" si="4"/>
        <v>5335364.16</v>
      </c>
      <c r="AJ54" s="39">
        <v>11.7</v>
      </c>
      <c r="AK54" s="38">
        <f t="shared" si="2"/>
        <v>34223.550000000003</v>
      </c>
      <c r="AM54"/>
      <c r="AN54"/>
      <c r="AO54"/>
    </row>
    <row r="55" spans="1:41" ht="15" customHeight="1" x14ac:dyDescent="0.35">
      <c r="A55" s="176">
        <v>51</v>
      </c>
      <c r="B55" s="181">
        <f t="shared" si="5"/>
        <v>0.68928454995352395</v>
      </c>
      <c r="C55" s="182">
        <f t="shared" si="7"/>
        <v>0.68928454995352395</v>
      </c>
      <c r="D55"/>
      <c r="E55" s="265">
        <v>2208</v>
      </c>
      <c r="F55" s="260">
        <v>1.2915000000000001</v>
      </c>
      <c r="H55" s="49">
        <v>12</v>
      </c>
      <c r="I55" s="48">
        <v>0.55989999999999995</v>
      </c>
      <c r="Q55" s="19"/>
      <c r="AE55" s="78"/>
      <c r="AG55" s="39">
        <v>1909</v>
      </c>
      <c r="AH55" s="38">
        <f t="shared" si="4"/>
        <v>5583996.8099999996</v>
      </c>
      <c r="AJ55" s="39">
        <v>12</v>
      </c>
      <c r="AK55" s="38">
        <f t="shared" si="2"/>
        <v>35101.08</v>
      </c>
    </row>
    <row r="56" spans="1:41" ht="15" customHeight="1" x14ac:dyDescent="0.35">
      <c r="A56" s="176">
        <v>52</v>
      </c>
      <c r="B56" s="181">
        <f t="shared" ref="B56:B87" si="8">+$E$1*$H$1*$K$1*$O$1*$O$9*$R$1*$V$1*$V$8*$Y$8*$K$11</f>
        <v>0.68928454995352395</v>
      </c>
      <c r="C56" s="182">
        <f t="shared" si="7"/>
        <v>0.68928454995352395</v>
      </c>
      <c r="D56"/>
      <c r="E56" s="265">
        <v>2291</v>
      </c>
      <c r="F56" s="260">
        <v>1.2992999999999999</v>
      </c>
      <c r="H56" s="49">
        <v>12.2</v>
      </c>
      <c r="I56" s="48">
        <v>0.5554</v>
      </c>
      <c r="Q56" s="19"/>
      <c r="AE56" s="78"/>
      <c r="AG56" s="39">
        <v>2000</v>
      </c>
      <c r="AH56" s="38">
        <f t="shared" si="4"/>
        <v>5850180</v>
      </c>
      <c r="AJ56" s="39">
        <v>12.2</v>
      </c>
      <c r="AK56" s="38">
        <f t="shared" si="2"/>
        <v>35686.1</v>
      </c>
    </row>
    <row r="57" spans="1:41" ht="15" customHeight="1" x14ac:dyDescent="0.35">
      <c r="A57" s="176">
        <v>53</v>
      </c>
      <c r="B57" s="181">
        <f t="shared" si="8"/>
        <v>0.68928454995352395</v>
      </c>
      <c r="C57" s="182">
        <f t="shared" si="7"/>
        <v>0.68928454995352395</v>
      </c>
      <c r="D57"/>
      <c r="E57" s="265">
        <v>2500</v>
      </c>
      <c r="F57" s="260">
        <v>1.3176000000000001</v>
      </c>
      <c r="H57" s="49">
        <v>12.5</v>
      </c>
      <c r="I57" s="48">
        <v>0.54900000000000004</v>
      </c>
      <c r="Q57" s="19"/>
      <c r="AE57" s="78"/>
      <c r="AG57" s="39">
        <v>2208</v>
      </c>
      <c r="AH57" s="38">
        <f t="shared" si="4"/>
        <v>6458598.7199999997</v>
      </c>
      <c r="AJ57" s="39">
        <v>12.5</v>
      </c>
      <c r="AK57" s="38">
        <f t="shared" si="2"/>
        <v>36563.629999999997</v>
      </c>
    </row>
    <row r="58" spans="1:41" ht="15" customHeight="1" x14ac:dyDescent="0.35">
      <c r="A58" s="176">
        <v>54</v>
      </c>
      <c r="B58" s="181">
        <f t="shared" si="8"/>
        <v>0.68928454995352395</v>
      </c>
      <c r="C58" s="182">
        <f t="shared" si="7"/>
        <v>0.68928454995352395</v>
      </c>
      <c r="D58"/>
      <c r="E58" s="265">
        <v>2673</v>
      </c>
      <c r="F58" s="260">
        <v>1.3315999999999999</v>
      </c>
      <c r="H58" s="49">
        <v>13</v>
      </c>
      <c r="I58" s="48">
        <v>0.53820000000000001</v>
      </c>
      <c r="Q58" s="19"/>
      <c r="AE58" s="78"/>
      <c r="AG58" s="39">
        <v>2291</v>
      </c>
      <c r="AH58" s="38">
        <f t="shared" si="4"/>
        <v>6701381.1900000004</v>
      </c>
      <c r="AJ58" s="39">
        <v>13</v>
      </c>
      <c r="AK58" s="38">
        <f t="shared" si="2"/>
        <v>38026.17</v>
      </c>
    </row>
    <row r="59" spans="1:41" ht="15" customHeight="1" x14ac:dyDescent="0.35">
      <c r="A59" s="176">
        <v>55</v>
      </c>
      <c r="B59" s="181">
        <f t="shared" si="8"/>
        <v>0.68928454995352395</v>
      </c>
      <c r="C59" s="182">
        <f t="shared" si="7"/>
        <v>0.68928454995352395</v>
      </c>
      <c r="D59"/>
      <c r="E59" s="265">
        <v>3000</v>
      </c>
      <c r="F59" s="260">
        <v>1.3557999999999999</v>
      </c>
      <c r="H59" s="49">
        <v>13.2</v>
      </c>
      <c r="I59" s="48">
        <v>0.53400000000000003</v>
      </c>
      <c r="AE59" s="78"/>
      <c r="AG59" s="39">
        <v>2500</v>
      </c>
      <c r="AH59" s="38">
        <f t="shared" si="4"/>
        <v>7312725</v>
      </c>
      <c r="AJ59" s="39">
        <v>13.2</v>
      </c>
      <c r="AK59" s="38">
        <f t="shared" si="2"/>
        <v>38611.19</v>
      </c>
    </row>
    <row r="60" spans="1:41" ht="15" customHeight="1" x14ac:dyDescent="0.35">
      <c r="A60" s="176">
        <v>56</v>
      </c>
      <c r="B60" s="181">
        <f t="shared" si="8"/>
        <v>0.68928454995352395</v>
      </c>
      <c r="C60" s="182">
        <f t="shared" si="7"/>
        <v>0.68928454995352395</v>
      </c>
      <c r="D60"/>
      <c r="E60" s="265">
        <v>3055</v>
      </c>
      <c r="F60" s="260">
        <v>1.3595999999999999</v>
      </c>
      <c r="H60" s="49">
        <v>13.7</v>
      </c>
      <c r="I60" s="48">
        <v>0.52339999999999998</v>
      </c>
      <c r="Q60" s="19"/>
      <c r="AE60" s="78"/>
      <c r="AG60" s="39">
        <v>2673</v>
      </c>
      <c r="AH60" s="38">
        <f t="shared" si="4"/>
        <v>7818765.5700000003</v>
      </c>
      <c r="AJ60" s="39">
        <v>13.7</v>
      </c>
      <c r="AK60" s="38">
        <f t="shared" si="2"/>
        <v>40073.730000000003</v>
      </c>
    </row>
    <row r="61" spans="1:41" ht="15" customHeight="1" x14ac:dyDescent="0.35">
      <c r="A61" s="176">
        <v>57</v>
      </c>
      <c r="B61" s="181">
        <f t="shared" si="8"/>
        <v>0.68928454995352395</v>
      </c>
      <c r="C61" s="182">
        <f t="shared" si="7"/>
        <v>0.68928454995352395</v>
      </c>
      <c r="D61"/>
      <c r="E61" s="265">
        <v>3311</v>
      </c>
      <c r="F61" s="260">
        <v>1.3765000000000001</v>
      </c>
      <c r="H61" s="49">
        <v>14</v>
      </c>
      <c r="I61" s="48">
        <v>0.51729999999999998</v>
      </c>
      <c r="AE61" s="78"/>
      <c r="AG61" s="39">
        <v>3000</v>
      </c>
      <c r="AH61" s="38">
        <f t="shared" si="4"/>
        <v>8775270</v>
      </c>
      <c r="AJ61" s="39">
        <v>14</v>
      </c>
      <c r="AK61" s="38">
        <f t="shared" si="2"/>
        <v>40951.26</v>
      </c>
    </row>
    <row r="62" spans="1:41" ht="15" customHeight="1" x14ac:dyDescent="0.35">
      <c r="A62" s="176">
        <v>58</v>
      </c>
      <c r="B62" s="181">
        <f t="shared" si="8"/>
        <v>0.68928454995352395</v>
      </c>
      <c r="C62" s="182">
        <f t="shared" si="7"/>
        <v>0.68928454995352395</v>
      </c>
      <c r="D62"/>
      <c r="E62" s="265">
        <v>3320</v>
      </c>
      <c r="F62" s="260">
        <v>1.3771</v>
      </c>
      <c r="H62" s="49">
        <v>14.5</v>
      </c>
      <c r="I62" s="48">
        <v>0.50719999999999998</v>
      </c>
      <c r="Q62" s="19"/>
      <c r="AE62" s="78"/>
      <c r="AG62" s="39">
        <v>3055</v>
      </c>
      <c r="AH62" s="38">
        <f t="shared" si="4"/>
        <v>8936149.9499999993</v>
      </c>
      <c r="AJ62" s="39">
        <v>14.5</v>
      </c>
      <c r="AK62" s="38">
        <f t="shared" si="2"/>
        <v>42413.81</v>
      </c>
    </row>
    <row r="63" spans="1:41" ht="15" customHeight="1" x14ac:dyDescent="0.35">
      <c r="A63" s="176">
        <v>59</v>
      </c>
      <c r="B63" s="181">
        <f t="shared" si="8"/>
        <v>0.68928454995352395</v>
      </c>
      <c r="C63" s="182">
        <f t="shared" si="7"/>
        <v>0.68928454995352395</v>
      </c>
      <c r="D63"/>
      <c r="E63" s="265">
        <v>3436</v>
      </c>
      <c r="F63" s="260">
        <v>1.3843000000000001</v>
      </c>
      <c r="H63" s="49">
        <v>14.7</v>
      </c>
      <c r="I63" s="48">
        <v>0.50319999999999998</v>
      </c>
      <c r="Q63" s="19"/>
      <c r="AE63" s="78"/>
      <c r="AG63" s="39">
        <v>3311</v>
      </c>
      <c r="AH63" s="38">
        <f t="shared" si="4"/>
        <v>9684972.9900000002</v>
      </c>
      <c r="AJ63" s="39">
        <v>14.7</v>
      </c>
      <c r="AK63" s="38">
        <f t="shared" si="2"/>
        <v>42998.82</v>
      </c>
    </row>
    <row r="64" spans="1:41" ht="15" customHeight="1" x14ac:dyDescent="0.35">
      <c r="A64" s="176">
        <v>60</v>
      </c>
      <c r="B64" s="181">
        <f t="shared" si="8"/>
        <v>0.68928454995352395</v>
      </c>
      <c r="C64" s="182">
        <f t="shared" si="7"/>
        <v>0.68928454995352395</v>
      </c>
      <c r="D64"/>
      <c r="E64" s="265">
        <v>3500</v>
      </c>
      <c r="F64" s="260">
        <v>1.3880999999999999</v>
      </c>
      <c r="H64" s="49">
        <v>15</v>
      </c>
      <c r="I64" s="48">
        <v>0.49719999999999998</v>
      </c>
      <c r="Q64" s="19"/>
      <c r="AE64" s="78"/>
      <c r="AG64" s="39">
        <v>3320</v>
      </c>
      <c r="AH64" s="38">
        <f t="shared" si="4"/>
        <v>9711298.8000000007</v>
      </c>
      <c r="AJ64" s="39">
        <v>15</v>
      </c>
      <c r="AK64" s="38">
        <f t="shared" si="2"/>
        <v>43876.35</v>
      </c>
    </row>
    <row r="65" spans="1:37" ht="15" customHeight="1" x14ac:dyDescent="0.35">
      <c r="A65" s="176">
        <v>61</v>
      </c>
      <c r="B65" s="181">
        <f t="shared" si="8"/>
        <v>0.68928454995352395</v>
      </c>
      <c r="C65" s="182">
        <f t="shared" si="7"/>
        <v>0.68928454995352395</v>
      </c>
      <c r="D65"/>
      <c r="E65" s="266">
        <v>3818</v>
      </c>
      <c r="F65" s="261">
        <v>1.4064000000000001</v>
      </c>
      <c r="H65" s="49">
        <v>15.3</v>
      </c>
      <c r="I65" s="48">
        <v>0.49159999999999998</v>
      </c>
      <c r="Q65" s="19"/>
      <c r="AE65" s="78"/>
      <c r="AG65" s="39">
        <v>3436</v>
      </c>
      <c r="AH65" s="38">
        <f t="shared" si="4"/>
        <v>10050609.24</v>
      </c>
      <c r="AJ65" s="39">
        <v>15.3</v>
      </c>
      <c r="AK65" s="38">
        <f t="shared" si="2"/>
        <v>44753.88</v>
      </c>
    </row>
    <row r="66" spans="1:37" ht="15" customHeight="1" x14ac:dyDescent="0.35">
      <c r="A66" s="176">
        <v>62</v>
      </c>
      <c r="B66" s="181">
        <f t="shared" si="8"/>
        <v>0.68928454995352395</v>
      </c>
      <c r="C66" s="182">
        <f t="shared" si="7"/>
        <v>0.68928454995352395</v>
      </c>
      <c r="D66"/>
      <c r="E66" s="266">
        <v>4000</v>
      </c>
      <c r="F66" s="261">
        <v>1.4064000000000001</v>
      </c>
      <c r="H66" s="49">
        <v>15.5</v>
      </c>
      <c r="I66" s="48">
        <v>0.4879</v>
      </c>
      <c r="Q66" s="19"/>
      <c r="AE66" s="78"/>
      <c r="AG66" s="39">
        <v>3500</v>
      </c>
      <c r="AH66" s="38">
        <f t="shared" si="4"/>
        <v>10237815</v>
      </c>
      <c r="AJ66" s="39">
        <v>15.5</v>
      </c>
      <c r="AK66" s="38">
        <f t="shared" si="2"/>
        <v>45338.9</v>
      </c>
    </row>
    <row r="67" spans="1:37" ht="15" customHeight="1" x14ac:dyDescent="0.35">
      <c r="A67" s="176">
        <v>63</v>
      </c>
      <c r="B67" s="181">
        <f t="shared" si="8"/>
        <v>0.68928454995352395</v>
      </c>
      <c r="C67" s="182">
        <f t="shared" si="7"/>
        <v>0.68928454995352395</v>
      </c>
      <c r="D67"/>
      <c r="E67" s="266">
        <v>7000</v>
      </c>
      <c r="F67" s="261">
        <v>1.4067000000000001</v>
      </c>
      <c r="H67" s="49">
        <v>16</v>
      </c>
      <c r="I67" s="48">
        <v>0.47849999999999998</v>
      </c>
      <c r="Q67" s="19"/>
      <c r="AE67" s="78"/>
      <c r="AG67" s="39">
        <v>3818</v>
      </c>
      <c r="AH67" s="38">
        <f t="shared" si="4"/>
        <v>11167993.619999999</v>
      </c>
      <c r="AJ67" s="39">
        <v>16</v>
      </c>
      <c r="AK67" s="38">
        <f t="shared" si="2"/>
        <v>46801.440000000002</v>
      </c>
    </row>
    <row r="68" spans="1:37" ht="15" customHeight="1" x14ac:dyDescent="0.35">
      <c r="A68" s="176">
        <v>64</v>
      </c>
      <c r="B68" s="181">
        <f t="shared" si="8"/>
        <v>0.68928454995352395</v>
      </c>
      <c r="C68" s="182">
        <f t="shared" si="7"/>
        <v>0.68928454995352395</v>
      </c>
      <c r="D68"/>
      <c r="E68" s="266">
        <v>11000</v>
      </c>
      <c r="F68" s="261">
        <v>1.4072</v>
      </c>
      <c r="H68" s="49">
        <v>16.3</v>
      </c>
      <c r="I68" s="48">
        <v>0.47289999999999999</v>
      </c>
      <c r="Q68" s="19"/>
      <c r="AE68" s="78"/>
      <c r="AG68" s="39">
        <v>4000</v>
      </c>
      <c r="AH68" s="38">
        <f t="shared" si="4"/>
        <v>11700360</v>
      </c>
      <c r="AJ68" s="39">
        <v>16.3</v>
      </c>
      <c r="AK68" s="38">
        <f t="shared" si="2"/>
        <v>47678.97</v>
      </c>
    </row>
    <row r="69" spans="1:37" ht="15" customHeight="1" x14ac:dyDescent="0.35">
      <c r="A69" s="176">
        <v>65</v>
      </c>
      <c r="B69" s="181">
        <f t="shared" si="8"/>
        <v>0.68928454995352395</v>
      </c>
      <c r="C69" s="182">
        <f t="shared" si="7"/>
        <v>0.68928454995352395</v>
      </c>
      <c r="D69"/>
      <c r="E69" s="266">
        <v>14000</v>
      </c>
      <c r="F69" s="261">
        <v>1.4075</v>
      </c>
      <c r="H69" s="49">
        <v>17.2</v>
      </c>
      <c r="I69" s="48">
        <v>0.45600000000000002</v>
      </c>
      <c r="AE69" s="78"/>
      <c r="AG69" s="39">
        <v>7000</v>
      </c>
      <c r="AH69" s="38">
        <f t="shared" si="4"/>
        <v>20475630</v>
      </c>
      <c r="AJ69" s="39">
        <v>17.2</v>
      </c>
      <c r="AK69" s="38">
        <f t="shared" ref="AK69:AK94" si="9">ROUND(AJ69*$AH$2,2)</f>
        <v>50311.55</v>
      </c>
    </row>
    <row r="70" spans="1:37" ht="15" customHeight="1" x14ac:dyDescent="0.35">
      <c r="A70" s="176">
        <v>66</v>
      </c>
      <c r="B70" s="181">
        <f t="shared" si="8"/>
        <v>0.68928454995352395</v>
      </c>
      <c r="C70" s="182">
        <f t="shared" si="7"/>
        <v>0.68928454995352395</v>
      </c>
      <c r="D70"/>
      <c r="E70" s="266">
        <v>20000</v>
      </c>
      <c r="F70" s="261">
        <v>1.4080999999999999</v>
      </c>
      <c r="H70" s="49">
        <v>18</v>
      </c>
      <c r="I70" s="48">
        <v>0.44209999999999999</v>
      </c>
      <c r="P70"/>
      <c r="Q70"/>
      <c r="AE70" s="78"/>
      <c r="AG70" s="39">
        <v>11000</v>
      </c>
      <c r="AH70" s="38">
        <f t="shared" si="4"/>
        <v>32175990</v>
      </c>
      <c r="AJ70" s="39">
        <v>18</v>
      </c>
      <c r="AK70" s="38">
        <f t="shared" si="9"/>
        <v>52651.62</v>
      </c>
    </row>
    <row r="71" spans="1:37" ht="15" customHeight="1" x14ac:dyDescent="0.35">
      <c r="A71" s="176">
        <v>67</v>
      </c>
      <c r="B71" s="181">
        <f t="shared" si="8"/>
        <v>0.68928454995352395</v>
      </c>
      <c r="C71" s="182">
        <f t="shared" si="7"/>
        <v>0.68928454995352395</v>
      </c>
      <c r="D71"/>
      <c r="E71" s="266">
        <v>25000</v>
      </c>
      <c r="F71" s="261">
        <v>1.4087000000000001</v>
      </c>
      <c r="H71" s="49">
        <v>18.2</v>
      </c>
      <c r="I71" s="48">
        <v>0.43859999999999999</v>
      </c>
      <c r="P71"/>
      <c r="Q71"/>
      <c r="AE71" s="78"/>
      <c r="AG71" s="39">
        <v>14000</v>
      </c>
      <c r="AH71" s="38">
        <f t="shared" ref="AH71:AH73" si="10">ROUND(AG71*$AH$2,2)</f>
        <v>40951260</v>
      </c>
      <c r="AJ71" s="39">
        <v>18.2</v>
      </c>
      <c r="AK71" s="38">
        <f t="shared" si="9"/>
        <v>53236.639999999999</v>
      </c>
    </row>
    <row r="72" spans="1:37" ht="15" customHeight="1" thickBot="1" x14ac:dyDescent="0.4">
      <c r="A72" s="176">
        <v>68</v>
      </c>
      <c r="B72" s="181">
        <f t="shared" si="8"/>
        <v>0.68928454995352395</v>
      </c>
      <c r="C72" s="182">
        <f t="shared" si="7"/>
        <v>0.68928454995352395</v>
      </c>
      <c r="D72"/>
      <c r="E72" s="267" t="s">
        <v>169</v>
      </c>
      <c r="F72" s="262">
        <v>1.4075</v>
      </c>
      <c r="H72" s="49">
        <v>19.100000000000001</v>
      </c>
      <c r="I72" s="48">
        <v>0.4229</v>
      </c>
      <c r="AE72" s="78"/>
      <c r="AG72" s="39">
        <v>20000</v>
      </c>
      <c r="AH72" s="38">
        <f t="shared" si="10"/>
        <v>58501800</v>
      </c>
      <c r="AJ72" s="39">
        <v>19.100000000000001</v>
      </c>
      <c r="AK72" s="38">
        <f t="shared" si="9"/>
        <v>55869.22</v>
      </c>
    </row>
    <row r="73" spans="1:37" ht="15" customHeight="1" x14ac:dyDescent="0.35">
      <c r="A73" s="176">
        <v>69</v>
      </c>
      <c r="B73" s="181">
        <f t="shared" si="8"/>
        <v>0.68928454995352395</v>
      </c>
      <c r="C73" s="182">
        <f t="shared" si="7"/>
        <v>0.68928454995352395</v>
      </c>
      <c r="D73"/>
      <c r="H73" s="49">
        <v>20</v>
      </c>
      <c r="I73" s="48">
        <v>0.40839999999999999</v>
      </c>
      <c r="AE73" s="78"/>
      <c r="AG73" s="39">
        <v>25000</v>
      </c>
      <c r="AH73" s="38">
        <f t="shared" si="10"/>
        <v>73127250</v>
      </c>
      <c r="AJ73" s="39">
        <v>20</v>
      </c>
      <c r="AK73" s="38">
        <f t="shared" si="9"/>
        <v>58501.8</v>
      </c>
    </row>
    <row r="74" spans="1:37" ht="15" customHeight="1" thickBot="1" x14ac:dyDescent="0.4">
      <c r="A74" s="176">
        <v>70</v>
      </c>
      <c r="B74" s="181">
        <f t="shared" si="8"/>
        <v>0.68928454995352395</v>
      </c>
      <c r="C74" s="182">
        <f t="shared" ref="C74:C104" si="11">+$E$1*$H$1*$K$1*$O$1*$O$9*$R$1*$V$1*$V$8*$Y$8*$K$11</f>
        <v>0.68928454995352395</v>
      </c>
      <c r="D74"/>
      <c r="H74" s="49">
        <v>20.100000000000001</v>
      </c>
      <c r="I74" s="48">
        <v>0.40679999999999999</v>
      </c>
      <c r="AE74" s="78"/>
      <c r="AG74" s="36" t="s">
        <v>169</v>
      </c>
      <c r="AH74" s="35" t="s">
        <v>185</v>
      </c>
      <c r="AJ74" s="39">
        <v>20.100000000000001</v>
      </c>
      <c r="AK74" s="38">
        <f t="shared" si="9"/>
        <v>58794.31</v>
      </c>
    </row>
    <row r="75" spans="1:37" ht="15" customHeight="1" x14ac:dyDescent="0.35">
      <c r="A75" s="176">
        <v>71</v>
      </c>
      <c r="B75" s="181">
        <f t="shared" si="8"/>
        <v>0.68928454995352395</v>
      </c>
      <c r="C75" s="182">
        <f t="shared" si="11"/>
        <v>0.68928454995352395</v>
      </c>
      <c r="D75"/>
      <c r="H75" s="49">
        <v>21</v>
      </c>
      <c r="I75" s="48">
        <v>0.39229999999999998</v>
      </c>
      <c r="AE75" s="78"/>
      <c r="AJ75" s="39">
        <v>21</v>
      </c>
      <c r="AK75" s="38">
        <f t="shared" si="9"/>
        <v>61426.89</v>
      </c>
    </row>
    <row r="76" spans="1:37" ht="15" customHeight="1" x14ac:dyDescent="0.35">
      <c r="A76" s="176">
        <v>72</v>
      </c>
      <c r="B76" s="181">
        <f t="shared" si="8"/>
        <v>0.68928454995352395</v>
      </c>
      <c r="C76" s="182">
        <f t="shared" si="11"/>
        <v>0.68928454995352395</v>
      </c>
      <c r="D76"/>
      <c r="H76" s="49">
        <v>22</v>
      </c>
      <c r="I76" s="48">
        <v>0.37669999999999998</v>
      </c>
      <c r="AE76" s="78"/>
      <c r="AJ76" s="39">
        <v>22</v>
      </c>
      <c r="AK76" s="38">
        <f t="shared" si="9"/>
        <v>64351.98</v>
      </c>
    </row>
    <row r="77" spans="1:37" ht="15" customHeight="1" x14ac:dyDescent="0.35">
      <c r="A77" s="176">
        <v>73</v>
      </c>
      <c r="B77" s="181">
        <f t="shared" si="8"/>
        <v>0.68928454995352395</v>
      </c>
      <c r="C77" s="182">
        <f t="shared" si="11"/>
        <v>0.68928454995352395</v>
      </c>
      <c r="D77"/>
      <c r="H77" s="49">
        <v>22.9</v>
      </c>
      <c r="I77" s="48">
        <v>0.36259999999999998</v>
      </c>
      <c r="AE77" s="78"/>
      <c r="AJ77" s="39">
        <v>22.9</v>
      </c>
      <c r="AK77" s="38">
        <f t="shared" si="9"/>
        <v>66984.56</v>
      </c>
    </row>
    <row r="78" spans="1:37" ht="15" customHeight="1" x14ac:dyDescent="0.35">
      <c r="A78" s="176">
        <v>74</v>
      </c>
      <c r="B78" s="181">
        <f t="shared" si="8"/>
        <v>0.68928454995352395</v>
      </c>
      <c r="C78" s="182">
        <f t="shared" si="11"/>
        <v>0.68928454995352395</v>
      </c>
      <c r="D78"/>
      <c r="H78" s="49">
        <v>23.9</v>
      </c>
      <c r="I78" s="48">
        <v>0.3488</v>
      </c>
      <c r="AE78" s="78"/>
      <c r="AJ78" s="39">
        <v>23.9</v>
      </c>
      <c r="AK78" s="38">
        <f t="shared" si="9"/>
        <v>69909.649999999994</v>
      </c>
    </row>
    <row r="79" spans="1:37" ht="15" customHeight="1" x14ac:dyDescent="0.35">
      <c r="A79" s="176">
        <v>75</v>
      </c>
      <c r="B79" s="181">
        <f t="shared" si="8"/>
        <v>0.68928454995352395</v>
      </c>
      <c r="C79" s="182">
        <f t="shared" si="11"/>
        <v>0.68928454995352395</v>
      </c>
      <c r="D79"/>
      <c r="H79" s="49">
        <v>24.8</v>
      </c>
      <c r="I79" s="48">
        <v>0.33639999999999998</v>
      </c>
      <c r="AE79" s="78"/>
      <c r="AJ79" s="39">
        <v>24.8</v>
      </c>
      <c r="AK79" s="38">
        <f t="shared" si="9"/>
        <v>72542.23</v>
      </c>
    </row>
    <row r="80" spans="1:37" ht="15" customHeight="1" x14ac:dyDescent="0.35">
      <c r="A80" s="176">
        <v>76</v>
      </c>
      <c r="B80" s="181">
        <f t="shared" si="8"/>
        <v>0.68928454995352395</v>
      </c>
      <c r="C80" s="182">
        <f t="shared" si="11"/>
        <v>0.68928454995352395</v>
      </c>
      <c r="D80"/>
      <c r="H80" s="49">
        <v>25</v>
      </c>
      <c r="I80" s="48">
        <v>0.33379999999999999</v>
      </c>
      <c r="AE80" s="78"/>
      <c r="AJ80" s="39">
        <v>25</v>
      </c>
      <c r="AK80" s="38">
        <f t="shared" si="9"/>
        <v>73127.25</v>
      </c>
    </row>
    <row r="81" spans="1:37" ht="15" customHeight="1" x14ac:dyDescent="0.35">
      <c r="A81" s="176">
        <v>77</v>
      </c>
      <c r="B81" s="181">
        <f t="shared" si="8"/>
        <v>0.68928454995352395</v>
      </c>
      <c r="C81" s="182">
        <f t="shared" si="11"/>
        <v>0.68928454995352395</v>
      </c>
      <c r="D81"/>
      <c r="H81" s="49">
        <v>25.8</v>
      </c>
      <c r="I81" s="48">
        <v>0.3236</v>
      </c>
      <c r="AE81" s="78"/>
      <c r="AJ81" s="39">
        <v>25.8</v>
      </c>
      <c r="AK81" s="38">
        <f t="shared" si="9"/>
        <v>75467.320000000007</v>
      </c>
    </row>
    <row r="82" spans="1:37" ht="15" customHeight="1" x14ac:dyDescent="0.35">
      <c r="A82" s="176">
        <v>78</v>
      </c>
      <c r="B82" s="181">
        <f t="shared" si="8"/>
        <v>0.68928454995352395</v>
      </c>
      <c r="C82" s="182">
        <f t="shared" si="11"/>
        <v>0.68928454995352395</v>
      </c>
      <c r="D82"/>
      <c r="H82" s="49">
        <v>26.7</v>
      </c>
      <c r="I82" s="48">
        <v>0.312</v>
      </c>
      <c r="AE82" s="78"/>
      <c r="AJ82" s="39">
        <v>26.7</v>
      </c>
      <c r="AK82" s="38">
        <f t="shared" si="9"/>
        <v>78099.899999999994</v>
      </c>
    </row>
    <row r="83" spans="1:37" ht="15" customHeight="1" x14ac:dyDescent="0.35">
      <c r="A83" s="176">
        <v>79</v>
      </c>
      <c r="B83" s="181">
        <f t="shared" si="8"/>
        <v>0.68928454995352395</v>
      </c>
      <c r="C83" s="182">
        <f t="shared" si="11"/>
        <v>0.68928454995352395</v>
      </c>
      <c r="D83"/>
      <c r="H83" s="49">
        <v>27.7</v>
      </c>
      <c r="I83" s="48">
        <v>0.2999</v>
      </c>
      <c r="AE83" s="78"/>
      <c r="AJ83" s="39">
        <v>27.7</v>
      </c>
      <c r="AK83" s="38">
        <f t="shared" si="9"/>
        <v>81024.990000000005</v>
      </c>
    </row>
    <row r="84" spans="1:37" ht="15" customHeight="1" x14ac:dyDescent="0.35">
      <c r="A84" s="176">
        <v>80</v>
      </c>
      <c r="B84" s="181">
        <f t="shared" si="8"/>
        <v>0.68928454995352395</v>
      </c>
      <c r="C84" s="182">
        <f t="shared" si="11"/>
        <v>0.68928454995352395</v>
      </c>
      <c r="D84"/>
      <c r="H84" s="49">
        <v>28.6</v>
      </c>
      <c r="I84" s="48">
        <v>0.28899999999999998</v>
      </c>
      <c r="AE84" s="78"/>
      <c r="AJ84" s="39">
        <v>28.6</v>
      </c>
      <c r="AK84" s="38">
        <f t="shared" si="9"/>
        <v>83657.570000000007</v>
      </c>
    </row>
    <row r="85" spans="1:37" ht="15" customHeight="1" x14ac:dyDescent="0.35">
      <c r="A85" s="176">
        <v>81</v>
      </c>
      <c r="B85" s="181">
        <f t="shared" si="8"/>
        <v>0.68928454995352395</v>
      </c>
      <c r="C85" s="182">
        <f t="shared" si="11"/>
        <v>0.68928454995352395</v>
      </c>
      <c r="D85"/>
      <c r="H85" s="49">
        <v>29.6</v>
      </c>
      <c r="I85" s="48">
        <v>0.27689999999999998</v>
      </c>
      <c r="V85" s="18"/>
      <c r="AE85" s="78"/>
      <c r="AJ85" s="39">
        <v>29.6</v>
      </c>
      <c r="AK85" s="38">
        <f t="shared" si="9"/>
        <v>86582.66</v>
      </c>
    </row>
    <row r="86" spans="1:37" ht="15" customHeight="1" x14ac:dyDescent="0.35">
      <c r="A86" s="176">
        <v>82</v>
      </c>
      <c r="B86" s="181">
        <f t="shared" si="8"/>
        <v>0.68928454995352395</v>
      </c>
      <c r="C86" s="182">
        <f t="shared" si="11"/>
        <v>0.68928454995352395</v>
      </c>
      <c r="D86"/>
      <c r="H86" s="49">
        <v>30</v>
      </c>
      <c r="I86" s="48">
        <v>0.27210000000000001</v>
      </c>
      <c r="V86" s="18"/>
      <c r="AE86" s="78"/>
      <c r="AJ86" s="39">
        <v>30</v>
      </c>
      <c r="AK86" s="38">
        <f t="shared" si="9"/>
        <v>87752.7</v>
      </c>
    </row>
    <row r="87" spans="1:37" ht="15" customHeight="1" x14ac:dyDescent="0.35">
      <c r="A87" s="176">
        <v>83</v>
      </c>
      <c r="B87" s="181">
        <f t="shared" si="8"/>
        <v>0.68928454995352395</v>
      </c>
      <c r="C87" s="182">
        <f t="shared" si="11"/>
        <v>0.68928454995352395</v>
      </c>
      <c r="D87"/>
      <c r="H87" s="49">
        <v>30.5</v>
      </c>
      <c r="I87" s="48">
        <v>0.2661</v>
      </c>
      <c r="V87" s="18"/>
      <c r="AE87" s="78"/>
      <c r="AJ87" s="39">
        <v>30.5</v>
      </c>
      <c r="AK87" s="38">
        <f t="shared" si="9"/>
        <v>89215.25</v>
      </c>
    </row>
    <row r="88" spans="1:37" ht="15" customHeight="1" x14ac:dyDescent="0.35">
      <c r="A88" s="176">
        <v>84</v>
      </c>
      <c r="B88" s="181">
        <f t="shared" ref="B88:B104" si="12">+$E$1*$H$1*$K$1*$O$1*$O$9*$R$1*$V$1*$V$8*$Y$8*$K$11</f>
        <v>0.68928454995352395</v>
      </c>
      <c r="C88" s="182">
        <f t="shared" si="11"/>
        <v>0.68928454995352395</v>
      </c>
      <c r="D88"/>
      <c r="H88" s="49">
        <v>31.5</v>
      </c>
      <c r="I88" s="48">
        <v>0.25590000000000002</v>
      </c>
      <c r="V88" s="18"/>
      <c r="AE88" s="78"/>
      <c r="AJ88" s="39">
        <v>31.5</v>
      </c>
      <c r="AK88" s="38">
        <f t="shared" si="9"/>
        <v>92140.34</v>
      </c>
    </row>
    <row r="89" spans="1:37" ht="15" customHeight="1" x14ac:dyDescent="0.35">
      <c r="A89" s="176">
        <v>85</v>
      </c>
      <c r="B89" s="181">
        <f t="shared" si="12"/>
        <v>0.68928454995352395</v>
      </c>
      <c r="C89" s="182">
        <f t="shared" si="11"/>
        <v>0.68928454995352395</v>
      </c>
      <c r="D89"/>
      <c r="H89" s="49">
        <v>32.5</v>
      </c>
      <c r="I89" s="48">
        <v>0.2457</v>
      </c>
      <c r="V89" s="18"/>
      <c r="AE89" s="78"/>
      <c r="AJ89" s="39">
        <v>32.5</v>
      </c>
      <c r="AK89" s="38">
        <f t="shared" si="9"/>
        <v>95065.43</v>
      </c>
    </row>
    <row r="90" spans="1:37" ht="15" customHeight="1" x14ac:dyDescent="0.35">
      <c r="A90" s="176">
        <v>86</v>
      </c>
      <c r="B90" s="181">
        <f t="shared" si="12"/>
        <v>0.68928454995352395</v>
      </c>
      <c r="C90" s="182">
        <f t="shared" si="11"/>
        <v>0.68928454995352395</v>
      </c>
      <c r="D90"/>
      <c r="H90" s="49">
        <v>33.5</v>
      </c>
      <c r="I90" s="48">
        <v>0.23630000000000001</v>
      </c>
      <c r="AE90" s="78"/>
      <c r="AJ90" s="39">
        <v>33.5</v>
      </c>
      <c r="AK90" s="38">
        <f t="shared" si="9"/>
        <v>97990.52</v>
      </c>
    </row>
    <row r="91" spans="1:37" ht="15" customHeight="1" x14ac:dyDescent="0.35">
      <c r="A91" s="176">
        <v>87</v>
      </c>
      <c r="B91" s="181">
        <f t="shared" si="12"/>
        <v>0.68928454995352395</v>
      </c>
      <c r="C91" s="182">
        <f t="shared" si="11"/>
        <v>0.68928454995352395</v>
      </c>
      <c r="D91"/>
      <c r="H91" s="49">
        <v>34.4</v>
      </c>
      <c r="I91" s="48">
        <v>0.2278</v>
      </c>
      <c r="AE91" s="78"/>
      <c r="AJ91" s="39">
        <v>34.4</v>
      </c>
      <c r="AK91" s="38">
        <f t="shared" si="9"/>
        <v>100623.1</v>
      </c>
    </row>
    <row r="92" spans="1:37" ht="15" customHeight="1" x14ac:dyDescent="0.35">
      <c r="A92" s="176">
        <v>88</v>
      </c>
      <c r="B92" s="181">
        <f t="shared" si="12"/>
        <v>0.68928454995352395</v>
      </c>
      <c r="C92" s="182">
        <f t="shared" si="11"/>
        <v>0.68928454995352395</v>
      </c>
      <c r="D92"/>
      <c r="H92" s="49">
        <v>35</v>
      </c>
      <c r="I92" s="48">
        <v>0.22259999999999999</v>
      </c>
      <c r="AE92" s="78"/>
      <c r="AJ92" s="39">
        <v>35</v>
      </c>
      <c r="AK92" s="38">
        <f t="shared" si="9"/>
        <v>102378.15</v>
      </c>
    </row>
    <row r="93" spans="1:37" ht="15" customHeight="1" x14ac:dyDescent="0.35">
      <c r="A93" s="176">
        <v>89</v>
      </c>
      <c r="B93" s="181">
        <f t="shared" si="12"/>
        <v>0.68928454995352395</v>
      </c>
      <c r="C93" s="182">
        <f t="shared" si="11"/>
        <v>0.68928454995352395</v>
      </c>
      <c r="D93"/>
      <c r="H93" s="49">
        <v>35.4</v>
      </c>
      <c r="I93" s="48">
        <v>0.21870000000000001</v>
      </c>
      <c r="AE93" s="78"/>
      <c r="AJ93" s="39">
        <v>35.4</v>
      </c>
      <c r="AK93" s="38">
        <f t="shared" si="9"/>
        <v>103548.19</v>
      </c>
    </row>
    <row r="94" spans="1:37" ht="15" customHeight="1" thickBot="1" x14ac:dyDescent="0.4">
      <c r="A94" s="176">
        <v>90</v>
      </c>
      <c r="B94" s="181">
        <f t="shared" si="12"/>
        <v>0.68928454995352395</v>
      </c>
      <c r="C94" s="182">
        <f t="shared" si="11"/>
        <v>0.68928454995352395</v>
      </c>
      <c r="D94"/>
      <c r="H94" s="258">
        <v>40</v>
      </c>
      <c r="I94" s="46">
        <v>0.18360000000000001</v>
      </c>
      <c r="AE94" s="78"/>
      <c r="AJ94" s="36">
        <v>40</v>
      </c>
      <c r="AK94" s="35">
        <f t="shared" si="9"/>
        <v>117003.6</v>
      </c>
    </row>
    <row r="95" spans="1:37" ht="15" customHeight="1" x14ac:dyDescent="0.35">
      <c r="A95" s="176">
        <v>91</v>
      </c>
      <c r="B95" s="181">
        <f t="shared" si="12"/>
        <v>0.68928454995352395</v>
      </c>
      <c r="C95" s="182">
        <f t="shared" si="11"/>
        <v>0.68928454995352395</v>
      </c>
      <c r="D95"/>
      <c r="AE95" s="78"/>
    </row>
    <row r="96" spans="1:37" ht="15" customHeight="1" x14ac:dyDescent="0.35">
      <c r="A96" s="176">
        <v>92</v>
      </c>
      <c r="B96" s="181">
        <f t="shared" si="12"/>
        <v>0.68928454995352395</v>
      </c>
      <c r="C96" s="182">
        <f t="shared" si="11"/>
        <v>0.68928454995352395</v>
      </c>
      <c r="D96"/>
      <c r="AE96" s="78"/>
    </row>
    <row r="97" spans="1:31" ht="15" customHeight="1" x14ac:dyDescent="0.35">
      <c r="A97" s="176">
        <v>93</v>
      </c>
      <c r="B97" s="181">
        <f t="shared" si="12"/>
        <v>0.68928454995352395</v>
      </c>
      <c r="C97" s="182">
        <f t="shared" si="11"/>
        <v>0.68928454995352395</v>
      </c>
      <c r="D97"/>
      <c r="AE97" s="78"/>
    </row>
    <row r="98" spans="1:31" ht="15" customHeight="1" x14ac:dyDescent="0.35">
      <c r="A98" s="176">
        <v>94</v>
      </c>
      <c r="B98" s="181">
        <f t="shared" si="12"/>
        <v>0.68928454995352395</v>
      </c>
      <c r="C98" s="182">
        <f t="shared" si="11"/>
        <v>0.68928454995352395</v>
      </c>
      <c r="D98"/>
      <c r="AE98" s="78"/>
    </row>
    <row r="99" spans="1:31" ht="15" customHeight="1" x14ac:dyDescent="0.35">
      <c r="A99" s="176">
        <v>95</v>
      </c>
      <c r="B99" s="181">
        <f t="shared" si="12"/>
        <v>0.68928454995352395</v>
      </c>
      <c r="C99" s="182">
        <f t="shared" si="11"/>
        <v>0.68928454995352395</v>
      </c>
      <c r="D99"/>
      <c r="AE99" s="78"/>
    </row>
    <row r="100" spans="1:31" ht="15" customHeight="1" x14ac:dyDescent="0.35">
      <c r="A100" s="176">
        <v>96</v>
      </c>
      <c r="B100" s="181">
        <f t="shared" si="12"/>
        <v>0.68928454995352395</v>
      </c>
      <c r="C100" s="182">
        <f t="shared" si="11"/>
        <v>0.68928454995352395</v>
      </c>
      <c r="D100"/>
      <c r="AE100" s="78"/>
    </row>
    <row r="101" spans="1:31" ht="15" customHeight="1" x14ac:dyDescent="0.35">
      <c r="A101" s="176">
        <v>97</v>
      </c>
      <c r="B101" s="181">
        <f t="shared" si="12"/>
        <v>0.68928454995352395</v>
      </c>
      <c r="C101" s="182">
        <f t="shared" si="11"/>
        <v>0.68928454995352395</v>
      </c>
      <c r="D101"/>
      <c r="AE101" s="78"/>
    </row>
    <row r="102" spans="1:31" ht="15" customHeight="1" x14ac:dyDescent="0.35">
      <c r="A102" s="176">
        <v>98</v>
      </c>
      <c r="B102" s="181">
        <f t="shared" si="12"/>
        <v>0.68928454995352395</v>
      </c>
      <c r="C102" s="182">
        <f t="shared" si="11"/>
        <v>0.68928454995352395</v>
      </c>
      <c r="D102"/>
      <c r="AE102" s="78"/>
    </row>
    <row r="103" spans="1:31" ht="15" customHeight="1" x14ac:dyDescent="0.35">
      <c r="A103" s="176">
        <v>99</v>
      </c>
      <c r="B103" s="181">
        <f t="shared" si="12"/>
        <v>0.68928454995352395</v>
      </c>
      <c r="C103" s="182">
        <f t="shared" si="11"/>
        <v>0.68928454995352395</v>
      </c>
      <c r="D103"/>
      <c r="AE103" s="78"/>
    </row>
    <row r="104" spans="1:31" ht="15" customHeight="1" thickBot="1" x14ac:dyDescent="0.4">
      <c r="A104" s="177">
        <v>100</v>
      </c>
      <c r="B104" s="242">
        <f t="shared" si="12"/>
        <v>0.68928454995352395</v>
      </c>
      <c r="C104" s="182">
        <f t="shared" si="11"/>
        <v>0.68928454995352395</v>
      </c>
      <c r="AE104" s="78"/>
    </row>
    <row r="105" spans="1:31" ht="15" customHeight="1" x14ac:dyDescent="0.35">
      <c r="AE105" s="78"/>
    </row>
    <row r="106" spans="1:31" ht="15" customHeight="1" x14ac:dyDescent="0.35">
      <c r="AE106" s="78"/>
    </row>
    <row r="107" spans="1:31" ht="15" customHeight="1" x14ac:dyDescent="0.35">
      <c r="AE107" s="78"/>
    </row>
    <row r="108" spans="1:31" ht="15" customHeight="1" x14ac:dyDescent="0.35">
      <c r="AE108" s="78"/>
    </row>
    <row r="109" spans="1:31" ht="15" customHeight="1" x14ac:dyDescent="0.35">
      <c r="AE109" s="78"/>
    </row>
    <row r="110" spans="1:31" ht="15" customHeight="1" x14ac:dyDescent="0.35">
      <c r="AE110" s="78"/>
    </row>
    <row r="111" spans="1:31" ht="15" customHeight="1" x14ac:dyDescent="0.35">
      <c r="AE111" s="78"/>
    </row>
    <row r="112" spans="1:31" ht="15" customHeight="1" x14ac:dyDescent="0.35">
      <c r="AE112" s="78"/>
    </row>
    <row r="113" spans="31:31" ht="15" customHeight="1" x14ac:dyDescent="0.35">
      <c r="AE113" s="78"/>
    </row>
    <row r="114" spans="31:31" ht="15" customHeight="1" x14ac:dyDescent="0.35">
      <c r="AE114" s="78"/>
    </row>
    <row r="115" spans="31:31" ht="15" customHeight="1" x14ac:dyDescent="0.35">
      <c r="AE115" s="78"/>
    </row>
    <row r="116" spans="31:31" ht="15" customHeight="1" x14ac:dyDescent="0.35">
      <c r="AE116" s="78"/>
    </row>
    <row r="117" spans="31:31" ht="15" customHeight="1" x14ac:dyDescent="0.35">
      <c r="AE117" s="78"/>
    </row>
    <row r="118" spans="31:31" ht="15" customHeight="1" x14ac:dyDescent="0.35">
      <c r="AE118" s="78"/>
    </row>
    <row r="119" spans="31:31" ht="15" customHeight="1" x14ac:dyDescent="0.35">
      <c r="AE119" s="78"/>
    </row>
    <row r="120" spans="31:31" ht="15" customHeight="1" x14ac:dyDescent="0.35">
      <c r="AE120" s="78"/>
    </row>
    <row r="121" spans="31:31" ht="15" customHeight="1" x14ac:dyDescent="0.35">
      <c r="AE121" s="78"/>
    </row>
    <row r="122" spans="31:31" ht="15" customHeight="1" x14ac:dyDescent="0.35">
      <c r="AE122" s="78"/>
    </row>
    <row r="123" spans="31:31" ht="15" customHeight="1" x14ac:dyDescent="0.35">
      <c r="AE123" s="78"/>
    </row>
    <row r="124" spans="31:31" ht="15" customHeight="1" x14ac:dyDescent="0.35">
      <c r="AE124" s="78"/>
    </row>
    <row r="125" spans="31:31" ht="15" customHeight="1" x14ac:dyDescent="0.35">
      <c r="AE125" s="78"/>
    </row>
    <row r="126" spans="31:31" ht="15" customHeight="1" x14ac:dyDescent="0.35">
      <c r="AE126" s="78"/>
    </row>
    <row r="127" spans="31:31" ht="15" customHeight="1" x14ac:dyDescent="0.35">
      <c r="AE127" s="78"/>
    </row>
    <row r="128" spans="31:31" ht="15" customHeight="1" x14ac:dyDescent="0.35">
      <c r="AE128" s="78"/>
    </row>
    <row r="129" spans="31:31" ht="15" customHeight="1" x14ac:dyDescent="0.35">
      <c r="AE129" s="78"/>
    </row>
    <row r="130" spans="31:31" ht="15" customHeight="1" x14ac:dyDescent="0.35">
      <c r="AE130" s="78"/>
    </row>
    <row r="131" spans="31:31" ht="15" customHeight="1" x14ac:dyDescent="0.35">
      <c r="AE131" s="78"/>
    </row>
    <row r="132" spans="31:31" ht="15" customHeight="1" x14ac:dyDescent="0.35">
      <c r="AE132" s="78"/>
    </row>
    <row r="133" spans="31:31" ht="15" customHeight="1" x14ac:dyDescent="0.35">
      <c r="AE133" s="78"/>
    </row>
    <row r="134" spans="31:31" ht="15" customHeight="1" x14ac:dyDescent="0.35">
      <c r="AE134" s="78"/>
    </row>
    <row r="135" spans="31:31" ht="15" customHeight="1" x14ac:dyDescent="0.35">
      <c r="AE135" s="78"/>
    </row>
    <row r="136" spans="31:31" ht="15" customHeight="1" x14ac:dyDescent="0.35">
      <c r="AE136" s="78"/>
    </row>
    <row r="137" spans="31:31" ht="15" customHeight="1" x14ac:dyDescent="0.35">
      <c r="AE137" s="78"/>
    </row>
    <row r="138" spans="31:31" ht="15" customHeight="1" x14ac:dyDescent="0.35">
      <c r="AE138" s="78"/>
    </row>
    <row r="139" spans="31:31" ht="15" customHeight="1" x14ac:dyDescent="0.35">
      <c r="AE139" s="78"/>
    </row>
    <row r="140" spans="31:31" ht="15" customHeight="1" x14ac:dyDescent="0.35">
      <c r="AE140" s="78"/>
    </row>
    <row r="141" spans="31:31" ht="15" customHeight="1" x14ac:dyDescent="0.35">
      <c r="AE141" s="78"/>
    </row>
  </sheetData>
  <mergeCells count="15">
    <mergeCell ref="A2:C2"/>
    <mergeCell ref="AJ2:AK2"/>
    <mergeCell ref="AM2:AN2"/>
    <mergeCell ref="O2:P2"/>
    <mergeCell ref="K12:M12"/>
    <mergeCell ref="AG4:AH4"/>
    <mergeCell ref="AB2:AC2"/>
    <mergeCell ref="E2:F2"/>
    <mergeCell ref="O10:P10"/>
    <mergeCell ref="V2:W2"/>
    <mergeCell ref="V9:W9"/>
    <mergeCell ref="Y2:Z2"/>
    <mergeCell ref="K2:L2"/>
    <mergeCell ref="Y9:Z9"/>
    <mergeCell ref="H2:I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K210"/>
  <sheetViews>
    <sheetView topLeftCell="D1" zoomScale="110" zoomScaleNormal="110" workbookViewId="0">
      <selection activeCell="I2" sqref="I2:J2"/>
    </sheetView>
  </sheetViews>
  <sheetFormatPr baseColWidth="10" defaultColWidth="11.453125" defaultRowHeight="14.5" x14ac:dyDescent="0.35"/>
  <cols>
    <col min="1" max="1" width="4.453125" style="1" bestFit="1" customWidth="1"/>
    <col min="2" max="4" width="11" style="1" bestFit="1" customWidth="1"/>
    <col min="5" max="5" width="11.54296875" style="1" customWidth="1"/>
    <col min="6" max="6" width="11" style="1" bestFit="1" customWidth="1"/>
    <col min="7" max="7" width="12.453125" style="1" customWidth="1"/>
    <col min="8" max="8" width="8.54296875" style="1" customWidth="1"/>
    <col min="9" max="9" width="16" style="1" bestFit="1" customWidth="1"/>
    <col min="10" max="10" width="9" style="1" bestFit="1" customWidth="1"/>
    <col min="11" max="11" width="5.7265625" style="1" customWidth="1"/>
    <col min="12" max="12" width="4.453125" style="1" bestFit="1" customWidth="1"/>
    <col min="13" max="18" width="10.7265625" style="1" bestFit="1" customWidth="1"/>
    <col min="19" max="19" width="6" customWidth="1"/>
    <col min="20" max="20" width="8.81640625" style="1" customWidth="1"/>
    <col min="21" max="36" width="6.81640625" style="1" bestFit="1" customWidth="1"/>
    <col min="37" max="37" width="3.453125" style="1" customWidth="1"/>
    <col min="38" max="16384" width="11.453125" style="1"/>
  </cols>
  <sheetData>
    <row r="1" spans="1:37" ht="15" thickBot="1" x14ac:dyDescent="0.4">
      <c r="A1" s="331" t="s">
        <v>177</v>
      </c>
      <c r="B1" s="332"/>
      <c r="C1" s="333"/>
      <c r="D1" s="331" t="s">
        <v>178</v>
      </c>
      <c r="E1" s="333"/>
      <c r="F1" s="331" t="s">
        <v>179</v>
      </c>
      <c r="G1" s="333"/>
      <c r="L1" s="346" t="s">
        <v>0</v>
      </c>
      <c r="M1" s="347"/>
      <c r="N1" s="347"/>
      <c r="O1" s="347"/>
      <c r="P1" s="347"/>
      <c r="Q1" s="347"/>
      <c r="R1" s="348"/>
      <c r="T1" s="343" t="s">
        <v>163</v>
      </c>
      <c r="U1" s="344"/>
      <c r="V1" s="345"/>
      <c r="X1" s="2"/>
      <c r="AJ1" s="1" t="s">
        <v>1</v>
      </c>
    </row>
    <row r="2" spans="1:37" ht="15" thickBot="1" x14ac:dyDescent="0.4">
      <c r="A2" s="3" t="s">
        <v>2</v>
      </c>
      <c r="B2" s="4" t="s">
        <v>3</v>
      </c>
      <c r="C2" s="5" t="s">
        <v>4</v>
      </c>
      <c r="D2" s="4" t="s">
        <v>3</v>
      </c>
      <c r="E2" s="5" t="s">
        <v>4</v>
      </c>
      <c r="F2" s="4" t="s">
        <v>3</v>
      </c>
      <c r="G2" s="5" t="s">
        <v>4</v>
      </c>
      <c r="I2" s="341" t="s">
        <v>14</v>
      </c>
      <c r="J2" s="342"/>
      <c r="L2" s="349" t="s">
        <v>5</v>
      </c>
      <c r="M2" s="350"/>
      <c r="N2" s="350"/>
      <c r="O2" s="350"/>
      <c r="P2" s="350"/>
      <c r="Q2" s="350"/>
      <c r="R2" s="351"/>
      <c r="T2" s="147" t="s">
        <v>7</v>
      </c>
      <c r="U2" s="148">
        <v>0</v>
      </c>
      <c r="V2" s="148">
        <f>U2+1</f>
        <v>1</v>
      </c>
      <c r="W2" s="148">
        <f t="shared" ref="W2:AJ2" si="0">V2+1</f>
        <v>2</v>
      </c>
      <c r="X2" s="148">
        <f t="shared" si="0"/>
        <v>3</v>
      </c>
      <c r="Y2" s="148">
        <f t="shared" si="0"/>
        <v>4</v>
      </c>
      <c r="Z2" s="148">
        <f t="shared" si="0"/>
        <v>5</v>
      </c>
      <c r="AA2" s="148">
        <f t="shared" si="0"/>
        <v>6</v>
      </c>
      <c r="AB2" s="148">
        <f t="shared" si="0"/>
        <v>7</v>
      </c>
      <c r="AC2" s="148">
        <f t="shared" si="0"/>
        <v>8</v>
      </c>
      <c r="AD2" s="148">
        <f t="shared" si="0"/>
        <v>9</v>
      </c>
      <c r="AE2" s="148">
        <f t="shared" si="0"/>
        <v>10</v>
      </c>
      <c r="AF2" s="148">
        <f t="shared" si="0"/>
        <v>11</v>
      </c>
      <c r="AG2" s="148">
        <f t="shared" si="0"/>
        <v>12</v>
      </c>
      <c r="AH2" s="148">
        <f t="shared" si="0"/>
        <v>13</v>
      </c>
      <c r="AI2" s="148">
        <f t="shared" si="0"/>
        <v>14</v>
      </c>
      <c r="AJ2" s="149">
        <f t="shared" si="0"/>
        <v>15</v>
      </c>
    </row>
    <row r="3" spans="1:37" ht="15" thickBot="1" x14ac:dyDescent="0.4">
      <c r="A3" s="6">
        <v>0</v>
      </c>
      <c r="B3" s="243">
        <v>11351</v>
      </c>
      <c r="C3" s="243">
        <v>10781</v>
      </c>
      <c r="D3" s="243">
        <v>10110</v>
      </c>
      <c r="E3" s="243">
        <v>9602</v>
      </c>
      <c r="F3" s="243">
        <v>10659</v>
      </c>
      <c r="G3" s="243">
        <v>10124</v>
      </c>
      <c r="I3" s="3" t="s">
        <v>15</v>
      </c>
      <c r="J3" s="3" t="s">
        <v>11</v>
      </c>
      <c r="L3" s="163" t="s">
        <v>2</v>
      </c>
      <c r="M3" s="156">
        <v>250000</v>
      </c>
      <c r="N3" s="156">
        <v>300000</v>
      </c>
      <c r="O3" s="156">
        <v>350000</v>
      </c>
      <c r="P3" s="156">
        <v>400000</v>
      </c>
      <c r="Q3" s="156">
        <v>450000</v>
      </c>
      <c r="R3" s="156">
        <v>500000</v>
      </c>
      <c r="T3" s="150">
        <v>0</v>
      </c>
      <c r="U3" s="145">
        <v>1</v>
      </c>
      <c r="V3" s="144">
        <v>1.05</v>
      </c>
      <c r="W3" s="144">
        <v>1.1000000000000001</v>
      </c>
      <c r="X3" s="144">
        <v>1.1499999999999999</v>
      </c>
      <c r="Y3" s="144">
        <v>1.1499999999999999</v>
      </c>
      <c r="Z3" s="144">
        <v>1.1499999999999999</v>
      </c>
      <c r="AA3" s="144">
        <v>1.1499999999999999</v>
      </c>
      <c r="AB3" s="144">
        <v>1.1499999999999999</v>
      </c>
      <c r="AC3" s="144">
        <v>1.1499999999999999</v>
      </c>
      <c r="AD3" s="144">
        <v>1.1499999999999999</v>
      </c>
      <c r="AE3" s="144">
        <v>1.1499999999999999</v>
      </c>
      <c r="AF3" s="144">
        <v>1.1499999999999999</v>
      </c>
      <c r="AG3" s="144">
        <v>1.1499999999999999</v>
      </c>
      <c r="AH3" s="144">
        <v>1.1499999999999999</v>
      </c>
      <c r="AI3" s="144">
        <v>1.1499999999999999</v>
      </c>
      <c r="AJ3" s="151">
        <v>1.1499999999999999</v>
      </c>
      <c r="AK3" s="7"/>
    </row>
    <row r="4" spans="1:37" x14ac:dyDescent="0.35">
      <c r="A4" s="8">
        <v>1</v>
      </c>
      <c r="B4" s="244">
        <v>11354</v>
      </c>
      <c r="C4" s="244">
        <v>10784</v>
      </c>
      <c r="D4" s="244">
        <v>10112</v>
      </c>
      <c r="E4" s="244">
        <v>9605</v>
      </c>
      <c r="F4" s="244">
        <v>10662</v>
      </c>
      <c r="G4" s="244">
        <v>10127</v>
      </c>
      <c r="I4" s="10" t="s">
        <v>13</v>
      </c>
      <c r="J4" s="11">
        <v>0</v>
      </c>
      <c r="L4" s="164">
        <v>0</v>
      </c>
      <c r="M4" s="157">
        <v>0</v>
      </c>
      <c r="N4" s="131">
        <v>0</v>
      </c>
      <c r="O4" s="131">
        <v>0</v>
      </c>
      <c r="P4" s="131">
        <v>0</v>
      </c>
      <c r="Q4" s="131">
        <v>0</v>
      </c>
      <c r="R4" s="132">
        <v>0</v>
      </c>
      <c r="T4" s="150">
        <f>T3+1</f>
        <v>1</v>
      </c>
      <c r="U4" s="146">
        <v>1</v>
      </c>
      <c r="V4" s="144">
        <v>1.05</v>
      </c>
      <c r="W4" s="144">
        <v>1.1000000000000001</v>
      </c>
      <c r="X4" s="144">
        <v>1.1499999999999999</v>
      </c>
      <c r="Y4" s="144">
        <v>1.1499999999999999</v>
      </c>
      <c r="Z4" s="144">
        <v>1.1499999999999999</v>
      </c>
      <c r="AA4" s="144">
        <v>1.1499999999999999</v>
      </c>
      <c r="AB4" s="144">
        <v>1.1499999999999999</v>
      </c>
      <c r="AC4" s="144">
        <v>1.1499999999999999</v>
      </c>
      <c r="AD4" s="144">
        <v>1.1499999999999999</v>
      </c>
      <c r="AE4" s="144">
        <v>1.1499999999999999</v>
      </c>
      <c r="AF4" s="144">
        <v>1.1499999999999999</v>
      </c>
      <c r="AG4" s="144">
        <v>1.1499999999999999</v>
      </c>
      <c r="AH4" s="144">
        <v>1.1499999999999999</v>
      </c>
      <c r="AI4" s="144">
        <v>1.1499999999999999</v>
      </c>
      <c r="AJ4" s="151">
        <v>1.1499999999999999</v>
      </c>
      <c r="AK4" s="7"/>
    </row>
    <row r="5" spans="1:37" x14ac:dyDescent="0.35">
      <c r="A5" s="8">
        <v>2</v>
      </c>
      <c r="B5" s="244">
        <v>11360</v>
      </c>
      <c r="C5" s="244">
        <v>10787</v>
      </c>
      <c r="D5" s="244">
        <v>10118</v>
      </c>
      <c r="E5" s="244">
        <v>9608</v>
      </c>
      <c r="F5" s="244">
        <v>10668</v>
      </c>
      <c r="G5" s="244">
        <v>10130</v>
      </c>
      <c r="I5" s="12" t="s">
        <v>16</v>
      </c>
      <c r="J5" s="13">
        <v>50</v>
      </c>
      <c r="L5" s="165">
        <f>L4+1</f>
        <v>1</v>
      </c>
      <c r="M5" s="158">
        <v>0</v>
      </c>
      <c r="N5" s="133">
        <v>0</v>
      </c>
      <c r="O5" s="133">
        <v>0</v>
      </c>
      <c r="P5" s="133">
        <v>0</v>
      </c>
      <c r="Q5" s="133">
        <v>0</v>
      </c>
      <c r="R5" s="134">
        <v>0</v>
      </c>
      <c r="T5" s="150">
        <f t="shared" ref="T5:T68" si="1">T4+1</f>
        <v>2</v>
      </c>
      <c r="U5" s="146">
        <v>1</v>
      </c>
      <c r="V5" s="144">
        <v>1.05</v>
      </c>
      <c r="W5" s="144">
        <v>1.1000000000000001</v>
      </c>
      <c r="X5" s="144">
        <v>1.1499999999999999</v>
      </c>
      <c r="Y5" s="144">
        <v>1.1499999999999999</v>
      </c>
      <c r="Z5" s="144">
        <v>1.1499999999999999</v>
      </c>
      <c r="AA5" s="144">
        <v>1.1499999999999999</v>
      </c>
      <c r="AB5" s="144">
        <v>1.1499999999999999</v>
      </c>
      <c r="AC5" s="144">
        <v>1.1499999999999999</v>
      </c>
      <c r="AD5" s="144">
        <v>1.1499999999999999</v>
      </c>
      <c r="AE5" s="144">
        <v>1.1499999999999999</v>
      </c>
      <c r="AF5" s="144">
        <v>1.1499999999999999</v>
      </c>
      <c r="AG5" s="144">
        <v>1.1499999999999999</v>
      </c>
      <c r="AH5" s="144">
        <v>1.1499999999999999</v>
      </c>
      <c r="AI5" s="144">
        <v>1.1499999999999999</v>
      </c>
      <c r="AJ5" s="151">
        <v>1.1499999999999999</v>
      </c>
      <c r="AK5" s="7"/>
    </row>
    <row r="6" spans="1:37" x14ac:dyDescent="0.35">
      <c r="A6" s="8">
        <v>3</v>
      </c>
      <c r="B6" s="244">
        <v>11365</v>
      </c>
      <c r="C6" s="244">
        <v>10794</v>
      </c>
      <c r="D6" s="244">
        <v>10122</v>
      </c>
      <c r="E6" s="244">
        <v>9613</v>
      </c>
      <c r="F6" s="244">
        <v>10672</v>
      </c>
      <c r="G6" s="244">
        <v>10136</v>
      </c>
      <c r="I6" s="12" t="s">
        <v>17</v>
      </c>
      <c r="J6" s="13">
        <v>100</v>
      </c>
      <c r="L6" s="165">
        <f>L5+1</f>
        <v>2</v>
      </c>
      <c r="M6" s="158">
        <v>0</v>
      </c>
      <c r="N6" s="133">
        <v>0</v>
      </c>
      <c r="O6" s="133">
        <v>0</v>
      </c>
      <c r="P6" s="133">
        <v>0</v>
      </c>
      <c r="Q6" s="133">
        <v>0</v>
      </c>
      <c r="R6" s="134">
        <v>0</v>
      </c>
      <c r="T6" s="150">
        <f t="shared" si="1"/>
        <v>3</v>
      </c>
      <c r="U6" s="146">
        <v>1</v>
      </c>
      <c r="V6" s="144">
        <v>1.05</v>
      </c>
      <c r="W6" s="144">
        <v>1.1000000000000001</v>
      </c>
      <c r="X6" s="144">
        <v>1.1499999999999999</v>
      </c>
      <c r="Y6" s="144">
        <v>1.1499999999999999</v>
      </c>
      <c r="Z6" s="144">
        <v>1.1499999999999999</v>
      </c>
      <c r="AA6" s="144">
        <v>1.1499999999999999</v>
      </c>
      <c r="AB6" s="144">
        <v>1.1499999999999999</v>
      </c>
      <c r="AC6" s="144">
        <v>1.1499999999999999</v>
      </c>
      <c r="AD6" s="144">
        <v>1.1499999999999999</v>
      </c>
      <c r="AE6" s="144">
        <v>1.1499999999999999</v>
      </c>
      <c r="AF6" s="144">
        <v>1.1499999999999999</v>
      </c>
      <c r="AG6" s="144">
        <v>1.1499999999999999</v>
      </c>
      <c r="AH6" s="144">
        <v>1.1499999999999999</v>
      </c>
      <c r="AI6" s="144">
        <v>1.1499999999999999</v>
      </c>
      <c r="AJ6" s="151">
        <v>1.1499999999999999</v>
      </c>
      <c r="AK6" s="7"/>
    </row>
    <row r="7" spans="1:37" x14ac:dyDescent="0.35">
      <c r="A7" s="8">
        <v>4</v>
      </c>
      <c r="B7" s="244">
        <v>11368</v>
      </c>
      <c r="C7" s="244">
        <v>10795</v>
      </c>
      <c r="D7" s="244">
        <v>10124</v>
      </c>
      <c r="E7" s="244">
        <v>9614</v>
      </c>
      <c r="F7" s="244">
        <v>10675</v>
      </c>
      <c r="G7" s="244">
        <v>10137</v>
      </c>
      <c r="I7" s="12" t="s">
        <v>18</v>
      </c>
      <c r="J7" s="13">
        <v>150</v>
      </c>
      <c r="L7" s="165">
        <f t="shared" ref="L7:L20" si="2">L6+1</f>
        <v>3</v>
      </c>
      <c r="M7" s="158">
        <v>0</v>
      </c>
      <c r="N7" s="133">
        <v>0</v>
      </c>
      <c r="O7" s="133">
        <v>0</v>
      </c>
      <c r="P7" s="133">
        <v>0</v>
      </c>
      <c r="Q7" s="133">
        <v>0</v>
      </c>
      <c r="R7" s="134">
        <v>0</v>
      </c>
      <c r="T7" s="150">
        <f t="shared" si="1"/>
        <v>4</v>
      </c>
      <c r="U7" s="146">
        <v>1</v>
      </c>
      <c r="V7" s="144">
        <v>1.05</v>
      </c>
      <c r="W7" s="144">
        <v>1.1000000000000001</v>
      </c>
      <c r="X7" s="144">
        <v>1.1499999999999999</v>
      </c>
      <c r="Y7" s="144">
        <v>1.1499999999999999</v>
      </c>
      <c r="Z7" s="144">
        <v>1.1499999999999999</v>
      </c>
      <c r="AA7" s="144">
        <v>1.1499999999999999</v>
      </c>
      <c r="AB7" s="144">
        <v>1.1499999999999999</v>
      </c>
      <c r="AC7" s="144">
        <v>1.1499999999999999</v>
      </c>
      <c r="AD7" s="144">
        <v>1.1499999999999999</v>
      </c>
      <c r="AE7" s="144">
        <v>1.1499999999999999</v>
      </c>
      <c r="AF7" s="144">
        <v>1.1499999999999999</v>
      </c>
      <c r="AG7" s="144">
        <v>1.1499999999999999</v>
      </c>
      <c r="AH7" s="144">
        <v>1.1499999999999999</v>
      </c>
      <c r="AI7" s="144">
        <v>1.1499999999999999</v>
      </c>
      <c r="AJ7" s="151">
        <v>1.1499999999999999</v>
      </c>
      <c r="AK7" s="7"/>
    </row>
    <row r="8" spans="1:37" ht="15" thickBot="1" x14ac:dyDescent="0.4">
      <c r="A8" s="8">
        <v>5</v>
      </c>
      <c r="B8" s="244">
        <v>11371</v>
      </c>
      <c r="C8" s="244">
        <v>10798</v>
      </c>
      <c r="D8" s="244">
        <v>10127</v>
      </c>
      <c r="E8" s="244">
        <v>9617</v>
      </c>
      <c r="F8" s="244">
        <v>10678</v>
      </c>
      <c r="G8" s="244">
        <v>10140</v>
      </c>
      <c r="I8" s="14" t="s">
        <v>19</v>
      </c>
      <c r="J8" s="15">
        <v>200</v>
      </c>
      <c r="L8" s="165">
        <f t="shared" si="2"/>
        <v>4</v>
      </c>
      <c r="M8" s="158">
        <v>0</v>
      </c>
      <c r="N8" s="133">
        <v>0</v>
      </c>
      <c r="O8" s="133">
        <v>0</v>
      </c>
      <c r="P8" s="133">
        <v>0</v>
      </c>
      <c r="Q8" s="133">
        <v>0</v>
      </c>
      <c r="R8" s="134">
        <v>0</v>
      </c>
      <c r="T8" s="150">
        <f t="shared" si="1"/>
        <v>5</v>
      </c>
      <c r="U8" s="146">
        <v>1</v>
      </c>
      <c r="V8" s="144">
        <v>1.05</v>
      </c>
      <c r="W8" s="144">
        <v>1.1000000000000001</v>
      </c>
      <c r="X8" s="144">
        <v>1.1499999999999999</v>
      </c>
      <c r="Y8" s="144">
        <v>1.1499999999999999</v>
      </c>
      <c r="Z8" s="144">
        <v>1.1499999999999999</v>
      </c>
      <c r="AA8" s="144">
        <v>1.1499999999999999</v>
      </c>
      <c r="AB8" s="144">
        <v>1.1499999999999999</v>
      </c>
      <c r="AC8" s="144">
        <v>1.1499999999999999</v>
      </c>
      <c r="AD8" s="144">
        <v>1.1499999999999999</v>
      </c>
      <c r="AE8" s="144">
        <v>1.1499999999999999</v>
      </c>
      <c r="AF8" s="144">
        <v>1.1499999999999999</v>
      </c>
      <c r="AG8" s="144">
        <v>1.1499999999999999</v>
      </c>
      <c r="AH8" s="144">
        <v>1.1499999999999999</v>
      </c>
      <c r="AI8" s="144">
        <v>1.1499999999999999</v>
      </c>
      <c r="AJ8" s="151">
        <v>1.1499999999999999</v>
      </c>
      <c r="AK8" s="7"/>
    </row>
    <row r="9" spans="1:37" ht="15" thickBot="1" x14ac:dyDescent="0.4">
      <c r="A9" s="8">
        <v>6</v>
      </c>
      <c r="B9" s="244">
        <v>11375</v>
      </c>
      <c r="C9" s="244">
        <v>10804</v>
      </c>
      <c r="D9" s="244">
        <v>10131</v>
      </c>
      <c r="E9" s="244">
        <v>9622</v>
      </c>
      <c r="F9" s="244">
        <v>10682</v>
      </c>
      <c r="G9" s="244">
        <v>10145</v>
      </c>
      <c r="L9" s="165">
        <f t="shared" si="2"/>
        <v>5</v>
      </c>
      <c r="M9" s="158">
        <v>0</v>
      </c>
      <c r="N9" s="133">
        <v>0</v>
      </c>
      <c r="O9" s="133">
        <v>0</v>
      </c>
      <c r="P9" s="133">
        <v>0</v>
      </c>
      <c r="Q9" s="133">
        <v>0</v>
      </c>
      <c r="R9" s="134">
        <v>0</v>
      </c>
      <c r="T9" s="150">
        <f t="shared" si="1"/>
        <v>6</v>
      </c>
      <c r="U9" s="146">
        <v>1</v>
      </c>
      <c r="V9" s="144">
        <v>1.05</v>
      </c>
      <c r="W9" s="144">
        <v>1.1000000000000001</v>
      </c>
      <c r="X9" s="144">
        <v>1.1499999999999999</v>
      </c>
      <c r="Y9" s="144">
        <v>1.1499999999999999</v>
      </c>
      <c r="Z9" s="144">
        <v>1.1499999999999999</v>
      </c>
      <c r="AA9" s="144">
        <v>1.1499999999999999</v>
      </c>
      <c r="AB9" s="144">
        <v>1.1499999999999999</v>
      </c>
      <c r="AC9" s="144">
        <v>1.1499999999999999</v>
      </c>
      <c r="AD9" s="144">
        <v>1.1499999999999999</v>
      </c>
      <c r="AE9" s="144">
        <v>1.1499999999999999</v>
      </c>
      <c r="AF9" s="144">
        <v>1.1499999999999999</v>
      </c>
      <c r="AG9" s="144">
        <v>1.1499999999999999</v>
      </c>
      <c r="AH9" s="144">
        <v>1.1499999999999999</v>
      </c>
      <c r="AI9" s="144">
        <v>1.1499999999999999</v>
      </c>
      <c r="AJ9" s="151">
        <v>1.1499999999999999</v>
      </c>
      <c r="AK9" s="7"/>
    </row>
    <row r="10" spans="1:37" ht="15" thickBot="1" x14ac:dyDescent="0.4">
      <c r="A10" s="8">
        <v>7</v>
      </c>
      <c r="B10" s="244">
        <v>11380</v>
      </c>
      <c r="C10" s="244">
        <v>10807</v>
      </c>
      <c r="D10" s="244">
        <v>10135</v>
      </c>
      <c r="E10" s="244">
        <v>9625</v>
      </c>
      <c r="F10" s="244">
        <v>10686</v>
      </c>
      <c r="G10" s="244">
        <v>10148</v>
      </c>
      <c r="I10" s="341" t="s">
        <v>182</v>
      </c>
      <c r="J10" s="342"/>
      <c r="L10" s="165">
        <f t="shared" si="2"/>
        <v>6</v>
      </c>
      <c r="M10" s="158">
        <v>0</v>
      </c>
      <c r="N10" s="133">
        <v>0</v>
      </c>
      <c r="O10" s="133">
        <v>0</v>
      </c>
      <c r="P10" s="133">
        <v>0</v>
      </c>
      <c r="Q10" s="133">
        <v>0</v>
      </c>
      <c r="R10" s="134">
        <v>0</v>
      </c>
      <c r="T10" s="150">
        <f t="shared" si="1"/>
        <v>7</v>
      </c>
      <c r="U10" s="146">
        <v>1</v>
      </c>
      <c r="V10" s="144">
        <v>1.05</v>
      </c>
      <c r="W10" s="144">
        <v>1.1000000000000001</v>
      </c>
      <c r="X10" s="144">
        <v>1.1499999999999999</v>
      </c>
      <c r="Y10" s="144">
        <v>1.1499999999999999</v>
      </c>
      <c r="Z10" s="144">
        <v>1.1499999999999999</v>
      </c>
      <c r="AA10" s="144">
        <v>1.1499999999999999</v>
      </c>
      <c r="AB10" s="144">
        <v>1.1499999999999999</v>
      </c>
      <c r="AC10" s="144">
        <v>1.1499999999999999</v>
      </c>
      <c r="AD10" s="144">
        <v>1.1499999999999999</v>
      </c>
      <c r="AE10" s="144">
        <v>1.1499999999999999</v>
      </c>
      <c r="AF10" s="144">
        <v>1.1499999999999999</v>
      </c>
      <c r="AG10" s="144">
        <v>1.1499999999999999</v>
      </c>
      <c r="AH10" s="144">
        <v>1.1499999999999999</v>
      </c>
      <c r="AI10" s="144">
        <v>1.1499999999999999</v>
      </c>
      <c r="AJ10" s="151">
        <v>1.1499999999999999</v>
      </c>
      <c r="AK10" s="7"/>
    </row>
    <row r="11" spans="1:37" x14ac:dyDescent="0.35">
      <c r="A11" s="8">
        <v>8</v>
      </c>
      <c r="B11" s="244">
        <v>11381</v>
      </c>
      <c r="C11" s="244">
        <v>10809</v>
      </c>
      <c r="D11" s="244">
        <v>10136</v>
      </c>
      <c r="E11" s="244">
        <v>9626</v>
      </c>
      <c r="F11" s="244">
        <v>10688</v>
      </c>
      <c r="G11" s="244">
        <v>10150</v>
      </c>
      <c r="I11" s="11" t="s">
        <v>13</v>
      </c>
      <c r="J11" s="11">
        <v>0</v>
      </c>
      <c r="L11" s="165">
        <f>L10+1</f>
        <v>7</v>
      </c>
      <c r="M11" s="158">
        <v>0</v>
      </c>
      <c r="N11" s="133">
        <v>0</v>
      </c>
      <c r="O11" s="133">
        <v>0</v>
      </c>
      <c r="P11" s="133">
        <v>0</v>
      </c>
      <c r="Q11" s="133" t="s">
        <v>1</v>
      </c>
      <c r="R11" s="134">
        <v>0</v>
      </c>
      <c r="T11" s="150">
        <f>T10+1</f>
        <v>8</v>
      </c>
      <c r="U11" s="146">
        <v>1</v>
      </c>
      <c r="V11" s="144">
        <v>1.05</v>
      </c>
      <c r="W11" s="144">
        <v>1.1000000000000001</v>
      </c>
      <c r="X11" s="144">
        <v>1.1499999999999999</v>
      </c>
      <c r="Y11" s="144">
        <v>1.1499999999999999</v>
      </c>
      <c r="Z11" s="144">
        <v>1.1499999999999999</v>
      </c>
      <c r="AA11" s="144">
        <v>1.1499999999999999</v>
      </c>
      <c r="AB11" s="144">
        <v>1.1499999999999999</v>
      </c>
      <c r="AC11" s="144">
        <v>1.1499999999999999</v>
      </c>
      <c r="AD11" s="144">
        <v>1.1499999999999999</v>
      </c>
      <c r="AE11" s="144">
        <v>1.1499999999999999</v>
      </c>
      <c r="AF11" s="144">
        <v>1.1499999999999999</v>
      </c>
      <c r="AG11" s="144">
        <v>1.1499999999999999</v>
      </c>
      <c r="AH11" s="144">
        <v>1.1499999999999999</v>
      </c>
      <c r="AI11" s="144">
        <v>1.1499999999999999</v>
      </c>
      <c r="AJ11" s="151">
        <v>1.1499999999999999</v>
      </c>
      <c r="AK11" s="7"/>
    </row>
    <row r="12" spans="1:37" x14ac:dyDescent="0.35">
      <c r="A12" s="8">
        <v>9</v>
      </c>
      <c r="B12" s="244">
        <v>11390</v>
      </c>
      <c r="C12" s="244">
        <v>10812</v>
      </c>
      <c r="D12" s="244">
        <v>10144</v>
      </c>
      <c r="E12" s="244">
        <v>9629</v>
      </c>
      <c r="F12" s="244">
        <v>10696</v>
      </c>
      <c r="G12" s="244">
        <v>10153</v>
      </c>
      <c r="I12" s="249" t="s">
        <v>183</v>
      </c>
      <c r="J12" s="250">
        <v>233</v>
      </c>
      <c r="L12" s="165">
        <f t="shared" si="2"/>
        <v>8</v>
      </c>
      <c r="M12" s="158">
        <v>0</v>
      </c>
      <c r="N12" s="133">
        <v>0</v>
      </c>
      <c r="O12" s="133">
        <v>0</v>
      </c>
      <c r="P12" s="133">
        <v>0</v>
      </c>
      <c r="Q12" s="133">
        <v>0</v>
      </c>
      <c r="R12" s="134">
        <v>0</v>
      </c>
      <c r="T12" s="150">
        <f t="shared" si="1"/>
        <v>9</v>
      </c>
      <c r="U12" s="146">
        <v>1</v>
      </c>
      <c r="V12" s="144">
        <v>1.05</v>
      </c>
      <c r="W12" s="144">
        <v>1.1000000000000001</v>
      </c>
      <c r="X12" s="144">
        <v>1.1499999999999999</v>
      </c>
      <c r="Y12" s="144">
        <v>1.1499999999999999</v>
      </c>
      <c r="Z12" s="144">
        <v>1.1499999999999999</v>
      </c>
      <c r="AA12" s="144">
        <v>1.1499999999999999</v>
      </c>
      <c r="AB12" s="144">
        <v>1.1499999999999999</v>
      </c>
      <c r="AC12" s="144">
        <v>1.1499999999999999</v>
      </c>
      <c r="AD12" s="144">
        <v>1.1499999999999999</v>
      </c>
      <c r="AE12" s="144">
        <v>1.1499999999999999</v>
      </c>
      <c r="AF12" s="144">
        <v>1.1499999999999999</v>
      </c>
      <c r="AG12" s="144">
        <v>1.1499999999999999</v>
      </c>
      <c r="AH12" s="144">
        <v>1.1499999999999999</v>
      </c>
      <c r="AI12" s="144">
        <v>1.1499999999999999</v>
      </c>
      <c r="AJ12" s="151">
        <v>1.1499999999999999</v>
      </c>
      <c r="AK12" s="7"/>
    </row>
    <row r="13" spans="1:37" ht="15.75" customHeight="1" thickBot="1" x14ac:dyDescent="0.4">
      <c r="A13" s="8">
        <v>10</v>
      </c>
      <c r="B13" s="244">
        <v>11393</v>
      </c>
      <c r="C13" s="244">
        <v>10816</v>
      </c>
      <c r="D13" s="244">
        <v>10147</v>
      </c>
      <c r="E13" s="244">
        <v>9633</v>
      </c>
      <c r="F13" s="244">
        <v>10699</v>
      </c>
      <c r="G13" s="244">
        <v>10157</v>
      </c>
      <c r="I13" s="251" t="s">
        <v>184</v>
      </c>
      <c r="J13" s="252">
        <v>1223.3699999999999</v>
      </c>
      <c r="L13" s="165">
        <f t="shared" si="2"/>
        <v>9</v>
      </c>
      <c r="M13" s="158">
        <v>0</v>
      </c>
      <c r="N13" s="133">
        <v>0</v>
      </c>
      <c r="O13" s="133">
        <v>0</v>
      </c>
      <c r="P13" s="133">
        <v>0</v>
      </c>
      <c r="Q13" s="133">
        <v>0</v>
      </c>
      <c r="R13" s="134">
        <v>0</v>
      </c>
      <c r="T13" s="150">
        <f t="shared" si="1"/>
        <v>10</v>
      </c>
      <c r="U13" s="146">
        <v>1</v>
      </c>
      <c r="V13" s="144">
        <v>1.05</v>
      </c>
      <c r="W13" s="144">
        <v>1.1000000000000001</v>
      </c>
      <c r="X13" s="144">
        <v>1.1499999999999999</v>
      </c>
      <c r="Y13" s="144">
        <v>1.1499999999999999</v>
      </c>
      <c r="Z13" s="144">
        <v>1.1499999999999999</v>
      </c>
      <c r="AA13" s="144">
        <v>1.1499999999999999</v>
      </c>
      <c r="AB13" s="144">
        <v>1.1499999999999999</v>
      </c>
      <c r="AC13" s="144">
        <v>1.1499999999999999</v>
      </c>
      <c r="AD13" s="144">
        <v>1.1499999999999999</v>
      </c>
      <c r="AE13" s="144">
        <v>1.1499999999999999</v>
      </c>
      <c r="AF13" s="144">
        <v>1.1499999999999999</v>
      </c>
      <c r="AG13" s="144">
        <v>1.1499999999999999</v>
      </c>
      <c r="AH13" s="144">
        <v>1.1499999999999999</v>
      </c>
      <c r="AI13" s="144">
        <v>1.1499999999999999</v>
      </c>
      <c r="AJ13" s="151">
        <v>1.1499999999999999</v>
      </c>
      <c r="AK13" s="7"/>
    </row>
    <row r="14" spans="1:37" x14ac:dyDescent="0.35">
      <c r="A14" s="8">
        <v>11</v>
      </c>
      <c r="B14" s="244">
        <v>11398</v>
      </c>
      <c r="C14" s="244">
        <v>10821</v>
      </c>
      <c r="D14" s="244">
        <v>10151</v>
      </c>
      <c r="E14" s="244">
        <v>9637</v>
      </c>
      <c r="F14" s="244">
        <v>10703</v>
      </c>
      <c r="G14" s="244">
        <v>10161</v>
      </c>
      <c r="L14" s="165">
        <f t="shared" si="2"/>
        <v>10</v>
      </c>
      <c r="M14" s="158">
        <v>0</v>
      </c>
      <c r="N14" s="133">
        <v>0</v>
      </c>
      <c r="O14" s="133">
        <v>0</v>
      </c>
      <c r="P14" s="133">
        <v>0</v>
      </c>
      <c r="Q14" s="133">
        <v>0</v>
      </c>
      <c r="R14" s="134">
        <v>0</v>
      </c>
      <c r="T14" s="150">
        <f t="shared" si="1"/>
        <v>11</v>
      </c>
      <c r="U14" s="146">
        <v>1</v>
      </c>
      <c r="V14" s="144">
        <v>1.05</v>
      </c>
      <c r="W14" s="144">
        <v>1.1000000000000001</v>
      </c>
      <c r="X14" s="144">
        <v>1.1499999999999999</v>
      </c>
      <c r="Y14" s="144">
        <v>1.1499999999999999</v>
      </c>
      <c r="Z14" s="144">
        <v>1.1499999999999999</v>
      </c>
      <c r="AA14" s="144">
        <v>1.1499999999999999</v>
      </c>
      <c r="AB14" s="144">
        <v>1.1499999999999999</v>
      </c>
      <c r="AC14" s="144">
        <v>1.1499999999999999</v>
      </c>
      <c r="AD14" s="144">
        <v>1.1499999999999999</v>
      </c>
      <c r="AE14" s="144">
        <v>1.1499999999999999</v>
      </c>
      <c r="AF14" s="144">
        <v>1.1499999999999999</v>
      </c>
      <c r="AG14" s="144">
        <v>1.1499999999999999</v>
      </c>
      <c r="AH14" s="144">
        <v>1.1499999999999999</v>
      </c>
      <c r="AI14" s="144">
        <v>1.1499999999999999</v>
      </c>
      <c r="AJ14" s="151">
        <v>1.1499999999999999</v>
      </c>
      <c r="AK14" s="7"/>
    </row>
    <row r="15" spans="1:37" ht="15" thickBot="1" x14ac:dyDescent="0.4">
      <c r="A15" s="8">
        <v>12</v>
      </c>
      <c r="B15" s="244">
        <v>11402</v>
      </c>
      <c r="C15" s="244">
        <v>10822</v>
      </c>
      <c r="D15" s="244">
        <v>10155</v>
      </c>
      <c r="E15" s="244">
        <v>9638</v>
      </c>
      <c r="F15" s="244">
        <v>10707</v>
      </c>
      <c r="G15" s="244">
        <v>10162</v>
      </c>
      <c r="L15" s="165">
        <f t="shared" si="2"/>
        <v>11</v>
      </c>
      <c r="M15" s="158">
        <v>0</v>
      </c>
      <c r="N15" s="133">
        <v>0</v>
      </c>
      <c r="O15" s="133">
        <v>0</v>
      </c>
      <c r="P15" s="133">
        <v>0</v>
      </c>
      <c r="Q15" s="133">
        <v>0</v>
      </c>
      <c r="R15" s="134">
        <v>0</v>
      </c>
      <c r="T15" s="150">
        <f t="shared" si="1"/>
        <v>12</v>
      </c>
      <c r="U15" s="146">
        <v>1</v>
      </c>
      <c r="V15" s="144">
        <v>1.05</v>
      </c>
      <c r="W15" s="144">
        <v>1.1000000000000001</v>
      </c>
      <c r="X15" s="144">
        <v>1.1499999999999999</v>
      </c>
      <c r="Y15" s="144">
        <v>1.1499999999999999</v>
      </c>
      <c r="Z15" s="144">
        <v>1.1499999999999999</v>
      </c>
      <c r="AA15" s="144">
        <v>1.1499999999999999</v>
      </c>
      <c r="AB15" s="144">
        <v>1.1499999999999999</v>
      </c>
      <c r="AC15" s="144">
        <v>1.1499999999999999</v>
      </c>
      <c r="AD15" s="144">
        <v>1.1499999999999999</v>
      </c>
      <c r="AE15" s="144">
        <v>1.1499999999999999</v>
      </c>
      <c r="AF15" s="144">
        <v>1.1499999999999999</v>
      </c>
      <c r="AG15" s="144">
        <v>1.1499999999999999</v>
      </c>
      <c r="AH15" s="144">
        <v>1.1499999999999999</v>
      </c>
      <c r="AI15" s="144">
        <v>1.1499999999999999</v>
      </c>
      <c r="AJ15" s="151">
        <v>1.1499999999999999</v>
      </c>
      <c r="AK15" s="7"/>
    </row>
    <row r="16" spans="1:37" ht="15" thickBot="1" x14ac:dyDescent="0.4">
      <c r="A16" s="8">
        <v>13</v>
      </c>
      <c r="B16" s="244">
        <v>11404</v>
      </c>
      <c r="C16" s="244">
        <v>10824</v>
      </c>
      <c r="D16" s="244">
        <v>10157</v>
      </c>
      <c r="E16" s="244">
        <v>9640</v>
      </c>
      <c r="F16" s="244">
        <v>10709</v>
      </c>
      <c r="G16" s="244">
        <v>10164</v>
      </c>
      <c r="I16" s="331" t="s">
        <v>6</v>
      </c>
      <c r="J16" s="332"/>
      <c r="L16" s="165">
        <f t="shared" si="2"/>
        <v>12</v>
      </c>
      <c r="M16" s="158">
        <v>0</v>
      </c>
      <c r="N16" s="133">
        <v>0</v>
      </c>
      <c r="O16" s="133">
        <v>0</v>
      </c>
      <c r="P16" s="133">
        <v>0</v>
      </c>
      <c r="Q16" s="133">
        <v>0</v>
      </c>
      <c r="R16" s="134">
        <v>0</v>
      </c>
      <c r="T16" s="150">
        <f t="shared" si="1"/>
        <v>13</v>
      </c>
      <c r="U16" s="146">
        <v>1</v>
      </c>
      <c r="V16" s="144">
        <v>1.05</v>
      </c>
      <c r="W16" s="144">
        <v>1.1000000000000001</v>
      </c>
      <c r="X16" s="144">
        <v>1.1499999999999999</v>
      </c>
      <c r="Y16" s="144">
        <v>1.1499999999999999</v>
      </c>
      <c r="Z16" s="144">
        <v>1.1499999999999999</v>
      </c>
      <c r="AA16" s="144">
        <v>1.1499999999999999</v>
      </c>
      <c r="AB16" s="144">
        <v>1.1499999999999999</v>
      </c>
      <c r="AC16" s="144">
        <v>1.1499999999999999</v>
      </c>
      <c r="AD16" s="144">
        <v>1.1499999999999999</v>
      </c>
      <c r="AE16" s="144">
        <v>1.1499999999999999</v>
      </c>
      <c r="AF16" s="144">
        <v>1.1499999999999999</v>
      </c>
      <c r="AG16" s="144">
        <v>1.1499999999999999</v>
      </c>
      <c r="AH16" s="144">
        <v>1.1499999999999999</v>
      </c>
      <c r="AI16" s="144">
        <v>1.1499999999999999</v>
      </c>
      <c r="AJ16" s="151">
        <v>1.1499999999999999</v>
      </c>
      <c r="AK16" s="7"/>
    </row>
    <row r="17" spans="1:37" ht="15" thickBot="1" x14ac:dyDescent="0.4">
      <c r="A17" s="8">
        <v>14</v>
      </c>
      <c r="B17" s="244">
        <v>11407</v>
      </c>
      <c r="C17" s="244">
        <v>10828</v>
      </c>
      <c r="D17" s="244">
        <v>10159</v>
      </c>
      <c r="E17" s="244">
        <v>9644</v>
      </c>
      <c r="F17" s="244">
        <v>10712</v>
      </c>
      <c r="G17" s="244">
        <v>10168</v>
      </c>
      <c r="I17" s="3" t="s">
        <v>10</v>
      </c>
      <c r="J17" s="3" t="s">
        <v>11</v>
      </c>
      <c r="L17" s="165">
        <f t="shared" si="2"/>
        <v>13</v>
      </c>
      <c r="M17" s="158">
        <v>0</v>
      </c>
      <c r="N17" s="133">
        <v>0</v>
      </c>
      <c r="O17" s="133">
        <v>0</v>
      </c>
      <c r="P17" s="133">
        <v>0</v>
      </c>
      <c r="Q17" s="133">
        <v>0</v>
      </c>
      <c r="R17" s="134">
        <v>0</v>
      </c>
      <c r="T17" s="150">
        <f t="shared" si="1"/>
        <v>14</v>
      </c>
      <c r="U17" s="146">
        <v>1</v>
      </c>
      <c r="V17" s="144">
        <v>1.05</v>
      </c>
      <c r="W17" s="144">
        <v>1.1000000000000001</v>
      </c>
      <c r="X17" s="144">
        <v>1.1499999999999999</v>
      </c>
      <c r="Y17" s="144">
        <v>1.1499999999999999</v>
      </c>
      <c r="Z17" s="144">
        <v>1.1499999999999999</v>
      </c>
      <c r="AA17" s="144">
        <v>1.1499999999999999</v>
      </c>
      <c r="AB17" s="144">
        <v>1.1499999999999999</v>
      </c>
      <c r="AC17" s="144">
        <v>1.1499999999999999</v>
      </c>
      <c r="AD17" s="144">
        <v>1.1499999999999999</v>
      </c>
      <c r="AE17" s="144">
        <v>1.1499999999999999</v>
      </c>
      <c r="AF17" s="144">
        <v>1.1499999999999999</v>
      </c>
      <c r="AG17" s="144">
        <v>1.1499999999999999</v>
      </c>
      <c r="AH17" s="144">
        <v>1.1499999999999999</v>
      </c>
      <c r="AI17" s="144">
        <v>1.1499999999999999</v>
      </c>
      <c r="AJ17" s="151">
        <v>1.1499999999999999</v>
      </c>
      <c r="AK17" s="7"/>
    </row>
    <row r="18" spans="1:37" x14ac:dyDescent="0.35">
      <c r="A18" s="8">
        <v>15</v>
      </c>
      <c r="B18" s="245">
        <v>11535</v>
      </c>
      <c r="C18" s="245">
        <v>11300</v>
      </c>
      <c r="D18" s="245">
        <v>10273</v>
      </c>
      <c r="E18" s="245">
        <v>10064</v>
      </c>
      <c r="F18" s="245">
        <v>10832</v>
      </c>
      <c r="G18" s="245">
        <v>10611</v>
      </c>
      <c r="I18" s="268">
        <v>0.8</v>
      </c>
      <c r="J18" s="269">
        <v>1147.9000000000001</v>
      </c>
      <c r="L18" s="165">
        <f t="shared" si="2"/>
        <v>14</v>
      </c>
      <c r="M18" s="158">
        <v>0</v>
      </c>
      <c r="N18" s="133">
        <v>0</v>
      </c>
      <c r="O18" s="133">
        <v>0</v>
      </c>
      <c r="P18" s="133">
        <v>0</v>
      </c>
      <c r="Q18" s="133">
        <v>0</v>
      </c>
      <c r="R18" s="134">
        <v>0</v>
      </c>
      <c r="T18" s="150">
        <f t="shared" si="1"/>
        <v>15</v>
      </c>
      <c r="U18" s="146">
        <v>1</v>
      </c>
      <c r="V18" s="144">
        <v>1.05</v>
      </c>
      <c r="W18" s="144">
        <v>1.1000000000000001</v>
      </c>
      <c r="X18" s="144">
        <v>1.1499999999999999</v>
      </c>
      <c r="Y18" s="144">
        <v>1.1499999999999999</v>
      </c>
      <c r="Z18" s="144">
        <v>1.1499999999999999</v>
      </c>
      <c r="AA18" s="144">
        <v>1.1499999999999999</v>
      </c>
      <c r="AB18" s="144">
        <v>1.1499999999999999</v>
      </c>
      <c r="AC18" s="144">
        <v>1.1499999999999999</v>
      </c>
      <c r="AD18" s="144">
        <v>1.1499999999999999</v>
      </c>
      <c r="AE18" s="144">
        <v>1.1499999999999999</v>
      </c>
      <c r="AF18" s="144">
        <v>1.1499999999999999</v>
      </c>
      <c r="AG18" s="144">
        <v>1.1499999999999999</v>
      </c>
      <c r="AH18" s="144">
        <v>1.1499999999999999</v>
      </c>
      <c r="AI18" s="144">
        <v>1.1499999999999999</v>
      </c>
      <c r="AJ18" s="151">
        <v>1.1499999999999999</v>
      </c>
      <c r="AK18" s="7"/>
    </row>
    <row r="19" spans="1:37" x14ac:dyDescent="0.35">
      <c r="A19" s="8">
        <v>16</v>
      </c>
      <c r="B19" s="245">
        <v>11668</v>
      </c>
      <c r="C19" s="245">
        <v>11313</v>
      </c>
      <c r="D19" s="245">
        <v>10391</v>
      </c>
      <c r="E19" s="245">
        <v>10076</v>
      </c>
      <c r="F19" s="245">
        <v>10956</v>
      </c>
      <c r="G19" s="245">
        <v>10624</v>
      </c>
      <c r="I19" s="49">
        <v>1</v>
      </c>
      <c r="J19" s="270">
        <v>1147.9000000000001</v>
      </c>
      <c r="L19" s="165">
        <f t="shared" si="2"/>
        <v>15</v>
      </c>
      <c r="M19" s="158">
        <v>0</v>
      </c>
      <c r="N19" s="133">
        <v>0</v>
      </c>
      <c r="O19" s="133">
        <v>0</v>
      </c>
      <c r="P19" s="133">
        <v>0</v>
      </c>
      <c r="Q19" s="133">
        <v>0</v>
      </c>
      <c r="R19" s="134">
        <v>0</v>
      </c>
      <c r="T19" s="150">
        <f t="shared" si="1"/>
        <v>16</v>
      </c>
      <c r="U19" s="146">
        <v>1</v>
      </c>
      <c r="V19" s="144">
        <v>1.05</v>
      </c>
      <c r="W19" s="144">
        <v>1.1000000000000001</v>
      </c>
      <c r="X19" s="144">
        <v>1.1499999999999999</v>
      </c>
      <c r="Y19" s="144">
        <v>1.1499999999999999</v>
      </c>
      <c r="Z19" s="144">
        <v>1.1499999999999999</v>
      </c>
      <c r="AA19" s="144">
        <v>1.1499999999999999</v>
      </c>
      <c r="AB19" s="144">
        <v>1.1499999999999999</v>
      </c>
      <c r="AC19" s="144">
        <v>1.1499999999999999</v>
      </c>
      <c r="AD19" s="144">
        <v>1.1499999999999999</v>
      </c>
      <c r="AE19" s="144">
        <v>1.1499999999999999</v>
      </c>
      <c r="AF19" s="144">
        <v>1.1499999999999999</v>
      </c>
      <c r="AG19" s="144">
        <v>1.1499999999999999</v>
      </c>
      <c r="AH19" s="144">
        <v>1.1499999999999999</v>
      </c>
      <c r="AI19" s="144">
        <v>1.1499999999999999</v>
      </c>
      <c r="AJ19" s="151">
        <v>1.1499999999999999</v>
      </c>
      <c r="AK19" s="7"/>
    </row>
    <row r="20" spans="1:37" x14ac:dyDescent="0.35">
      <c r="A20" s="8">
        <v>17</v>
      </c>
      <c r="B20" s="245">
        <v>11794</v>
      </c>
      <c r="C20" s="245">
        <v>11338</v>
      </c>
      <c r="D20" s="245">
        <v>10504</v>
      </c>
      <c r="E20" s="245">
        <v>10098</v>
      </c>
      <c r="F20" s="245">
        <v>11075</v>
      </c>
      <c r="G20" s="245">
        <v>10646</v>
      </c>
      <c r="I20" s="49">
        <v>1.3</v>
      </c>
      <c r="J20" s="270">
        <v>1147.9000000000001</v>
      </c>
      <c r="L20" s="165">
        <f t="shared" si="2"/>
        <v>16</v>
      </c>
      <c r="M20" s="158">
        <v>0</v>
      </c>
      <c r="N20" s="133">
        <v>0</v>
      </c>
      <c r="O20" s="133">
        <v>0</v>
      </c>
      <c r="P20" s="133">
        <v>0</v>
      </c>
      <c r="Q20" s="133">
        <v>0</v>
      </c>
      <c r="R20" s="134">
        <v>0</v>
      </c>
      <c r="T20" s="150">
        <f t="shared" si="1"/>
        <v>17</v>
      </c>
      <c r="U20" s="146">
        <v>1</v>
      </c>
      <c r="V20" s="144">
        <v>1.05</v>
      </c>
      <c r="W20" s="144">
        <v>1.1000000000000001</v>
      </c>
      <c r="X20" s="144">
        <v>1.1499999999999999</v>
      </c>
      <c r="Y20" s="144">
        <v>1.1499999999999999</v>
      </c>
      <c r="Z20" s="144">
        <v>1.1499999999999999</v>
      </c>
      <c r="AA20" s="144">
        <v>1.1499999999999999</v>
      </c>
      <c r="AB20" s="144">
        <v>1.1499999999999999</v>
      </c>
      <c r="AC20" s="144">
        <v>1.1499999999999999</v>
      </c>
      <c r="AD20" s="144">
        <v>1.1499999999999999</v>
      </c>
      <c r="AE20" s="144">
        <v>1.1499999999999999</v>
      </c>
      <c r="AF20" s="144">
        <v>1.1499999999999999</v>
      </c>
      <c r="AG20" s="144">
        <v>1.1499999999999999</v>
      </c>
      <c r="AH20" s="144">
        <v>1.1499999999999999</v>
      </c>
      <c r="AI20" s="144">
        <v>1.1499999999999999</v>
      </c>
      <c r="AJ20" s="151">
        <v>1.1499999999999999</v>
      </c>
      <c r="AK20" s="7"/>
    </row>
    <row r="21" spans="1:37" ht="15" thickBot="1" x14ac:dyDescent="0.4">
      <c r="A21" s="8">
        <v>18</v>
      </c>
      <c r="B21" s="244">
        <v>11927</v>
      </c>
      <c r="C21" s="244">
        <v>11348</v>
      </c>
      <c r="D21" s="244">
        <v>10622</v>
      </c>
      <c r="E21" s="244">
        <v>10107</v>
      </c>
      <c r="F21" s="244">
        <v>11200</v>
      </c>
      <c r="G21" s="244">
        <v>10656</v>
      </c>
      <c r="I21" s="49">
        <v>1.5</v>
      </c>
      <c r="J21" s="270">
        <v>1147.9000000000001</v>
      </c>
      <c r="L21" s="165">
        <f>L20+1</f>
        <v>17</v>
      </c>
      <c r="M21" s="158">
        <v>0</v>
      </c>
      <c r="N21" s="133">
        <v>0</v>
      </c>
      <c r="O21" s="133">
        <v>0</v>
      </c>
      <c r="P21" s="133">
        <v>0</v>
      </c>
      <c r="Q21" s="133">
        <v>0</v>
      </c>
      <c r="R21" s="134">
        <v>0</v>
      </c>
      <c r="T21" s="150">
        <f>T20+1</f>
        <v>18</v>
      </c>
      <c r="U21" s="146">
        <v>1</v>
      </c>
      <c r="V21" s="144">
        <v>1.05</v>
      </c>
      <c r="W21" s="144">
        <v>1.1000000000000001</v>
      </c>
      <c r="X21" s="144">
        <v>1.1499999999999999</v>
      </c>
      <c r="Y21" s="144">
        <v>1.1499999999999999</v>
      </c>
      <c r="Z21" s="144">
        <v>1.1499999999999999</v>
      </c>
      <c r="AA21" s="144">
        <v>1.1499999999999999</v>
      </c>
      <c r="AB21" s="144">
        <v>1.1499999999999999</v>
      </c>
      <c r="AC21" s="144">
        <v>1.1499999999999999</v>
      </c>
      <c r="AD21" s="144">
        <v>1.1499999999999999</v>
      </c>
      <c r="AE21" s="144">
        <v>1.1499999999999999</v>
      </c>
      <c r="AF21" s="144">
        <v>1.1499999999999999</v>
      </c>
      <c r="AG21" s="144">
        <v>1.1499999999999999</v>
      </c>
      <c r="AH21" s="144">
        <v>1.1499999999999999</v>
      </c>
      <c r="AI21" s="144">
        <v>1.1499999999999999</v>
      </c>
      <c r="AJ21" s="151">
        <v>1.1499999999999999</v>
      </c>
      <c r="AK21" s="7"/>
    </row>
    <row r="22" spans="1:37" x14ac:dyDescent="0.35">
      <c r="A22" s="8">
        <v>19</v>
      </c>
      <c r="B22" s="244">
        <v>11958</v>
      </c>
      <c r="C22" s="244">
        <v>11360</v>
      </c>
      <c r="D22" s="244">
        <v>10651</v>
      </c>
      <c r="E22" s="244">
        <v>10118</v>
      </c>
      <c r="F22" s="244">
        <v>11230</v>
      </c>
      <c r="G22" s="244">
        <v>10668</v>
      </c>
      <c r="I22" s="49">
        <v>1.7</v>
      </c>
      <c r="J22" s="270">
        <v>1147.9000000000001</v>
      </c>
      <c r="L22" s="165">
        <f>L21+1</f>
        <v>18</v>
      </c>
      <c r="M22" s="157">
        <v>251</v>
      </c>
      <c r="N22" s="131">
        <v>301</v>
      </c>
      <c r="O22" s="131">
        <v>352</v>
      </c>
      <c r="P22" s="131">
        <v>402</v>
      </c>
      <c r="Q22" s="131">
        <v>452</v>
      </c>
      <c r="R22" s="132">
        <v>502</v>
      </c>
      <c r="T22" s="150">
        <f t="shared" si="1"/>
        <v>19</v>
      </c>
      <c r="U22" s="146">
        <v>1</v>
      </c>
      <c r="V22" s="144">
        <v>1.05</v>
      </c>
      <c r="W22" s="144">
        <v>1.1000000000000001</v>
      </c>
      <c r="X22" s="144">
        <v>1.1499999999999999</v>
      </c>
      <c r="Y22" s="144">
        <v>1.1499999999999999</v>
      </c>
      <c r="Z22" s="144">
        <v>1.1499999999999999</v>
      </c>
      <c r="AA22" s="144">
        <v>1.1499999999999999</v>
      </c>
      <c r="AB22" s="144">
        <v>1.1499999999999999</v>
      </c>
      <c r="AC22" s="144">
        <v>1.1499999999999999</v>
      </c>
      <c r="AD22" s="144">
        <v>1.1499999999999999</v>
      </c>
      <c r="AE22" s="144">
        <v>1.1499999999999999</v>
      </c>
      <c r="AF22" s="144">
        <v>1.1499999999999999</v>
      </c>
      <c r="AG22" s="144">
        <v>1.1499999999999999</v>
      </c>
      <c r="AH22" s="144">
        <v>1.1499999999999999</v>
      </c>
      <c r="AI22" s="144">
        <v>1.1499999999999999</v>
      </c>
      <c r="AJ22" s="151">
        <v>1.1499999999999999</v>
      </c>
      <c r="AK22" s="7"/>
    </row>
    <row r="23" spans="1:37" x14ac:dyDescent="0.35">
      <c r="A23" s="8">
        <v>20</v>
      </c>
      <c r="B23" s="244">
        <v>12192</v>
      </c>
      <c r="C23" s="244">
        <v>13988</v>
      </c>
      <c r="D23" s="244">
        <v>10859</v>
      </c>
      <c r="E23" s="244">
        <v>12458</v>
      </c>
      <c r="F23" s="244">
        <v>11449</v>
      </c>
      <c r="G23" s="244">
        <v>13136</v>
      </c>
      <c r="I23" s="49">
        <v>1.8</v>
      </c>
      <c r="J23" s="270">
        <v>1147.9000000000001</v>
      </c>
      <c r="L23" s="165">
        <f t="shared" ref="L23:L86" si="3">L22+1</f>
        <v>19</v>
      </c>
      <c r="M23" s="158">
        <v>251</v>
      </c>
      <c r="N23" s="133">
        <v>301</v>
      </c>
      <c r="O23" s="133">
        <v>352</v>
      </c>
      <c r="P23" s="133">
        <v>402</v>
      </c>
      <c r="Q23" s="133">
        <v>452</v>
      </c>
      <c r="R23" s="134">
        <v>502</v>
      </c>
      <c r="T23" s="150">
        <f t="shared" si="1"/>
        <v>20</v>
      </c>
      <c r="U23" s="146">
        <v>1</v>
      </c>
      <c r="V23" s="144">
        <v>1.05</v>
      </c>
      <c r="W23" s="144">
        <v>1.1000000000000001</v>
      </c>
      <c r="X23" s="144">
        <v>1.1499999999999999</v>
      </c>
      <c r="Y23" s="144">
        <v>1.1499999999999999</v>
      </c>
      <c r="Z23" s="144">
        <v>1.1499999999999999</v>
      </c>
      <c r="AA23" s="144">
        <v>1.1499999999999999</v>
      </c>
      <c r="AB23" s="144">
        <v>1.1499999999999999</v>
      </c>
      <c r="AC23" s="144">
        <v>1.1499999999999999</v>
      </c>
      <c r="AD23" s="144">
        <v>1.1499999999999999</v>
      </c>
      <c r="AE23" s="144">
        <v>1.1499999999999999</v>
      </c>
      <c r="AF23" s="144">
        <v>1.1499999999999999</v>
      </c>
      <c r="AG23" s="144">
        <v>1.1499999999999999</v>
      </c>
      <c r="AH23" s="144">
        <v>1.1499999999999999</v>
      </c>
      <c r="AI23" s="144">
        <v>1.1499999999999999</v>
      </c>
      <c r="AJ23" s="151">
        <v>1.1499999999999999</v>
      </c>
      <c r="AK23" s="7"/>
    </row>
    <row r="24" spans="1:37" ht="15" thickBot="1" x14ac:dyDescent="0.4">
      <c r="A24" s="8">
        <v>21</v>
      </c>
      <c r="B24" s="244">
        <v>12329</v>
      </c>
      <c r="C24" s="244">
        <v>14603</v>
      </c>
      <c r="D24" s="244">
        <v>10981</v>
      </c>
      <c r="E24" s="244">
        <v>13006</v>
      </c>
      <c r="F24" s="244">
        <v>11578</v>
      </c>
      <c r="G24" s="244">
        <v>13713</v>
      </c>
      <c r="I24" s="49">
        <v>1.9</v>
      </c>
      <c r="J24" s="270">
        <v>1147.9000000000001</v>
      </c>
      <c r="L24" s="165">
        <f t="shared" si="3"/>
        <v>20</v>
      </c>
      <c r="M24" s="159">
        <v>251</v>
      </c>
      <c r="N24" s="135">
        <v>301</v>
      </c>
      <c r="O24" s="135">
        <v>352</v>
      </c>
      <c r="P24" s="135">
        <v>402</v>
      </c>
      <c r="Q24" s="135">
        <v>452</v>
      </c>
      <c r="R24" s="136">
        <v>502</v>
      </c>
      <c r="T24" s="150">
        <f t="shared" si="1"/>
        <v>21</v>
      </c>
      <c r="U24" s="146">
        <v>1</v>
      </c>
      <c r="V24" s="144">
        <v>1.05</v>
      </c>
      <c r="W24" s="144">
        <v>1.1000000000000001</v>
      </c>
      <c r="X24" s="144">
        <v>1.1499999999999999</v>
      </c>
      <c r="Y24" s="144">
        <v>1.1499999999999999</v>
      </c>
      <c r="Z24" s="144">
        <v>1.1499999999999999</v>
      </c>
      <c r="AA24" s="144">
        <v>1.1499999999999999</v>
      </c>
      <c r="AB24" s="144">
        <v>1.1499999999999999</v>
      </c>
      <c r="AC24" s="144">
        <v>1.1499999999999999</v>
      </c>
      <c r="AD24" s="144">
        <v>1.1499999999999999</v>
      </c>
      <c r="AE24" s="144">
        <v>1.1499999999999999</v>
      </c>
      <c r="AF24" s="144">
        <v>1.1499999999999999</v>
      </c>
      <c r="AG24" s="144">
        <v>1.1499999999999999</v>
      </c>
      <c r="AH24" s="144">
        <v>1.1499999999999999</v>
      </c>
      <c r="AI24" s="144">
        <v>1.1499999999999999</v>
      </c>
      <c r="AJ24" s="151">
        <v>1.1499999999999999</v>
      </c>
      <c r="AK24" s="7"/>
    </row>
    <row r="25" spans="1:37" x14ac:dyDescent="0.35">
      <c r="A25" s="8">
        <v>22</v>
      </c>
      <c r="B25" s="244">
        <v>12466</v>
      </c>
      <c r="C25" s="244">
        <v>15239</v>
      </c>
      <c r="D25" s="244">
        <v>11103</v>
      </c>
      <c r="E25" s="244">
        <v>13573</v>
      </c>
      <c r="F25" s="244">
        <v>11706</v>
      </c>
      <c r="G25" s="244">
        <v>14310</v>
      </c>
      <c r="I25" s="49">
        <v>2</v>
      </c>
      <c r="J25" s="270">
        <v>1147.9000000000001</v>
      </c>
      <c r="L25" s="165">
        <f t="shared" si="3"/>
        <v>21</v>
      </c>
      <c r="M25" s="160">
        <v>239</v>
      </c>
      <c r="N25" s="137">
        <v>287</v>
      </c>
      <c r="O25" s="137">
        <v>335</v>
      </c>
      <c r="P25" s="137">
        <v>382</v>
      </c>
      <c r="Q25" s="137">
        <v>430</v>
      </c>
      <c r="R25" s="138">
        <v>478</v>
      </c>
      <c r="T25" s="150">
        <f t="shared" si="1"/>
        <v>22</v>
      </c>
      <c r="U25" s="146">
        <v>1</v>
      </c>
      <c r="V25" s="144">
        <v>1.05</v>
      </c>
      <c r="W25" s="144">
        <v>1.1000000000000001</v>
      </c>
      <c r="X25" s="144">
        <v>1.1499999999999999</v>
      </c>
      <c r="Y25" s="144">
        <v>1.1499999999999999</v>
      </c>
      <c r="Z25" s="144">
        <v>1.1499999999999999</v>
      </c>
      <c r="AA25" s="144">
        <v>1.1499999999999999</v>
      </c>
      <c r="AB25" s="144">
        <v>1.1499999999999999</v>
      </c>
      <c r="AC25" s="144">
        <v>1.1499999999999999</v>
      </c>
      <c r="AD25" s="144">
        <v>1.1499999999999999</v>
      </c>
      <c r="AE25" s="144">
        <v>1.1499999999999999</v>
      </c>
      <c r="AF25" s="144">
        <v>1.1499999999999999</v>
      </c>
      <c r="AG25" s="144">
        <v>1.1499999999999999</v>
      </c>
      <c r="AH25" s="144">
        <v>1.1499999999999999</v>
      </c>
      <c r="AI25" s="144">
        <v>1.1499999999999999</v>
      </c>
      <c r="AJ25" s="151">
        <v>1.1499999999999999</v>
      </c>
      <c r="AK25" s="7"/>
    </row>
    <row r="26" spans="1:37" x14ac:dyDescent="0.35">
      <c r="A26" s="8">
        <v>23</v>
      </c>
      <c r="B26" s="244">
        <v>12605</v>
      </c>
      <c r="C26" s="244">
        <v>15901</v>
      </c>
      <c r="D26" s="244">
        <v>11226</v>
      </c>
      <c r="E26" s="244">
        <v>14162</v>
      </c>
      <c r="F26" s="244">
        <v>11837</v>
      </c>
      <c r="G26" s="244">
        <v>14932</v>
      </c>
      <c r="I26" s="49">
        <v>2.2999999999999998</v>
      </c>
      <c r="J26" s="270">
        <v>1147.9000000000001</v>
      </c>
      <c r="L26" s="165">
        <f>L25+1</f>
        <v>22</v>
      </c>
      <c r="M26" s="161">
        <v>239</v>
      </c>
      <c r="N26" s="139">
        <v>287</v>
      </c>
      <c r="O26" s="139">
        <v>335</v>
      </c>
      <c r="P26" s="139">
        <v>382</v>
      </c>
      <c r="Q26" s="139">
        <v>430</v>
      </c>
      <c r="R26" s="140">
        <v>478</v>
      </c>
      <c r="T26" s="150">
        <f>T25+1</f>
        <v>23</v>
      </c>
      <c r="U26" s="146">
        <v>1</v>
      </c>
      <c r="V26" s="144">
        <v>1.05</v>
      </c>
      <c r="W26" s="144">
        <v>1.1000000000000001</v>
      </c>
      <c r="X26" s="144">
        <v>1.1499999999999999</v>
      </c>
      <c r="Y26" s="144">
        <v>1.1499999999999999</v>
      </c>
      <c r="Z26" s="144">
        <v>1.1499999999999999</v>
      </c>
      <c r="AA26" s="144">
        <v>1.1499999999999999</v>
      </c>
      <c r="AB26" s="144">
        <v>1.1499999999999999</v>
      </c>
      <c r="AC26" s="144">
        <v>1.1499999999999999</v>
      </c>
      <c r="AD26" s="144">
        <v>1.1499999999999999</v>
      </c>
      <c r="AE26" s="144">
        <v>1.1499999999999999</v>
      </c>
      <c r="AF26" s="144">
        <v>1.1499999999999999</v>
      </c>
      <c r="AG26" s="144">
        <v>1.1499999999999999</v>
      </c>
      <c r="AH26" s="144">
        <v>1.1499999999999999</v>
      </c>
      <c r="AI26" s="144">
        <v>1.1499999999999999</v>
      </c>
      <c r="AJ26" s="151">
        <v>1.1499999999999999</v>
      </c>
      <c r="AK26" s="7"/>
    </row>
    <row r="27" spans="1:37" x14ac:dyDescent="0.35">
      <c r="A27" s="8">
        <v>24</v>
      </c>
      <c r="B27" s="244">
        <v>12748</v>
      </c>
      <c r="C27" s="244">
        <v>16597</v>
      </c>
      <c r="D27" s="244">
        <v>11354</v>
      </c>
      <c r="E27" s="244">
        <v>14782</v>
      </c>
      <c r="F27" s="244">
        <v>11971</v>
      </c>
      <c r="G27" s="244">
        <v>15585</v>
      </c>
      <c r="I27" s="49">
        <v>2.5</v>
      </c>
      <c r="J27" s="270">
        <v>1147.9000000000001</v>
      </c>
      <c r="L27" s="165">
        <f t="shared" si="3"/>
        <v>23</v>
      </c>
      <c r="M27" s="161">
        <v>239</v>
      </c>
      <c r="N27" s="139">
        <v>287</v>
      </c>
      <c r="O27" s="139">
        <v>335</v>
      </c>
      <c r="P27" s="139">
        <v>382</v>
      </c>
      <c r="Q27" s="139">
        <v>430</v>
      </c>
      <c r="R27" s="140">
        <v>478</v>
      </c>
      <c r="T27" s="150">
        <f t="shared" si="1"/>
        <v>24</v>
      </c>
      <c r="U27" s="146">
        <v>1</v>
      </c>
      <c r="V27" s="144">
        <v>1.05</v>
      </c>
      <c r="W27" s="144">
        <v>1.1000000000000001</v>
      </c>
      <c r="X27" s="144">
        <v>1.1499999999999999</v>
      </c>
      <c r="Y27" s="144">
        <v>1.1499999999999999</v>
      </c>
      <c r="Z27" s="144">
        <v>1.1499999999999999</v>
      </c>
      <c r="AA27" s="144">
        <v>1.1499999999999999</v>
      </c>
      <c r="AB27" s="144">
        <v>1.1499999999999999</v>
      </c>
      <c r="AC27" s="144">
        <v>1.1499999999999999</v>
      </c>
      <c r="AD27" s="144">
        <v>1.1499999999999999</v>
      </c>
      <c r="AE27" s="144">
        <v>1.1499999999999999</v>
      </c>
      <c r="AF27" s="144">
        <v>1.1499999999999999</v>
      </c>
      <c r="AG27" s="144">
        <v>1.1499999999999999</v>
      </c>
      <c r="AH27" s="144">
        <v>1.1499999999999999</v>
      </c>
      <c r="AI27" s="144">
        <v>1.1499999999999999</v>
      </c>
      <c r="AJ27" s="151">
        <v>1.1499999999999999</v>
      </c>
      <c r="AK27" s="7"/>
    </row>
    <row r="28" spans="1:37" ht="19.5" customHeight="1" x14ac:dyDescent="0.35">
      <c r="A28" s="8">
        <v>25</v>
      </c>
      <c r="B28" s="244">
        <v>14762</v>
      </c>
      <c r="C28" s="244">
        <v>19322</v>
      </c>
      <c r="D28" s="244">
        <v>13147</v>
      </c>
      <c r="E28" s="244">
        <v>17209</v>
      </c>
      <c r="F28" s="244">
        <v>13862</v>
      </c>
      <c r="G28" s="244">
        <v>18144</v>
      </c>
      <c r="I28" s="49">
        <v>2.7</v>
      </c>
      <c r="J28" s="270">
        <v>1147.9000000000001</v>
      </c>
      <c r="L28" s="165">
        <f t="shared" si="3"/>
        <v>24</v>
      </c>
      <c r="M28" s="161">
        <v>239</v>
      </c>
      <c r="N28" s="139">
        <v>287</v>
      </c>
      <c r="O28" s="139">
        <v>335</v>
      </c>
      <c r="P28" s="139">
        <v>382</v>
      </c>
      <c r="Q28" s="139">
        <v>430</v>
      </c>
      <c r="R28" s="140">
        <v>478</v>
      </c>
      <c r="T28" s="150">
        <f t="shared" si="1"/>
        <v>25</v>
      </c>
      <c r="U28" s="146">
        <v>1</v>
      </c>
      <c r="V28" s="144">
        <v>1.05</v>
      </c>
      <c r="W28" s="144">
        <v>1.1000000000000001</v>
      </c>
      <c r="X28" s="144">
        <v>1.1499999999999999</v>
      </c>
      <c r="Y28" s="144">
        <v>1.1499999999999999</v>
      </c>
      <c r="Z28" s="144">
        <v>1.1499999999999999</v>
      </c>
      <c r="AA28" s="144">
        <v>1.1499999999999999</v>
      </c>
      <c r="AB28" s="144">
        <v>1.1499999999999999</v>
      </c>
      <c r="AC28" s="144">
        <v>1.1499999999999999</v>
      </c>
      <c r="AD28" s="144">
        <v>1.1499999999999999</v>
      </c>
      <c r="AE28" s="144">
        <v>1.1499999999999999</v>
      </c>
      <c r="AF28" s="144">
        <v>1.1499999999999999</v>
      </c>
      <c r="AG28" s="144">
        <v>1.1499999999999999</v>
      </c>
      <c r="AH28" s="144">
        <v>1.1499999999999999</v>
      </c>
      <c r="AI28" s="144">
        <v>1.1499999999999999</v>
      </c>
      <c r="AJ28" s="151">
        <v>1.1499999999999999</v>
      </c>
      <c r="AK28" s="7"/>
    </row>
    <row r="29" spans="1:37" ht="15" thickBot="1" x14ac:dyDescent="0.4">
      <c r="A29" s="8">
        <v>26</v>
      </c>
      <c r="B29" s="244">
        <v>15434</v>
      </c>
      <c r="C29" s="244">
        <v>20300</v>
      </c>
      <c r="D29" s="244">
        <v>13746</v>
      </c>
      <c r="E29" s="244">
        <v>18080</v>
      </c>
      <c r="F29" s="244">
        <v>14493</v>
      </c>
      <c r="G29" s="244">
        <v>19063</v>
      </c>
      <c r="I29" s="49">
        <v>2.9</v>
      </c>
      <c r="J29" s="270">
        <v>1147.9000000000001</v>
      </c>
      <c r="L29" s="165">
        <f t="shared" si="3"/>
        <v>25</v>
      </c>
      <c r="M29" s="162">
        <v>239</v>
      </c>
      <c r="N29" s="141">
        <v>287</v>
      </c>
      <c r="O29" s="141">
        <v>335</v>
      </c>
      <c r="P29" s="141">
        <v>382</v>
      </c>
      <c r="Q29" s="141">
        <v>430</v>
      </c>
      <c r="R29" s="142">
        <v>478</v>
      </c>
      <c r="T29" s="150">
        <f t="shared" si="1"/>
        <v>26</v>
      </c>
      <c r="U29" s="146">
        <v>1</v>
      </c>
      <c r="V29" s="144">
        <v>1.05</v>
      </c>
      <c r="W29" s="144">
        <v>1.1000000000000001</v>
      </c>
      <c r="X29" s="144">
        <v>1.1499999999999999</v>
      </c>
      <c r="Y29" s="144">
        <v>1.1499999999999999</v>
      </c>
      <c r="Z29" s="144">
        <v>1.1499999999999999</v>
      </c>
      <c r="AA29" s="144">
        <v>1.1499999999999999</v>
      </c>
      <c r="AB29" s="144">
        <v>1.1499999999999999</v>
      </c>
      <c r="AC29" s="144">
        <v>1.1499999999999999</v>
      </c>
      <c r="AD29" s="144">
        <v>1.1499999999999999</v>
      </c>
      <c r="AE29" s="144">
        <v>1.1499999999999999</v>
      </c>
      <c r="AF29" s="144">
        <v>1.1499999999999999</v>
      </c>
      <c r="AG29" s="144">
        <v>1.1499999999999999</v>
      </c>
      <c r="AH29" s="144">
        <v>1.1499999999999999</v>
      </c>
      <c r="AI29" s="144">
        <v>1.1499999999999999</v>
      </c>
      <c r="AJ29" s="151">
        <v>1.1499999999999999</v>
      </c>
      <c r="AK29" s="7"/>
    </row>
    <row r="30" spans="1:37" x14ac:dyDescent="0.35">
      <c r="A30" s="8">
        <v>27</v>
      </c>
      <c r="B30" s="244">
        <v>16135</v>
      </c>
      <c r="C30" s="244">
        <v>21332</v>
      </c>
      <c r="D30" s="244">
        <v>14370</v>
      </c>
      <c r="E30" s="244">
        <v>18999</v>
      </c>
      <c r="F30" s="244">
        <v>15151</v>
      </c>
      <c r="G30" s="244">
        <v>20032</v>
      </c>
      <c r="I30" s="49">
        <v>3</v>
      </c>
      <c r="J30" s="270">
        <v>1147.9000000000001</v>
      </c>
      <c r="L30" s="165">
        <f t="shared" si="3"/>
        <v>26</v>
      </c>
      <c r="M30" s="160">
        <v>333</v>
      </c>
      <c r="N30" s="137">
        <v>400</v>
      </c>
      <c r="O30" s="137">
        <v>466</v>
      </c>
      <c r="P30" s="137">
        <v>533</v>
      </c>
      <c r="Q30" s="137">
        <v>600</v>
      </c>
      <c r="R30" s="138">
        <v>666</v>
      </c>
      <c r="T30" s="150">
        <f t="shared" si="1"/>
        <v>27</v>
      </c>
      <c r="U30" s="146">
        <v>1</v>
      </c>
      <c r="V30" s="144">
        <v>1.05</v>
      </c>
      <c r="W30" s="144">
        <v>1.1000000000000001</v>
      </c>
      <c r="X30" s="144">
        <v>1.1499999999999999</v>
      </c>
      <c r="Y30" s="144">
        <v>1.1499999999999999</v>
      </c>
      <c r="Z30" s="144">
        <v>1.1499999999999999</v>
      </c>
      <c r="AA30" s="144">
        <v>1.1499999999999999</v>
      </c>
      <c r="AB30" s="144">
        <v>1.1499999999999999</v>
      </c>
      <c r="AC30" s="144">
        <v>1.1499999999999999</v>
      </c>
      <c r="AD30" s="144">
        <v>1.1499999999999999</v>
      </c>
      <c r="AE30" s="144">
        <v>1.1499999999999999</v>
      </c>
      <c r="AF30" s="144">
        <v>1.1499999999999999</v>
      </c>
      <c r="AG30" s="144">
        <v>1.1499999999999999</v>
      </c>
      <c r="AH30" s="144">
        <v>1.1499999999999999</v>
      </c>
      <c r="AI30" s="144">
        <v>1.1499999999999999</v>
      </c>
      <c r="AJ30" s="151">
        <v>1.1499999999999999</v>
      </c>
      <c r="AK30" s="7"/>
    </row>
    <row r="31" spans="1:37" x14ac:dyDescent="0.35">
      <c r="A31" s="8">
        <v>28</v>
      </c>
      <c r="B31" s="244">
        <v>16867</v>
      </c>
      <c r="C31" s="244">
        <v>22408</v>
      </c>
      <c r="D31" s="244">
        <v>15022</v>
      </c>
      <c r="E31" s="244">
        <v>19957</v>
      </c>
      <c r="F31" s="244">
        <v>15839</v>
      </c>
      <c r="G31" s="244">
        <v>21042</v>
      </c>
      <c r="I31" s="49">
        <v>3.1</v>
      </c>
      <c r="J31" s="270">
        <v>1147.9000000000001</v>
      </c>
      <c r="L31" s="165">
        <f t="shared" si="3"/>
        <v>27</v>
      </c>
      <c r="M31" s="161">
        <v>333</v>
      </c>
      <c r="N31" s="139">
        <v>400</v>
      </c>
      <c r="O31" s="139">
        <v>466</v>
      </c>
      <c r="P31" s="139">
        <v>533</v>
      </c>
      <c r="Q31" s="139">
        <v>600</v>
      </c>
      <c r="R31" s="140">
        <v>666</v>
      </c>
      <c r="T31" s="150">
        <f t="shared" si="1"/>
        <v>28</v>
      </c>
      <c r="U31" s="146">
        <v>1</v>
      </c>
      <c r="V31" s="144">
        <v>1.05</v>
      </c>
      <c r="W31" s="144">
        <v>1.1000000000000001</v>
      </c>
      <c r="X31" s="144">
        <v>1.1499999999999999</v>
      </c>
      <c r="Y31" s="144">
        <v>1.1499999999999999</v>
      </c>
      <c r="Z31" s="144">
        <v>1.1499999999999999</v>
      </c>
      <c r="AA31" s="144">
        <v>1.1499999999999999</v>
      </c>
      <c r="AB31" s="144">
        <v>1.1499999999999999</v>
      </c>
      <c r="AC31" s="144">
        <v>1.1499999999999999</v>
      </c>
      <c r="AD31" s="144">
        <v>1.1499999999999999</v>
      </c>
      <c r="AE31" s="144">
        <v>1.1499999999999999</v>
      </c>
      <c r="AF31" s="144">
        <v>1.1499999999999999</v>
      </c>
      <c r="AG31" s="144">
        <v>1.1499999999999999</v>
      </c>
      <c r="AH31" s="144">
        <v>1.1499999999999999</v>
      </c>
      <c r="AI31" s="144">
        <v>1.1499999999999999</v>
      </c>
      <c r="AJ31" s="151">
        <v>1.1499999999999999</v>
      </c>
      <c r="AK31" s="7"/>
    </row>
    <row r="32" spans="1:37" x14ac:dyDescent="0.35">
      <c r="A32" s="8">
        <v>29</v>
      </c>
      <c r="B32" s="244">
        <v>17634</v>
      </c>
      <c r="C32" s="244">
        <v>23549</v>
      </c>
      <c r="D32" s="244">
        <v>15705</v>
      </c>
      <c r="E32" s="244">
        <v>20974</v>
      </c>
      <c r="F32" s="244">
        <v>16559</v>
      </c>
      <c r="G32" s="244">
        <v>22114</v>
      </c>
      <c r="I32" s="49">
        <v>3.3</v>
      </c>
      <c r="J32" s="270">
        <v>1147.9000000000001</v>
      </c>
      <c r="L32" s="165">
        <f t="shared" si="3"/>
        <v>28</v>
      </c>
      <c r="M32" s="161">
        <v>333</v>
      </c>
      <c r="N32" s="139">
        <v>400</v>
      </c>
      <c r="O32" s="139">
        <v>466</v>
      </c>
      <c r="P32" s="139">
        <v>533</v>
      </c>
      <c r="Q32" s="139">
        <v>600</v>
      </c>
      <c r="R32" s="140">
        <v>666</v>
      </c>
      <c r="T32" s="150">
        <f t="shared" si="1"/>
        <v>29</v>
      </c>
      <c r="U32" s="146">
        <v>1</v>
      </c>
      <c r="V32" s="144">
        <v>1.05</v>
      </c>
      <c r="W32" s="144">
        <v>1.1000000000000001</v>
      </c>
      <c r="X32" s="144">
        <v>1.1499999999999999</v>
      </c>
      <c r="Y32" s="144">
        <v>1.1499999999999999</v>
      </c>
      <c r="Z32" s="144">
        <v>1.1499999999999999</v>
      </c>
      <c r="AA32" s="144">
        <v>1.1499999999999999</v>
      </c>
      <c r="AB32" s="144">
        <v>1.1499999999999999</v>
      </c>
      <c r="AC32" s="144">
        <v>1.1499999999999999</v>
      </c>
      <c r="AD32" s="144">
        <v>1.1499999999999999</v>
      </c>
      <c r="AE32" s="144">
        <v>1.1499999999999999</v>
      </c>
      <c r="AF32" s="144">
        <v>1.1499999999999999</v>
      </c>
      <c r="AG32" s="144">
        <v>1.1499999999999999</v>
      </c>
      <c r="AH32" s="144">
        <v>1.1499999999999999</v>
      </c>
      <c r="AI32" s="144">
        <v>1.1499999999999999</v>
      </c>
      <c r="AJ32" s="151">
        <v>1.1499999999999999</v>
      </c>
      <c r="AK32" s="7"/>
    </row>
    <row r="33" spans="1:37" x14ac:dyDescent="0.35">
      <c r="A33" s="8">
        <v>30</v>
      </c>
      <c r="B33" s="244">
        <v>18140</v>
      </c>
      <c r="C33" s="244">
        <v>24286</v>
      </c>
      <c r="D33" s="244">
        <v>16156</v>
      </c>
      <c r="E33" s="244">
        <v>21630</v>
      </c>
      <c r="F33" s="244">
        <v>17035</v>
      </c>
      <c r="G33" s="244">
        <v>22806</v>
      </c>
      <c r="I33" s="49">
        <v>3.5</v>
      </c>
      <c r="J33" s="270">
        <v>1147.9000000000001</v>
      </c>
      <c r="L33" s="165">
        <f>L32+1</f>
        <v>29</v>
      </c>
      <c r="M33" s="161">
        <v>333</v>
      </c>
      <c r="N33" s="139">
        <v>400</v>
      </c>
      <c r="O33" s="139">
        <v>466</v>
      </c>
      <c r="P33" s="139">
        <v>533</v>
      </c>
      <c r="Q33" s="139">
        <v>600</v>
      </c>
      <c r="R33" s="140">
        <v>666</v>
      </c>
      <c r="T33" s="150">
        <f>T32+1</f>
        <v>30</v>
      </c>
      <c r="U33" s="146">
        <v>1</v>
      </c>
      <c r="V33" s="144">
        <v>1.05</v>
      </c>
      <c r="W33" s="144">
        <v>1.1000000000000001</v>
      </c>
      <c r="X33" s="144">
        <v>1.1499999999999999</v>
      </c>
      <c r="Y33" s="144">
        <v>1.1499999999999999</v>
      </c>
      <c r="Z33" s="144">
        <v>1.1499999999999999</v>
      </c>
      <c r="AA33" s="144">
        <v>1.1499999999999999</v>
      </c>
      <c r="AB33" s="144">
        <v>1.1499999999999999</v>
      </c>
      <c r="AC33" s="144">
        <v>1.1499999999999999</v>
      </c>
      <c r="AD33" s="144">
        <v>1.1499999999999999</v>
      </c>
      <c r="AE33" s="144">
        <v>1.1499999999999999</v>
      </c>
      <c r="AF33" s="144">
        <v>1.1499999999999999</v>
      </c>
      <c r="AG33" s="144">
        <v>1.1499999999999999</v>
      </c>
      <c r="AH33" s="144">
        <v>1.1499999999999999</v>
      </c>
      <c r="AI33" s="144">
        <v>1.1499999999999999</v>
      </c>
      <c r="AJ33" s="151">
        <v>1.1499999999999999</v>
      </c>
      <c r="AK33" s="7"/>
    </row>
    <row r="34" spans="1:37" ht="15" thickBot="1" x14ac:dyDescent="0.4">
      <c r="A34" s="8">
        <v>31</v>
      </c>
      <c r="B34" s="244">
        <v>18662</v>
      </c>
      <c r="C34" s="244">
        <v>25047</v>
      </c>
      <c r="D34" s="244">
        <v>16621</v>
      </c>
      <c r="E34" s="244">
        <v>22308</v>
      </c>
      <c r="F34" s="244">
        <v>17524</v>
      </c>
      <c r="G34" s="244">
        <v>23520</v>
      </c>
      <c r="I34" s="49">
        <v>3.8</v>
      </c>
      <c r="J34" s="270">
        <v>1147.9000000000001</v>
      </c>
      <c r="L34" s="165">
        <f t="shared" si="3"/>
        <v>30</v>
      </c>
      <c r="M34" s="162">
        <v>333</v>
      </c>
      <c r="N34" s="141">
        <v>400</v>
      </c>
      <c r="O34" s="141">
        <v>466</v>
      </c>
      <c r="P34" s="141">
        <v>533</v>
      </c>
      <c r="Q34" s="141">
        <v>600</v>
      </c>
      <c r="R34" s="142">
        <v>666</v>
      </c>
      <c r="T34" s="150">
        <f t="shared" si="1"/>
        <v>31</v>
      </c>
      <c r="U34" s="146">
        <v>1</v>
      </c>
      <c r="V34" s="144">
        <v>1.05</v>
      </c>
      <c r="W34" s="144">
        <v>1.1000000000000001</v>
      </c>
      <c r="X34" s="144">
        <v>1.1499999999999999</v>
      </c>
      <c r="Y34" s="144">
        <v>1.1499999999999999</v>
      </c>
      <c r="Z34" s="144">
        <v>1.1499999999999999</v>
      </c>
      <c r="AA34" s="144">
        <v>1.1499999999999999</v>
      </c>
      <c r="AB34" s="144">
        <v>1.1499999999999999</v>
      </c>
      <c r="AC34" s="144">
        <v>1.1499999999999999</v>
      </c>
      <c r="AD34" s="144">
        <v>1.1499999999999999</v>
      </c>
      <c r="AE34" s="144">
        <v>1.1499999999999999</v>
      </c>
      <c r="AF34" s="144">
        <v>1.1499999999999999</v>
      </c>
      <c r="AG34" s="144">
        <v>1.1499999999999999</v>
      </c>
      <c r="AH34" s="144">
        <v>1.1499999999999999</v>
      </c>
      <c r="AI34" s="144">
        <v>1.1499999999999999</v>
      </c>
      <c r="AJ34" s="151">
        <v>1.1499999999999999</v>
      </c>
      <c r="AK34" s="7"/>
    </row>
    <row r="35" spans="1:37" x14ac:dyDescent="0.35">
      <c r="A35" s="8">
        <v>32</v>
      </c>
      <c r="B35" s="244">
        <v>19195</v>
      </c>
      <c r="C35" s="244">
        <v>25829</v>
      </c>
      <c r="D35" s="244">
        <v>17096</v>
      </c>
      <c r="E35" s="244">
        <v>23004</v>
      </c>
      <c r="F35" s="244">
        <v>18025</v>
      </c>
      <c r="G35" s="244">
        <v>24255</v>
      </c>
      <c r="I35" s="49">
        <v>4</v>
      </c>
      <c r="J35" s="270">
        <v>1147.9000000000001</v>
      </c>
      <c r="L35" s="165">
        <f t="shared" si="3"/>
        <v>31</v>
      </c>
      <c r="M35" s="160">
        <v>542</v>
      </c>
      <c r="N35" s="137">
        <v>650</v>
      </c>
      <c r="O35" s="137">
        <v>759</v>
      </c>
      <c r="P35" s="137">
        <v>867</v>
      </c>
      <c r="Q35" s="137">
        <v>975</v>
      </c>
      <c r="R35" s="138">
        <v>1084</v>
      </c>
      <c r="T35" s="150">
        <f t="shared" si="1"/>
        <v>32</v>
      </c>
      <c r="U35" s="146">
        <v>1</v>
      </c>
      <c r="V35" s="144">
        <v>1.05</v>
      </c>
      <c r="W35" s="144">
        <v>1.1000000000000001</v>
      </c>
      <c r="X35" s="144">
        <v>1.1499999999999999</v>
      </c>
      <c r="Y35" s="144">
        <v>1.1499999999999999</v>
      </c>
      <c r="Z35" s="144">
        <v>1.1499999999999999</v>
      </c>
      <c r="AA35" s="144">
        <v>1.1499999999999999</v>
      </c>
      <c r="AB35" s="144">
        <v>1.1499999999999999</v>
      </c>
      <c r="AC35" s="144">
        <v>1.1499999999999999</v>
      </c>
      <c r="AD35" s="144">
        <v>1.1499999999999999</v>
      </c>
      <c r="AE35" s="144">
        <v>1.1499999999999999</v>
      </c>
      <c r="AF35" s="144">
        <v>1.1499999999999999</v>
      </c>
      <c r="AG35" s="144">
        <v>1.1499999999999999</v>
      </c>
      <c r="AH35" s="144">
        <v>1.1499999999999999</v>
      </c>
      <c r="AI35" s="144">
        <v>1.1499999999999999</v>
      </c>
      <c r="AJ35" s="151">
        <v>1.1499999999999999</v>
      </c>
      <c r="AK35" s="7"/>
    </row>
    <row r="36" spans="1:37" x14ac:dyDescent="0.35">
      <c r="A36" s="8">
        <v>33</v>
      </c>
      <c r="B36" s="244">
        <v>19750</v>
      </c>
      <c r="C36" s="244">
        <v>26642</v>
      </c>
      <c r="D36" s="244">
        <v>17590</v>
      </c>
      <c r="E36" s="244">
        <v>23728</v>
      </c>
      <c r="F36" s="244">
        <v>18546</v>
      </c>
      <c r="G36" s="244">
        <v>25018</v>
      </c>
      <c r="I36" s="49">
        <v>4.0999999999999996</v>
      </c>
      <c r="J36" s="270">
        <v>1371.79</v>
      </c>
      <c r="L36" s="165">
        <f>L35+1</f>
        <v>32</v>
      </c>
      <c r="M36" s="161">
        <v>542</v>
      </c>
      <c r="N36" s="139">
        <v>650</v>
      </c>
      <c r="O36" s="139">
        <v>759</v>
      </c>
      <c r="P36" s="139">
        <v>867</v>
      </c>
      <c r="Q36" s="139">
        <v>975</v>
      </c>
      <c r="R36" s="140">
        <v>1084</v>
      </c>
      <c r="T36" s="150">
        <f>T35+1</f>
        <v>33</v>
      </c>
      <c r="U36" s="146">
        <v>1</v>
      </c>
      <c r="V36" s="144">
        <v>1.05</v>
      </c>
      <c r="W36" s="144">
        <v>1.1000000000000001</v>
      </c>
      <c r="X36" s="144">
        <v>1.1499999999999999</v>
      </c>
      <c r="Y36" s="144">
        <v>1.1499999999999999</v>
      </c>
      <c r="Z36" s="144">
        <v>1.1499999999999999</v>
      </c>
      <c r="AA36" s="144">
        <v>1.1499999999999999</v>
      </c>
      <c r="AB36" s="144">
        <v>1.1499999999999999</v>
      </c>
      <c r="AC36" s="144">
        <v>1.1499999999999999</v>
      </c>
      <c r="AD36" s="144">
        <v>1.1499999999999999</v>
      </c>
      <c r="AE36" s="144">
        <v>1.1499999999999999</v>
      </c>
      <c r="AF36" s="144">
        <v>1.1499999999999999</v>
      </c>
      <c r="AG36" s="144">
        <v>1.1499999999999999</v>
      </c>
      <c r="AH36" s="144">
        <v>1.1499999999999999</v>
      </c>
      <c r="AI36" s="144">
        <v>1.1499999999999999</v>
      </c>
      <c r="AJ36" s="151">
        <v>1.1499999999999999</v>
      </c>
      <c r="AK36" s="7"/>
    </row>
    <row r="37" spans="1:37" x14ac:dyDescent="0.35">
      <c r="A37" s="8">
        <v>34</v>
      </c>
      <c r="B37" s="244">
        <v>20318</v>
      </c>
      <c r="C37" s="244">
        <v>27477</v>
      </c>
      <c r="D37" s="244">
        <v>18096</v>
      </c>
      <c r="E37" s="244">
        <v>24471</v>
      </c>
      <c r="F37" s="244">
        <v>19080</v>
      </c>
      <c r="G37" s="244">
        <v>25802</v>
      </c>
      <c r="I37" s="49">
        <v>4.5</v>
      </c>
      <c r="J37" s="270">
        <v>1371.79</v>
      </c>
      <c r="L37" s="165">
        <f t="shared" si="3"/>
        <v>33</v>
      </c>
      <c r="M37" s="161">
        <v>542</v>
      </c>
      <c r="N37" s="139">
        <v>650</v>
      </c>
      <c r="O37" s="139">
        <v>759</v>
      </c>
      <c r="P37" s="139">
        <v>867</v>
      </c>
      <c r="Q37" s="139">
        <v>975</v>
      </c>
      <c r="R37" s="140">
        <v>1084</v>
      </c>
      <c r="T37" s="150">
        <f t="shared" si="1"/>
        <v>34</v>
      </c>
      <c r="U37" s="146">
        <v>1</v>
      </c>
      <c r="V37" s="144">
        <v>1.05</v>
      </c>
      <c r="W37" s="144">
        <v>1.1000000000000001</v>
      </c>
      <c r="X37" s="144">
        <v>1.1499999999999999</v>
      </c>
      <c r="Y37" s="144">
        <v>1.1499999999999999</v>
      </c>
      <c r="Z37" s="144">
        <v>1.1499999999999999</v>
      </c>
      <c r="AA37" s="144">
        <v>1.1499999999999999</v>
      </c>
      <c r="AB37" s="144">
        <v>1.1499999999999999</v>
      </c>
      <c r="AC37" s="144">
        <v>1.1499999999999999</v>
      </c>
      <c r="AD37" s="144">
        <v>1.1499999999999999</v>
      </c>
      <c r="AE37" s="144">
        <v>1.1499999999999999</v>
      </c>
      <c r="AF37" s="144">
        <v>1.1499999999999999</v>
      </c>
      <c r="AG37" s="144">
        <v>1.1499999999999999</v>
      </c>
      <c r="AH37" s="144">
        <v>1.1499999999999999</v>
      </c>
      <c r="AI37" s="144">
        <v>1.1499999999999999</v>
      </c>
      <c r="AJ37" s="151">
        <v>1.1499999999999999</v>
      </c>
      <c r="AK37" s="7"/>
    </row>
    <row r="38" spans="1:37" x14ac:dyDescent="0.35">
      <c r="A38" s="8">
        <v>35</v>
      </c>
      <c r="B38" s="244">
        <v>20814</v>
      </c>
      <c r="C38" s="244">
        <v>28268</v>
      </c>
      <c r="D38" s="244">
        <v>18537</v>
      </c>
      <c r="E38" s="244">
        <v>25176</v>
      </c>
      <c r="F38" s="244">
        <v>19545</v>
      </c>
      <c r="G38" s="244">
        <v>26545</v>
      </c>
      <c r="I38" s="49">
        <v>4.5999999999999996</v>
      </c>
      <c r="J38" s="270">
        <v>1371.79</v>
      </c>
      <c r="L38" s="165">
        <f t="shared" si="3"/>
        <v>34</v>
      </c>
      <c r="M38" s="161">
        <v>542</v>
      </c>
      <c r="N38" s="139">
        <v>650</v>
      </c>
      <c r="O38" s="139">
        <v>759</v>
      </c>
      <c r="P38" s="139">
        <v>867</v>
      </c>
      <c r="Q38" s="139">
        <v>975</v>
      </c>
      <c r="R38" s="140">
        <v>1084</v>
      </c>
      <c r="T38" s="150">
        <f t="shared" si="1"/>
        <v>35</v>
      </c>
      <c r="U38" s="146">
        <v>1</v>
      </c>
      <c r="V38" s="144">
        <v>1.05</v>
      </c>
      <c r="W38" s="144">
        <v>1.1000000000000001</v>
      </c>
      <c r="X38" s="144">
        <v>1.1499999999999999</v>
      </c>
      <c r="Y38" s="144">
        <v>1.1499999999999999</v>
      </c>
      <c r="Z38" s="144">
        <v>1.1499999999999999</v>
      </c>
      <c r="AA38" s="144">
        <v>1.1499999999999999</v>
      </c>
      <c r="AB38" s="144">
        <v>1.1499999999999999</v>
      </c>
      <c r="AC38" s="144">
        <v>1.1499999999999999</v>
      </c>
      <c r="AD38" s="144">
        <v>1.1499999999999999</v>
      </c>
      <c r="AE38" s="144">
        <v>1.1499999999999999</v>
      </c>
      <c r="AF38" s="144">
        <v>1.1499999999999999</v>
      </c>
      <c r="AG38" s="144">
        <v>1.1499999999999999</v>
      </c>
      <c r="AH38" s="144">
        <v>1.1499999999999999</v>
      </c>
      <c r="AI38" s="144">
        <v>1.1499999999999999</v>
      </c>
      <c r="AJ38" s="151">
        <v>1.1499999999999999</v>
      </c>
      <c r="AK38" s="7"/>
    </row>
    <row r="39" spans="1:37" ht="15" thickBot="1" x14ac:dyDescent="0.4">
      <c r="A39" s="8">
        <v>36</v>
      </c>
      <c r="B39" s="244">
        <v>21320</v>
      </c>
      <c r="C39" s="244">
        <v>29080</v>
      </c>
      <c r="D39" s="244">
        <v>18988</v>
      </c>
      <c r="E39" s="244">
        <v>25899</v>
      </c>
      <c r="F39" s="244">
        <v>20021</v>
      </c>
      <c r="G39" s="244">
        <v>27307</v>
      </c>
      <c r="I39" s="49">
        <v>4.8</v>
      </c>
      <c r="J39" s="270">
        <v>1371.79</v>
      </c>
      <c r="L39" s="165">
        <f t="shared" si="3"/>
        <v>35</v>
      </c>
      <c r="M39" s="162">
        <v>542</v>
      </c>
      <c r="N39" s="141">
        <v>650</v>
      </c>
      <c r="O39" s="141">
        <v>759</v>
      </c>
      <c r="P39" s="141">
        <v>867</v>
      </c>
      <c r="Q39" s="141">
        <v>975</v>
      </c>
      <c r="R39" s="142">
        <v>1084</v>
      </c>
      <c r="T39" s="150">
        <f t="shared" si="1"/>
        <v>36</v>
      </c>
      <c r="U39" s="146">
        <v>1</v>
      </c>
      <c r="V39" s="144">
        <v>1.05</v>
      </c>
      <c r="W39" s="144">
        <v>1.1000000000000001</v>
      </c>
      <c r="X39" s="144">
        <v>1.1499999999999999</v>
      </c>
      <c r="Y39" s="144">
        <v>1.1499999999999999</v>
      </c>
      <c r="Z39" s="144">
        <v>1.1499999999999999</v>
      </c>
      <c r="AA39" s="144">
        <v>1.1499999999999999</v>
      </c>
      <c r="AB39" s="144">
        <v>1.1499999999999999</v>
      </c>
      <c r="AC39" s="144">
        <v>1.1499999999999999</v>
      </c>
      <c r="AD39" s="144">
        <v>1.1499999999999999</v>
      </c>
      <c r="AE39" s="144">
        <v>1.1499999999999999</v>
      </c>
      <c r="AF39" s="144">
        <v>1.1499999999999999</v>
      </c>
      <c r="AG39" s="144">
        <v>1.1499999999999999</v>
      </c>
      <c r="AH39" s="144">
        <v>1.1499999999999999</v>
      </c>
      <c r="AI39" s="144">
        <v>1.1499999999999999</v>
      </c>
      <c r="AJ39" s="151">
        <v>1.1499999999999999</v>
      </c>
      <c r="AK39" s="7"/>
    </row>
    <row r="40" spans="1:37" x14ac:dyDescent="0.35">
      <c r="A40" s="8">
        <v>37</v>
      </c>
      <c r="B40" s="244">
        <v>21845</v>
      </c>
      <c r="C40" s="244">
        <v>29915</v>
      </c>
      <c r="D40" s="244">
        <v>19455</v>
      </c>
      <c r="E40" s="244">
        <v>26643</v>
      </c>
      <c r="F40" s="244">
        <v>20513</v>
      </c>
      <c r="G40" s="244">
        <v>28092</v>
      </c>
      <c r="I40" s="49">
        <v>5</v>
      </c>
      <c r="J40" s="270">
        <v>1371.79</v>
      </c>
      <c r="L40" s="165">
        <f t="shared" si="3"/>
        <v>36</v>
      </c>
      <c r="M40" s="160">
        <v>855</v>
      </c>
      <c r="N40" s="137">
        <v>1026</v>
      </c>
      <c r="O40" s="137">
        <v>1197</v>
      </c>
      <c r="P40" s="137">
        <v>1368</v>
      </c>
      <c r="Q40" s="137">
        <v>1539</v>
      </c>
      <c r="R40" s="138">
        <v>1710</v>
      </c>
      <c r="T40" s="150">
        <f t="shared" si="1"/>
        <v>37</v>
      </c>
      <c r="U40" s="146">
        <v>1</v>
      </c>
      <c r="V40" s="144">
        <v>1.05</v>
      </c>
      <c r="W40" s="144">
        <v>1.1000000000000001</v>
      </c>
      <c r="X40" s="144">
        <v>1.1499999999999999</v>
      </c>
      <c r="Y40" s="144">
        <v>1.1499999999999999</v>
      </c>
      <c r="Z40" s="144">
        <v>1.1499999999999999</v>
      </c>
      <c r="AA40" s="144">
        <v>1.1499999999999999</v>
      </c>
      <c r="AB40" s="144">
        <v>1.1499999999999999</v>
      </c>
      <c r="AC40" s="144">
        <v>1.1499999999999999</v>
      </c>
      <c r="AD40" s="144">
        <v>1.1499999999999999</v>
      </c>
      <c r="AE40" s="144">
        <v>1.1499999999999999</v>
      </c>
      <c r="AF40" s="144">
        <v>1.1499999999999999</v>
      </c>
      <c r="AG40" s="144">
        <v>1.1499999999999999</v>
      </c>
      <c r="AH40" s="144">
        <v>1.1499999999999999</v>
      </c>
      <c r="AI40" s="144">
        <v>1.1499999999999999</v>
      </c>
      <c r="AJ40" s="151">
        <v>1.1499999999999999</v>
      </c>
      <c r="AK40" s="7"/>
    </row>
    <row r="41" spans="1:37" x14ac:dyDescent="0.35">
      <c r="A41" s="8">
        <v>38</v>
      </c>
      <c r="B41" s="244">
        <v>22375</v>
      </c>
      <c r="C41" s="244">
        <v>30777</v>
      </c>
      <c r="D41" s="244">
        <v>19928</v>
      </c>
      <c r="E41" s="244">
        <v>27411</v>
      </c>
      <c r="F41" s="244">
        <v>21011</v>
      </c>
      <c r="G41" s="244">
        <v>28901</v>
      </c>
      <c r="I41" s="49">
        <v>5.3</v>
      </c>
      <c r="J41" s="270">
        <v>1595.67</v>
      </c>
      <c r="L41" s="165">
        <f t="shared" si="3"/>
        <v>37</v>
      </c>
      <c r="M41" s="161">
        <v>855</v>
      </c>
      <c r="N41" s="139">
        <v>1026</v>
      </c>
      <c r="O41" s="139">
        <v>1197</v>
      </c>
      <c r="P41" s="139">
        <v>1368</v>
      </c>
      <c r="Q41" s="139">
        <v>1539</v>
      </c>
      <c r="R41" s="140">
        <v>1710</v>
      </c>
      <c r="T41" s="150">
        <f t="shared" si="1"/>
        <v>38</v>
      </c>
      <c r="U41" s="146">
        <v>1</v>
      </c>
      <c r="V41" s="144">
        <v>1.05</v>
      </c>
      <c r="W41" s="144">
        <v>1.1000000000000001</v>
      </c>
      <c r="X41" s="144">
        <v>1.1499999999999999</v>
      </c>
      <c r="Y41" s="144">
        <v>1.1499999999999999</v>
      </c>
      <c r="Z41" s="144">
        <v>1.1499999999999999</v>
      </c>
      <c r="AA41" s="144">
        <v>1.1499999999999999</v>
      </c>
      <c r="AB41" s="144">
        <v>1.1499999999999999</v>
      </c>
      <c r="AC41" s="144">
        <v>1.1499999999999999</v>
      </c>
      <c r="AD41" s="144">
        <v>1.1499999999999999</v>
      </c>
      <c r="AE41" s="144">
        <v>1.1499999999999999</v>
      </c>
      <c r="AF41" s="144">
        <v>1.1499999999999999</v>
      </c>
      <c r="AG41" s="144">
        <v>1.1499999999999999</v>
      </c>
      <c r="AH41" s="144">
        <v>1.1499999999999999</v>
      </c>
      <c r="AI41" s="144">
        <v>1.1499999999999999</v>
      </c>
      <c r="AJ41" s="151">
        <v>1.1499999999999999</v>
      </c>
      <c r="AK41" s="7"/>
    </row>
    <row r="42" spans="1:37" x14ac:dyDescent="0.35">
      <c r="A42" s="8">
        <v>39</v>
      </c>
      <c r="B42" s="244">
        <v>22922</v>
      </c>
      <c r="C42" s="244">
        <v>31662</v>
      </c>
      <c r="D42" s="244">
        <v>20415</v>
      </c>
      <c r="E42" s="244">
        <v>28199</v>
      </c>
      <c r="F42" s="244">
        <v>21525</v>
      </c>
      <c r="G42" s="244">
        <v>29732</v>
      </c>
      <c r="I42" s="49">
        <v>5.5</v>
      </c>
      <c r="J42" s="270">
        <v>1595.67</v>
      </c>
      <c r="L42" s="165">
        <f t="shared" si="3"/>
        <v>38</v>
      </c>
      <c r="M42" s="161">
        <v>855</v>
      </c>
      <c r="N42" s="139">
        <v>1026</v>
      </c>
      <c r="O42" s="139">
        <v>1197</v>
      </c>
      <c r="P42" s="139">
        <v>1368</v>
      </c>
      <c r="Q42" s="139">
        <v>1539</v>
      </c>
      <c r="R42" s="140">
        <v>1710</v>
      </c>
      <c r="T42" s="150">
        <f t="shared" si="1"/>
        <v>39</v>
      </c>
      <c r="U42" s="146">
        <v>1</v>
      </c>
      <c r="V42" s="144">
        <v>1.05</v>
      </c>
      <c r="W42" s="144">
        <v>1.1000000000000001</v>
      </c>
      <c r="X42" s="144">
        <v>1.1499999999999999</v>
      </c>
      <c r="Y42" s="144">
        <v>1.1499999999999999</v>
      </c>
      <c r="Z42" s="144">
        <v>1.1499999999999999</v>
      </c>
      <c r="AA42" s="144">
        <v>1.1499999999999999</v>
      </c>
      <c r="AB42" s="144">
        <v>1.1499999999999999</v>
      </c>
      <c r="AC42" s="144">
        <v>1.1499999999999999</v>
      </c>
      <c r="AD42" s="144">
        <v>1.1499999999999999</v>
      </c>
      <c r="AE42" s="144">
        <v>1.1499999999999999</v>
      </c>
      <c r="AF42" s="144">
        <v>1.1499999999999999</v>
      </c>
      <c r="AG42" s="144">
        <v>1.1499999999999999</v>
      </c>
      <c r="AH42" s="144">
        <v>1.1499999999999999</v>
      </c>
      <c r="AI42" s="144">
        <v>1.1499999999999999</v>
      </c>
      <c r="AJ42" s="151">
        <v>1.1499999999999999</v>
      </c>
      <c r="AK42" s="7"/>
    </row>
    <row r="43" spans="1:37" x14ac:dyDescent="0.35">
      <c r="A43" s="8">
        <v>40</v>
      </c>
      <c r="B43" s="244">
        <v>23884</v>
      </c>
      <c r="C43" s="244">
        <v>32097</v>
      </c>
      <c r="D43" s="244">
        <v>21271</v>
      </c>
      <c r="E43" s="244">
        <v>28587</v>
      </c>
      <c r="F43" s="244">
        <v>22428</v>
      </c>
      <c r="G43" s="244">
        <v>30141</v>
      </c>
      <c r="I43" s="49">
        <v>5.6</v>
      </c>
      <c r="J43" s="270">
        <v>1595.67</v>
      </c>
      <c r="L43" s="165">
        <f t="shared" si="3"/>
        <v>39</v>
      </c>
      <c r="M43" s="161">
        <v>855</v>
      </c>
      <c r="N43" s="139">
        <v>1026</v>
      </c>
      <c r="O43" s="139">
        <v>1197</v>
      </c>
      <c r="P43" s="139">
        <v>1368</v>
      </c>
      <c r="Q43" s="139">
        <v>1539</v>
      </c>
      <c r="R43" s="140">
        <v>1710</v>
      </c>
      <c r="T43" s="150">
        <f t="shared" si="1"/>
        <v>40</v>
      </c>
      <c r="U43" s="146">
        <v>1</v>
      </c>
      <c r="V43" s="144">
        <v>1.05</v>
      </c>
      <c r="W43" s="144">
        <v>1.1000000000000001</v>
      </c>
      <c r="X43" s="144">
        <v>1.1499999999999999</v>
      </c>
      <c r="Y43" s="144">
        <v>1.1499999999999999</v>
      </c>
      <c r="Z43" s="144">
        <v>1.1499999999999999</v>
      </c>
      <c r="AA43" s="144">
        <v>1.1499999999999999</v>
      </c>
      <c r="AB43" s="144">
        <v>1.1499999999999999</v>
      </c>
      <c r="AC43" s="144">
        <v>1.1499999999999999</v>
      </c>
      <c r="AD43" s="144">
        <v>1.1499999999999999</v>
      </c>
      <c r="AE43" s="144">
        <v>1.1499999999999999</v>
      </c>
      <c r="AF43" s="144">
        <v>1.1499999999999999</v>
      </c>
      <c r="AG43" s="144">
        <v>1.1499999999999999</v>
      </c>
      <c r="AH43" s="144">
        <v>1.1499999999999999</v>
      </c>
      <c r="AI43" s="144">
        <v>1.1499999999999999</v>
      </c>
      <c r="AJ43" s="151">
        <v>1.1499999999999999</v>
      </c>
      <c r="AK43" s="7"/>
    </row>
    <row r="44" spans="1:37" ht="15" thickBot="1" x14ac:dyDescent="0.4">
      <c r="A44" s="8">
        <v>41</v>
      </c>
      <c r="B44" s="244">
        <v>24883</v>
      </c>
      <c r="C44" s="244">
        <v>32540</v>
      </c>
      <c r="D44" s="244">
        <v>22161</v>
      </c>
      <c r="E44" s="244">
        <v>28981</v>
      </c>
      <c r="F44" s="244">
        <v>23366</v>
      </c>
      <c r="G44" s="244">
        <v>30557</v>
      </c>
      <c r="I44" s="49">
        <v>6</v>
      </c>
      <c r="J44" s="270">
        <v>1595.67</v>
      </c>
      <c r="L44" s="165">
        <f t="shared" si="3"/>
        <v>40</v>
      </c>
      <c r="M44" s="162">
        <v>855</v>
      </c>
      <c r="N44" s="141">
        <v>1026</v>
      </c>
      <c r="O44" s="141">
        <v>1197</v>
      </c>
      <c r="P44" s="141">
        <v>1368</v>
      </c>
      <c r="Q44" s="141">
        <v>1539</v>
      </c>
      <c r="R44" s="142">
        <v>1710</v>
      </c>
      <c r="T44" s="150">
        <f t="shared" si="1"/>
        <v>41</v>
      </c>
      <c r="U44" s="146">
        <v>1</v>
      </c>
      <c r="V44" s="144">
        <v>1.05</v>
      </c>
      <c r="W44" s="144">
        <v>1.1000000000000001</v>
      </c>
      <c r="X44" s="144">
        <v>1.1499999999999999</v>
      </c>
      <c r="Y44" s="144">
        <v>1.1499999999999999</v>
      </c>
      <c r="Z44" s="144">
        <v>1.1499999999999999</v>
      </c>
      <c r="AA44" s="144">
        <v>1.1499999999999999</v>
      </c>
      <c r="AB44" s="144">
        <v>1.1499999999999999</v>
      </c>
      <c r="AC44" s="144">
        <v>1.1499999999999999</v>
      </c>
      <c r="AD44" s="144">
        <v>1.1499999999999999</v>
      </c>
      <c r="AE44" s="144">
        <v>1.1499999999999999</v>
      </c>
      <c r="AF44" s="144">
        <v>1.1499999999999999</v>
      </c>
      <c r="AG44" s="144">
        <v>1.1499999999999999</v>
      </c>
      <c r="AH44" s="144">
        <v>1.1499999999999999</v>
      </c>
      <c r="AI44" s="144">
        <v>1.1499999999999999</v>
      </c>
      <c r="AJ44" s="151">
        <v>1.1499999999999999</v>
      </c>
      <c r="AK44" s="7"/>
    </row>
    <row r="45" spans="1:37" x14ac:dyDescent="0.35">
      <c r="A45" s="8">
        <v>42</v>
      </c>
      <c r="B45" s="244">
        <v>25924</v>
      </c>
      <c r="C45" s="244">
        <v>32989</v>
      </c>
      <c r="D45" s="244">
        <v>23089</v>
      </c>
      <c r="E45" s="244">
        <v>29381</v>
      </c>
      <c r="F45" s="244">
        <v>24344</v>
      </c>
      <c r="G45" s="244">
        <v>30979</v>
      </c>
      <c r="I45" s="49">
        <v>6.1</v>
      </c>
      <c r="J45" s="270">
        <v>1819.56</v>
      </c>
      <c r="L45" s="165">
        <f t="shared" si="3"/>
        <v>41</v>
      </c>
      <c r="M45" s="160">
        <v>1255</v>
      </c>
      <c r="N45" s="137">
        <v>1506</v>
      </c>
      <c r="O45" s="137">
        <v>1757</v>
      </c>
      <c r="P45" s="137">
        <v>2008</v>
      </c>
      <c r="Q45" s="137">
        <v>2259</v>
      </c>
      <c r="R45" s="138">
        <v>2510</v>
      </c>
      <c r="T45" s="150">
        <f t="shared" si="1"/>
        <v>42</v>
      </c>
      <c r="U45" s="146">
        <v>1</v>
      </c>
      <c r="V45" s="144">
        <v>1.05</v>
      </c>
      <c r="W45" s="144">
        <v>1.1000000000000001</v>
      </c>
      <c r="X45" s="144">
        <v>1.1499999999999999</v>
      </c>
      <c r="Y45" s="144">
        <v>1.1499999999999999</v>
      </c>
      <c r="Z45" s="144">
        <v>1.1499999999999999</v>
      </c>
      <c r="AA45" s="144">
        <v>1.1499999999999999</v>
      </c>
      <c r="AB45" s="144">
        <v>1.1499999999999999</v>
      </c>
      <c r="AC45" s="144">
        <v>1.1499999999999999</v>
      </c>
      <c r="AD45" s="144">
        <v>1.1499999999999999</v>
      </c>
      <c r="AE45" s="144">
        <v>1.1499999999999999</v>
      </c>
      <c r="AF45" s="144">
        <v>1.1499999999999999</v>
      </c>
      <c r="AG45" s="144">
        <v>1.1499999999999999</v>
      </c>
      <c r="AH45" s="144">
        <v>1.1499999999999999</v>
      </c>
      <c r="AI45" s="144">
        <v>1.1499999999999999</v>
      </c>
      <c r="AJ45" s="151">
        <v>1.1499999999999999</v>
      </c>
      <c r="AK45" s="7"/>
    </row>
    <row r="46" spans="1:37" x14ac:dyDescent="0.35">
      <c r="A46" s="8">
        <v>43</v>
      </c>
      <c r="B46" s="244">
        <v>27008</v>
      </c>
      <c r="C46" s="244">
        <v>33448</v>
      </c>
      <c r="D46" s="244">
        <v>24054</v>
      </c>
      <c r="E46" s="244">
        <v>29789</v>
      </c>
      <c r="F46" s="244">
        <v>25362</v>
      </c>
      <c r="G46" s="244">
        <v>31409</v>
      </c>
      <c r="I46" s="49">
        <v>6.3</v>
      </c>
      <c r="J46" s="270">
        <v>1819.56</v>
      </c>
      <c r="L46" s="165">
        <f t="shared" si="3"/>
        <v>42</v>
      </c>
      <c r="M46" s="161">
        <v>1255</v>
      </c>
      <c r="N46" s="139">
        <v>1506</v>
      </c>
      <c r="O46" s="139">
        <v>1757</v>
      </c>
      <c r="P46" s="139">
        <v>2008</v>
      </c>
      <c r="Q46" s="139">
        <v>2259</v>
      </c>
      <c r="R46" s="140">
        <v>2510</v>
      </c>
      <c r="T46" s="150">
        <f t="shared" si="1"/>
        <v>43</v>
      </c>
      <c r="U46" s="146">
        <v>1</v>
      </c>
      <c r="V46" s="144">
        <v>1.05</v>
      </c>
      <c r="W46" s="144">
        <v>1.1000000000000001</v>
      </c>
      <c r="X46" s="144">
        <v>1.1499999999999999</v>
      </c>
      <c r="Y46" s="144">
        <v>1.1499999999999999</v>
      </c>
      <c r="Z46" s="144">
        <v>1.1499999999999999</v>
      </c>
      <c r="AA46" s="144">
        <v>1.1499999999999999</v>
      </c>
      <c r="AB46" s="144">
        <v>1.1499999999999999</v>
      </c>
      <c r="AC46" s="144">
        <v>1.1499999999999999</v>
      </c>
      <c r="AD46" s="144">
        <v>1.1499999999999999</v>
      </c>
      <c r="AE46" s="144">
        <v>1.1499999999999999</v>
      </c>
      <c r="AF46" s="144">
        <v>1.1499999999999999</v>
      </c>
      <c r="AG46" s="144">
        <v>1.1499999999999999</v>
      </c>
      <c r="AH46" s="144">
        <v>1.1499999999999999</v>
      </c>
      <c r="AI46" s="144">
        <v>1.1499999999999999</v>
      </c>
      <c r="AJ46" s="151">
        <v>1.1499999999999999</v>
      </c>
      <c r="AK46" s="7"/>
    </row>
    <row r="47" spans="1:37" x14ac:dyDescent="0.35">
      <c r="A47" s="8">
        <v>44</v>
      </c>
      <c r="B47" s="246">
        <v>28138</v>
      </c>
      <c r="C47" s="244">
        <v>33906</v>
      </c>
      <c r="D47" s="246">
        <v>25061</v>
      </c>
      <c r="E47" s="244">
        <v>30197</v>
      </c>
      <c r="F47" s="246">
        <v>26423</v>
      </c>
      <c r="G47" s="244">
        <v>31839</v>
      </c>
      <c r="I47" s="49">
        <v>6.5</v>
      </c>
      <c r="J47" s="270">
        <v>1819.56</v>
      </c>
      <c r="L47" s="165">
        <f t="shared" si="3"/>
        <v>43</v>
      </c>
      <c r="M47" s="161">
        <v>1255</v>
      </c>
      <c r="N47" s="139">
        <v>1506</v>
      </c>
      <c r="O47" s="139">
        <v>1757</v>
      </c>
      <c r="P47" s="139">
        <v>2008</v>
      </c>
      <c r="Q47" s="139">
        <v>2259</v>
      </c>
      <c r="R47" s="140">
        <v>2510</v>
      </c>
      <c r="T47" s="150">
        <f t="shared" si="1"/>
        <v>44</v>
      </c>
      <c r="U47" s="146">
        <v>1</v>
      </c>
      <c r="V47" s="144">
        <v>1.0499999999999998</v>
      </c>
      <c r="W47" s="144">
        <v>1.1000000000000001</v>
      </c>
      <c r="X47" s="144">
        <v>1.1499999999999999</v>
      </c>
      <c r="Y47" s="144">
        <v>1.1499999999999999</v>
      </c>
      <c r="Z47" s="144">
        <v>1.1499999999999999</v>
      </c>
      <c r="AA47" s="144">
        <v>1.1499999999999999</v>
      </c>
      <c r="AB47" s="144">
        <v>1.1499999999999999</v>
      </c>
      <c r="AC47" s="144">
        <v>1.1499999999999999</v>
      </c>
      <c r="AD47" s="144">
        <v>1.1499999999999999</v>
      </c>
      <c r="AE47" s="144">
        <v>1.1499999999999999</v>
      </c>
      <c r="AF47" s="144">
        <v>1.1499999999999999</v>
      </c>
      <c r="AG47" s="144">
        <v>1.1499999999999999</v>
      </c>
      <c r="AH47" s="144">
        <v>1.1499999999999999</v>
      </c>
      <c r="AI47" s="144">
        <v>1.1499999999999999</v>
      </c>
      <c r="AJ47" s="151">
        <v>1.1499999999999999</v>
      </c>
      <c r="AK47" s="7"/>
    </row>
    <row r="48" spans="1:37" x14ac:dyDescent="0.35">
      <c r="A48" s="8">
        <v>45</v>
      </c>
      <c r="B48" s="244">
        <v>29253</v>
      </c>
      <c r="C48" s="244">
        <v>34552</v>
      </c>
      <c r="D48" s="244">
        <v>26054</v>
      </c>
      <c r="E48" s="244">
        <v>30773</v>
      </c>
      <c r="F48" s="244">
        <v>27470</v>
      </c>
      <c r="G48" s="244">
        <v>32446</v>
      </c>
      <c r="I48" s="49">
        <v>6.9</v>
      </c>
      <c r="J48" s="270">
        <v>1819.56</v>
      </c>
      <c r="L48" s="165">
        <f t="shared" si="3"/>
        <v>44</v>
      </c>
      <c r="M48" s="161">
        <v>1255</v>
      </c>
      <c r="N48" s="139">
        <v>1506</v>
      </c>
      <c r="O48" s="139">
        <v>1757</v>
      </c>
      <c r="P48" s="139">
        <v>2008</v>
      </c>
      <c r="Q48" s="139">
        <v>2259</v>
      </c>
      <c r="R48" s="140">
        <v>2510</v>
      </c>
      <c r="T48" s="150">
        <f t="shared" si="1"/>
        <v>45</v>
      </c>
      <c r="U48" s="146">
        <v>1</v>
      </c>
      <c r="V48" s="144">
        <v>1.05</v>
      </c>
      <c r="W48" s="144">
        <v>1.1000000000000001</v>
      </c>
      <c r="X48" s="144">
        <v>1.1499999999999999</v>
      </c>
      <c r="Y48" s="144">
        <v>1.1499999999999999</v>
      </c>
      <c r="Z48" s="144">
        <v>1.1499999999999999</v>
      </c>
      <c r="AA48" s="144">
        <v>1.1499999999999999</v>
      </c>
      <c r="AB48" s="144">
        <v>1.1499999999999999</v>
      </c>
      <c r="AC48" s="144">
        <v>1.1499999999999999</v>
      </c>
      <c r="AD48" s="144">
        <v>1.1499999999999999</v>
      </c>
      <c r="AE48" s="144">
        <v>1.1499999999999999</v>
      </c>
      <c r="AF48" s="144">
        <v>1.1499999999999999</v>
      </c>
      <c r="AG48" s="144">
        <v>1.1499999999999999</v>
      </c>
      <c r="AH48" s="144">
        <v>1.1499999999999999</v>
      </c>
      <c r="AI48" s="144">
        <v>1.1499999999999999</v>
      </c>
      <c r="AJ48" s="151">
        <v>1.1499999999999999</v>
      </c>
      <c r="AK48" s="7"/>
    </row>
    <row r="49" spans="1:37" ht="15" thickBot="1" x14ac:dyDescent="0.4">
      <c r="A49" s="8">
        <v>46</v>
      </c>
      <c r="B49" s="244">
        <v>30412</v>
      </c>
      <c r="C49" s="244">
        <v>35209</v>
      </c>
      <c r="D49" s="244">
        <v>27086</v>
      </c>
      <c r="E49" s="244">
        <v>31358</v>
      </c>
      <c r="F49" s="244">
        <v>28559</v>
      </c>
      <c r="G49" s="244">
        <v>33063</v>
      </c>
      <c r="I49" s="49">
        <v>7</v>
      </c>
      <c r="J49" s="270">
        <v>1819.56</v>
      </c>
      <c r="L49" s="165">
        <f t="shared" si="3"/>
        <v>45</v>
      </c>
      <c r="M49" s="162">
        <v>1255</v>
      </c>
      <c r="N49" s="141">
        <v>1506</v>
      </c>
      <c r="O49" s="141">
        <v>1757</v>
      </c>
      <c r="P49" s="141">
        <v>2008</v>
      </c>
      <c r="Q49" s="141">
        <v>2259</v>
      </c>
      <c r="R49" s="142">
        <v>2510</v>
      </c>
      <c r="T49" s="150">
        <f t="shared" si="1"/>
        <v>46</v>
      </c>
      <c r="U49" s="146">
        <v>1</v>
      </c>
      <c r="V49" s="144">
        <v>1.05</v>
      </c>
      <c r="W49" s="144">
        <v>1.1000000000000001</v>
      </c>
      <c r="X49" s="144">
        <v>1.1499999999999999</v>
      </c>
      <c r="Y49" s="144">
        <v>1.1499999999999999</v>
      </c>
      <c r="Z49" s="144">
        <v>1.1499999999999999</v>
      </c>
      <c r="AA49" s="144">
        <v>1.1499999999999999</v>
      </c>
      <c r="AB49" s="144">
        <v>1.1499999999999999</v>
      </c>
      <c r="AC49" s="144">
        <v>1.1499999999999999</v>
      </c>
      <c r="AD49" s="144">
        <v>1.1499999999999999</v>
      </c>
      <c r="AE49" s="144">
        <v>1.1499999999999999</v>
      </c>
      <c r="AF49" s="144">
        <v>1.1499999999999999</v>
      </c>
      <c r="AG49" s="144">
        <v>1.1499999999999999</v>
      </c>
      <c r="AH49" s="144">
        <v>1.1499999999999999</v>
      </c>
      <c r="AI49" s="144">
        <v>1.1499999999999999</v>
      </c>
      <c r="AJ49" s="151">
        <v>1.1499999999999999</v>
      </c>
      <c r="AK49" s="7"/>
    </row>
    <row r="50" spans="1:37" x14ac:dyDescent="0.35">
      <c r="A50" s="8">
        <v>47</v>
      </c>
      <c r="B50" s="244">
        <v>31621</v>
      </c>
      <c r="C50" s="244">
        <v>35878</v>
      </c>
      <c r="D50" s="244">
        <v>28162</v>
      </c>
      <c r="E50" s="244">
        <v>31954</v>
      </c>
      <c r="F50" s="244">
        <v>29694</v>
      </c>
      <c r="G50" s="244">
        <v>33691</v>
      </c>
      <c r="I50" s="49">
        <v>7.1</v>
      </c>
      <c r="J50" s="270">
        <v>2043.44</v>
      </c>
      <c r="L50" s="165">
        <f t="shared" si="3"/>
        <v>46</v>
      </c>
      <c r="M50" s="160">
        <v>1688</v>
      </c>
      <c r="N50" s="137">
        <v>2025</v>
      </c>
      <c r="O50" s="137">
        <v>2363</v>
      </c>
      <c r="P50" s="137">
        <v>2700</v>
      </c>
      <c r="Q50" s="137">
        <v>0</v>
      </c>
      <c r="R50" s="138">
        <v>0</v>
      </c>
      <c r="T50" s="150">
        <f t="shared" si="1"/>
        <v>47</v>
      </c>
      <c r="U50" s="146">
        <v>1</v>
      </c>
      <c r="V50" s="144">
        <v>1.05</v>
      </c>
      <c r="W50" s="144">
        <v>1.1000000000000001</v>
      </c>
      <c r="X50" s="144">
        <v>1.1499999999999999</v>
      </c>
      <c r="Y50" s="144">
        <v>1.1499999999999999</v>
      </c>
      <c r="Z50" s="144">
        <v>1.1499999999999999</v>
      </c>
      <c r="AA50" s="144">
        <v>1.1499999999999999</v>
      </c>
      <c r="AB50" s="144">
        <v>1.1499999999999999</v>
      </c>
      <c r="AC50" s="144">
        <v>1.1499999999999999</v>
      </c>
      <c r="AD50" s="144">
        <v>1.1499999999999999</v>
      </c>
      <c r="AE50" s="144">
        <v>1.1499999999999999</v>
      </c>
      <c r="AF50" s="144">
        <v>1.1499999999999999</v>
      </c>
      <c r="AG50" s="144">
        <v>1.1499999999999999</v>
      </c>
      <c r="AH50" s="144">
        <v>1.1499999999999999</v>
      </c>
      <c r="AI50" s="144">
        <v>1.1499999999999999</v>
      </c>
      <c r="AJ50" s="151">
        <v>1.1499999999999999</v>
      </c>
      <c r="AK50" s="7"/>
    </row>
    <row r="51" spans="1:37" x14ac:dyDescent="0.35">
      <c r="A51" s="8">
        <v>48</v>
      </c>
      <c r="B51" s="244">
        <v>32876</v>
      </c>
      <c r="C51" s="244">
        <v>36560</v>
      </c>
      <c r="D51" s="244">
        <v>29281</v>
      </c>
      <c r="E51" s="244">
        <v>32561</v>
      </c>
      <c r="F51" s="244">
        <v>30872</v>
      </c>
      <c r="G51" s="244">
        <v>34331</v>
      </c>
      <c r="I51" s="49">
        <v>7.5</v>
      </c>
      <c r="J51" s="270">
        <v>2043.44</v>
      </c>
      <c r="L51" s="165">
        <f t="shared" si="3"/>
        <v>47</v>
      </c>
      <c r="M51" s="161">
        <v>1688</v>
      </c>
      <c r="N51" s="139">
        <v>2025</v>
      </c>
      <c r="O51" s="139">
        <v>2363</v>
      </c>
      <c r="P51" s="139">
        <v>2700</v>
      </c>
      <c r="Q51" s="139">
        <v>0</v>
      </c>
      <c r="R51" s="140">
        <v>0</v>
      </c>
      <c r="T51" s="150">
        <f t="shared" si="1"/>
        <v>48</v>
      </c>
      <c r="U51" s="146">
        <v>1</v>
      </c>
      <c r="V51" s="144">
        <v>1.05</v>
      </c>
      <c r="W51" s="144">
        <v>1.1000000000000001</v>
      </c>
      <c r="X51" s="144">
        <v>1.1499999999999999</v>
      </c>
      <c r="Y51" s="144">
        <v>1.1499999999999999</v>
      </c>
      <c r="Z51" s="144">
        <v>1.1499999999999999</v>
      </c>
      <c r="AA51" s="144">
        <v>1.1499999999999999</v>
      </c>
      <c r="AB51" s="144">
        <v>1.1499999999999999</v>
      </c>
      <c r="AC51" s="144">
        <v>1.1499999999999999</v>
      </c>
      <c r="AD51" s="144">
        <v>1.1499999999999999</v>
      </c>
      <c r="AE51" s="144">
        <v>1.1499999999999999</v>
      </c>
      <c r="AF51" s="144">
        <v>1.1499999999999999</v>
      </c>
      <c r="AG51" s="144">
        <v>1.1499999999999999</v>
      </c>
      <c r="AH51" s="144">
        <v>1.1499999999999999</v>
      </c>
      <c r="AI51" s="144">
        <v>1.1499999999999999</v>
      </c>
      <c r="AJ51" s="151">
        <v>1.1499999999999999</v>
      </c>
      <c r="AK51" s="7"/>
    </row>
    <row r="52" spans="1:37" x14ac:dyDescent="0.35">
      <c r="A52" s="8">
        <v>49</v>
      </c>
      <c r="B52" s="244">
        <v>34180</v>
      </c>
      <c r="C52" s="244">
        <v>37254</v>
      </c>
      <c r="D52" s="244">
        <v>30442</v>
      </c>
      <c r="E52" s="244">
        <v>33180</v>
      </c>
      <c r="F52" s="244">
        <v>32097</v>
      </c>
      <c r="G52" s="244">
        <v>34983</v>
      </c>
      <c r="I52" s="49">
        <v>7.6</v>
      </c>
      <c r="J52" s="270">
        <v>2043.44</v>
      </c>
      <c r="L52" s="165">
        <f t="shared" si="3"/>
        <v>48</v>
      </c>
      <c r="M52" s="161">
        <v>1688</v>
      </c>
      <c r="N52" s="139">
        <v>2025</v>
      </c>
      <c r="O52" s="139">
        <v>2363</v>
      </c>
      <c r="P52" s="139">
        <v>2700</v>
      </c>
      <c r="Q52" s="139">
        <v>0</v>
      </c>
      <c r="R52" s="140">
        <v>0</v>
      </c>
      <c r="T52" s="150">
        <f t="shared" si="1"/>
        <v>49</v>
      </c>
      <c r="U52" s="146">
        <v>1</v>
      </c>
      <c r="V52" s="144">
        <v>1.05</v>
      </c>
      <c r="W52" s="144">
        <v>1.1000000000000001</v>
      </c>
      <c r="X52" s="144">
        <v>1.1499999999999999</v>
      </c>
      <c r="Y52" s="144">
        <v>1.1499999999999999</v>
      </c>
      <c r="Z52" s="144">
        <v>1.1499999999999999</v>
      </c>
      <c r="AA52" s="144">
        <v>1.1499999999999999</v>
      </c>
      <c r="AB52" s="144">
        <v>1.1499999999999999</v>
      </c>
      <c r="AC52" s="144">
        <v>1.1499999999999999</v>
      </c>
      <c r="AD52" s="144">
        <v>1.1499999999999999</v>
      </c>
      <c r="AE52" s="144">
        <v>1.1499999999999999</v>
      </c>
      <c r="AF52" s="144">
        <v>1.1499999999999999</v>
      </c>
      <c r="AG52" s="144">
        <v>1.1499999999999999</v>
      </c>
      <c r="AH52" s="144">
        <v>1.1499999999999999</v>
      </c>
      <c r="AI52" s="144">
        <v>1.1499999999999999</v>
      </c>
      <c r="AJ52" s="151">
        <v>1.1499999999999999</v>
      </c>
      <c r="AK52" s="7"/>
    </row>
    <row r="53" spans="1:37" x14ac:dyDescent="0.35">
      <c r="A53" s="8">
        <v>50</v>
      </c>
      <c r="B53" s="244">
        <v>35592</v>
      </c>
      <c r="C53" s="244">
        <v>38300</v>
      </c>
      <c r="D53" s="244">
        <v>31699</v>
      </c>
      <c r="E53" s="244">
        <v>34111</v>
      </c>
      <c r="F53" s="244">
        <v>33423</v>
      </c>
      <c r="G53" s="244">
        <v>35966</v>
      </c>
      <c r="I53" s="49">
        <v>7.9</v>
      </c>
      <c r="J53" s="270">
        <v>2043.44</v>
      </c>
      <c r="L53" s="165">
        <f t="shared" si="3"/>
        <v>49</v>
      </c>
      <c r="M53" s="161">
        <v>1688</v>
      </c>
      <c r="N53" s="139">
        <v>2025</v>
      </c>
      <c r="O53" s="139">
        <v>2363</v>
      </c>
      <c r="P53" s="139">
        <v>2700</v>
      </c>
      <c r="Q53" s="139">
        <v>0</v>
      </c>
      <c r="R53" s="140">
        <v>0</v>
      </c>
      <c r="T53" s="150">
        <f t="shared" si="1"/>
        <v>50</v>
      </c>
      <c r="U53" s="146">
        <v>1</v>
      </c>
      <c r="V53" s="144">
        <v>1.05</v>
      </c>
      <c r="W53" s="144">
        <v>1.1000000000000001</v>
      </c>
      <c r="X53" s="144">
        <v>1.1499999999999999</v>
      </c>
      <c r="Y53" s="144">
        <v>1.1499999999999999</v>
      </c>
      <c r="Z53" s="144">
        <v>1.1499999999999999</v>
      </c>
      <c r="AA53" s="144">
        <v>1.1499999999999999</v>
      </c>
      <c r="AB53" s="144">
        <v>1.1499999999999999</v>
      </c>
      <c r="AC53" s="144">
        <v>1.1499999999999999</v>
      </c>
      <c r="AD53" s="144">
        <v>1.1499999999999999</v>
      </c>
      <c r="AE53" s="144">
        <v>1.1499999999999999</v>
      </c>
      <c r="AF53" s="144">
        <v>1.1499999999999999</v>
      </c>
      <c r="AG53" s="144">
        <v>1.1499999999999999</v>
      </c>
      <c r="AH53" s="144">
        <v>1.1499999999999999</v>
      </c>
      <c r="AI53" s="144">
        <v>1.1499999999999999</v>
      </c>
      <c r="AJ53" s="151">
        <v>1.1499999999999999</v>
      </c>
      <c r="AK53" s="7"/>
    </row>
    <row r="54" spans="1:37" ht="15" thickBot="1" x14ac:dyDescent="0.4">
      <c r="A54" s="8">
        <v>51</v>
      </c>
      <c r="B54" s="244">
        <v>37063</v>
      </c>
      <c r="C54" s="244">
        <v>39375</v>
      </c>
      <c r="D54" s="244">
        <v>33009</v>
      </c>
      <c r="E54" s="244">
        <v>35068</v>
      </c>
      <c r="F54" s="244">
        <v>34804</v>
      </c>
      <c r="G54" s="244">
        <v>36975</v>
      </c>
      <c r="I54" s="49">
        <v>8</v>
      </c>
      <c r="J54" s="270">
        <v>2043.44</v>
      </c>
      <c r="L54" s="165">
        <f t="shared" si="3"/>
        <v>50</v>
      </c>
      <c r="M54" s="162">
        <v>1688</v>
      </c>
      <c r="N54" s="141">
        <v>2025</v>
      </c>
      <c r="O54" s="141">
        <v>2363</v>
      </c>
      <c r="P54" s="141">
        <v>2700</v>
      </c>
      <c r="Q54" s="141">
        <v>0</v>
      </c>
      <c r="R54" s="142">
        <v>0</v>
      </c>
      <c r="T54" s="150">
        <f t="shared" si="1"/>
        <v>51</v>
      </c>
      <c r="U54" s="146">
        <v>1</v>
      </c>
      <c r="V54" s="144">
        <v>1.05</v>
      </c>
      <c r="W54" s="144">
        <v>1.1000000000000001</v>
      </c>
      <c r="X54" s="144">
        <v>1.1499999999999999</v>
      </c>
      <c r="Y54" s="144">
        <v>1.1499999999999999</v>
      </c>
      <c r="Z54" s="144">
        <v>1.1499999999999999</v>
      </c>
      <c r="AA54" s="144">
        <v>1.1499999999999999</v>
      </c>
      <c r="AB54" s="144">
        <v>1.1499999999999999</v>
      </c>
      <c r="AC54" s="144">
        <v>1.1499999999999999</v>
      </c>
      <c r="AD54" s="144">
        <v>1.1499999999999999</v>
      </c>
      <c r="AE54" s="144">
        <v>1.1499999999999999</v>
      </c>
      <c r="AF54" s="144">
        <v>1.1499999999999999</v>
      </c>
      <c r="AG54" s="144">
        <v>1.1499999999999999</v>
      </c>
      <c r="AH54" s="144">
        <v>1.1499999999999999</v>
      </c>
      <c r="AI54" s="144">
        <v>1.1499999999999999</v>
      </c>
      <c r="AJ54" s="151">
        <v>1.1499999999999999</v>
      </c>
      <c r="AK54" s="7"/>
    </row>
    <row r="55" spans="1:37" x14ac:dyDescent="0.35">
      <c r="A55" s="8">
        <v>52</v>
      </c>
      <c r="B55" s="244">
        <v>38596</v>
      </c>
      <c r="C55" s="244">
        <v>40478</v>
      </c>
      <c r="D55" s="244">
        <v>34374</v>
      </c>
      <c r="E55" s="244">
        <v>36051</v>
      </c>
      <c r="F55" s="244">
        <v>36243</v>
      </c>
      <c r="G55" s="244">
        <v>38011</v>
      </c>
      <c r="I55" s="49">
        <v>8.4</v>
      </c>
      <c r="J55" s="270">
        <v>2267.33</v>
      </c>
      <c r="L55" s="165">
        <f t="shared" si="3"/>
        <v>51</v>
      </c>
      <c r="M55" s="160">
        <v>2137</v>
      </c>
      <c r="N55" s="137">
        <v>2565</v>
      </c>
      <c r="O55" s="137">
        <v>2992</v>
      </c>
      <c r="P55" s="137">
        <v>0</v>
      </c>
      <c r="Q55" s="137">
        <v>0</v>
      </c>
      <c r="R55" s="138">
        <v>0</v>
      </c>
      <c r="T55" s="150">
        <f t="shared" si="1"/>
        <v>52</v>
      </c>
      <c r="U55" s="146">
        <v>1</v>
      </c>
      <c r="V55" s="144">
        <v>1.05</v>
      </c>
      <c r="W55" s="144">
        <v>1.1000000000000001</v>
      </c>
      <c r="X55" s="144">
        <v>1.1499999999999999</v>
      </c>
      <c r="Y55" s="144">
        <v>1.1499999999999999</v>
      </c>
      <c r="Z55" s="144">
        <v>1.1499999999999999</v>
      </c>
      <c r="AA55" s="144">
        <v>1.1499999999999999</v>
      </c>
      <c r="AB55" s="144">
        <v>1.1499999999999999</v>
      </c>
      <c r="AC55" s="144">
        <v>1.1499999999999999</v>
      </c>
      <c r="AD55" s="144">
        <v>1.1499999999999999</v>
      </c>
      <c r="AE55" s="144">
        <v>1.1499999999999999</v>
      </c>
      <c r="AF55" s="144">
        <v>1.1499999999999999</v>
      </c>
      <c r="AG55" s="144">
        <v>1.1499999999999999</v>
      </c>
      <c r="AH55" s="144">
        <v>1.1499999999999999</v>
      </c>
      <c r="AI55" s="144">
        <v>1.1499999999999999</v>
      </c>
      <c r="AJ55" s="151">
        <v>1.1499999999999999</v>
      </c>
      <c r="AK55" s="7"/>
    </row>
    <row r="56" spans="1:37" x14ac:dyDescent="0.35">
      <c r="A56" s="8">
        <v>53</v>
      </c>
      <c r="B56" s="244">
        <v>40195</v>
      </c>
      <c r="C56" s="244">
        <v>41613</v>
      </c>
      <c r="D56" s="244">
        <v>35798</v>
      </c>
      <c r="E56" s="244">
        <v>37061</v>
      </c>
      <c r="F56" s="244">
        <v>37745</v>
      </c>
      <c r="G56" s="244">
        <v>39076</v>
      </c>
      <c r="I56" s="49">
        <v>8.5</v>
      </c>
      <c r="J56" s="270">
        <v>2267.33</v>
      </c>
      <c r="L56" s="165">
        <f t="shared" si="3"/>
        <v>52</v>
      </c>
      <c r="M56" s="161">
        <v>2137</v>
      </c>
      <c r="N56" s="139">
        <v>2565</v>
      </c>
      <c r="O56" s="139">
        <v>2992</v>
      </c>
      <c r="P56" s="139">
        <v>0</v>
      </c>
      <c r="Q56" s="139">
        <v>0</v>
      </c>
      <c r="R56" s="140">
        <v>0</v>
      </c>
      <c r="T56" s="150">
        <f t="shared" si="1"/>
        <v>53</v>
      </c>
      <c r="U56" s="146">
        <v>1</v>
      </c>
      <c r="V56" s="144">
        <v>1.05</v>
      </c>
      <c r="W56" s="144">
        <v>1.1000000000000001</v>
      </c>
      <c r="X56" s="144">
        <v>1.1499999999999999</v>
      </c>
      <c r="Y56" s="144">
        <v>1.1499999999999999</v>
      </c>
      <c r="Z56" s="144">
        <v>1.1499999999999999</v>
      </c>
      <c r="AA56" s="144">
        <v>1.1499999999999999</v>
      </c>
      <c r="AB56" s="144">
        <v>1.1499999999999999</v>
      </c>
      <c r="AC56" s="144">
        <v>1.1499999999999999</v>
      </c>
      <c r="AD56" s="144">
        <v>1.1499999999999999</v>
      </c>
      <c r="AE56" s="144">
        <v>1.1499999999999999</v>
      </c>
      <c r="AF56" s="144">
        <v>1.1499999999999999</v>
      </c>
      <c r="AG56" s="144">
        <v>1.1499999999999999</v>
      </c>
      <c r="AH56" s="144">
        <v>1.1499999999999999</v>
      </c>
      <c r="AI56" s="144">
        <v>1.1499999999999999</v>
      </c>
      <c r="AJ56" s="151">
        <v>1.1499999999999999</v>
      </c>
      <c r="AK56" s="7"/>
    </row>
    <row r="57" spans="1:37" x14ac:dyDescent="0.35">
      <c r="A57" s="8">
        <v>54</v>
      </c>
      <c r="B57" s="244">
        <v>41855</v>
      </c>
      <c r="C57" s="244">
        <v>42785</v>
      </c>
      <c r="D57" s="244">
        <v>37277</v>
      </c>
      <c r="E57" s="244">
        <v>38106</v>
      </c>
      <c r="F57" s="244">
        <v>39304</v>
      </c>
      <c r="G57" s="244">
        <v>40177</v>
      </c>
      <c r="I57" s="49">
        <v>8.6</v>
      </c>
      <c r="J57" s="270">
        <v>2267.33</v>
      </c>
      <c r="L57" s="165">
        <f t="shared" si="3"/>
        <v>53</v>
      </c>
      <c r="M57" s="161">
        <v>2137</v>
      </c>
      <c r="N57" s="139">
        <v>2565</v>
      </c>
      <c r="O57" s="139">
        <v>2992</v>
      </c>
      <c r="P57" s="139">
        <v>0</v>
      </c>
      <c r="Q57" s="139">
        <v>0</v>
      </c>
      <c r="R57" s="140">
        <v>0</v>
      </c>
      <c r="T57" s="150">
        <f t="shared" si="1"/>
        <v>54</v>
      </c>
      <c r="U57" s="146">
        <v>1</v>
      </c>
      <c r="V57" s="144">
        <v>1.05</v>
      </c>
      <c r="W57" s="144">
        <v>1.1000000000000001</v>
      </c>
      <c r="X57" s="144">
        <v>1.1499999999999999</v>
      </c>
      <c r="Y57" s="144">
        <v>1.1499999999999999</v>
      </c>
      <c r="Z57" s="144">
        <v>1.1499999999999999</v>
      </c>
      <c r="AA57" s="144">
        <v>1.1499999999999999</v>
      </c>
      <c r="AB57" s="144">
        <v>1.1499999999999999</v>
      </c>
      <c r="AC57" s="144">
        <v>1.1499999999999999</v>
      </c>
      <c r="AD57" s="144">
        <v>1.1499999999999999</v>
      </c>
      <c r="AE57" s="144">
        <v>1.1499999999999999</v>
      </c>
      <c r="AF57" s="144">
        <v>1.1499999999999999</v>
      </c>
      <c r="AG57" s="144">
        <v>1.1499999999999999</v>
      </c>
      <c r="AH57" s="144">
        <v>1.1499999999999999</v>
      </c>
      <c r="AI57" s="144">
        <v>1.1499999999999999</v>
      </c>
      <c r="AJ57" s="151">
        <v>1.1499999999999999</v>
      </c>
      <c r="AK57" s="7"/>
    </row>
    <row r="58" spans="1:37" x14ac:dyDescent="0.35">
      <c r="A58" s="8">
        <v>55</v>
      </c>
      <c r="B58" s="244">
        <v>43888</v>
      </c>
      <c r="C58" s="244">
        <v>44227</v>
      </c>
      <c r="D58" s="244">
        <v>39088</v>
      </c>
      <c r="E58" s="244">
        <v>39390</v>
      </c>
      <c r="F58" s="244">
        <v>41213</v>
      </c>
      <c r="G58" s="244">
        <v>41532</v>
      </c>
      <c r="I58" s="49">
        <v>9</v>
      </c>
      <c r="J58" s="270">
        <v>2267.33</v>
      </c>
      <c r="L58" s="165">
        <f t="shared" si="3"/>
        <v>54</v>
      </c>
      <c r="M58" s="161">
        <v>2137</v>
      </c>
      <c r="N58" s="139">
        <v>2565</v>
      </c>
      <c r="O58" s="139">
        <v>2992</v>
      </c>
      <c r="P58" s="139">
        <v>0</v>
      </c>
      <c r="Q58" s="139">
        <v>0</v>
      </c>
      <c r="R58" s="140">
        <v>0</v>
      </c>
      <c r="T58" s="150">
        <f t="shared" si="1"/>
        <v>55</v>
      </c>
      <c r="U58" s="146">
        <v>1</v>
      </c>
      <c r="V58" s="144">
        <v>1.05</v>
      </c>
      <c r="W58" s="144">
        <v>1.1000000000000001</v>
      </c>
      <c r="X58" s="144">
        <v>1.1499999999999999</v>
      </c>
      <c r="Y58" s="144">
        <v>1.1499999999999999</v>
      </c>
      <c r="Z58" s="144">
        <v>1.1499999999999999</v>
      </c>
      <c r="AA58" s="144">
        <v>1.1499999999999999</v>
      </c>
      <c r="AB58" s="144">
        <v>1.1499999999999999</v>
      </c>
      <c r="AC58" s="144">
        <v>1.1499999999999999</v>
      </c>
      <c r="AD58" s="144">
        <v>1.1499999999999999</v>
      </c>
      <c r="AE58" s="144">
        <v>1.1499999999999999</v>
      </c>
      <c r="AF58" s="144">
        <v>1.1499999999999999</v>
      </c>
      <c r="AG58" s="144">
        <v>1.1499999999999999</v>
      </c>
      <c r="AH58" s="144">
        <v>1.1499999999999999</v>
      </c>
      <c r="AI58" s="144">
        <v>1.1499999999999999</v>
      </c>
      <c r="AJ58" s="151">
        <v>1.1499999999999999</v>
      </c>
      <c r="AK58" s="7"/>
    </row>
    <row r="59" spans="1:37" ht="15" thickBot="1" x14ac:dyDescent="0.4">
      <c r="A59" s="8">
        <v>56</v>
      </c>
      <c r="B59" s="244">
        <v>46019</v>
      </c>
      <c r="C59" s="244">
        <v>45718</v>
      </c>
      <c r="D59" s="244">
        <v>40986</v>
      </c>
      <c r="E59" s="244">
        <v>40718</v>
      </c>
      <c r="F59" s="244">
        <v>43214</v>
      </c>
      <c r="G59" s="244">
        <v>42931</v>
      </c>
      <c r="I59" s="49">
        <v>9.1999999999999993</v>
      </c>
      <c r="J59" s="270">
        <v>2491.2199999999998</v>
      </c>
      <c r="L59" s="165">
        <f t="shared" si="3"/>
        <v>55</v>
      </c>
      <c r="M59" s="162">
        <v>2137</v>
      </c>
      <c r="N59" s="141">
        <v>2565</v>
      </c>
      <c r="O59" s="141">
        <v>2992</v>
      </c>
      <c r="P59" s="141">
        <v>0</v>
      </c>
      <c r="Q59" s="141">
        <v>0</v>
      </c>
      <c r="R59" s="142">
        <v>0</v>
      </c>
      <c r="T59" s="150">
        <f t="shared" si="1"/>
        <v>56</v>
      </c>
      <c r="U59" s="146">
        <v>1</v>
      </c>
      <c r="V59" s="144">
        <v>1.05</v>
      </c>
      <c r="W59" s="144">
        <v>1.1000000000000001</v>
      </c>
      <c r="X59" s="144">
        <v>1.1499999999999999</v>
      </c>
      <c r="Y59" s="144">
        <v>1.1499999999999999</v>
      </c>
      <c r="Z59" s="144">
        <v>1.1499999999999999</v>
      </c>
      <c r="AA59" s="144">
        <v>1.1499999999999999</v>
      </c>
      <c r="AB59" s="144">
        <v>1.1499999999999999</v>
      </c>
      <c r="AC59" s="144">
        <v>1.1499999999999999</v>
      </c>
      <c r="AD59" s="144">
        <v>1.1499999999999999</v>
      </c>
      <c r="AE59" s="144">
        <v>1.1499999999999999</v>
      </c>
      <c r="AF59" s="144">
        <v>1.1499999999999999</v>
      </c>
      <c r="AG59" s="144">
        <v>1.1499999999999999</v>
      </c>
      <c r="AH59" s="144">
        <v>1.1499999999999999</v>
      </c>
      <c r="AI59" s="144">
        <v>1.1499999999999999</v>
      </c>
      <c r="AJ59" s="151">
        <v>1.1499999999999999</v>
      </c>
      <c r="AK59" s="7"/>
    </row>
    <row r="60" spans="1:37" x14ac:dyDescent="0.35">
      <c r="A60" s="8">
        <v>57</v>
      </c>
      <c r="B60" s="244">
        <v>48253</v>
      </c>
      <c r="C60" s="244">
        <v>47261</v>
      </c>
      <c r="D60" s="244">
        <v>42975</v>
      </c>
      <c r="E60" s="244">
        <v>42092</v>
      </c>
      <c r="F60" s="244">
        <v>45312</v>
      </c>
      <c r="G60" s="244">
        <v>44380</v>
      </c>
      <c r="I60" s="49">
        <v>9.4</v>
      </c>
      <c r="J60" s="270">
        <v>2491.2199999999998</v>
      </c>
      <c r="L60" s="165">
        <f t="shared" si="3"/>
        <v>56</v>
      </c>
      <c r="M60" s="157">
        <v>2615</v>
      </c>
      <c r="N60" s="131">
        <v>0</v>
      </c>
      <c r="O60" s="131">
        <v>0</v>
      </c>
      <c r="P60" s="131">
        <v>0</v>
      </c>
      <c r="Q60" s="131">
        <v>0</v>
      </c>
      <c r="R60" s="132">
        <v>0</v>
      </c>
      <c r="T60" s="150">
        <f t="shared" si="1"/>
        <v>57</v>
      </c>
      <c r="U60" s="146">
        <v>1</v>
      </c>
      <c r="V60" s="144">
        <v>1.05</v>
      </c>
      <c r="W60" s="144">
        <v>1.1000000000000001</v>
      </c>
      <c r="X60" s="144">
        <v>1.1499999999999999</v>
      </c>
      <c r="Y60" s="144">
        <v>1.1499999999999999</v>
      </c>
      <c r="Z60" s="144">
        <v>1.1499999999999999</v>
      </c>
      <c r="AA60" s="144">
        <v>1.1499999999999999</v>
      </c>
      <c r="AB60" s="144">
        <v>1.1499999999999999</v>
      </c>
      <c r="AC60" s="144">
        <v>1.1499999999999999</v>
      </c>
      <c r="AD60" s="144">
        <v>1.1499999999999999</v>
      </c>
      <c r="AE60" s="144">
        <v>1.1499999999999999</v>
      </c>
      <c r="AF60" s="144">
        <v>1.1499999999999999</v>
      </c>
      <c r="AG60" s="144">
        <v>1.1499999999999999</v>
      </c>
      <c r="AH60" s="144">
        <v>1.1499999999999999</v>
      </c>
      <c r="AI60" s="144">
        <v>1.1499999999999999</v>
      </c>
      <c r="AJ60" s="151">
        <v>1.1499999999999999</v>
      </c>
      <c r="AK60" s="7"/>
    </row>
    <row r="61" spans="1:37" x14ac:dyDescent="0.35">
      <c r="A61" s="8">
        <v>58</v>
      </c>
      <c r="B61" s="244">
        <v>50596</v>
      </c>
      <c r="C61" s="244">
        <v>48854</v>
      </c>
      <c r="D61" s="244">
        <v>45062</v>
      </c>
      <c r="E61" s="244">
        <v>43511</v>
      </c>
      <c r="F61" s="244">
        <v>47512</v>
      </c>
      <c r="G61" s="244">
        <v>45876</v>
      </c>
      <c r="I61" s="49">
        <v>9.9</v>
      </c>
      <c r="J61" s="270">
        <v>2491.2199999999998</v>
      </c>
      <c r="L61" s="165">
        <f t="shared" si="3"/>
        <v>57</v>
      </c>
      <c r="M61" s="158">
        <v>2615</v>
      </c>
      <c r="N61" s="133">
        <v>0</v>
      </c>
      <c r="O61" s="133">
        <v>0</v>
      </c>
      <c r="P61" s="133">
        <v>0</v>
      </c>
      <c r="Q61" s="133">
        <v>0</v>
      </c>
      <c r="R61" s="134">
        <v>0</v>
      </c>
      <c r="T61" s="150">
        <f t="shared" si="1"/>
        <v>58</v>
      </c>
      <c r="U61" s="146">
        <v>1</v>
      </c>
      <c r="V61" s="144">
        <v>1.05</v>
      </c>
      <c r="W61" s="144">
        <v>1.1000000000000001</v>
      </c>
      <c r="X61" s="144">
        <v>1.1499999999999999</v>
      </c>
      <c r="Y61" s="144">
        <v>1.1499999999999999</v>
      </c>
      <c r="Z61" s="144">
        <v>1.1499999999999999</v>
      </c>
      <c r="AA61" s="144">
        <v>1.1499999999999999</v>
      </c>
      <c r="AB61" s="144">
        <v>1.1499999999999999</v>
      </c>
      <c r="AC61" s="144">
        <v>1.1499999999999999</v>
      </c>
      <c r="AD61" s="144">
        <v>1.1499999999999999</v>
      </c>
      <c r="AE61" s="144">
        <v>1.1499999999999999</v>
      </c>
      <c r="AF61" s="144">
        <v>1.1499999999999999</v>
      </c>
      <c r="AG61" s="144">
        <v>1.1499999999999999</v>
      </c>
      <c r="AH61" s="144">
        <v>1.1499999999999999</v>
      </c>
      <c r="AI61" s="144">
        <v>1.1499999999999999</v>
      </c>
      <c r="AJ61" s="151">
        <v>1.1499999999999999</v>
      </c>
      <c r="AK61" s="7"/>
    </row>
    <row r="62" spans="1:37" x14ac:dyDescent="0.35">
      <c r="A62" s="8">
        <v>59</v>
      </c>
      <c r="B62" s="244">
        <v>53056</v>
      </c>
      <c r="C62" s="244">
        <v>50504</v>
      </c>
      <c r="D62" s="244">
        <v>47253</v>
      </c>
      <c r="E62" s="244">
        <v>44980</v>
      </c>
      <c r="F62" s="244">
        <v>49822</v>
      </c>
      <c r="G62" s="244">
        <v>47426</v>
      </c>
      <c r="I62" s="49">
        <v>10</v>
      </c>
      <c r="J62" s="270">
        <v>2491.2199999999998</v>
      </c>
      <c r="L62" s="165">
        <f t="shared" si="3"/>
        <v>58</v>
      </c>
      <c r="M62" s="158">
        <v>2615</v>
      </c>
      <c r="N62" s="133">
        <v>0</v>
      </c>
      <c r="O62" s="133">
        <v>0</v>
      </c>
      <c r="P62" s="133">
        <v>0</v>
      </c>
      <c r="Q62" s="133">
        <v>0</v>
      </c>
      <c r="R62" s="134">
        <v>0</v>
      </c>
      <c r="T62" s="150">
        <f t="shared" si="1"/>
        <v>59</v>
      </c>
      <c r="U62" s="146">
        <v>1</v>
      </c>
      <c r="V62" s="144">
        <v>1.05</v>
      </c>
      <c r="W62" s="144">
        <v>1.1000000000000001</v>
      </c>
      <c r="X62" s="144">
        <v>1.1499999999999999</v>
      </c>
      <c r="Y62" s="144">
        <v>1.1499999999999999</v>
      </c>
      <c r="Z62" s="144">
        <v>1.1499999999999999</v>
      </c>
      <c r="AA62" s="144">
        <v>1.1499999999999999</v>
      </c>
      <c r="AB62" s="144">
        <v>1.1499999999999999</v>
      </c>
      <c r="AC62" s="144">
        <v>1.1499999999999999</v>
      </c>
      <c r="AD62" s="144">
        <v>1.1499999999999999</v>
      </c>
      <c r="AE62" s="144">
        <v>1.1499999999999999</v>
      </c>
      <c r="AF62" s="144">
        <v>1.1499999999999999</v>
      </c>
      <c r="AG62" s="144">
        <v>1.1499999999999999</v>
      </c>
      <c r="AH62" s="144">
        <v>1.1499999999999999</v>
      </c>
      <c r="AI62" s="144">
        <v>1.1499999999999999</v>
      </c>
      <c r="AJ62" s="151">
        <v>1.1499999999999999</v>
      </c>
      <c r="AK62" s="7"/>
    </row>
    <row r="63" spans="1:37" x14ac:dyDescent="0.35">
      <c r="A63" s="8">
        <v>60</v>
      </c>
      <c r="B63" s="244">
        <v>54703</v>
      </c>
      <c r="C63" s="244">
        <v>52058</v>
      </c>
      <c r="D63" s="244">
        <v>48720</v>
      </c>
      <c r="E63" s="244">
        <v>46364</v>
      </c>
      <c r="F63" s="244">
        <v>51369</v>
      </c>
      <c r="G63" s="244">
        <v>48885</v>
      </c>
      <c r="I63" s="49">
        <v>10.199999999999999</v>
      </c>
      <c r="J63" s="270">
        <v>2715.1</v>
      </c>
      <c r="L63" s="165">
        <f t="shared" si="3"/>
        <v>59</v>
      </c>
      <c r="M63" s="158">
        <v>2615</v>
      </c>
      <c r="N63" s="133">
        <v>0</v>
      </c>
      <c r="O63" s="133">
        <v>0</v>
      </c>
      <c r="P63" s="133">
        <v>0</v>
      </c>
      <c r="Q63" s="133">
        <v>0</v>
      </c>
      <c r="R63" s="134">
        <v>0</v>
      </c>
      <c r="T63" s="150">
        <f t="shared" si="1"/>
        <v>60</v>
      </c>
      <c r="U63" s="146">
        <v>1</v>
      </c>
      <c r="V63" s="144">
        <v>1.05</v>
      </c>
      <c r="W63" s="144">
        <v>1.1000000000000001</v>
      </c>
      <c r="X63" s="144">
        <v>1.1499999999999999</v>
      </c>
      <c r="Y63" s="144">
        <v>1.1499999999999999</v>
      </c>
      <c r="Z63" s="144">
        <v>1.1499999999999999</v>
      </c>
      <c r="AA63" s="144">
        <v>1.1499999999999999</v>
      </c>
      <c r="AB63" s="144">
        <v>1.1499999999999999</v>
      </c>
      <c r="AC63" s="144">
        <v>1.1499999999999999</v>
      </c>
      <c r="AD63" s="144">
        <v>1.1499999999999999</v>
      </c>
      <c r="AE63" s="144">
        <v>1.1499999999999999</v>
      </c>
      <c r="AF63" s="144">
        <v>1.1499999999999999</v>
      </c>
      <c r="AG63" s="144">
        <v>1.1499999999999999</v>
      </c>
      <c r="AH63" s="144">
        <v>1.1499999999999999</v>
      </c>
      <c r="AI63" s="144">
        <v>1.1499999999999999</v>
      </c>
      <c r="AJ63" s="151">
        <v>1.1499999999999999</v>
      </c>
      <c r="AK63" s="7"/>
    </row>
    <row r="64" spans="1:37" ht="15" thickBot="1" x14ac:dyDescent="0.4">
      <c r="A64" s="8">
        <v>61</v>
      </c>
      <c r="B64" s="244">
        <v>56409</v>
      </c>
      <c r="C64" s="244">
        <v>53660</v>
      </c>
      <c r="D64" s="244">
        <v>50239</v>
      </c>
      <c r="E64" s="244">
        <v>47791</v>
      </c>
      <c r="F64" s="244">
        <v>52971</v>
      </c>
      <c r="G64" s="244">
        <v>50389</v>
      </c>
      <c r="I64" s="49">
        <v>10.7</v>
      </c>
      <c r="J64" s="270">
        <v>2715.1</v>
      </c>
      <c r="L64" s="165">
        <f t="shared" si="3"/>
        <v>60</v>
      </c>
      <c r="M64" s="159">
        <v>2615</v>
      </c>
      <c r="N64" s="135">
        <v>0</v>
      </c>
      <c r="O64" s="135">
        <v>0</v>
      </c>
      <c r="P64" s="135">
        <v>0</v>
      </c>
      <c r="Q64" s="135">
        <v>0</v>
      </c>
      <c r="R64" s="136">
        <v>0</v>
      </c>
      <c r="T64" s="150">
        <f t="shared" si="1"/>
        <v>61</v>
      </c>
      <c r="U64" s="146">
        <v>1</v>
      </c>
      <c r="V64" s="144">
        <v>1.05</v>
      </c>
      <c r="W64" s="144">
        <v>1.1000000000000001</v>
      </c>
      <c r="X64" s="144">
        <v>1.1499999999999999</v>
      </c>
      <c r="Y64" s="144">
        <v>1.1499999999999999</v>
      </c>
      <c r="Z64" s="144">
        <v>1.1499999999999999</v>
      </c>
      <c r="AA64" s="144">
        <v>1.1499999999999999</v>
      </c>
      <c r="AB64" s="144">
        <v>1.1499999999999999</v>
      </c>
      <c r="AC64" s="144">
        <v>1.1499999999999999</v>
      </c>
      <c r="AD64" s="144">
        <v>1.1499999999999999</v>
      </c>
      <c r="AE64" s="144">
        <v>1.1499999999999999</v>
      </c>
      <c r="AF64" s="144">
        <v>1.1499999999999999</v>
      </c>
      <c r="AG64" s="144">
        <v>1.1499999999999999</v>
      </c>
      <c r="AH64" s="144">
        <v>1.1499999999999999</v>
      </c>
      <c r="AI64" s="144">
        <v>1.1499999999999999</v>
      </c>
      <c r="AJ64" s="151">
        <v>1.1499999999999999</v>
      </c>
      <c r="AK64" s="7"/>
    </row>
    <row r="65" spans="1:37" x14ac:dyDescent="0.35">
      <c r="A65" s="8">
        <v>62</v>
      </c>
      <c r="B65" s="244">
        <v>58166</v>
      </c>
      <c r="C65" s="244">
        <v>55315</v>
      </c>
      <c r="D65" s="244">
        <v>51804</v>
      </c>
      <c r="E65" s="244">
        <v>49265</v>
      </c>
      <c r="F65" s="244">
        <v>54621</v>
      </c>
      <c r="G65" s="244">
        <v>51943</v>
      </c>
      <c r="I65" s="49">
        <v>10.9</v>
      </c>
      <c r="J65" s="270">
        <v>2715.1</v>
      </c>
      <c r="L65" s="165">
        <f t="shared" si="3"/>
        <v>61</v>
      </c>
      <c r="M65" s="158">
        <v>2719</v>
      </c>
      <c r="N65" s="133">
        <v>0</v>
      </c>
      <c r="O65" s="133">
        <v>0</v>
      </c>
      <c r="P65" s="133">
        <v>0</v>
      </c>
      <c r="Q65" s="133">
        <v>0</v>
      </c>
      <c r="R65" s="134">
        <v>0</v>
      </c>
      <c r="T65" s="150">
        <f t="shared" si="1"/>
        <v>62</v>
      </c>
      <c r="U65" s="146">
        <v>1</v>
      </c>
      <c r="V65" s="144">
        <v>1.05</v>
      </c>
      <c r="W65" s="144">
        <v>1.1000000000000001</v>
      </c>
      <c r="X65" s="144">
        <v>1.1499999999999999</v>
      </c>
      <c r="Y65" s="144">
        <v>1.1499999999999999</v>
      </c>
      <c r="Z65" s="144">
        <v>1.1499999999999999</v>
      </c>
      <c r="AA65" s="144">
        <v>1.1499999999999999</v>
      </c>
      <c r="AB65" s="144">
        <v>1.1499999999999999</v>
      </c>
      <c r="AC65" s="144">
        <v>1.1499999999999999</v>
      </c>
      <c r="AD65" s="144">
        <v>1.1499999999999999</v>
      </c>
      <c r="AE65" s="144">
        <v>1.1499999999999999</v>
      </c>
      <c r="AF65" s="144">
        <v>1.1499999999999999</v>
      </c>
      <c r="AG65" s="144">
        <v>1.1499999999999999</v>
      </c>
      <c r="AH65" s="144">
        <v>1.1499999999999999</v>
      </c>
      <c r="AI65" s="144">
        <v>1.1499999999999999</v>
      </c>
      <c r="AJ65" s="151">
        <v>1.1499999999999999</v>
      </c>
      <c r="AK65" s="7"/>
    </row>
    <row r="66" spans="1:37" x14ac:dyDescent="0.35">
      <c r="A66" s="8">
        <v>63</v>
      </c>
      <c r="B66" s="244">
        <v>59978</v>
      </c>
      <c r="C66" s="244">
        <v>57015</v>
      </c>
      <c r="D66" s="244">
        <v>53418</v>
      </c>
      <c r="E66" s="244">
        <v>50779</v>
      </c>
      <c r="F66" s="244">
        <v>56322</v>
      </c>
      <c r="G66" s="244">
        <v>53539</v>
      </c>
      <c r="I66" s="49">
        <v>11</v>
      </c>
      <c r="J66" s="270">
        <v>2715.1</v>
      </c>
      <c r="L66" s="165">
        <f t="shared" si="3"/>
        <v>62</v>
      </c>
      <c r="M66" s="158">
        <v>2719</v>
      </c>
      <c r="N66" s="133">
        <v>0</v>
      </c>
      <c r="O66" s="133">
        <v>0</v>
      </c>
      <c r="P66" s="133">
        <v>0</v>
      </c>
      <c r="Q66" s="133">
        <v>0</v>
      </c>
      <c r="R66" s="134">
        <v>0</v>
      </c>
      <c r="T66" s="150">
        <f t="shared" si="1"/>
        <v>63</v>
      </c>
      <c r="U66" s="146">
        <v>1</v>
      </c>
      <c r="V66" s="144">
        <v>1.05</v>
      </c>
      <c r="W66" s="144">
        <v>1.1000000000000001</v>
      </c>
      <c r="X66" s="144">
        <v>1.1499999999999999</v>
      </c>
      <c r="Y66" s="144">
        <v>1.1499999999999999</v>
      </c>
      <c r="Z66" s="144">
        <v>1.1499999999999999</v>
      </c>
      <c r="AA66" s="144">
        <v>1.1499999999999999</v>
      </c>
      <c r="AB66" s="144">
        <v>1.1499999999999999</v>
      </c>
      <c r="AC66" s="144">
        <v>1.1499999999999999</v>
      </c>
      <c r="AD66" s="144">
        <v>1.1499999999999999</v>
      </c>
      <c r="AE66" s="144">
        <v>1.1499999999999999</v>
      </c>
      <c r="AF66" s="144">
        <v>1.1499999999999999</v>
      </c>
      <c r="AG66" s="144">
        <v>1.1499999999999999</v>
      </c>
      <c r="AH66" s="144">
        <v>1.1499999999999999</v>
      </c>
      <c r="AI66" s="144">
        <v>1.1499999999999999</v>
      </c>
      <c r="AJ66" s="151">
        <v>1.1499999999999999</v>
      </c>
      <c r="AK66" s="7"/>
    </row>
    <row r="67" spans="1:37" x14ac:dyDescent="0.35">
      <c r="A67" s="8">
        <v>64</v>
      </c>
      <c r="B67" s="244">
        <v>61845</v>
      </c>
      <c r="C67" s="244">
        <v>58771</v>
      </c>
      <c r="D67" s="244">
        <v>55081</v>
      </c>
      <c r="E67" s="244">
        <v>52343</v>
      </c>
      <c r="F67" s="244">
        <v>58075</v>
      </c>
      <c r="G67" s="244">
        <v>55188</v>
      </c>
      <c r="I67" s="49">
        <v>11.5</v>
      </c>
      <c r="J67" s="270">
        <v>2938.38</v>
      </c>
      <c r="L67" s="165">
        <f t="shared" si="3"/>
        <v>63</v>
      </c>
      <c r="M67" s="158">
        <v>2719</v>
      </c>
      <c r="N67" s="133">
        <v>0</v>
      </c>
      <c r="O67" s="133">
        <v>0</v>
      </c>
      <c r="P67" s="133">
        <v>0</v>
      </c>
      <c r="Q67" s="133">
        <v>0</v>
      </c>
      <c r="R67" s="134">
        <v>0</v>
      </c>
      <c r="T67" s="150">
        <f t="shared" si="1"/>
        <v>64</v>
      </c>
      <c r="U67" s="146">
        <v>1</v>
      </c>
      <c r="V67" s="144">
        <v>1.05</v>
      </c>
      <c r="W67" s="144">
        <v>1.1000000000000001</v>
      </c>
      <c r="X67" s="144">
        <v>1.1499999999999999</v>
      </c>
      <c r="Y67" s="144">
        <v>1.1499999999999999</v>
      </c>
      <c r="Z67" s="144">
        <v>1.1499999999999999</v>
      </c>
      <c r="AA67" s="144">
        <v>1.1499999999999999</v>
      </c>
      <c r="AB67" s="144">
        <v>1.1499999999999999</v>
      </c>
      <c r="AC67" s="144">
        <v>1.1499999999999999</v>
      </c>
      <c r="AD67" s="144">
        <v>1.1499999999999999</v>
      </c>
      <c r="AE67" s="144">
        <v>1.1499999999999999</v>
      </c>
      <c r="AF67" s="144">
        <v>1.1499999999999999</v>
      </c>
      <c r="AG67" s="144">
        <v>1.1499999999999999</v>
      </c>
      <c r="AH67" s="144">
        <v>1.1499999999999999</v>
      </c>
      <c r="AI67" s="144">
        <v>1.1499999999999999</v>
      </c>
      <c r="AJ67" s="151">
        <v>1.1499999999999999</v>
      </c>
      <c r="AK67" s="7"/>
    </row>
    <row r="68" spans="1:37" x14ac:dyDescent="0.35">
      <c r="A68" s="8">
        <v>65</v>
      </c>
      <c r="B68" s="244">
        <v>66728</v>
      </c>
      <c r="C68" s="244">
        <v>64044</v>
      </c>
      <c r="D68" s="244">
        <v>59429</v>
      </c>
      <c r="E68" s="244">
        <v>57039</v>
      </c>
      <c r="F68" s="244">
        <v>62660</v>
      </c>
      <c r="G68" s="244">
        <v>60140</v>
      </c>
      <c r="I68" s="49">
        <v>11.7</v>
      </c>
      <c r="J68" s="270">
        <v>2938.38</v>
      </c>
      <c r="L68" s="165">
        <f t="shared" si="3"/>
        <v>64</v>
      </c>
      <c r="M68" s="158">
        <v>2719</v>
      </c>
      <c r="N68" s="133">
        <v>0</v>
      </c>
      <c r="O68" s="133">
        <v>0</v>
      </c>
      <c r="P68" s="133">
        <v>0</v>
      </c>
      <c r="Q68" s="133">
        <v>0</v>
      </c>
      <c r="R68" s="134">
        <v>0</v>
      </c>
      <c r="T68" s="150">
        <f t="shared" si="1"/>
        <v>65</v>
      </c>
      <c r="U68" s="146">
        <v>1</v>
      </c>
      <c r="V68" s="144">
        <v>1.05</v>
      </c>
      <c r="W68" s="144">
        <v>1.1000000000000001</v>
      </c>
      <c r="X68" s="144">
        <v>1.1499999999999999</v>
      </c>
      <c r="Y68" s="144">
        <v>1.1499999999999999</v>
      </c>
      <c r="Z68" s="144">
        <v>1.1499999999999999</v>
      </c>
      <c r="AA68" s="144">
        <v>1.1499999999999999</v>
      </c>
      <c r="AB68" s="144">
        <v>1.1499999999999999</v>
      </c>
      <c r="AC68" s="144">
        <v>1.1499999999999999</v>
      </c>
      <c r="AD68" s="144">
        <v>1.1499999999999999</v>
      </c>
      <c r="AE68" s="144">
        <v>1.1499999999999999</v>
      </c>
      <c r="AF68" s="144">
        <v>1.1499999999999999</v>
      </c>
      <c r="AG68" s="144">
        <v>1.1499999999999999</v>
      </c>
      <c r="AH68" s="144">
        <v>1.1499999999999999</v>
      </c>
      <c r="AI68" s="144">
        <v>1.1499999999999999</v>
      </c>
      <c r="AJ68" s="151">
        <v>1.1499999999999999</v>
      </c>
      <c r="AK68" s="7"/>
    </row>
    <row r="69" spans="1:37" ht="15" thickBot="1" x14ac:dyDescent="0.4">
      <c r="A69" s="8">
        <v>66</v>
      </c>
      <c r="B69" s="244">
        <v>72001</v>
      </c>
      <c r="C69" s="244">
        <v>69786</v>
      </c>
      <c r="D69" s="244">
        <v>64126</v>
      </c>
      <c r="E69" s="244">
        <v>62153</v>
      </c>
      <c r="F69" s="244">
        <v>67612</v>
      </c>
      <c r="G69" s="244">
        <v>65532</v>
      </c>
      <c r="I69" s="49">
        <v>12</v>
      </c>
      <c r="J69" s="270">
        <v>2938.38</v>
      </c>
      <c r="L69" s="165">
        <f t="shared" si="3"/>
        <v>65</v>
      </c>
      <c r="M69" s="159">
        <v>2719</v>
      </c>
      <c r="N69" s="135">
        <v>0</v>
      </c>
      <c r="O69" s="135">
        <v>0</v>
      </c>
      <c r="P69" s="135">
        <v>0</v>
      </c>
      <c r="Q69" s="135">
        <v>0</v>
      </c>
      <c r="R69" s="136">
        <v>0</v>
      </c>
      <c r="T69" s="150">
        <f t="shared" ref="T69:T102" si="4">T68+1</f>
        <v>66</v>
      </c>
      <c r="U69" s="146">
        <v>1</v>
      </c>
      <c r="V69" s="144">
        <v>1.05</v>
      </c>
      <c r="W69" s="144">
        <v>1.1000000000000001</v>
      </c>
      <c r="X69" s="144">
        <v>1.1499999999999999</v>
      </c>
      <c r="Y69" s="144">
        <v>1.1499999999999999</v>
      </c>
      <c r="Z69" s="144">
        <v>1.1499999999999999</v>
      </c>
      <c r="AA69" s="144">
        <v>1.1499999999999999</v>
      </c>
      <c r="AB69" s="144">
        <v>1.1499999999999999</v>
      </c>
      <c r="AC69" s="144">
        <v>1.1499999999999999</v>
      </c>
      <c r="AD69" s="144">
        <v>1.1499999999999999</v>
      </c>
      <c r="AE69" s="144">
        <v>1.1499999999999999</v>
      </c>
      <c r="AF69" s="144">
        <v>1.1499999999999999</v>
      </c>
      <c r="AG69" s="144">
        <v>1.1499999999999999</v>
      </c>
      <c r="AH69" s="144">
        <v>1.1499999999999999</v>
      </c>
      <c r="AI69" s="144">
        <v>1.1499999999999999</v>
      </c>
      <c r="AJ69" s="151">
        <v>1.1499999999999999</v>
      </c>
      <c r="AK69" s="7"/>
    </row>
    <row r="70" spans="1:37" x14ac:dyDescent="0.35">
      <c r="A70" s="8">
        <v>67</v>
      </c>
      <c r="B70" s="244">
        <v>77686</v>
      </c>
      <c r="C70" s="244">
        <v>76043</v>
      </c>
      <c r="D70" s="244">
        <v>69189</v>
      </c>
      <c r="E70" s="244">
        <v>67726</v>
      </c>
      <c r="F70" s="244">
        <v>72950</v>
      </c>
      <c r="G70" s="244">
        <v>71408</v>
      </c>
      <c r="I70" s="49">
        <v>12.2</v>
      </c>
      <c r="J70" s="270">
        <v>3162.87</v>
      </c>
      <c r="L70" s="165">
        <f t="shared" si="3"/>
        <v>66</v>
      </c>
      <c r="M70" s="157">
        <v>0</v>
      </c>
      <c r="N70" s="131">
        <v>0</v>
      </c>
      <c r="O70" s="131">
        <v>0</v>
      </c>
      <c r="P70" s="131">
        <v>0</v>
      </c>
      <c r="Q70" s="131">
        <v>0</v>
      </c>
      <c r="R70" s="132">
        <v>0</v>
      </c>
      <c r="T70" s="150">
        <f t="shared" si="4"/>
        <v>67</v>
      </c>
      <c r="U70" s="146">
        <v>1</v>
      </c>
      <c r="V70" s="144">
        <v>1.05</v>
      </c>
      <c r="W70" s="144">
        <v>1.1000000000000001</v>
      </c>
      <c r="X70" s="144">
        <v>1.1499999999999999</v>
      </c>
      <c r="Y70" s="144">
        <v>1.1499999999999999</v>
      </c>
      <c r="Z70" s="144">
        <v>1.1499999999999999</v>
      </c>
      <c r="AA70" s="144">
        <v>1.1499999999999999</v>
      </c>
      <c r="AB70" s="144">
        <v>1.1499999999999999</v>
      </c>
      <c r="AC70" s="144">
        <v>1.1499999999999999</v>
      </c>
      <c r="AD70" s="144">
        <v>1.1499999999999999</v>
      </c>
      <c r="AE70" s="144">
        <v>1.1499999999999999</v>
      </c>
      <c r="AF70" s="144">
        <v>1.1499999999999999</v>
      </c>
      <c r="AG70" s="144">
        <v>1.1499999999999999</v>
      </c>
      <c r="AH70" s="144">
        <v>1.1499999999999999</v>
      </c>
      <c r="AI70" s="144">
        <v>1.1499999999999999</v>
      </c>
      <c r="AJ70" s="151">
        <v>1.1499999999999999</v>
      </c>
      <c r="AK70" s="7"/>
    </row>
    <row r="71" spans="1:37" x14ac:dyDescent="0.35">
      <c r="A71" s="8">
        <v>68</v>
      </c>
      <c r="B71" s="244">
        <v>83819</v>
      </c>
      <c r="C71" s="244">
        <v>82861</v>
      </c>
      <c r="D71" s="244">
        <v>74652</v>
      </c>
      <c r="E71" s="244">
        <v>73798</v>
      </c>
      <c r="F71" s="244">
        <v>78710</v>
      </c>
      <c r="G71" s="244">
        <v>77810</v>
      </c>
      <c r="I71" s="49">
        <v>12.5</v>
      </c>
      <c r="J71" s="270">
        <v>3162.87</v>
      </c>
      <c r="L71" s="165">
        <f t="shared" si="3"/>
        <v>67</v>
      </c>
      <c r="M71" s="158">
        <v>0</v>
      </c>
      <c r="N71" s="133">
        <v>0</v>
      </c>
      <c r="O71" s="133">
        <v>0</v>
      </c>
      <c r="P71" s="133">
        <v>0</v>
      </c>
      <c r="Q71" s="133">
        <v>0</v>
      </c>
      <c r="R71" s="134">
        <v>0</v>
      </c>
      <c r="T71" s="150">
        <f t="shared" si="4"/>
        <v>68</v>
      </c>
      <c r="U71" s="146">
        <v>1</v>
      </c>
      <c r="V71" s="144">
        <v>1.05</v>
      </c>
      <c r="W71" s="144">
        <v>1.1000000000000001</v>
      </c>
      <c r="X71" s="144">
        <v>1.1499999999999999</v>
      </c>
      <c r="Y71" s="144">
        <v>1.1499999999999999</v>
      </c>
      <c r="Z71" s="144">
        <v>1.1499999999999999</v>
      </c>
      <c r="AA71" s="144">
        <v>1.1499999999999999</v>
      </c>
      <c r="AB71" s="144">
        <v>1.1499999999999999</v>
      </c>
      <c r="AC71" s="144">
        <v>1.1499999999999999</v>
      </c>
      <c r="AD71" s="144">
        <v>1.1499999999999999</v>
      </c>
      <c r="AE71" s="144">
        <v>1.1499999999999999</v>
      </c>
      <c r="AF71" s="144">
        <v>1.1499999999999999</v>
      </c>
      <c r="AG71" s="144">
        <v>1.1499999999999999</v>
      </c>
      <c r="AH71" s="144">
        <v>1.1499999999999999</v>
      </c>
      <c r="AI71" s="144">
        <v>1.1499999999999999</v>
      </c>
      <c r="AJ71" s="151">
        <v>1.1499999999999999</v>
      </c>
      <c r="AK71" s="7"/>
    </row>
    <row r="72" spans="1:37" x14ac:dyDescent="0.35">
      <c r="A72" s="8">
        <v>69</v>
      </c>
      <c r="B72" s="244">
        <v>90441</v>
      </c>
      <c r="C72" s="244">
        <v>90291</v>
      </c>
      <c r="D72" s="244">
        <v>80549</v>
      </c>
      <c r="E72" s="244">
        <v>80415</v>
      </c>
      <c r="F72" s="244">
        <v>84928</v>
      </c>
      <c r="G72" s="244">
        <v>84787</v>
      </c>
      <c r="I72" s="49">
        <v>13</v>
      </c>
      <c r="J72" s="270">
        <v>3162.87</v>
      </c>
      <c r="L72" s="165">
        <f t="shared" si="3"/>
        <v>68</v>
      </c>
      <c r="M72" s="158">
        <v>0</v>
      </c>
      <c r="N72" s="133">
        <v>0</v>
      </c>
      <c r="O72" s="133">
        <v>0</v>
      </c>
      <c r="P72" s="133">
        <v>0</v>
      </c>
      <c r="Q72" s="133">
        <v>0</v>
      </c>
      <c r="R72" s="134">
        <v>0</v>
      </c>
      <c r="T72" s="150">
        <f t="shared" si="4"/>
        <v>69</v>
      </c>
      <c r="U72" s="146">
        <v>1</v>
      </c>
      <c r="V72" s="144">
        <v>1.05</v>
      </c>
      <c r="W72" s="144">
        <v>1.1000000000000001</v>
      </c>
      <c r="X72" s="144">
        <v>1.1499999999999999</v>
      </c>
      <c r="Y72" s="144">
        <v>1.1499999999999999</v>
      </c>
      <c r="Z72" s="144">
        <v>1.1499999999999999</v>
      </c>
      <c r="AA72" s="144">
        <v>1.1499999999999999</v>
      </c>
      <c r="AB72" s="144">
        <v>1.1499999999999999</v>
      </c>
      <c r="AC72" s="144">
        <v>1.1499999999999999</v>
      </c>
      <c r="AD72" s="144">
        <v>1.1499999999999999</v>
      </c>
      <c r="AE72" s="144">
        <v>1.1499999999999999</v>
      </c>
      <c r="AF72" s="144">
        <v>1.1499999999999999</v>
      </c>
      <c r="AG72" s="144">
        <v>1.1499999999999999</v>
      </c>
      <c r="AH72" s="144">
        <v>1.1499999999999999</v>
      </c>
      <c r="AI72" s="144">
        <v>1.1499999999999999</v>
      </c>
      <c r="AJ72" s="151">
        <v>1.1499999999999999</v>
      </c>
      <c r="AK72" s="7"/>
    </row>
    <row r="73" spans="1:37" x14ac:dyDescent="0.35">
      <c r="A73" s="8">
        <v>70</v>
      </c>
      <c r="B73" s="244">
        <v>98160</v>
      </c>
      <c r="C73" s="244">
        <v>97854</v>
      </c>
      <c r="D73" s="244">
        <v>87424</v>
      </c>
      <c r="E73" s="244">
        <v>87152</v>
      </c>
      <c r="F73" s="244">
        <v>92177</v>
      </c>
      <c r="G73" s="244">
        <v>91890</v>
      </c>
      <c r="I73" s="49">
        <v>13.2</v>
      </c>
      <c r="J73" s="270">
        <v>3386.76</v>
      </c>
      <c r="L73" s="165">
        <f t="shared" si="3"/>
        <v>69</v>
      </c>
      <c r="M73" s="158">
        <v>0</v>
      </c>
      <c r="N73" s="133">
        <v>0</v>
      </c>
      <c r="O73" s="133">
        <v>0</v>
      </c>
      <c r="P73" s="133">
        <v>0</v>
      </c>
      <c r="Q73" s="133">
        <v>0</v>
      </c>
      <c r="R73" s="134">
        <v>0</v>
      </c>
      <c r="T73" s="150">
        <f t="shared" si="4"/>
        <v>70</v>
      </c>
      <c r="U73" s="146">
        <v>1</v>
      </c>
      <c r="V73" s="144">
        <v>1.05</v>
      </c>
      <c r="W73" s="144">
        <v>1.1000000000000001</v>
      </c>
      <c r="X73" s="144">
        <v>1.1499999999999999</v>
      </c>
      <c r="Y73" s="144">
        <v>1.1499999999999999</v>
      </c>
      <c r="Z73" s="144">
        <v>1.1499999999999999</v>
      </c>
      <c r="AA73" s="144">
        <v>1.1499999999999999</v>
      </c>
      <c r="AB73" s="144">
        <v>1.1499999999999999</v>
      </c>
      <c r="AC73" s="144">
        <v>1.1499999999999999</v>
      </c>
      <c r="AD73" s="144">
        <v>1.1499999999999999</v>
      </c>
      <c r="AE73" s="144">
        <v>1.1499999999999999</v>
      </c>
      <c r="AF73" s="144">
        <v>1.1499999999999999</v>
      </c>
      <c r="AG73" s="144">
        <v>1.1499999999999999</v>
      </c>
      <c r="AH73" s="144">
        <v>1.1499999999999999</v>
      </c>
      <c r="AI73" s="144">
        <v>1.1499999999999999</v>
      </c>
      <c r="AJ73" s="151">
        <v>1.1499999999999999</v>
      </c>
      <c r="AK73" s="7"/>
    </row>
    <row r="74" spans="1:37" x14ac:dyDescent="0.35">
      <c r="A74" s="8">
        <v>71</v>
      </c>
      <c r="B74" s="244">
        <v>106538</v>
      </c>
      <c r="C74" s="244">
        <v>106050</v>
      </c>
      <c r="D74" s="244">
        <v>94885</v>
      </c>
      <c r="E74" s="244">
        <v>94451</v>
      </c>
      <c r="F74" s="244">
        <v>100044</v>
      </c>
      <c r="G74" s="244">
        <v>99585</v>
      </c>
      <c r="I74" s="49">
        <v>13.7</v>
      </c>
      <c r="J74" s="270">
        <v>3386.76</v>
      </c>
      <c r="L74" s="165">
        <f t="shared" si="3"/>
        <v>70</v>
      </c>
      <c r="M74" s="158">
        <v>0</v>
      </c>
      <c r="N74" s="133">
        <v>0</v>
      </c>
      <c r="O74" s="133">
        <v>0</v>
      </c>
      <c r="P74" s="133">
        <v>0</v>
      </c>
      <c r="Q74" s="133">
        <v>0</v>
      </c>
      <c r="R74" s="134">
        <v>0</v>
      </c>
      <c r="T74" s="150">
        <f t="shared" si="4"/>
        <v>71</v>
      </c>
      <c r="U74" s="146">
        <v>1</v>
      </c>
      <c r="V74" s="144">
        <v>1.05</v>
      </c>
      <c r="W74" s="144">
        <v>1.1000000000000001</v>
      </c>
      <c r="X74" s="144">
        <v>1.1499999999999999</v>
      </c>
      <c r="Y74" s="144">
        <v>1.1499999999999999</v>
      </c>
      <c r="Z74" s="144">
        <v>1.1499999999999999</v>
      </c>
      <c r="AA74" s="144">
        <v>1.1499999999999999</v>
      </c>
      <c r="AB74" s="144">
        <v>1.1499999999999999</v>
      </c>
      <c r="AC74" s="144">
        <v>1.1499999999999999</v>
      </c>
      <c r="AD74" s="144">
        <v>1.1499999999999999</v>
      </c>
      <c r="AE74" s="144">
        <v>1.1499999999999999</v>
      </c>
      <c r="AF74" s="144">
        <v>1.1499999999999999</v>
      </c>
      <c r="AG74" s="144">
        <v>1.1499999999999999</v>
      </c>
      <c r="AH74" s="144">
        <v>1.1499999999999999</v>
      </c>
      <c r="AI74" s="144">
        <v>1.1499999999999999</v>
      </c>
      <c r="AJ74" s="151">
        <v>1.1499999999999999</v>
      </c>
      <c r="AK74" s="7"/>
    </row>
    <row r="75" spans="1:37" x14ac:dyDescent="0.35">
      <c r="A75" s="8">
        <v>72</v>
      </c>
      <c r="B75" s="244">
        <v>115630</v>
      </c>
      <c r="C75" s="244">
        <v>114932</v>
      </c>
      <c r="D75" s="244">
        <v>102983</v>
      </c>
      <c r="E75" s="244">
        <v>102362</v>
      </c>
      <c r="F75" s="244">
        <v>108582</v>
      </c>
      <c r="G75" s="244">
        <v>107927</v>
      </c>
      <c r="I75" s="49">
        <v>14</v>
      </c>
      <c r="J75" s="270">
        <v>3386.76</v>
      </c>
      <c r="L75" s="165">
        <f t="shared" si="3"/>
        <v>71</v>
      </c>
      <c r="M75" s="158">
        <v>0</v>
      </c>
      <c r="N75" s="133">
        <v>0</v>
      </c>
      <c r="O75" s="133">
        <v>0</v>
      </c>
      <c r="P75" s="133">
        <v>0</v>
      </c>
      <c r="Q75" s="133">
        <v>0</v>
      </c>
      <c r="R75" s="134">
        <v>0</v>
      </c>
      <c r="T75" s="150">
        <f t="shared" si="4"/>
        <v>72</v>
      </c>
      <c r="U75" s="146">
        <v>1</v>
      </c>
      <c r="V75" s="144">
        <v>1.05</v>
      </c>
      <c r="W75" s="144">
        <v>1.1000000000000001</v>
      </c>
      <c r="X75" s="144">
        <v>1.1499999999999999</v>
      </c>
      <c r="Y75" s="144">
        <v>1.1499999999999999</v>
      </c>
      <c r="Z75" s="144">
        <v>1.1499999999999999</v>
      </c>
      <c r="AA75" s="144">
        <v>1.1499999999999999</v>
      </c>
      <c r="AB75" s="144">
        <v>1.1499999999999999</v>
      </c>
      <c r="AC75" s="144">
        <v>1.1499999999999999</v>
      </c>
      <c r="AD75" s="144">
        <v>1.1499999999999999</v>
      </c>
      <c r="AE75" s="144">
        <v>1.1499999999999999</v>
      </c>
      <c r="AF75" s="144">
        <v>1.1499999999999999</v>
      </c>
      <c r="AG75" s="144">
        <v>1.1499999999999999</v>
      </c>
      <c r="AH75" s="144">
        <v>1.1499999999999999</v>
      </c>
      <c r="AI75" s="144">
        <v>1.1499999999999999</v>
      </c>
      <c r="AJ75" s="151">
        <v>1.1499999999999999</v>
      </c>
      <c r="AK75" s="7"/>
    </row>
    <row r="76" spans="1:37" x14ac:dyDescent="0.35">
      <c r="A76" s="8">
        <v>73</v>
      </c>
      <c r="B76" s="244">
        <v>125500</v>
      </c>
      <c r="C76" s="244">
        <v>124562</v>
      </c>
      <c r="D76" s="244">
        <v>111773</v>
      </c>
      <c r="E76" s="244">
        <v>110938</v>
      </c>
      <c r="F76" s="244">
        <v>117850</v>
      </c>
      <c r="G76" s="244">
        <v>116970</v>
      </c>
      <c r="I76" s="49">
        <v>14.5</v>
      </c>
      <c r="J76" s="270">
        <v>3610.65</v>
      </c>
      <c r="L76" s="165">
        <f t="shared" si="3"/>
        <v>72</v>
      </c>
      <c r="M76" s="158">
        <v>0</v>
      </c>
      <c r="N76" s="133">
        <v>0</v>
      </c>
      <c r="O76" s="133">
        <v>0</v>
      </c>
      <c r="P76" s="133">
        <v>0</v>
      </c>
      <c r="Q76" s="133">
        <v>0</v>
      </c>
      <c r="R76" s="134">
        <v>0</v>
      </c>
      <c r="T76" s="150">
        <f t="shared" si="4"/>
        <v>73</v>
      </c>
      <c r="U76" s="146">
        <v>1</v>
      </c>
      <c r="V76" s="144">
        <v>1.05</v>
      </c>
      <c r="W76" s="144">
        <v>1.1000000000000001</v>
      </c>
      <c r="X76" s="144">
        <v>1.1499999999999999</v>
      </c>
      <c r="Y76" s="144">
        <v>1.1499999999999999</v>
      </c>
      <c r="Z76" s="144">
        <v>1.1499999999999999</v>
      </c>
      <c r="AA76" s="144">
        <v>1.1499999999999999</v>
      </c>
      <c r="AB76" s="144">
        <v>1.1499999999999999</v>
      </c>
      <c r="AC76" s="144">
        <v>1.1499999999999999</v>
      </c>
      <c r="AD76" s="144">
        <v>1.1499999999999999</v>
      </c>
      <c r="AE76" s="144">
        <v>1.1499999999999999</v>
      </c>
      <c r="AF76" s="144">
        <v>1.1499999999999999</v>
      </c>
      <c r="AG76" s="144">
        <v>1.1499999999999999</v>
      </c>
      <c r="AH76" s="144">
        <v>1.1499999999999999</v>
      </c>
      <c r="AI76" s="144">
        <v>1.1499999999999999</v>
      </c>
      <c r="AJ76" s="151">
        <v>1.1499999999999999</v>
      </c>
      <c r="AK76" s="7"/>
    </row>
    <row r="77" spans="1:37" x14ac:dyDescent="0.35">
      <c r="A77" s="8">
        <v>74</v>
      </c>
      <c r="B77" s="244">
        <v>136218</v>
      </c>
      <c r="C77" s="244">
        <v>135008</v>
      </c>
      <c r="D77" s="244">
        <v>121319</v>
      </c>
      <c r="E77" s="244">
        <v>120241</v>
      </c>
      <c r="F77" s="244">
        <v>127915</v>
      </c>
      <c r="G77" s="244">
        <v>126778</v>
      </c>
      <c r="I77" s="49">
        <v>14.7</v>
      </c>
      <c r="J77" s="270">
        <v>3610.65</v>
      </c>
      <c r="L77" s="165">
        <f t="shared" si="3"/>
        <v>73</v>
      </c>
      <c r="M77" s="158">
        <v>0</v>
      </c>
      <c r="N77" s="133">
        <v>0</v>
      </c>
      <c r="O77" s="133">
        <v>0</v>
      </c>
      <c r="P77" s="133">
        <v>0</v>
      </c>
      <c r="Q77" s="133">
        <v>0</v>
      </c>
      <c r="R77" s="134">
        <v>0</v>
      </c>
      <c r="T77" s="150">
        <f t="shared" si="4"/>
        <v>74</v>
      </c>
      <c r="U77" s="146">
        <v>1</v>
      </c>
      <c r="V77" s="144">
        <v>1.05</v>
      </c>
      <c r="W77" s="144">
        <v>1.1000000000000001</v>
      </c>
      <c r="X77" s="144">
        <v>1.1499999999999999</v>
      </c>
      <c r="Y77" s="144">
        <v>1.1499999999999999</v>
      </c>
      <c r="Z77" s="144">
        <v>1.1499999999999999</v>
      </c>
      <c r="AA77" s="144">
        <v>1.1499999999999999</v>
      </c>
      <c r="AB77" s="144">
        <v>1.1499999999999999</v>
      </c>
      <c r="AC77" s="144">
        <v>1.1499999999999999</v>
      </c>
      <c r="AD77" s="144">
        <v>1.1499999999999999</v>
      </c>
      <c r="AE77" s="144">
        <v>1.1499999999999999</v>
      </c>
      <c r="AF77" s="144">
        <v>1.1499999999999999</v>
      </c>
      <c r="AG77" s="144">
        <v>1.1499999999999999</v>
      </c>
      <c r="AH77" s="144">
        <v>1.1499999999999999</v>
      </c>
      <c r="AI77" s="144">
        <v>1.1499999999999999</v>
      </c>
      <c r="AJ77" s="151">
        <v>1.1499999999999999</v>
      </c>
      <c r="AK77" s="7"/>
    </row>
    <row r="78" spans="1:37" x14ac:dyDescent="0.35">
      <c r="A78" s="8">
        <v>75</v>
      </c>
      <c r="B78" s="244">
        <v>145245</v>
      </c>
      <c r="C78" s="244">
        <v>142377</v>
      </c>
      <c r="D78" s="244">
        <v>129359</v>
      </c>
      <c r="E78" s="244">
        <v>126805</v>
      </c>
      <c r="F78" s="244">
        <v>136392</v>
      </c>
      <c r="G78" s="244">
        <v>133699</v>
      </c>
      <c r="I78" s="49">
        <v>15</v>
      </c>
      <c r="J78" s="270">
        <v>3610.65</v>
      </c>
      <c r="L78" s="165">
        <f t="shared" si="3"/>
        <v>74</v>
      </c>
      <c r="M78" s="158">
        <v>0</v>
      </c>
      <c r="N78" s="133">
        <v>0</v>
      </c>
      <c r="O78" s="133">
        <v>0</v>
      </c>
      <c r="P78" s="133">
        <v>0</v>
      </c>
      <c r="Q78" s="133">
        <v>0</v>
      </c>
      <c r="R78" s="134">
        <v>0</v>
      </c>
      <c r="T78" s="150">
        <f t="shared" si="4"/>
        <v>75</v>
      </c>
      <c r="U78" s="146">
        <v>1</v>
      </c>
      <c r="V78" s="144">
        <v>1.05</v>
      </c>
      <c r="W78" s="144">
        <v>1.1000000000000001</v>
      </c>
      <c r="X78" s="144">
        <v>1.1499999999999999</v>
      </c>
      <c r="Y78" s="144">
        <v>1.1499999999999999</v>
      </c>
      <c r="Z78" s="144">
        <v>1.1499999999999999</v>
      </c>
      <c r="AA78" s="144">
        <v>1.1499999999999999</v>
      </c>
      <c r="AB78" s="144">
        <v>1.1499999999999999</v>
      </c>
      <c r="AC78" s="144">
        <v>1.1499999999999999</v>
      </c>
      <c r="AD78" s="144">
        <v>1.1499999999999999</v>
      </c>
      <c r="AE78" s="144">
        <v>1.1499999999999999</v>
      </c>
      <c r="AF78" s="144">
        <v>1.1499999999999999</v>
      </c>
      <c r="AG78" s="144">
        <v>1.1499999999999999</v>
      </c>
      <c r="AH78" s="144">
        <v>1.1499999999999999</v>
      </c>
      <c r="AI78" s="144">
        <v>1.1499999999999999</v>
      </c>
      <c r="AJ78" s="151">
        <v>1.1499999999999999</v>
      </c>
      <c r="AK78" s="7"/>
    </row>
    <row r="79" spans="1:37" x14ac:dyDescent="0.35">
      <c r="A79" s="8">
        <v>76</v>
      </c>
      <c r="B79" s="244">
        <v>154874</v>
      </c>
      <c r="C79" s="244">
        <v>150148</v>
      </c>
      <c r="D79" s="244">
        <v>137934</v>
      </c>
      <c r="E79" s="244">
        <v>133725</v>
      </c>
      <c r="F79" s="244">
        <v>145433</v>
      </c>
      <c r="G79" s="244">
        <v>140995</v>
      </c>
      <c r="I79" s="49">
        <v>15.3</v>
      </c>
      <c r="J79" s="270">
        <v>3834.53</v>
      </c>
      <c r="L79" s="165">
        <f t="shared" si="3"/>
        <v>75</v>
      </c>
      <c r="M79" s="158">
        <v>0</v>
      </c>
      <c r="N79" s="133">
        <v>0</v>
      </c>
      <c r="O79" s="133">
        <v>0</v>
      </c>
      <c r="P79" s="133">
        <v>0</v>
      </c>
      <c r="Q79" s="133">
        <v>0</v>
      </c>
      <c r="R79" s="134">
        <v>0</v>
      </c>
      <c r="T79" s="150">
        <f t="shared" si="4"/>
        <v>76</v>
      </c>
      <c r="U79" s="146">
        <v>1</v>
      </c>
      <c r="V79" s="144">
        <v>1.05</v>
      </c>
      <c r="W79" s="144">
        <v>1.1000000000000001</v>
      </c>
      <c r="X79" s="144">
        <v>1.1499999999999999</v>
      </c>
      <c r="Y79" s="144">
        <v>1.1499999999999999</v>
      </c>
      <c r="Z79" s="144">
        <v>1.1499999999999999</v>
      </c>
      <c r="AA79" s="144">
        <v>1.1499999999999999</v>
      </c>
      <c r="AB79" s="144">
        <v>1.1499999999999999</v>
      </c>
      <c r="AC79" s="144">
        <v>1.1499999999999999</v>
      </c>
      <c r="AD79" s="144">
        <v>1.1499999999999999</v>
      </c>
      <c r="AE79" s="144">
        <v>1.1499999999999999</v>
      </c>
      <c r="AF79" s="144">
        <v>1.1499999999999999</v>
      </c>
      <c r="AG79" s="144">
        <v>1.1499999999999999</v>
      </c>
      <c r="AH79" s="144">
        <v>1.1499999999999999</v>
      </c>
      <c r="AI79" s="144">
        <v>1.1499999999999999</v>
      </c>
      <c r="AJ79" s="151">
        <v>1.1499999999999999</v>
      </c>
      <c r="AK79" s="7"/>
    </row>
    <row r="80" spans="1:37" x14ac:dyDescent="0.35">
      <c r="A80" s="8">
        <v>77</v>
      </c>
      <c r="B80" s="244">
        <v>165150</v>
      </c>
      <c r="C80" s="244">
        <v>158334</v>
      </c>
      <c r="D80" s="244">
        <v>147087</v>
      </c>
      <c r="E80" s="244">
        <v>141016</v>
      </c>
      <c r="F80" s="244">
        <v>155084</v>
      </c>
      <c r="G80" s="244">
        <v>148683</v>
      </c>
      <c r="I80" s="49">
        <v>15.5</v>
      </c>
      <c r="J80" s="270">
        <v>3834.53</v>
      </c>
      <c r="L80" s="165">
        <f t="shared" si="3"/>
        <v>76</v>
      </c>
      <c r="M80" s="158">
        <v>0</v>
      </c>
      <c r="N80" s="133">
        <v>0</v>
      </c>
      <c r="O80" s="133">
        <v>0</v>
      </c>
      <c r="P80" s="133">
        <v>0</v>
      </c>
      <c r="Q80" s="133">
        <v>0</v>
      </c>
      <c r="R80" s="134">
        <v>0</v>
      </c>
      <c r="T80" s="150">
        <f t="shared" si="4"/>
        <v>77</v>
      </c>
      <c r="U80" s="146">
        <v>1</v>
      </c>
      <c r="V80" s="144">
        <v>1.05</v>
      </c>
      <c r="W80" s="144">
        <v>1.1000000000000001</v>
      </c>
      <c r="X80" s="144">
        <v>1.1499999999999999</v>
      </c>
      <c r="Y80" s="144">
        <v>1.1499999999999999</v>
      </c>
      <c r="Z80" s="144">
        <v>1.1499999999999999</v>
      </c>
      <c r="AA80" s="144">
        <v>1.1499999999999999</v>
      </c>
      <c r="AB80" s="144">
        <v>1.1499999999999999</v>
      </c>
      <c r="AC80" s="144">
        <v>1.1499999999999999</v>
      </c>
      <c r="AD80" s="144">
        <v>1.1499999999999999</v>
      </c>
      <c r="AE80" s="144">
        <v>1.1499999999999999</v>
      </c>
      <c r="AF80" s="144">
        <v>1.1499999999999999</v>
      </c>
      <c r="AG80" s="144">
        <v>1.1499999999999999</v>
      </c>
      <c r="AH80" s="144">
        <v>1.1499999999999999</v>
      </c>
      <c r="AI80" s="144">
        <v>1.1499999999999999</v>
      </c>
      <c r="AJ80" s="151">
        <v>1.1499999999999999</v>
      </c>
      <c r="AK80" s="7"/>
    </row>
    <row r="81" spans="1:37" x14ac:dyDescent="0.35">
      <c r="A81" s="8">
        <v>78</v>
      </c>
      <c r="B81" s="244">
        <v>176096</v>
      </c>
      <c r="C81" s="244">
        <v>166980</v>
      </c>
      <c r="D81" s="244">
        <v>156836</v>
      </c>
      <c r="E81" s="244">
        <v>148717</v>
      </c>
      <c r="F81" s="244">
        <v>165362</v>
      </c>
      <c r="G81" s="244">
        <v>156802</v>
      </c>
      <c r="I81" s="49">
        <v>16</v>
      </c>
      <c r="J81" s="270">
        <v>3834.53</v>
      </c>
      <c r="L81" s="165">
        <f t="shared" si="3"/>
        <v>77</v>
      </c>
      <c r="M81" s="158">
        <v>0</v>
      </c>
      <c r="N81" s="133">
        <v>0</v>
      </c>
      <c r="O81" s="133">
        <v>0</v>
      </c>
      <c r="P81" s="133">
        <v>0</v>
      </c>
      <c r="Q81" s="133">
        <v>0</v>
      </c>
      <c r="R81" s="134">
        <v>0</v>
      </c>
      <c r="T81" s="150">
        <f t="shared" si="4"/>
        <v>78</v>
      </c>
      <c r="U81" s="146">
        <v>1</v>
      </c>
      <c r="V81" s="144">
        <v>1.05</v>
      </c>
      <c r="W81" s="144">
        <v>1.1000000000000001</v>
      </c>
      <c r="X81" s="144">
        <v>1.1499999999999999</v>
      </c>
      <c r="Y81" s="144">
        <v>1.1499999999999999</v>
      </c>
      <c r="Z81" s="144">
        <v>1.1499999999999999</v>
      </c>
      <c r="AA81" s="144">
        <v>1.1499999999999999</v>
      </c>
      <c r="AB81" s="144">
        <v>1.1499999999999999</v>
      </c>
      <c r="AC81" s="144">
        <v>1.1499999999999999</v>
      </c>
      <c r="AD81" s="144">
        <v>1.1499999999999999</v>
      </c>
      <c r="AE81" s="144">
        <v>1.1499999999999999</v>
      </c>
      <c r="AF81" s="144">
        <v>1.1499999999999999</v>
      </c>
      <c r="AG81" s="144">
        <v>1.1499999999999999</v>
      </c>
      <c r="AH81" s="144">
        <v>1.1499999999999999</v>
      </c>
      <c r="AI81" s="144">
        <v>1.1499999999999999</v>
      </c>
      <c r="AJ81" s="151">
        <v>1.1499999999999999</v>
      </c>
      <c r="AK81" s="7"/>
    </row>
    <row r="82" spans="1:37" x14ac:dyDescent="0.35">
      <c r="A82" s="8">
        <v>79</v>
      </c>
      <c r="B82" s="244">
        <v>187780</v>
      </c>
      <c r="C82" s="244">
        <v>176081</v>
      </c>
      <c r="D82" s="244">
        <v>167242</v>
      </c>
      <c r="E82" s="244">
        <v>156822</v>
      </c>
      <c r="F82" s="244">
        <v>176334</v>
      </c>
      <c r="G82" s="244">
        <v>165348</v>
      </c>
      <c r="I82" s="49">
        <v>16.3</v>
      </c>
      <c r="J82" s="270">
        <v>4058.42</v>
      </c>
      <c r="L82" s="165">
        <f t="shared" si="3"/>
        <v>78</v>
      </c>
      <c r="M82" s="158">
        <v>0</v>
      </c>
      <c r="N82" s="133">
        <v>0</v>
      </c>
      <c r="O82" s="133">
        <v>0</v>
      </c>
      <c r="P82" s="133">
        <v>0</v>
      </c>
      <c r="Q82" s="133">
        <v>0</v>
      </c>
      <c r="R82" s="134">
        <v>0</v>
      </c>
      <c r="T82" s="150">
        <f t="shared" si="4"/>
        <v>79</v>
      </c>
      <c r="U82" s="146">
        <v>1</v>
      </c>
      <c r="V82" s="144">
        <v>1.05</v>
      </c>
      <c r="W82" s="144">
        <v>1.1000000000000001</v>
      </c>
      <c r="X82" s="144">
        <v>1.1499999999999999</v>
      </c>
      <c r="Y82" s="144">
        <v>1.1499999999999999</v>
      </c>
      <c r="Z82" s="144">
        <v>1.1499999999999999</v>
      </c>
      <c r="AA82" s="144">
        <v>1.1499999999999999</v>
      </c>
      <c r="AB82" s="144">
        <v>1.1499999999999999</v>
      </c>
      <c r="AC82" s="144">
        <v>1.1499999999999999</v>
      </c>
      <c r="AD82" s="144">
        <v>1.1499999999999999</v>
      </c>
      <c r="AE82" s="144">
        <v>1.1499999999999999</v>
      </c>
      <c r="AF82" s="144">
        <v>1.1499999999999999</v>
      </c>
      <c r="AG82" s="144">
        <v>1.1499999999999999</v>
      </c>
      <c r="AH82" s="144">
        <v>1.1499999999999999</v>
      </c>
      <c r="AI82" s="144">
        <v>1.1499999999999999</v>
      </c>
      <c r="AJ82" s="151">
        <v>1.1499999999999999</v>
      </c>
      <c r="AK82" s="7"/>
    </row>
    <row r="83" spans="1:37" x14ac:dyDescent="0.35">
      <c r="A83" s="8">
        <v>80</v>
      </c>
      <c r="B83" s="244">
        <v>195332</v>
      </c>
      <c r="C83" s="244">
        <v>182706</v>
      </c>
      <c r="D83" s="244">
        <v>173968</v>
      </c>
      <c r="E83" s="244">
        <v>162723</v>
      </c>
      <c r="F83" s="244">
        <v>183426</v>
      </c>
      <c r="G83" s="244">
        <v>171569</v>
      </c>
      <c r="I83" s="49">
        <v>17.2</v>
      </c>
      <c r="J83" s="270">
        <v>4282.3</v>
      </c>
      <c r="L83" s="165">
        <f t="shared" si="3"/>
        <v>79</v>
      </c>
      <c r="M83" s="158">
        <v>0</v>
      </c>
      <c r="N83" s="133">
        <v>0</v>
      </c>
      <c r="O83" s="133">
        <v>0</v>
      </c>
      <c r="P83" s="133">
        <v>0</v>
      </c>
      <c r="Q83" s="133">
        <v>0</v>
      </c>
      <c r="R83" s="134">
        <v>0</v>
      </c>
      <c r="T83" s="150">
        <f t="shared" si="4"/>
        <v>80</v>
      </c>
      <c r="U83" s="146">
        <v>1</v>
      </c>
      <c r="V83" s="144">
        <v>1.05</v>
      </c>
      <c r="W83" s="144">
        <v>1.1000000000000001</v>
      </c>
      <c r="X83" s="144">
        <v>1.1499999999999999</v>
      </c>
      <c r="Y83" s="144">
        <v>1.1499999999999999</v>
      </c>
      <c r="Z83" s="144">
        <v>1.1499999999999999</v>
      </c>
      <c r="AA83" s="144">
        <v>1.1499999999999999</v>
      </c>
      <c r="AB83" s="144">
        <v>1.1499999999999999</v>
      </c>
      <c r="AC83" s="144">
        <v>1.1499999999999999</v>
      </c>
      <c r="AD83" s="144">
        <v>1.1499999999999999</v>
      </c>
      <c r="AE83" s="144">
        <v>1.1499999999999999</v>
      </c>
      <c r="AF83" s="144">
        <v>1.1499999999999999</v>
      </c>
      <c r="AG83" s="144">
        <v>1.1499999999999999</v>
      </c>
      <c r="AH83" s="144">
        <v>1.1499999999999999</v>
      </c>
      <c r="AI83" s="144">
        <v>1.1499999999999999</v>
      </c>
      <c r="AJ83" s="151">
        <v>1.1499999999999999</v>
      </c>
      <c r="AK83" s="7"/>
    </row>
    <row r="84" spans="1:37" x14ac:dyDescent="0.35">
      <c r="A84" s="8">
        <v>81</v>
      </c>
      <c r="B84" s="244">
        <v>203197</v>
      </c>
      <c r="C84" s="244">
        <v>189574</v>
      </c>
      <c r="D84" s="244">
        <v>180973</v>
      </c>
      <c r="E84" s="244">
        <v>168839</v>
      </c>
      <c r="F84" s="244">
        <v>190811</v>
      </c>
      <c r="G84" s="244">
        <v>178018</v>
      </c>
      <c r="I84" s="49">
        <v>18</v>
      </c>
      <c r="J84" s="270">
        <v>4282.3</v>
      </c>
      <c r="L84" s="165">
        <f t="shared" si="3"/>
        <v>80</v>
      </c>
      <c r="M84" s="158">
        <v>0</v>
      </c>
      <c r="N84" s="133">
        <v>0</v>
      </c>
      <c r="O84" s="133">
        <v>0</v>
      </c>
      <c r="P84" s="133">
        <v>0</v>
      </c>
      <c r="Q84" s="133">
        <v>0</v>
      </c>
      <c r="R84" s="134">
        <v>0</v>
      </c>
      <c r="T84" s="150">
        <f t="shared" si="4"/>
        <v>81</v>
      </c>
      <c r="U84" s="146">
        <v>1</v>
      </c>
      <c r="V84" s="144">
        <v>1.05</v>
      </c>
      <c r="W84" s="144">
        <v>1.1000000000000001</v>
      </c>
      <c r="X84" s="144">
        <v>1.1499999999999999</v>
      </c>
      <c r="Y84" s="144">
        <v>1.1499999999999999</v>
      </c>
      <c r="Z84" s="144">
        <v>1.1499999999999999</v>
      </c>
      <c r="AA84" s="144">
        <v>1.1499999999999999</v>
      </c>
      <c r="AB84" s="144">
        <v>1.1499999999999999</v>
      </c>
      <c r="AC84" s="144">
        <v>1.1499999999999999</v>
      </c>
      <c r="AD84" s="144">
        <v>1.1499999999999999</v>
      </c>
      <c r="AE84" s="144">
        <v>1.1499999999999999</v>
      </c>
      <c r="AF84" s="144">
        <v>1.1499999999999999</v>
      </c>
      <c r="AG84" s="144">
        <v>1.1499999999999999</v>
      </c>
      <c r="AH84" s="144">
        <v>1.1499999999999999</v>
      </c>
      <c r="AI84" s="144">
        <v>1.1499999999999999</v>
      </c>
      <c r="AJ84" s="151">
        <v>1.1499999999999999</v>
      </c>
      <c r="AK84" s="7"/>
    </row>
    <row r="85" spans="1:37" x14ac:dyDescent="0.35">
      <c r="A85" s="8">
        <v>82</v>
      </c>
      <c r="B85" s="244">
        <v>211400</v>
      </c>
      <c r="C85" s="244">
        <v>196705</v>
      </c>
      <c r="D85" s="244">
        <v>188278</v>
      </c>
      <c r="E85" s="244">
        <v>175190</v>
      </c>
      <c r="F85" s="244">
        <v>198514</v>
      </c>
      <c r="G85" s="244">
        <v>184715</v>
      </c>
      <c r="I85" s="49">
        <v>18.2</v>
      </c>
      <c r="J85" s="270">
        <v>4506.1899999999996</v>
      </c>
      <c r="L85" s="165">
        <f t="shared" si="3"/>
        <v>81</v>
      </c>
      <c r="M85" s="158">
        <v>0</v>
      </c>
      <c r="N85" s="133">
        <v>0</v>
      </c>
      <c r="O85" s="133">
        <v>0</v>
      </c>
      <c r="P85" s="133">
        <v>0</v>
      </c>
      <c r="Q85" s="133">
        <v>0</v>
      </c>
      <c r="R85" s="134">
        <v>0</v>
      </c>
      <c r="T85" s="150">
        <f t="shared" si="4"/>
        <v>82</v>
      </c>
      <c r="U85" s="146">
        <v>1</v>
      </c>
      <c r="V85" s="144">
        <v>1.05</v>
      </c>
      <c r="W85" s="144">
        <v>1.1000000000000001</v>
      </c>
      <c r="X85" s="144">
        <v>1.1499999999999999</v>
      </c>
      <c r="Y85" s="144">
        <v>1.1499999999999999</v>
      </c>
      <c r="Z85" s="144">
        <v>1.1499999999999999</v>
      </c>
      <c r="AA85" s="144">
        <v>1.1499999999999999</v>
      </c>
      <c r="AB85" s="144">
        <v>1.1499999999999999</v>
      </c>
      <c r="AC85" s="144">
        <v>1.1499999999999999</v>
      </c>
      <c r="AD85" s="144">
        <v>1.1499999999999999</v>
      </c>
      <c r="AE85" s="144">
        <v>1.1499999999999999</v>
      </c>
      <c r="AF85" s="144">
        <v>1.1499999999999999</v>
      </c>
      <c r="AG85" s="144">
        <v>1.1499999999999999</v>
      </c>
      <c r="AH85" s="144">
        <v>1.1499999999999999</v>
      </c>
      <c r="AI85" s="144">
        <v>1.1499999999999999</v>
      </c>
      <c r="AJ85" s="151">
        <v>1.1499999999999999</v>
      </c>
      <c r="AK85" s="7"/>
    </row>
    <row r="86" spans="1:37" x14ac:dyDescent="0.35">
      <c r="A86" s="8">
        <v>83</v>
      </c>
      <c r="B86" s="244">
        <v>219915</v>
      </c>
      <c r="C86" s="244">
        <v>204103</v>
      </c>
      <c r="D86" s="244">
        <v>195862</v>
      </c>
      <c r="E86" s="244">
        <v>181779</v>
      </c>
      <c r="F86" s="244">
        <v>206510</v>
      </c>
      <c r="G86" s="244">
        <v>191662</v>
      </c>
      <c r="I86" s="49">
        <v>19.100000000000001</v>
      </c>
      <c r="J86" s="270">
        <v>4730.08</v>
      </c>
      <c r="L86" s="165">
        <f t="shared" si="3"/>
        <v>82</v>
      </c>
      <c r="M86" s="158">
        <v>0</v>
      </c>
      <c r="N86" s="133">
        <v>0</v>
      </c>
      <c r="O86" s="133">
        <v>0</v>
      </c>
      <c r="P86" s="133">
        <v>0</v>
      </c>
      <c r="Q86" s="133">
        <v>0</v>
      </c>
      <c r="R86" s="134">
        <v>0</v>
      </c>
      <c r="T86" s="150">
        <f t="shared" si="4"/>
        <v>83</v>
      </c>
      <c r="U86" s="146">
        <v>1</v>
      </c>
      <c r="V86" s="144">
        <v>1.05</v>
      </c>
      <c r="W86" s="144">
        <v>1.1000000000000001</v>
      </c>
      <c r="X86" s="144">
        <v>1.1499999999999999</v>
      </c>
      <c r="Y86" s="144">
        <v>1.1499999999999999</v>
      </c>
      <c r="Z86" s="144">
        <v>1.1499999999999999</v>
      </c>
      <c r="AA86" s="144">
        <v>1.1499999999999999</v>
      </c>
      <c r="AB86" s="144">
        <v>1.1499999999999999</v>
      </c>
      <c r="AC86" s="144">
        <v>1.1499999999999999</v>
      </c>
      <c r="AD86" s="144">
        <v>1.1499999999999999</v>
      </c>
      <c r="AE86" s="144">
        <v>1.1499999999999999</v>
      </c>
      <c r="AF86" s="144">
        <v>1.1499999999999999</v>
      </c>
      <c r="AG86" s="144">
        <v>1.1499999999999999</v>
      </c>
      <c r="AH86" s="144">
        <v>1.1499999999999999</v>
      </c>
      <c r="AI86" s="144">
        <v>1.1499999999999999</v>
      </c>
      <c r="AJ86" s="151">
        <v>1.1499999999999999</v>
      </c>
      <c r="AK86" s="7"/>
    </row>
    <row r="87" spans="1:37" ht="15" thickBot="1" x14ac:dyDescent="0.4">
      <c r="A87" s="8">
        <v>84</v>
      </c>
      <c r="B87" s="244">
        <v>228769</v>
      </c>
      <c r="C87" s="244">
        <v>211777</v>
      </c>
      <c r="D87" s="244">
        <v>203747</v>
      </c>
      <c r="E87" s="244">
        <v>188614</v>
      </c>
      <c r="F87" s="244">
        <v>214824</v>
      </c>
      <c r="G87" s="244">
        <v>198868</v>
      </c>
      <c r="I87" s="258">
        <v>20</v>
      </c>
      <c r="J87" s="271">
        <v>4730.08</v>
      </c>
      <c r="L87" s="165">
        <f t="shared" ref="L87:L103" si="5">L86+1</f>
        <v>83</v>
      </c>
      <c r="M87" s="158">
        <v>0</v>
      </c>
      <c r="N87" s="133">
        <v>0</v>
      </c>
      <c r="O87" s="133">
        <v>0</v>
      </c>
      <c r="P87" s="133">
        <v>0</v>
      </c>
      <c r="Q87" s="133">
        <v>0</v>
      </c>
      <c r="R87" s="134">
        <v>0</v>
      </c>
      <c r="T87" s="150">
        <f t="shared" si="4"/>
        <v>84</v>
      </c>
      <c r="U87" s="146">
        <v>1</v>
      </c>
      <c r="V87" s="144">
        <v>1.05</v>
      </c>
      <c r="W87" s="144">
        <v>1.1000000000000001</v>
      </c>
      <c r="X87" s="144">
        <v>1.1499999999999999</v>
      </c>
      <c r="Y87" s="144">
        <v>1.1499999999999999</v>
      </c>
      <c r="Z87" s="144">
        <v>1.1499999999999999</v>
      </c>
      <c r="AA87" s="144">
        <v>1.1499999999999999</v>
      </c>
      <c r="AB87" s="144">
        <v>1.1499999999999999</v>
      </c>
      <c r="AC87" s="144">
        <v>1.1499999999999999</v>
      </c>
      <c r="AD87" s="144">
        <v>1.1499999999999999</v>
      </c>
      <c r="AE87" s="144">
        <v>1.1499999999999999</v>
      </c>
      <c r="AF87" s="144">
        <v>1.1499999999999999</v>
      </c>
      <c r="AG87" s="144">
        <v>1.1499999999999999</v>
      </c>
      <c r="AH87" s="144">
        <v>1.1499999999999999</v>
      </c>
      <c r="AI87" s="144">
        <v>1.1499999999999999</v>
      </c>
      <c r="AJ87" s="151">
        <v>1.1499999999999999</v>
      </c>
      <c r="AK87" s="7"/>
    </row>
    <row r="88" spans="1:37" x14ac:dyDescent="0.35">
      <c r="A88" s="8">
        <v>85</v>
      </c>
      <c r="B88" s="244">
        <v>242238</v>
      </c>
      <c r="C88" s="244">
        <v>223630</v>
      </c>
      <c r="D88" s="244">
        <v>215743</v>
      </c>
      <c r="E88" s="244">
        <v>199171</v>
      </c>
      <c r="F88" s="244">
        <v>227472</v>
      </c>
      <c r="G88" s="244">
        <v>209999</v>
      </c>
      <c r="L88" s="165">
        <f t="shared" si="5"/>
        <v>84</v>
      </c>
      <c r="M88" s="158">
        <v>0</v>
      </c>
      <c r="N88" s="133">
        <v>0</v>
      </c>
      <c r="O88" s="133">
        <v>0</v>
      </c>
      <c r="P88" s="133">
        <v>0</v>
      </c>
      <c r="Q88" s="133">
        <v>0</v>
      </c>
      <c r="R88" s="134">
        <v>0</v>
      </c>
      <c r="T88" s="150">
        <f t="shared" si="4"/>
        <v>85</v>
      </c>
      <c r="U88" s="146">
        <v>1</v>
      </c>
      <c r="V88" s="144">
        <v>1.05</v>
      </c>
      <c r="W88" s="144">
        <v>1.1000000000000001</v>
      </c>
      <c r="X88" s="144">
        <v>1.1499999999999999</v>
      </c>
      <c r="Y88" s="144">
        <v>1.1499999999999999</v>
      </c>
      <c r="Z88" s="144">
        <v>1.1499999999999999</v>
      </c>
      <c r="AA88" s="144">
        <v>1.1499999999999999</v>
      </c>
      <c r="AB88" s="144">
        <v>1.1499999999999999</v>
      </c>
      <c r="AC88" s="144">
        <v>1.1499999999999999</v>
      </c>
      <c r="AD88" s="144">
        <v>1.1499999999999999</v>
      </c>
      <c r="AE88" s="144">
        <v>1.1499999999999999</v>
      </c>
      <c r="AF88" s="144">
        <v>1.1499999999999999</v>
      </c>
      <c r="AG88" s="144">
        <v>1.1499999999999999</v>
      </c>
      <c r="AH88" s="144">
        <v>1.1499999999999999</v>
      </c>
      <c r="AI88" s="144">
        <v>1.1499999999999999</v>
      </c>
      <c r="AJ88" s="151">
        <v>1.1499999999999999</v>
      </c>
      <c r="AK88" s="7"/>
    </row>
    <row r="89" spans="1:37" x14ac:dyDescent="0.35">
      <c r="A89" s="8">
        <v>86</v>
      </c>
      <c r="B89" s="244">
        <v>256484</v>
      </c>
      <c r="C89" s="244">
        <v>236136</v>
      </c>
      <c r="D89" s="244">
        <v>228431</v>
      </c>
      <c r="E89" s="244">
        <v>210308</v>
      </c>
      <c r="F89" s="244">
        <v>240850</v>
      </c>
      <c r="G89" s="244">
        <v>221742</v>
      </c>
      <c r="L89" s="165">
        <f t="shared" si="5"/>
        <v>85</v>
      </c>
      <c r="M89" s="158">
        <v>0</v>
      </c>
      <c r="N89" s="133">
        <v>0</v>
      </c>
      <c r="O89" s="133">
        <v>0</v>
      </c>
      <c r="P89" s="133">
        <v>0</v>
      </c>
      <c r="Q89" s="133">
        <v>0</v>
      </c>
      <c r="R89" s="134">
        <v>0</v>
      </c>
      <c r="T89" s="150">
        <f t="shared" si="4"/>
        <v>86</v>
      </c>
      <c r="U89" s="146">
        <v>1</v>
      </c>
      <c r="V89" s="144">
        <v>1.05</v>
      </c>
      <c r="W89" s="144">
        <v>1.1000000000000001</v>
      </c>
      <c r="X89" s="144">
        <v>1.1499999999999999</v>
      </c>
      <c r="Y89" s="144">
        <v>1.1499999999999999</v>
      </c>
      <c r="Z89" s="144">
        <v>1.1499999999999999</v>
      </c>
      <c r="AA89" s="144">
        <v>1.1499999999999999</v>
      </c>
      <c r="AB89" s="144">
        <v>1.1499999999999999</v>
      </c>
      <c r="AC89" s="144">
        <v>1.1499999999999999</v>
      </c>
      <c r="AD89" s="144">
        <v>1.1499999999999999</v>
      </c>
      <c r="AE89" s="144">
        <v>1.1499999999999999</v>
      </c>
      <c r="AF89" s="144">
        <v>1.1499999999999999</v>
      </c>
      <c r="AG89" s="144">
        <v>1.1499999999999999</v>
      </c>
      <c r="AH89" s="144">
        <v>1.1499999999999999</v>
      </c>
      <c r="AI89" s="144">
        <v>1.1499999999999999</v>
      </c>
      <c r="AJ89" s="151">
        <v>1.1499999999999999</v>
      </c>
      <c r="AK89" s="7"/>
    </row>
    <row r="90" spans="1:37" x14ac:dyDescent="0.35">
      <c r="A90" s="8">
        <v>87</v>
      </c>
      <c r="B90" s="244">
        <v>271580</v>
      </c>
      <c r="C90" s="244">
        <v>249333</v>
      </c>
      <c r="D90" s="244">
        <v>241876</v>
      </c>
      <c r="E90" s="244">
        <v>222062</v>
      </c>
      <c r="F90" s="244">
        <v>255026</v>
      </c>
      <c r="G90" s="244">
        <v>234135</v>
      </c>
      <c r="L90" s="165">
        <f t="shared" si="5"/>
        <v>86</v>
      </c>
      <c r="M90" s="158">
        <v>0</v>
      </c>
      <c r="N90" s="133">
        <v>0</v>
      </c>
      <c r="O90" s="133">
        <v>0</v>
      </c>
      <c r="P90" s="133">
        <v>0</v>
      </c>
      <c r="Q90" s="133">
        <v>0</v>
      </c>
      <c r="R90" s="134">
        <v>0</v>
      </c>
      <c r="T90" s="150">
        <f t="shared" si="4"/>
        <v>87</v>
      </c>
      <c r="U90" s="146">
        <v>1</v>
      </c>
      <c r="V90" s="144">
        <v>1.05</v>
      </c>
      <c r="W90" s="144">
        <v>1.1000000000000001</v>
      </c>
      <c r="X90" s="144">
        <v>1.1499999999999999</v>
      </c>
      <c r="Y90" s="144">
        <v>1.1499999999999999</v>
      </c>
      <c r="Z90" s="144">
        <v>1.1499999999999999</v>
      </c>
      <c r="AA90" s="144">
        <v>1.1499999999999999</v>
      </c>
      <c r="AB90" s="144">
        <v>1.1499999999999999</v>
      </c>
      <c r="AC90" s="144">
        <v>1.1499999999999999</v>
      </c>
      <c r="AD90" s="144">
        <v>1.1499999999999999</v>
      </c>
      <c r="AE90" s="144">
        <v>1.1499999999999999</v>
      </c>
      <c r="AF90" s="144">
        <v>1.1499999999999999</v>
      </c>
      <c r="AG90" s="144">
        <v>1.1499999999999999</v>
      </c>
      <c r="AH90" s="144">
        <v>1.1499999999999999</v>
      </c>
      <c r="AI90" s="144">
        <v>1.1499999999999999</v>
      </c>
      <c r="AJ90" s="151">
        <v>1.1499999999999999</v>
      </c>
      <c r="AK90" s="7"/>
    </row>
    <row r="91" spans="1:37" x14ac:dyDescent="0.35">
      <c r="A91" s="8">
        <v>88</v>
      </c>
      <c r="B91" s="244">
        <v>287568</v>
      </c>
      <c r="C91" s="244">
        <v>263273</v>
      </c>
      <c r="D91" s="244">
        <v>256116</v>
      </c>
      <c r="E91" s="244">
        <v>234478</v>
      </c>
      <c r="F91" s="244">
        <v>270039</v>
      </c>
      <c r="G91" s="244">
        <v>247225</v>
      </c>
      <c r="L91" s="165">
        <f t="shared" si="5"/>
        <v>87</v>
      </c>
      <c r="M91" s="158">
        <v>0</v>
      </c>
      <c r="N91" s="133">
        <v>0</v>
      </c>
      <c r="O91" s="133">
        <v>0</v>
      </c>
      <c r="P91" s="133">
        <v>0</v>
      </c>
      <c r="Q91" s="133">
        <v>0</v>
      </c>
      <c r="R91" s="134">
        <v>0</v>
      </c>
      <c r="T91" s="150">
        <f t="shared" si="4"/>
        <v>88</v>
      </c>
      <c r="U91" s="146">
        <v>1</v>
      </c>
      <c r="V91" s="144">
        <v>1.05</v>
      </c>
      <c r="W91" s="144">
        <v>1.1000000000000001</v>
      </c>
      <c r="X91" s="144">
        <v>1.1499999999999999</v>
      </c>
      <c r="Y91" s="144">
        <v>1.1499999999999999</v>
      </c>
      <c r="Z91" s="144">
        <v>1.1499999999999999</v>
      </c>
      <c r="AA91" s="144">
        <v>1.1499999999999999</v>
      </c>
      <c r="AB91" s="144">
        <v>1.1499999999999999</v>
      </c>
      <c r="AC91" s="144">
        <v>1.1499999999999999</v>
      </c>
      <c r="AD91" s="144">
        <v>1.1499999999999999</v>
      </c>
      <c r="AE91" s="144">
        <v>1.1499999999999999</v>
      </c>
      <c r="AF91" s="144">
        <v>1.1499999999999999</v>
      </c>
      <c r="AG91" s="144">
        <v>1.1499999999999999</v>
      </c>
      <c r="AH91" s="144">
        <v>1.1499999999999999</v>
      </c>
      <c r="AI91" s="144">
        <v>1.1499999999999999</v>
      </c>
      <c r="AJ91" s="151">
        <v>1.1499999999999999</v>
      </c>
      <c r="AK91" s="7"/>
    </row>
    <row r="92" spans="1:37" x14ac:dyDescent="0.35">
      <c r="A92" s="8">
        <v>89</v>
      </c>
      <c r="B92" s="244">
        <v>304479</v>
      </c>
      <c r="C92" s="244">
        <v>277991</v>
      </c>
      <c r="D92" s="244">
        <v>271177</v>
      </c>
      <c r="E92" s="244">
        <v>247586</v>
      </c>
      <c r="F92" s="244">
        <v>285919</v>
      </c>
      <c r="G92" s="244">
        <v>261046</v>
      </c>
      <c r="L92" s="165">
        <f t="shared" si="5"/>
        <v>88</v>
      </c>
      <c r="M92" s="158">
        <v>0</v>
      </c>
      <c r="N92" s="133">
        <v>0</v>
      </c>
      <c r="O92" s="133">
        <v>0</v>
      </c>
      <c r="P92" s="133">
        <v>0</v>
      </c>
      <c r="Q92" s="133">
        <v>0</v>
      </c>
      <c r="R92" s="134">
        <v>0</v>
      </c>
      <c r="T92" s="150">
        <f t="shared" si="4"/>
        <v>89</v>
      </c>
      <c r="U92" s="146">
        <v>1</v>
      </c>
      <c r="V92" s="144">
        <v>1.05</v>
      </c>
      <c r="W92" s="144">
        <v>1.1000000000000001</v>
      </c>
      <c r="X92" s="144">
        <v>1.1499999999999999</v>
      </c>
      <c r="Y92" s="144">
        <v>1.1499999999999999</v>
      </c>
      <c r="Z92" s="144">
        <v>1.1499999999999999</v>
      </c>
      <c r="AA92" s="144">
        <v>1.1499999999999999</v>
      </c>
      <c r="AB92" s="144">
        <v>1.1499999999999999</v>
      </c>
      <c r="AC92" s="144">
        <v>1.1499999999999999</v>
      </c>
      <c r="AD92" s="144">
        <v>1.1499999999999999</v>
      </c>
      <c r="AE92" s="144">
        <v>1.1499999999999999</v>
      </c>
      <c r="AF92" s="144">
        <v>1.1499999999999999</v>
      </c>
      <c r="AG92" s="144">
        <v>1.1499999999999999</v>
      </c>
      <c r="AH92" s="144">
        <v>1.1499999999999999</v>
      </c>
      <c r="AI92" s="144">
        <v>1.1499999999999999</v>
      </c>
      <c r="AJ92" s="151">
        <v>1.1499999999999999</v>
      </c>
      <c r="AK92" s="7"/>
    </row>
    <row r="93" spans="1:37" x14ac:dyDescent="0.35">
      <c r="A93" s="8">
        <v>90</v>
      </c>
      <c r="B93" s="244">
        <v>322404</v>
      </c>
      <c r="C93" s="244">
        <v>293425</v>
      </c>
      <c r="D93" s="244">
        <v>287141</v>
      </c>
      <c r="E93" s="244">
        <v>261331</v>
      </c>
      <c r="F93" s="244">
        <v>302752</v>
      </c>
      <c r="G93" s="244">
        <v>275539</v>
      </c>
      <c r="L93" s="165">
        <f t="shared" si="5"/>
        <v>89</v>
      </c>
      <c r="M93" s="158">
        <v>0</v>
      </c>
      <c r="N93" s="133">
        <v>0</v>
      </c>
      <c r="O93" s="133">
        <v>0</v>
      </c>
      <c r="P93" s="133">
        <v>0</v>
      </c>
      <c r="Q93" s="133">
        <v>0</v>
      </c>
      <c r="R93" s="134">
        <v>0</v>
      </c>
      <c r="T93" s="150">
        <f t="shared" si="4"/>
        <v>90</v>
      </c>
      <c r="U93" s="146">
        <v>1</v>
      </c>
      <c r="V93" s="144">
        <v>1.05</v>
      </c>
      <c r="W93" s="144">
        <v>1.1000000000000001</v>
      </c>
      <c r="X93" s="144">
        <v>1.1499999999999999</v>
      </c>
      <c r="Y93" s="144">
        <v>1.1499999999999999</v>
      </c>
      <c r="Z93" s="144">
        <v>1.1499999999999999</v>
      </c>
      <c r="AA93" s="144">
        <v>1.1499999999999999</v>
      </c>
      <c r="AB93" s="144">
        <v>1.1499999999999999</v>
      </c>
      <c r="AC93" s="144">
        <v>1.1499999999999999</v>
      </c>
      <c r="AD93" s="144">
        <v>1.1499999999999999</v>
      </c>
      <c r="AE93" s="144">
        <v>1.1499999999999999</v>
      </c>
      <c r="AF93" s="144">
        <v>1.1499999999999999</v>
      </c>
      <c r="AG93" s="144">
        <v>1.1499999999999999</v>
      </c>
      <c r="AH93" s="144">
        <v>1.1499999999999999</v>
      </c>
      <c r="AI93" s="144">
        <v>1.1499999999999999</v>
      </c>
      <c r="AJ93" s="151">
        <v>1.1499999999999999</v>
      </c>
      <c r="AK93" s="7"/>
    </row>
    <row r="94" spans="1:37" x14ac:dyDescent="0.35">
      <c r="A94" s="8">
        <v>91</v>
      </c>
      <c r="B94" s="244">
        <v>341408</v>
      </c>
      <c r="C94" s="244">
        <v>309701</v>
      </c>
      <c r="D94" s="244">
        <v>304066</v>
      </c>
      <c r="E94" s="244">
        <v>275827</v>
      </c>
      <c r="F94" s="244">
        <v>320597</v>
      </c>
      <c r="G94" s="244">
        <v>290823</v>
      </c>
      <c r="L94" s="165">
        <f t="shared" si="5"/>
        <v>90</v>
      </c>
      <c r="M94" s="158">
        <v>0</v>
      </c>
      <c r="N94" s="133">
        <v>0</v>
      </c>
      <c r="O94" s="133">
        <v>0</v>
      </c>
      <c r="P94" s="133">
        <v>0</v>
      </c>
      <c r="Q94" s="133">
        <v>0</v>
      </c>
      <c r="R94" s="134">
        <v>0</v>
      </c>
      <c r="T94" s="150">
        <f t="shared" si="4"/>
        <v>91</v>
      </c>
      <c r="U94" s="146">
        <v>1</v>
      </c>
      <c r="V94" s="144">
        <v>1.05</v>
      </c>
      <c r="W94" s="144">
        <v>1.1000000000000001</v>
      </c>
      <c r="X94" s="144">
        <v>1.1499999999999999</v>
      </c>
      <c r="Y94" s="144">
        <v>1.1499999999999999</v>
      </c>
      <c r="Z94" s="144">
        <v>1.1499999999999999</v>
      </c>
      <c r="AA94" s="144">
        <v>1.1499999999999999</v>
      </c>
      <c r="AB94" s="144">
        <v>1.1499999999999999</v>
      </c>
      <c r="AC94" s="144">
        <v>1.1499999999999999</v>
      </c>
      <c r="AD94" s="144">
        <v>1.1499999999999999</v>
      </c>
      <c r="AE94" s="144">
        <v>1.1499999999999999</v>
      </c>
      <c r="AF94" s="144">
        <v>1.1499999999999999</v>
      </c>
      <c r="AG94" s="144">
        <v>1.1499999999999999</v>
      </c>
      <c r="AH94" s="144">
        <v>1.1499999999999999</v>
      </c>
      <c r="AI94" s="144">
        <v>1.1499999999999999</v>
      </c>
      <c r="AJ94" s="151">
        <v>1.1499999999999999</v>
      </c>
      <c r="AK94" s="7"/>
    </row>
    <row r="95" spans="1:37" x14ac:dyDescent="0.35">
      <c r="A95" s="8">
        <v>92</v>
      </c>
      <c r="B95" s="244">
        <v>361509</v>
      </c>
      <c r="C95" s="244">
        <v>326898</v>
      </c>
      <c r="D95" s="244">
        <v>321969</v>
      </c>
      <c r="E95" s="244">
        <v>291143</v>
      </c>
      <c r="F95" s="244">
        <v>339473</v>
      </c>
      <c r="G95" s="244">
        <v>306972</v>
      </c>
      <c r="L95" s="165">
        <f t="shared" si="5"/>
        <v>91</v>
      </c>
      <c r="M95" s="158">
        <v>0</v>
      </c>
      <c r="N95" s="133">
        <v>0</v>
      </c>
      <c r="O95" s="133">
        <v>0</v>
      </c>
      <c r="P95" s="133">
        <v>0</v>
      </c>
      <c r="Q95" s="133">
        <v>0</v>
      </c>
      <c r="R95" s="134">
        <v>0</v>
      </c>
      <c r="T95" s="150">
        <f t="shared" si="4"/>
        <v>92</v>
      </c>
      <c r="U95" s="146">
        <v>1</v>
      </c>
      <c r="V95" s="144">
        <v>1.05</v>
      </c>
      <c r="W95" s="144">
        <v>1.1000000000000001</v>
      </c>
      <c r="X95" s="144">
        <v>1.1499999999999999</v>
      </c>
      <c r="Y95" s="144">
        <v>1.1499999999999999</v>
      </c>
      <c r="Z95" s="144">
        <v>1.1499999999999999</v>
      </c>
      <c r="AA95" s="144">
        <v>1.1499999999999999</v>
      </c>
      <c r="AB95" s="144">
        <v>1.1499999999999999</v>
      </c>
      <c r="AC95" s="144">
        <v>1.1499999999999999</v>
      </c>
      <c r="AD95" s="144">
        <v>1.1499999999999999</v>
      </c>
      <c r="AE95" s="144">
        <v>1.1499999999999999</v>
      </c>
      <c r="AF95" s="144">
        <v>1.1499999999999999</v>
      </c>
      <c r="AG95" s="144">
        <v>1.1499999999999999</v>
      </c>
      <c r="AH95" s="144">
        <v>1.1499999999999999</v>
      </c>
      <c r="AI95" s="144">
        <v>1.1499999999999999</v>
      </c>
      <c r="AJ95" s="151">
        <v>1.1499999999999999</v>
      </c>
      <c r="AK95" s="7"/>
    </row>
    <row r="96" spans="1:37" x14ac:dyDescent="0.35">
      <c r="A96" s="8">
        <v>93</v>
      </c>
      <c r="B96" s="244">
        <v>382790</v>
      </c>
      <c r="C96" s="244">
        <v>345028</v>
      </c>
      <c r="D96" s="244">
        <v>340922</v>
      </c>
      <c r="E96" s="244">
        <v>307290</v>
      </c>
      <c r="F96" s="244">
        <v>359457</v>
      </c>
      <c r="G96" s="244">
        <v>323996</v>
      </c>
      <c r="L96" s="165">
        <f t="shared" si="5"/>
        <v>92</v>
      </c>
      <c r="M96" s="158">
        <v>0</v>
      </c>
      <c r="N96" s="133">
        <v>0</v>
      </c>
      <c r="O96" s="133">
        <v>0</v>
      </c>
      <c r="P96" s="133">
        <v>0</v>
      </c>
      <c r="Q96" s="133">
        <v>0</v>
      </c>
      <c r="R96" s="134">
        <v>0</v>
      </c>
      <c r="T96" s="150">
        <f t="shared" si="4"/>
        <v>93</v>
      </c>
      <c r="U96" s="146">
        <v>1</v>
      </c>
      <c r="V96" s="144">
        <v>1.05</v>
      </c>
      <c r="W96" s="144">
        <v>1.1000000000000001</v>
      </c>
      <c r="X96" s="144">
        <v>1.1499999999999999</v>
      </c>
      <c r="Y96" s="144">
        <v>1.1499999999999999</v>
      </c>
      <c r="Z96" s="144">
        <v>1.1499999999999999</v>
      </c>
      <c r="AA96" s="144">
        <v>1.1499999999999999</v>
      </c>
      <c r="AB96" s="144">
        <v>1.1499999999999999</v>
      </c>
      <c r="AC96" s="144">
        <v>1.1499999999999999</v>
      </c>
      <c r="AD96" s="144">
        <v>1.1499999999999999</v>
      </c>
      <c r="AE96" s="144">
        <v>1.1499999999999999</v>
      </c>
      <c r="AF96" s="144">
        <v>1.1499999999999999</v>
      </c>
      <c r="AG96" s="144">
        <v>1.1499999999999999</v>
      </c>
      <c r="AH96" s="144">
        <v>1.1499999999999999</v>
      </c>
      <c r="AI96" s="144">
        <v>1.1499999999999999</v>
      </c>
      <c r="AJ96" s="151">
        <v>1.1499999999999999</v>
      </c>
      <c r="AK96" s="7"/>
    </row>
    <row r="97" spans="1:37" x14ac:dyDescent="0.35">
      <c r="A97" s="8">
        <v>94</v>
      </c>
      <c r="B97" s="244">
        <v>405357</v>
      </c>
      <c r="C97" s="244">
        <v>364163</v>
      </c>
      <c r="D97" s="244">
        <v>361021</v>
      </c>
      <c r="E97" s="244">
        <v>324332</v>
      </c>
      <c r="F97" s="244">
        <v>380648</v>
      </c>
      <c r="G97" s="244">
        <v>341965</v>
      </c>
      <c r="L97" s="165">
        <f t="shared" si="5"/>
        <v>93</v>
      </c>
      <c r="M97" s="158">
        <v>0</v>
      </c>
      <c r="N97" s="133">
        <v>0</v>
      </c>
      <c r="O97" s="133">
        <v>0</v>
      </c>
      <c r="P97" s="133">
        <v>0</v>
      </c>
      <c r="Q97" s="133">
        <v>0</v>
      </c>
      <c r="R97" s="134">
        <v>0</v>
      </c>
      <c r="T97" s="150">
        <f t="shared" si="4"/>
        <v>94</v>
      </c>
      <c r="U97" s="146">
        <v>1</v>
      </c>
      <c r="V97" s="144">
        <v>1.05</v>
      </c>
      <c r="W97" s="144">
        <v>1.1000000000000001</v>
      </c>
      <c r="X97" s="144">
        <v>1.1499999999999999</v>
      </c>
      <c r="Y97" s="144">
        <v>1.1499999999999999</v>
      </c>
      <c r="Z97" s="144">
        <v>1.1499999999999999</v>
      </c>
      <c r="AA97" s="144">
        <v>1.1499999999999999</v>
      </c>
      <c r="AB97" s="144">
        <v>1.1499999999999999</v>
      </c>
      <c r="AC97" s="144">
        <v>1.1499999999999999</v>
      </c>
      <c r="AD97" s="144">
        <v>1.1499999999999999</v>
      </c>
      <c r="AE97" s="144">
        <v>1.1499999999999999</v>
      </c>
      <c r="AF97" s="144">
        <v>1.1499999999999999</v>
      </c>
      <c r="AG97" s="144">
        <v>1.1499999999999999</v>
      </c>
      <c r="AH97" s="144">
        <v>1.1499999999999999</v>
      </c>
      <c r="AI97" s="144">
        <v>1.1499999999999999</v>
      </c>
      <c r="AJ97" s="151">
        <v>1.1499999999999999</v>
      </c>
      <c r="AK97" s="7"/>
    </row>
    <row r="98" spans="1:37" x14ac:dyDescent="0.35">
      <c r="A98" s="8">
        <v>95</v>
      </c>
      <c r="B98" s="244">
        <v>429249</v>
      </c>
      <c r="C98" s="244">
        <v>384136</v>
      </c>
      <c r="D98" s="244">
        <v>382300</v>
      </c>
      <c r="E98" s="244">
        <v>342121</v>
      </c>
      <c r="F98" s="244">
        <v>403084</v>
      </c>
      <c r="G98" s="244">
        <v>360721</v>
      </c>
      <c r="L98" s="165">
        <f t="shared" si="5"/>
        <v>94</v>
      </c>
      <c r="M98" s="158">
        <v>0</v>
      </c>
      <c r="N98" s="133">
        <v>0</v>
      </c>
      <c r="O98" s="133">
        <v>0</v>
      </c>
      <c r="P98" s="133">
        <v>0</v>
      </c>
      <c r="Q98" s="133">
        <v>0</v>
      </c>
      <c r="R98" s="134">
        <v>0</v>
      </c>
      <c r="T98" s="150">
        <f t="shared" si="4"/>
        <v>95</v>
      </c>
      <c r="U98" s="146">
        <v>1</v>
      </c>
      <c r="V98" s="144">
        <v>1.05</v>
      </c>
      <c r="W98" s="144">
        <v>1.1000000000000001</v>
      </c>
      <c r="X98" s="144">
        <v>1.1499999999999999</v>
      </c>
      <c r="Y98" s="144">
        <v>1.1499999999999999</v>
      </c>
      <c r="Z98" s="144">
        <v>1.1499999999999999</v>
      </c>
      <c r="AA98" s="144">
        <v>1.1499999999999999</v>
      </c>
      <c r="AB98" s="144">
        <v>1.1499999999999999</v>
      </c>
      <c r="AC98" s="144">
        <v>1.1499999999999999</v>
      </c>
      <c r="AD98" s="144">
        <v>1.1499999999999999</v>
      </c>
      <c r="AE98" s="144">
        <v>1.1499999999999999</v>
      </c>
      <c r="AF98" s="144">
        <v>1.1499999999999999</v>
      </c>
      <c r="AG98" s="144">
        <v>1.1499999999999999</v>
      </c>
      <c r="AH98" s="144">
        <v>1.1499999999999999</v>
      </c>
      <c r="AI98" s="144">
        <v>1.1499999999999999</v>
      </c>
      <c r="AJ98" s="151">
        <v>1.1499999999999999</v>
      </c>
      <c r="AK98" s="7"/>
    </row>
    <row r="99" spans="1:37" x14ac:dyDescent="0.35">
      <c r="A99" s="8">
        <v>96</v>
      </c>
      <c r="B99" s="244">
        <v>454560</v>
      </c>
      <c r="C99" s="244">
        <v>405198</v>
      </c>
      <c r="D99" s="244">
        <v>404843</v>
      </c>
      <c r="E99" s="244">
        <v>360880</v>
      </c>
      <c r="F99" s="244">
        <v>426852</v>
      </c>
      <c r="G99" s="244">
        <v>380499</v>
      </c>
      <c r="L99" s="165">
        <f t="shared" si="5"/>
        <v>95</v>
      </c>
      <c r="M99" s="158">
        <v>0</v>
      </c>
      <c r="N99" s="133">
        <v>0</v>
      </c>
      <c r="O99" s="133">
        <v>0</v>
      </c>
      <c r="P99" s="133">
        <v>0</v>
      </c>
      <c r="Q99" s="133">
        <v>0</v>
      </c>
      <c r="R99" s="134">
        <v>0</v>
      </c>
      <c r="T99" s="150">
        <f t="shared" si="4"/>
        <v>96</v>
      </c>
      <c r="U99" s="146">
        <v>1</v>
      </c>
      <c r="V99" s="144">
        <v>1.05</v>
      </c>
      <c r="W99" s="144">
        <v>1.1000000000000001</v>
      </c>
      <c r="X99" s="144">
        <v>1.1499999999999999</v>
      </c>
      <c r="Y99" s="144">
        <v>1.1499999999999999</v>
      </c>
      <c r="Z99" s="144">
        <v>1.1499999999999999</v>
      </c>
      <c r="AA99" s="144">
        <v>1.1499999999999999</v>
      </c>
      <c r="AB99" s="144">
        <v>1.1499999999999999</v>
      </c>
      <c r="AC99" s="144">
        <v>1.1499999999999999</v>
      </c>
      <c r="AD99" s="144">
        <v>1.1499999999999999</v>
      </c>
      <c r="AE99" s="144">
        <v>1.1499999999999999</v>
      </c>
      <c r="AF99" s="144">
        <v>1.1499999999999999</v>
      </c>
      <c r="AG99" s="144">
        <v>1.1499999999999999</v>
      </c>
      <c r="AH99" s="144">
        <v>1.1499999999999999</v>
      </c>
      <c r="AI99" s="144">
        <v>1.1499999999999999</v>
      </c>
      <c r="AJ99" s="151">
        <v>1.1499999999999999</v>
      </c>
      <c r="AK99" s="7"/>
    </row>
    <row r="100" spans="1:37" x14ac:dyDescent="0.35">
      <c r="A100" s="8">
        <v>97</v>
      </c>
      <c r="B100" s="244">
        <v>481375</v>
      </c>
      <c r="C100" s="244">
        <v>427420</v>
      </c>
      <c r="D100" s="244">
        <v>428725</v>
      </c>
      <c r="E100" s="244">
        <v>380671</v>
      </c>
      <c r="F100" s="244">
        <v>452033</v>
      </c>
      <c r="G100" s="244">
        <v>401366</v>
      </c>
      <c r="L100" s="165">
        <f t="shared" si="5"/>
        <v>96</v>
      </c>
      <c r="M100" s="158">
        <v>0</v>
      </c>
      <c r="N100" s="133">
        <v>0</v>
      </c>
      <c r="O100" s="133">
        <v>0</v>
      </c>
      <c r="P100" s="133">
        <v>0</v>
      </c>
      <c r="Q100" s="133">
        <v>0</v>
      </c>
      <c r="R100" s="134">
        <v>0</v>
      </c>
      <c r="T100" s="150">
        <f t="shared" si="4"/>
        <v>97</v>
      </c>
      <c r="U100" s="146">
        <v>1</v>
      </c>
      <c r="V100" s="144">
        <v>1.05</v>
      </c>
      <c r="W100" s="144">
        <v>1.1000000000000001</v>
      </c>
      <c r="X100" s="144">
        <v>1.1499999999999999</v>
      </c>
      <c r="Y100" s="144">
        <v>1.1499999999999999</v>
      </c>
      <c r="Z100" s="144">
        <v>1.1499999999999999</v>
      </c>
      <c r="AA100" s="144">
        <v>1.1499999999999999</v>
      </c>
      <c r="AB100" s="144">
        <v>1.1499999999999999</v>
      </c>
      <c r="AC100" s="144">
        <v>1.1499999999999999</v>
      </c>
      <c r="AD100" s="144">
        <v>1.1499999999999999</v>
      </c>
      <c r="AE100" s="144">
        <v>1.1499999999999999</v>
      </c>
      <c r="AF100" s="144">
        <v>1.1499999999999999</v>
      </c>
      <c r="AG100" s="144">
        <v>1.1499999999999999</v>
      </c>
      <c r="AH100" s="144">
        <v>1.1499999999999999</v>
      </c>
      <c r="AI100" s="144">
        <v>1.1499999999999999</v>
      </c>
      <c r="AJ100" s="151">
        <v>1.1499999999999999</v>
      </c>
      <c r="AK100" s="7"/>
    </row>
    <row r="101" spans="1:37" x14ac:dyDescent="0.35">
      <c r="A101" s="8">
        <v>98</v>
      </c>
      <c r="B101" s="244">
        <v>509780</v>
      </c>
      <c r="C101" s="244">
        <v>450859</v>
      </c>
      <c r="D101" s="244">
        <v>454023</v>
      </c>
      <c r="E101" s="244">
        <v>401546</v>
      </c>
      <c r="F101" s="244">
        <v>478706</v>
      </c>
      <c r="G101" s="244">
        <v>423377</v>
      </c>
      <c r="L101" s="165">
        <f t="shared" si="5"/>
        <v>97</v>
      </c>
      <c r="M101" s="158">
        <v>0</v>
      </c>
      <c r="N101" s="133">
        <v>0</v>
      </c>
      <c r="O101" s="133">
        <v>0</v>
      </c>
      <c r="P101" s="133">
        <v>0</v>
      </c>
      <c r="Q101" s="133">
        <v>0</v>
      </c>
      <c r="R101" s="134">
        <v>0</v>
      </c>
      <c r="T101" s="150">
        <f t="shared" si="4"/>
        <v>98</v>
      </c>
      <c r="U101" s="146">
        <v>1</v>
      </c>
      <c r="V101" s="144">
        <v>1.05</v>
      </c>
      <c r="W101" s="144">
        <v>1.1000000000000001</v>
      </c>
      <c r="X101" s="144">
        <v>1.1499999999999999</v>
      </c>
      <c r="Y101" s="144">
        <v>1.1499999999999999</v>
      </c>
      <c r="Z101" s="144">
        <v>1.1499999999999999</v>
      </c>
      <c r="AA101" s="144">
        <v>1.1499999999999999</v>
      </c>
      <c r="AB101" s="144">
        <v>1.1499999999999999</v>
      </c>
      <c r="AC101" s="144">
        <v>1.1499999999999999</v>
      </c>
      <c r="AD101" s="144">
        <v>1.1499999999999999</v>
      </c>
      <c r="AE101" s="144">
        <v>1.1499999999999999</v>
      </c>
      <c r="AF101" s="144">
        <v>1.1499999999999999</v>
      </c>
      <c r="AG101" s="144">
        <v>1.1499999999999999</v>
      </c>
      <c r="AH101" s="144">
        <v>1.1499999999999999</v>
      </c>
      <c r="AI101" s="144">
        <v>1.1499999999999999</v>
      </c>
      <c r="AJ101" s="151">
        <v>1.1499999999999999</v>
      </c>
      <c r="AK101" s="7"/>
    </row>
    <row r="102" spans="1:37" x14ac:dyDescent="0.35">
      <c r="A102" s="8">
        <v>99</v>
      </c>
      <c r="B102" s="244">
        <v>509780</v>
      </c>
      <c r="C102" s="244">
        <v>450859</v>
      </c>
      <c r="D102" s="244">
        <v>454023</v>
      </c>
      <c r="E102" s="244">
        <v>401546</v>
      </c>
      <c r="F102" s="244">
        <v>478706</v>
      </c>
      <c r="G102" s="244">
        <v>423377</v>
      </c>
      <c r="L102" s="165">
        <f t="shared" si="5"/>
        <v>98</v>
      </c>
      <c r="M102" s="158">
        <v>0</v>
      </c>
      <c r="N102" s="133">
        <v>0</v>
      </c>
      <c r="O102" s="133">
        <v>0</v>
      </c>
      <c r="P102" s="133">
        <v>0</v>
      </c>
      <c r="Q102" s="133">
        <v>0</v>
      </c>
      <c r="R102" s="134">
        <v>0</v>
      </c>
      <c r="T102" s="150">
        <f t="shared" si="4"/>
        <v>99</v>
      </c>
      <c r="U102" s="146">
        <v>1</v>
      </c>
      <c r="V102" s="144">
        <v>1.05</v>
      </c>
      <c r="W102" s="144">
        <v>1.1000000000000001</v>
      </c>
      <c r="X102" s="144">
        <v>1.1499999999999999</v>
      </c>
      <c r="Y102" s="144">
        <v>1.1499999999999999</v>
      </c>
      <c r="Z102" s="144">
        <v>1.1499999999999999</v>
      </c>
      <c r="AA102" s="144">
        <v>1.1499999999999999</v>
      </c>
      <c r="AB102" s="144">
        <v>1.1499999999999999</v>
      </c>
      <c r="AC102" s="144">
        <v>1.1499999999999999</v>
      </c>
      <c r="AD102" s="144">
        <v>1.1499999999999999</v>
      </c>
      <c r="AE102" s="144">
        <v>1.1499999999999999</v>
      </c>
      <c r="AF102" s="144">
        <v>1.1499999999999999</v>
      </c>
      <c r="AG102" s="144">
        <v>1.1499999999999999</v>
      </c>
      <c r="AH102" s="144">
        <v>1.1499999999999999</v>
      </c>
      <c r="AI102" s="144">
        <v>1.1499999999999999</v>
      </c>
      <c r="AJ102" s="151">
        <v>1.1499999999999999</v>
      </c>
      <c r="AK102" s="7"/>
    </row>
    <row r="103" spans="1:37" ht="15" thickBot="1" x14ac:dyDescent="0.4">
      <c r="A103" s="16">
        <v>100</v>
      </c>
      <c r="B103" s="247">
        <v>509780</v>
      </c>
      <c r="C103" s="247">
        <v>450859</v>
      </c>
      <c r="D103" s="247">
        <v>454023</v>
      </c>
      <c r="E103" s="247">
        <v>401546</v>
      </c>
      <c r="F103" s="247">
        <v>478706</v>
      </c>
      <c r="G103" s="247">
        <v>423377</v>
      </c>
      <c r="L103" s="166">
        <f t="shared" si="5"/>
        <v>99</v>
      </c>
      <c r="M103" s="159">
        <v>0</v>
      </c>
      <c r="N103" s="135">
        <v>0</v>
      </c>
      <c r="O103" s="135">
        <v>0</v>
      </c>
      <c r="P103" s="135">
        <v>0</v>
      </c>
      <c r="Q103" s="135">
        <v>0</v>
      </c>
      <c r="R103" s="136">
        <v>0</v>
      </c>
      <c r="T103" s="152">
        <f>T102+1</f>
        <v>100</v>
      </c>
      <c r="U103" s="153">
        <v>1</v>
      </c>
      <c r="V103" s="154">
        <v>1.05</v>
      </c>
      <c r="W103" s="154">
        <v>1.1000000000000001</v>
      </c>
      <c r="X103" s="154">
        <v>1.1499999999999999</v>
      </c>
      <c r="Y103" s="154">
        <v>1.1499999999999999</v>
      </c>
      <c r="Z103" s="154">
        <v>1.1499999999999999</v>
      </c>
      <c r="AA103" s="154">
        <v>1.1499999999999999</v>
      </c>
      <c r="AB103" s="154">
        <v>1.1499999999999999</v>
      </c>
      <c r="AC103" s="154">
        <v>1.1499999999999999</v>
      </c>
      <c r="AD103" s="154">
        <v>1.1499999999999999</v>
      </c>
      <c r="AE103" s="154">
        <v>1.1499999999999999</v>
      </c>
      <c r="AF103" s="154">
        <v>1.1499999999999999</v>
      </c>
      <c r="AG103" s="154">
        <v>1.1499999999999999</v>
      </c>
      <c r="AH103" s="154">
        <v>1.1499999999999999</v>
      </c>
      <c r="AI103" s="154">
        <v>1.1499999999999999</v>
      </c>
      <c r="AJ103" s="155">
        <v>1.1499999999999999</v>
      </c>
      <c r="AK103" s="7"/>
    </row>
    <row r="108" spans="1:37" x14ac:dyDescent="0.35">
      <c r="L108"/>
      <c r="M108"/>
      <c r="N108"/>
      <c r="O108"/>
      <c r="P108"/>
      <c r="Q108"/>
      <c r="R108"/>
    </row>
    <row r="109" spans="1:37" x14ac:dyDescent="0.35">
      <c r="L109"/>
      <c r="M109"/>
      <c r="N109"/>
      <c r="O109"/>
      <c r="P109"/>
      <c r="Q109"/>
      <c r="R109"/>
    </row>
    <row r="110" spans="1:37" x14ac:dyDescent="0.35">
      <c r="L110"/>
      <c r="M110"/>
      <c r="N110"/>
      <c r="O110"/>
      <c r="P110"/>
      <c r="Q110"/>
      <c r="R110"/>
    </row>
    <row r="111" spans="1:37" x14ac:dyDescent="0.35">
      <c r="L111"/>
      <c r="M111"/>
      <c r="N111"/>
      <c r="O111"/>
      <c r="P111"/>
      <c r="Q111"/>
      <c r="R111"/>
    </row>
    <row r="112" spans="1:37" x14ac:dyDescent="0.35">
      <c r="L112"/>
      <c r="M112"/>
      <c r="N112"/>
      <c r="O112"/>
      <c r="P112"/>
      <c r="Q112"/>
      <c r="R112"/>
    </row>
    <row r="113" spans="12:18" x14ac:dyDescent="0.35">
      <c r="L113"/>
      <c r="M113"/>
      <c r="N113"/>
      <c r="O113"/>
      <c r="P113"/>
      <c r="Q113"/>
      <c r="R113"/>
    </row>
    <row r="114" spans="12:18" x14ac:dyDescent="0.35">
      <c r="L114"/>
      <c r="M114"/>
      <c r="N114"/>
      <c r="O114"/>
      <c r="P114"/>
      <c r="Q114"/>
      <c r="R114"/>
    </row>
    <row r="115" spans="12:18" x14ac:dyDescent="0.35">
      <c r="L115"/>
      <c r="M115"/>
      <c r="N115"/>
      <c r="O115"/>
      <c r="P115"/>
      <c r="Q115"/>
      <c r="R115"/>
    </row>
    <row r="116" spans="12:18" x14ac:dyDescent="0.35">
      <c r="L116"/>
      <c r="M116"/>
      <c r="N116"/>
      <c r="O116"/>
      <c r="P116"/>
      <c r="Q116"/>
      <c r="R116"/>
    </row>
    <row r="117" spans="12:18" x14ac:dyDescent="0.35">
      <c r="L117"/>
      <c r="M117"/>
      <c r="N117"/>
      <c r="O117"/>
      <c r="P117"/>
      <c r="Q117"/>
      <c r="R117"/>
    </row>
    <row r="118" spans="12:18" x14ac:dyDescent="0.35">
      <c r="L118"/>
      <c r="M118"/>
      <c r="N118"/>
      <c r="O118"/>
      <c r="P118"/>
      <c r="Q118"/>
      <c r="R118"/>
    </row>
    <row r="119" spans="12:18" x14ac:dyDescent="0.35">
      <c r="L119"/>
      <c r="M119"/>
      <c r="N119"/>
      <c r="O119"/>
      <c r="P119"/>
      <c r="Q119"/>
      <c r="R119"/>
    </row>
    <row r="120" spans="12:18" x14ac:dyDescent="0.35">
      <c r="L120"/>
      <c r="M120"/>
      <c r="N120"/>
      <c r="O120"/>
      <c r="P120"/>
      <c r="Q120"/>
      <c r="R120"/>
    </row>
    <row r="121" spans="12:18" x14ac:dyDescent="0.35">
      <c r="L121"/>
      <c r="M121"/>
      <c r="N121"/>
      <c r="O121"/>
      <c r="P121"/>
      <c r="Q121"/>
      <c r="R121"/>
    </row>
    <row r="122" spans="12:18" x14ac:dyDescent="0.35">
      <c r="L122"/>
      <c r="M122"/>
      <c r="N122"/>
      <c r="O122"/>
      <c r="P122"/>
      <c r="Q122"/>
      <c r="R122"/>
    </row>
    <row r="123" spans="12:18" x14ac:dyDescent="0.35">
      <c r="L123"/>
      <c r="M123"/>
      <c r="N123"/>
      <c r="O123"/>
      <c r="P123"/>
      <c r="Q123"/>
      <c r="R123"/>
    </row>
    <row r="124" spans="12:18" x14ac:dyDescent="0.35">
      <c r="L124"/>
      <c r="M124"/>
      <c r="N124"/>
      <c r="O124"/>
      <c r="P124"/>
      <c r="Q124"/>
      <c r="R124"/>
    </row>
    <row r="125" spans="12:18" x14ac:dyDescent="0.35">
      <c r="L125"/>
      <c r="M125"/>
      <c r="N125"/>
      <c r="O125"/>
      <c r="P125"/>
      <c r="Q125"/>
      <c r="R125"/>
    </row>
    <row r="126" spans="12:18" x14ac:dyDescent="0.35">
      <c r="L126"/>
      <c r="M126"/>
      <c r="N126"/>
      <c r="O126"/>
      <c r="P126"/>
      <c r="Q126"/>
      <c r="R126"/>
    </row>
    <row r="127" spans="12:18" x14ac:dyDescent="0.35">
      <c r="L127"/>
      <c r="M127"/>
      <c r="N127"/>
      <c r="O127"/>
      <c r="P127"/>
      <c r="Q127"/>
      <c r="R127"/>
    </row>
    <row r="128" spans="12:18" x14ac:dyDescent="0.35">
      <c r="L128"/>
      <c r="M128"/>
      <c r="N128"/>
      <c r="O128"/>
      <c r="P128"/>
      <c r="Q128"/>
      <c r="R128"/>
    </row>
    <row r="129" spans="12:18" x14ac:dyDescent="0.35">
      <c r="L129"/>
      <c r="M129"/>
      <c r="N129"/>
      <c r="O129"/>
      <c r="P129"/>
      <c r="Q129"/>
      <c r="R129"/>
    </row>
    <row r="130" spans="12:18" x14ac:dyDescent="0.35">
      <c r="L130"/>
      <c r="M130"/>
      <c r="N130"/>
      <c r="O130"/>
      <c r="P130"/>
      <c r="Q130"/>
      <c r="R130"/>
    </row>
    <row r="131" spans="12:18" x14ac:dyDescent="0.35">
      <c r="L131"/>
      <c r="M131"/>
      <c r="N131"/>
      <c r="O131"/>
      <c r="P131"/>
      <c r="Q131"/>
      <c r="R131"/>
    </row>
    <row r="132" spans="12:18" x14ac:dyDescent="0.35">
      <c r="L132"/>
      <c r="M132"/>
      <c r="N132"/>
      <c r="O132"/>
      <c r="P132"/>
      <c r="Q132"/>
      <c r="R132"/>
    </row>
    <row r="133" spans="12:18" x14ac:dyDescent="0.35">
      <c r="L133"/>
      <c r="M133"/>
      <c r="N133"/>
      <c r="O133"/>
      <c r="P133"/>
      <c r="Q133"/>
      <c r="R133"/>
    </row>
    <row r="134" spans="12:18" x14ac:dyDescent="0.35">
      <c r="L134"/>
      <c r="M134"/>
      <c r="N134"/>
      <c r="O134"/>
      <c r="P134"/>
      <c r="Q134"/>
      <c r="R134"/>
    </row>
    <row r="135" spans="12:18" x14ac:dyDescent="0.35">
      <c r="L135"/>
      <c r="M135"/>
      <c r="N135"/>
      <c r="O135"/>
      <c r="P135"/>
      <c r="Q135"/>
      <c r="R135"/>
    </row>
    <row r="136" spans="12:18" x14ac:dyDescent="0.35">
      <c r="L136"/>
      <c r="M136"/>
      <c r="N136"/>
      <c r="O136"/>
      <c r="P136"/>
      <c r="Q136"/>
      <c r="R136"/>
    </row>
    <row r="137" spans="12:18" x14ac:dyDescent="0.35">
      <c r="L137"/>
      <c r="M137"/>
      <c r="N137"/>
      <c r="O137"/>
      <c r="P137"/>
      <c r="Q137"/>
      <c r="R137"/>
    </row>
    <row r="138" spans="12:18" x14ac:dyDescent="0.35">
      <c r="L138"/>
      <c r="M138"/>
      <c r="N138"/>
      <c r="O138"/>
      <c r="P138"/>
      <c r="Q138"/>
      <c r="R138"/>
    </row>
    <row r="139" spans="12:18" x14ac:dyDescent="0.35">
      <c r="L139"/>
      <c r="M139"/>
      <c r="N139"/>
      <c r="O139"/>
      <c r="P139"/>
      <c r="Q139"/>
      <c r="R139"/>
    </row>
    <row r="140" spans="12:18" x14ac:dyDescent="0.35">
      <c r="L140"/>
      <c r="M140"/>
      <c r="N140"/>
      <c r="O140"/>
      <c r="P140"/>
      <c r="Q140"/>
      <c r="R140"/>
    </row>
    <row r="141" spans="12:18" x14ac:dyDescent="0.35">
      <c r="L141"/>
      <c r="M141"/>
      <c r="N141"/>
      <c r="O141"/>
      <c r="P141"/>
      <c r="Q141"/>
      <c r="R141"/>
    </row>
    <row r="142" spans="12:18" x14ac:dyDescent="0.35">
      <c r="L142"/>
      <c r="M142"/>
      <c r="N142"/>
      <c r="O142"/>
      <c r="P142"/>
      <c r="Q142"/>
      <c r="R142"/>
    </row>
    <row r="143" spans="12:18" x14ac:dyDescent="0.35">
      <c r="L143"/>
      <c r="M143"/>
      <c r="N143"/>
      <c r="O143"/>
      <c r="P143"/>
      <c r="Q143"/>
      <c r="R143"/>
    </row>
    <row r="144" spans="12:18" x14ac:dyDescent="0.35">
      <c r="L144"/>
      <c r="M144"/>
      <c r="N144"/>
      <c r="O144"/>
      <c r="P144"/>
      <c r="Q144"/>
      <c r="R144"/>
    </row>
    <row r="145" spans="12:18" x14ac:dyDescent="0.35">
      <c r="L145"/>
      <c r="M145"/>
      <c r="N145"/>
      <c r="O145"/>
      <c r="P145"/>
      <c r="Q145"/>
      <c r="R145"/>
    </row>
    <row r="146" spans="12:18" x14ac:dyDescent="0.35">
      <c r="L146"/>
      <c r="M146"/>
      <c r="N146"/>
      <c r="O146"/>
      <c r="P146"/>
      <c r="Q146"/>
      <c r="R146"/>
    </row>
    <row r="147" spans="12:18" x14ac:dyDescent="0.35">
      <c r="L147"/>
      <c r="M147"/>
      <c r="N147"/>
      <c r="O147"/>
      <c r="P147"/>
      <c r="Q147"/>
      <c r="R147"/>
    </row>
    <row r="148" spans="12:18" x14ac:dyDescent="0.35">
      <c r="L148"/>
      <c r="M148"/>
      <c r="N148"/>
      <c r="O148"/>
      <c r="P148"/>
      <c r="Q148"/>
      <c r="R148"/>
    </row>
    <row r="149" spans="12:18" x14ac:dyDescent="0.35">
      <c r="L149"/>
      <c r="M149"/>
      <c r="N149"/>
      <c r="O149"/>
      <c r="P149"/>
      <c r="Q149"/>
      <c r="R149"/>
    </row>
    <row r="150" spans="12:18" x14ac:dyDescent="0.35">
      <c r="L150"/>
      <c r="M150"/>
      <c r="N150"/>
      <c r="O150"/>
      <c r="P150"/>
      <c r="Q150"/>
      <c r="R150"/>
    </row>
    <row r="151" spans="12:18" x14ac:dyDescent="0.35">
      <c r="L151"/>
      <c r="M151"/>
      <c r="N151"/>
      <c r="O151"/>
      <c r="P151"/>
      <c r="Q151"/>
      <c r="R151"/>
    </row>
    <row r="152" spans="12:18" x14ac:dyDescent="0.35">
      <c r="L152"/>
      <c r="M152"/>
      <c r="N152"/>
      <c r="O152"/>
      <c r="P152"/>
      <c r="Q152"/>
      <c r="R152"/>
    </row>
    <row r="153" spans="12:18" x14ac:dyDescent="0.35">
      <c r="L153"/>
      <c r="M153"/>
      <c r="N153"/>
      <c r="O153"/>
      <c r="P153"/>
      <c r="Q153"/>
      <c r="R153"/>
    </row>
    <row r="154" spans="12:18" x14ac:dyDescent="0.35">
      <c r="L154"/>
      <c r="M154"/>
      <c r="N154"/>
      <c r="O154"/>
      <c r="P154"/>
      <c r="Q154"/>
      <c r="R154"/>
    </row>
    <row r="155" spans="12:18" x14ac:dyDescent="0.35">
      <c r="L155"/>
      <c r="M155"/>
      <c r="N155"/>
      <c r="O155"/>
      <c r="P155"/>
      <c r="Q155"/>
      <c r="R155"/>
    </row>
    <row r="156" spans="12:18" x14ac:dyDescent="0.35">
      <c r="L156"/>
      <c r="M156"/>
      <c r="N156"/>
      <c r="O156"/>
      <c r="P156"/>
      <c r="Q156"/>
      <c r="R156"/>
    </row>
    <row r="157" spans="12:18" x14ac:dyDescent="0.35">
      <c r="L157"/>
      <c r="M157"/>
      <c r="N157"/>
      <c r="O157"/>
      <c r="P157"/>
      <c r="Q157"/>
      <c r="R157"/>
    </row>
    <row r="158" spans="12:18" x14ac:dyDescent="0.35">
      <c r="L158"/>
      <c r="M158"/>
      <c r="N158"/>
      <c r="O158"/>
      <c r="P158"/>
      <c r="Q158"/>
      <c r="R158"/>
    </row>
    <row r="159" spans="12:18" x14ac:dyDescent="0.35">
      <c r="L159"/>
      <c r="M159"/>
      <c r="N159"/>
      <c r="O159"/>
      <c r="P159"/>
      <c r="Q159"/>
      <c r="R159"/>
    </row>
    <row r="160" spans="12:18" x14ac:dyDescent="0.35">
      <c r="L160"/>
      <c r="M160"/>
      <c r="N160"/>
      <c r="O160"/>
      <c r="P160"/>
      <c r="Q160"/>
      <c r="R160"/>
    </row>
    <row r="161" spans="12:18" x14ac:dyDescent="0.35">
      <c r="L161"/>
      <c r="M161"/>
      <c r="N161"/>
      <c r="O161"/>
      <c r="P161"/>
      <c r="Q161"/>
      <c r="R161"/>
    </row>
    <row r="162" spans="12:18" x14ac:dyDescent="0.35">
      <c r="L162"/>
      <c r="M162"/>
      <c r="N162"/>
      <c r="O162"/>
      <c r="P162"/>
      <c r="Q162"/>
      <c r="R162"/>
    </row>
    <row r="163" spans="12:18" x14ac:dyDescent="0.35">
      <c r="L163"/>
      <c r="M163"/>
      <c r="N163"/>
      <c r="O163"/>
      <c r="P163"/>
      <c r="Q163"/>
      <c r="R163"/>
    </row>
    <row r="164" spans="12:18" x14ac:dyDescent="0.35">
      <c r="L164"/>
      <c r="M164"/>
      <c r="N164"/>
      <c r="O164"/>
      <c r="P164"/>
      <c r="Q164"/>
      <c r="R164"/>
    </row>
    <row r="165" spans="12:18" x14ac:dyDescent="0.35">
      <c r="L165"/>
      <c r="M165"/>
      <c r="N165"/>
      <c r="O165"/>
      <c r="P165"/>
      <c r="Q165"/>
      <c r="R165"/>
    </row>
    <row r="166" spans="12:18" x14ac:dyDescent="0.35">
      <c r="L166"/>
      <c r="M166"/>
      <c r="N166"/>
      <c r="O166"/>
      <c r="P166"/>
      <c r="Q166"/>
      <c r="R166"/>
    </row>
    <row r="167" spans="12:18" x14ac:dyDescent="0.35">
      <c r="L167"/>
      <c r="M167"/>
      <c r="N167"/>
      <c r="O167"/>
      <c r="P167"/>
      <c r="Q167"/>
      <c r="R167"/>
    </row>
    <row r="168" spans="12:18" x14ac:dyDescent="0.35">
      <c r="L168"/>
      <c r="M168"/>
      <c r="N168"/>
      <c r="O168"/>
      <c r="P168"/>
      <c r="Q168"/>
      <c r="R168"/>
    </row>
    <row r="169" spans="12:18" x14ac:dyDescent="0.35">
      <c r="L169"/>
      <c r="M169"/>
      <c r="N169"/>
      <c r="O169"/>
      <c r="P169"/>
      <c r="Q169"/>
      <c r="R169"/>
    </row>
    <row r="170" spans="12:18" x14ac:dyDescent="0.35">
      <c r="L170"/>
      <c r="M170"/>
      <c r="N170"/>
      <c r="O170"/>
      <c r="P170"/>
      <c r="Q170"/>
      <c r="R170"/>
    </row>
    <row r="171" spans="12:18" x14ac:dyDescent="0.35">
      <c r="L171"/>
      <c r="M171"/>
      <c r="N171"/>
      <c r="O171"/>
      <c r="P171"/>
      <c r="Q171"/>
      <c r="R171"/>
    </row>
    <row r="172" spans="12:18" x14ac:dyDescent="0.35">
      <c r="L172"/>
      <c r="M172"/>
      <c r="N172"/>
      <c r="O172"/>
      <c r="P172"/>
      <c r="Q172"/>
      <c r="R172"/>
    </row>
    <row r="173" spans="12:18" x14ac:dyDescent="0.35">
      <c r="L173"/>
      <c r="M173"/>
      <c r="N173"/>
      <c r="O173"/>
      <c r="P173"/>
      <c r="Q173"/>
      <c r="R173"/>
    </row>
    <row r="174" spans="12:18" x14ac:dyDescent="0.35">
      <c r="L174"/>
      <c r="M174"/>
      <c r="N174"/>
      <c r="O174"/>
      <c r="P174"/>
      <c r="Q174"/>
      <c r="R174"/>
    </row>
    <row r="175" spans="12:18" x14ac:dyDescent="0.35">
      <c r="L175"/>
      <c r="M175"/>
      <c r="N175"/>
      <c r="O175"/>
      <c r="P175"/>
      <c r="Q175"/>
      <c r="R175"/>
    </row>
    <row r="176" spans="12:18" x14ac:dyDescent="0.35">
      <c r="L176"/>
      <c r="M176"/>
      <c r="N176"/>
      <c r="O176"/>
      <c r="P176"/>
      <c r="Q176"/>
      <c r="R176"/>
    </row>
    <row r="177" spans="12:18" x14ac:dyDescent="0.35">
      <c r="L177"/>
      <c r="M177"/>
      <c r="N177"/>
      <c r="O177"/>
      <c r="P177"/>
      <c r="Q177"/>
      <c r="R177"/>
    </row>
    <row r="178" spans="12:18" x14ac:dyDescent="0.35">
      <c r="L178"/>
      <c r="M178"/>
      <c r="N178"/>
      <c r="O178"/>
      <c r="P178"/>
      <c r="Q178"/>
      <c r="R178"/>
    </row>
    <row r="179" spans="12:18" x14ac:dyDescent="0.35">
      <c r="L179"/>
      <c r="M179"/>
      <c r="N179"/>
      <c r="O179"/>
      <c r="P179"/>
      <c r="Q179"/>
      <c r="R179"/>
    </row>
    <row r="180" spans="12:18" x14ac:dyDescent="0.35">
      <c r="L180"/>
      <c r="M180"/>
      <c r="N180"/>
      <c r="O180"/>
      <c r="P180"/>
      <c r="Q180"/>
      <c r="R180"/>
    </row>
    <row r="181" spans="12:18" x14ac:dyDescent="0.35">
      <c r="L181"/>
      <c r="M181"/>
      <c r="N181"/>
      <c r="O181"/>
      <c r="P181"/>
      <c r="Q181"/>
      <c r="R181"/>
    </row>
    <row r="182" spans="12:18" x14ac:dyDescent="0.35">
      <c r="L182"/>
      <c r="M182"/>
      <c r="N182"/>
      <c r="O182"/>
      <c r="P182"/>
      <c r="Q182"/>
      <c r="R182"/>
    </row>
    <row r="183" spans="12:18" x14ac:dyDescent="0.35">
      <c r="L183"/>
      <c r="M183"/>
      <c r="N183"/>
      <c r="O183"/>
      <c r="P183"/>
      <c r="Q183"/>
      <c r="R183"/>
    </row>
    <row r="184" spans="12:18" x14ac:dyDescent="0.35">
      <c r="L184"/>
      <c r="M184"/>
      <c r="N184"/>
      <c r="O184"/>
      <c r="P184"/>
      <c r="Q184"/>
      <c r="R184"/>
    </row>
    <row r="185" spans="12:18" x14ac:dyDescent="0.35">
      <c r="L185"/>
      <c r="M185"/>
      <c r="N185"/>
      <c r="O185"/>
      <c r="P185"/>
      <c r="Q185"/>
      <c r="R185"/>
    </row>
    <row r="186" spans="12:18" x14ac:dyDescent="0.35">
      <c r="L186"/>
      <c r="M186"/>
      <c r="N186"/>
      <c r="O186"/>
      <c r="P186"/>
      <c r="Q186"/>
      <c r="R186"/>
    </row>
    <row r="187" spans="12:18" x14ac:dyDescent="0.35">
      <c r="L187"/>
      <c r="M187"/>
      <c r="N187"/>
      <c r="O187"/>
      <c r="P187"/>
      <c r="Q187"/>
      <c r="R187"/>
    </row>
    <row r="188" spans="12:18" x14ac:dyDescent="0.35">
      <c r="L188"/>
      <c r="M188"/>
      <c r="N188"/>
      <c r="O188"/>
      <c r="P188"/>
      <c r="Q188"/>
      <c r="R188"/>
    </row>
    <row r="189" spans="12:18" x14ac:dyDescent="0.35">
      <c r="L189"/>
      <c r="M189"/>
      <c r="N189"/>
      <c r="O189"/>
      <c r="P189"/>
      <c r="Q189"/>
      <c r="R189"/>
    </row>
    <row r="190" spans="12:18" x14ac:dyDescent="0.35">
      <c r="L190"/>
      <c r="M190"/>
      <c r="N190"/>
      <c r="O190"/>
      <c r="P190"/>
      <c r="Q190"/>
      <c r="R190"/>
    </row>
    <row r="191" spans="12:18" x14ac:dyDescent="0.35">
      <c r="L191"/>
      <c r="M191"/>
      <c r="N191"/>
      <c r="O191"/>
      <c r="P191"/>
      <c r="Q191"/>
      <c r="R191"/>
    </row>
    <row r="192" spans="12:18" x14ac:dyDescent="0.35">
      <c r="L192"/>
      <c r="M192"/>
      <c r="N192"/>
      <c r="O192"/>
      <c r="P192"/>
      <c r="Q192"/>
      <c r="R192"/>
    </row>
    <row r="193" spans="12:18" x14ac:dyDescent="0.35">
      <c r="L193"/>
      <c r="M193"/>
      <c r="N193"/>
      <c r="O193"/>
      <c r="P193"/>
      <c r="Q193"/>
      <c r="R193"/>
    </row>
    <row r="194" spans="12:18" x14ac:dyDescent="0.35">
      <c r="L194"/>
      <c r="M194"/>
      <c r="N194"/>
      <c r="O194"/>
      <c r="P194"/>
      <c r="Q194"/>
      <c r="R194"/>
    </row>
    <row r="195" spans="12:18" x14ac:dyDescent="0.35">
      <c r="L195"/>
      <c r="M195"/>
      <c r="N195"/>
      <c r="O195"/>
      <c r="P195"/>
      <c r="Q195"/>
      <c r="R195"/>
    </row>
    <row r="196" spans="12:18" x14ac:dyDescent="0.35">
      <c r="L196"/>
      <c r="M196"/>
      <c r="N196"/>
      <c r="O196"/>
      <c r="P196"/>
      <c r="Q196"/>
      <c r="R196"/>
    </row>
    <row r="197" spans="12:18" x14ac:dyDescent="0.35">
      <c r="L197"/>
      <c r="M197"/>
      <c r="N197"/>
      <c r="O197"/>
      <c r="P197"/>
      <c r="Q197"/>
      <c r="R197"/>
    </row>
    <row r="198" spans="12:18" x14ac:dyDescent="0.35">
      <c r="L198"/>
      <c r="M198"/>
      <c r="N198"/>
      <c r="O198"/>
      <c r="P198"/>
      <c r="Q198"/>
      <c r="R198"/>
    </row>
    <row r="199" spans="12:18" x14ac:dyDescent="0.35">
      <c r="L199"/>
      <c r="M199"/>
      <c r="N199"/>
      <c r="O199"/>
      <c r="P199"/>
      <c r="Q199"/>
      <c r="R199"/>
    </row>
    <row r="200" spans="12:18" x14ac:dyDescent="0.35">
      <c r="L200"/>
      <c r="M200"/>
      <c r="N200"/>
      <c r="O200"/>
      <c r="P200"/>
      <c r="Q200"/>
      <c r="R200"/>
    </row>
    <row r="201" spans="12:18" x14ac:dyDescent="0.35">
      <c r="L201"/>
      <c r="M201"/>
      <c r="N201"/>
      <c r="O201"/>
      <c r="P201"/>
      <c r="Q201"/>
      <c r="R201"/>
    </row>
    <row r="202" spans="12:18" x14ac:dyDescent="0.35">
      <c r="L202"/>
      <c r="M202"/>
      <c r="N202"/>
      <c r="O202"/>
      <c r="P202"/>
      <c r="Q202"/>
      <c r="R202"/>
    </row>
    <row r="203" spans="12:18" x14ac:dyDescent="0.35">
      <c r="L203"/>
      <c r="M203"/>
      <c r="N203"/>
      <c r="O203"/>
      <c r="P203"/>
      <c r="Q203"/>
      <c r="R203"/>
    </row>
    <row r="204" spans="12:18" x14ac:dyDescent="0.35">
      <c r="L204"/>
      <c r="M204"/>
      <c r="N204"/>
      <c r="O204"/>
      <c r="P204"/>
      <c r="Q204"/>
      <c r="R204"/>
    </row>
    <row r="205" spans="12:18" x14ac:dyDescent="0.35">
      <c r="L205"/>
      <c r="M205"/>
      <c r="N205"/>
      <c r="O205"/>
      <c r="P205"/>
      <c r="Q205"/>
      <c r="R205"/>
    </row>
    <row r="206" spans="12:18" x14ac:dyDescent="0.35">
      <c r="L206"/>
      <c r="M206"/>
      <c r="N206"/>
      <c r="O206"/>
      <c r="P206"/>
      <c r="Q206"/>
      <c r="R206"/>
    </row>
    <row r="207" spans="12:18" x14ac:dyDescent="0.35">
      <c r="L207"/>
      <c r="M207"/>
      <c r="N207"/>
      <c r="O207"/>
      <c r="P207"/>
      <c r="Q207"/>
      <c r="R207"/>
    </row>
    <row r="208" spans="12:18" x14ac:dyDescent="0.35">
      <c r="L208"/>
      <c r="M208"/>
      <c r="N208"/>
      <c r="O208"/>
      <c r="P208"/>
      <c r="Q208"/>
      <c r="R208"/>
    </row>
    <row r="209" spans="12:18" x14ac:dyDescent="0.35">
      <c r="L209"/>
      <c r="M209"/>
      <c r="N209"/>
      <c r="O209"/>
      <c r="P209"/>
      <c r="Q209"/>
      <c r="R209"/>
    </row>
    <row r="210" spans="12:18" x14ac:dyDescent="0.35">
      <c r="L210"/>
      <c r="M210"/>
      <c r="N210"/>
      <c r="O210"/>
      <c r="P210"/>
      <c r="Q210"/>
      <c r="R210"/>
    </row>
  </sheetData>
  <mergeCells count="9">
    <mergeCell ref="I16:J16"/>
    <mergeCell ref="I10:J10"/>
    <mergeCell ref="T1:V1"/>
    <mergeCell ref="A1:C1"/>
    <mergeCell ref="I2:J2"/>
    <mergeCell ref="L1:R1"/>
    <mergeCell ref="L2:R2"/>
    <mergeCell ref="D1:E1"/>
    <mergeCell ref="F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F105"/>
  <sheetViews>
    <sheetView zoomScale="115" zoomScaleNormal="115" workbookViewId="0">
      <selection activeCell="I10" sqref="I10"/>
    </sheetView>
  </sheetViews>
  <sheetFormatPr baseColWidth="10" defaultColWidth="11.453125" defaultRowHeight="14.5" x14ac:dyDescent="0.35"/>
  <cols>
    <col min="1" max="1" width="3.1796875" style="1" customWidth="1"/>
    <col min="2" max="2" width="3.54296875" style="1" bestFit="1" customWidth="1"/>
    <col min="3" max="3" width="5.7265625" style="1" customWidth="1"/>
    <col min="4" max="4" width="10" style="1" bestFit="1" customWidth="1"/>
    <col min="5" max="5" width="5.26953125" style="1" customWidth="1"/>
    <col min="6" max="6" width="3.453125" style="1" customWidth="1"/>
    <col min="7" max="7" width="13.26953125" style="1" customWidth="1"/>
    <col min="8" max="8" width="4.54296875" style="1" customWidth="1"/>
    <col min="9" max="9" width="9.54296875" style="1" customWidth="1"/>
    <col min="10" max="10" width="3.7265625" style="1" customWidth="1"/>
    <col min="11" max="11" width="12.7265625" style="1" customWidth="1"/>
    <col min="12" max="12" width="8.26953125" style="1" customWidth="1"/>
    <col min="13" max="13" width="4.81640625" style="1" customWidth="1"/>
    <col min="14" max="14" width="12.7265625" style="1" customWidth="1"/>
    <col min="15" max="15" width="7.1796875" customWidth="1"/>
    <col min="16" max="16" width="13" style="17" customWidth="1"/>
    <col min="17" max="17" width="8.54296875" customWidth="1"/>
    <col min="18" max="18" width="9.26953125" style="1" bestFit="1" customWidth="1"/>
    <col min="19" max="19" width="4.453125" style="1" bestFit="1" customWidth="1"/>
    <col min="20" max="20" width="9.26953125" style="1" customWidth="1"/>
    <col min="21" max="22" width="8" style="1" bestFit="1" customWidth="1"/>
    <col min="23" max="23" width="8" style="1" customWidth="1"/>
    <col min="24" max="24" width="9.81640625" style="1" customWidth="1"/>
    <col min="25" max="25" width="2.453125" style="1" customWidth="1"/>
    <col min="26" max="26" width="11.453125" style="1"/>
    <col min="27" max="27" width="5.26953125" style="1" customWidth="1"/>
    <col min="28" max="28" width="7.81640625" style="1" customWidth="1"/>
    <col min="29" max="32" width="6.54296875" style="21" bestFit="1" customWidth="1"/>
    <col min="33" max="33" width="11.453125" style="1"/>
    <col min="34" max="34" width="10.81640625" style="1" bestFit="1" customWidth="1"/>
    <col min="35" max="35" width="8.54296875" style="1" bestFit="1" customWidth="1"/>
    <col min="36" max="36" width="6.7265625" style="1" bestFit="1" customWidth="1"/>
    <col min="37" max="37" width="6.7265625" style="1" customWidth="1"/>
    <col min="38" max="16384" width="11.453125" style="1"/>
  </cols>
  <sheetData>
    <row r="1" spans="1:32" ht="12.75" customHeight="1" thickBot="1" x14ac:dyDescent="0.4">
      <c r="AC1" s="1"/>
      <c r="AD1" s="1"/>
      <c r="AE1" s="1"/>
      <c r="AF1" s="1"/>
    </row>
    <row r="2" spans="1:32" ht="12" customHeight="1" thickBot="1" x14ac:dyDescent="0.4">
      <c r="B2" s="352" t="s">
        <v>116</v>
      </c>
      <c r="C2" s="353"/>
      <c r="D2" s="353"/>
      <c r="E2" s="354"/>
      <c r="K2" s="355" t="s">
        <v>98</v>
      </c>
      <c r="L2" s="357"/>
      <c r="N2" s="355" t="s">
        <v>66</v>
      </c>
      <c r="O2" s="356"/>
      <c r="P2" s="357"/>
      <c r="AC2" s="1"/>
      <c r="AD2" s="1"/>
      <c r="AE2" s="1"/>
      <c r="AF2" s="1"/>
    </row>
    <row r="3" spans="1:32" ht="15" thickBot="1" x14ac:dyDescent="0.4">
      <c r="A3" s="72"/>
      <c r="B3" s="83"/>
      <c r="C3" s="73" t="s">
        <v>118</v>
      </c>
      <c r="D3" s="73" t="s">
        <v>119</v>
      </c>
      <c r="E3" s="84" t="s">
        <v>120</v>
      </c>
      <c r="G3" s="180" t="s">
        <v>115</v>
      </c>
      <c r="H3" s="72"/>
      <c r="I3" s="90" t="s">
        <v>117</v>
      </c>
      <c r="K3" s="185" t="s">
        <v>82</v>
      </c>
      <c r="L3" s="206">
        <f>L13</f>
        <v>0.2056</v>
      </c>
      <c r="N3" s="192" t="s">
        <v>64</v>
      </c>
      <c r="O3" s="197">
        <v>1</v>
      </c>
      <c r="P3" s="193">
        <v>0.16</v>
      </c>
      <c r="AC3" s="1"/>
      <c r="AD3" s="1"/>
      <c r="AE3" s="1"/>
      <c r="AF3" s="1"/>
    </row>
    <row r="4" spans="1:32" ht="15" thickBot="1" x14ac:dyDescent="0.4">
      <c r="A4" s="72"/>
      <c r="B4" s="85">
        <v>1</v>
      </c>
      <c r="C4" s="74" t="s">
        <v>121</v>
      </c>
      <c r="D4" s="74" t="s">
        <v>121</v>
      </c>
      <c r="E4" s="86">
        <v>2023</v>
      </c>
      <c r="G4" s="81" t="s">
        <v>139</v>
      </c>
      <c r="H4" s="72"/>
      <c r="I4" s="81" t="s">
        <v>122</v>
      </c>
      <c r="K4" s="186" t="s">
        <v>91</v>
      </c>
      <c r="L4" s="183">
        <v>0</v>
      </c>
      <c r="N4" s="194" t="s">
        <v>61</v>
      </c>
      <c r="O4" s="195">
        <v>2</v>
      </c>
      <c r="P4" s="196">
        <v>0.08</v>
      </c>
      <c r="AC4" s="1"/>
      <c r="AD4" s="1"/>
      <c r="AE4" s="1"/>
      <c r="AF4" s="1"/>
    </row>
    <row r="5" spans="1:32" ht="15" thickBot="1" x14ac:dyDescent="0.4">
      <c r="B5" s="85">
        <f>B4+1</f>
        <v>2</v>
      </c>
      <c r="C5" s="74" t="s">
        <v>123</v>
      </c>
      <c r="D5" s="74" t="s">
        <v>123</v>
      </c>
      <c r="E5" s="86">
        <v>2022</v>
      </c>
      <c r="G5" s="82" t="s">
        <v>140</v>
      </c>
      <c r="H5" s="21"/>
      <c r="I5" s="82" t="s">
        <v>9</v>
      </c>
      <c r="K5" s="186" t="s">
        <v>87</v>
      </c>
      <c r="L5" s="183">
        <v>0.06</v>
      </c>
      <c r="O5" s="1"/>
      <c r="P5"/>
      <c r="AC5" s="1"/>
      <c r="AD5" s="1"/>
      <c r="AE5" s="1"/>
      <c r="AF5" s="1"/>
    </row>
    <row r="6" spans="1:32" ht="15" thickBot="1" x14ac:dyDescent="0.4">
      <c r="B6" s="85">
        <f t="shared" ref="B6:C21" si="0">B5+1</f>
        <v>3</v>
      </c>
      <c r="C6" s="74" t="s">
        <v>124</v>
      </c>
      <c r="D6" s="74" t="s">
        <v>124</v>
      </c>
      <c r="E6" s="86">
        <v>2021</v>
      </c>
      <c r="G6" s="80"/>
      <c r="H6" s="21"/>
      <c r="K6" s="187" t="s">
        <v>83</v>
      </c>
      <c r="L6" s="184">
        <v>0.22</v>
      </c>
      <c r="N6" s="355" t="s">
        <v>67</v>
      </c>
      <c r="O6" s="357"/>
      <c r="P6"/>
      <c r="AC6" s="1"/>
      <c r="AD6" s="1"/>
      <c r="AE6" s="1"/>
      <c r="AF6" s="1"/>
    </row>
    <row r="7" spans="1:32" ht="15" thickBot="1" x14ac:dyDescent="0.4">
      <c r="B7" s="85">
        <f t="shared" si="0"/>
        <v>4</v>
      </c>
      <c r="C7" s="74" t="s">
        <v>125</v>
      </c>
      <c r="D7" s="74" t="s">
        <v>125</v>
      </c>
      <c r="E7" s="86">
        <v>2020</v>
      </c>
      <c r="K7" s="187" t="s">
        <v>80</v>
      </c>
      <c r="L7" s="184">
        <f>SUM(L3:L6)</f>
        <v>0.48560000000000003</v>
      </c>
      <c r="N7" s="202" t="s">
        <v>20</v>
      </c>
      <c r="O7" s="198" t="s">
        <v>38</v>
      </c>
      <c r="P7"/>
      <c r="AC7" s="1"/>
      <c r="AD7" s="1"/>
      <c r="AE7" s="1"/>
      <c r="AF7" s="1"/>
    </row>
    <row r="8" spans="1:32" ht="15" thickBot="1" x14ac:dyDescent="0.4">
      <c r="B8" s="85">
        <f t="shared" si="0"/>
        <v>5</v>
      </c>
      <c r="C8" s="74" t="s">
        <v>126</v>
      </c>
      <c r="D8" s="74" t="s">
        <v>126</v>
      </c>
      <c r="E8" s="86">
        <v>2019</v>
      </c>
      <c r="G8" s="90" t="s">
        <v>8</v>
      </c>
      <c r="I8" s="90" t="s">
        <v>109</v>
      </c>
      <c r="N8" s="203" t="s">
        <v>48</v>
      </c>
      <c r="O8" s="205">
        <v>0</v>
      </c>
      <c r="P8" s="1"/>
      <c r="AC8" s="1"/>
      <c r="AD8" s="1"/>
      <c r="AE8" s="1"/>
      <c r="AF8" s="1"/>
    </row>
    <row r="9" spans="1:32" ht="15" thickBot="1" x14ac:dyDescent="0.4">
      <c r="B9" s="85">
        <f t="shared" si="0"/>
        <v>6</v>
      </c>
      <c r="C9" s="74" t="s">
        <v>127</v>
      </c>
      <c r="D9" s="74" t="s">
        <v>127</v>
      </c>
      <c r="E9" s="86">
        <v>2018</v>
      </c>
      <c r="G9" s="169" t="s">
        <v>13</v>
      </c>
      <c r="I9" s="81" t="str">
        <f>IF(AND(Cotizador!D13&gt;=1,Cotizador!D13&lt;=20),"SI","No aplica")</f>
        <v>SI</v>
      </c>
      <c r="K9" s="355" t="s">
        <v>66</v>
      </c>
      <c r="L9" s="357"/>
      <c r="N9" s="203" t="s">
        <v>46</v>
      </c>
      <c r="O9" s="200">
        <v>0.05</v>
      </c>
      <c r="P9" s="1"/>
      <c r="AC9" s="1"/>
      <c r="AD9" s="1"/>
      <c r="AE9" s="1"/>
      <c r="AF9" s="1"/>
    </row>
    <row r="10" spans="1:32" ht="15" thickBot="1" x14ac:dyDescent="0.4">
      <c r="B10" s="85">
        <f t="shared" si="0"/>
        <v>7</v>
      </c>
      <c r="C10" s="74" t="s">
        <v>128</v>
      </c>
      <c r="D10" s="74" t="s">
        <v>128</v>
      </c>
      <c r="E10" s="86">
        <v>2017</v>
      </c>
      <c r="G10" s="170">
        <v>250000</v>
      </c>
      <c r="I10" s="82" t="str">
        <f>+IF(I9="No aplica","","NO")</f>
        <v>NO</v>
      </c>
      <c r="K10" s="192" t="s">
        <v>82</v>
      </c>
      <c r="L10" s="193">
        <v>0.16</v>
      </c>
      <c r="N10" s="203" t="s">
        <v>44</v>
      </c>
      <c r="O10" s="199">
        <v>0.1</v>
      </c>
      <c r="P10" s="1"/>
      <c r="AC10" s="1"/>
      <c r="AD10" s="1"/>
      <c r="AE10" s="1"/>
      <c r="AF10" s="1"/>
    </row>
    <row r="11" spans="1:32" x14ac:dyDescent="0.35">
      <c r="B11" s="85">
        <f t="shared" si="0"/>
        <v>8</v>
      </c>
      <c r="C11" s="74" t="s">
        <v>129</v>
      </c>
      <c r="D11" s="74" t="s">
        <v>129</v>
      </c>
      <c r="E11" s="86">
        <v>2016</v>
      </c>
      <c r="G11" s="171">
        <v>300000</v>
      </c>
      <c r="K11" s="188" t="s">
        <v>90</v>
      </c>
      <c r="L11" s="189">
        <v>3.5000000000000003E-2</v>
      </c>
      <c r="N11" s="203" t="s">
        <v>41</v>
      </c>
      <c r="O11" s="200">
        <v>0.15</v>
      </c>
      <c r="P11" s="1"/>
      <c r="AC11" s="1"/>
      <c r="AD11" s="1"/>
      <c r="AE11" s="1"/>
      <c r="AF11" s="1"/>
    </row>
    <row r="12" spans="1:32" x14ac:dyDescent="0.35">
      <c r="B12" s="85">
        <f t="shared" si="0"/>
        <v>9</v>
      </c>
      <c r="C12" s="74" t="s">
        <v>130</v>
      </c>
      <c r="D12" s="74" t="s">
        <v>130</v>
      </c>
      <c r="E12" s="86">
        <v>2015</v>
      </c>
      <c r="G12" s="171">
        <v>350000</v>
      </c>
      <c r="K12" s="188" t="s">
        <v>86</v>
      </c>
      <c r="L12" s="189">
        <v>1.06E-2</v>
      </c>
      <c r="N12" s="203" t="s">
        <v>48</v>
      </c>
      <c r="O12" s="199">
        <v>1</v>
      </c>
      <c r="P12"/>
      <c r="AC12" s="1"/>
      <c r="AD12" s="1"/>
      <c r="AE12" s="1"/>
      <c r="AF12" s="1"/>
    </row>
    <row r="13" spans="1:32" ht="15" thickBot="1" x14ac:dyDescent="0.4">
      <c r="B13" s="85">
        <f t="shared" si="0"/>
        <v>10</v>
      </c>
      <c r="C13" s="75">
        <f t="shared" si="0"/>
        <v>10</v>
      </c>
      <c r="D13" s="75">
        <f t="shared" ref="D13" si="1">D12+1</f>
        <v>10</v>
      </c>
      <c r="E13" s="86">
        <v>2014</v>
      </c>
      <c r="G13" s="171">
        <v>400000</v>
      </c>
      <c r="K13" s="190" t="s">
        <v>82</v>
      </c>
      <c r="L13" s="191">
        <f>SUM(L10:L12)</f>
        <v>0.2056</v>
      </c>
      <c r="N13" s="203" t="s">
        <v>46</v>
      </c>
      <c r="O13" s="200">
        <v>2</v>
      </c>
      <c r="P13"/>
      <c r="AC13" s="1"/>
      <c r="AD13" s="1"/>
      <c r="AE13" s="1"/>
      <c r="AF13" s="1"/>
    </row>
    <row r="14" spans="1:32" x14ac:dyDescent="0.35">
      <c r="B14" s="85">
        <f t="shared" si="0"/>
        <v>11</v>
      </c>
      <c r="C14" s="75">
        <f t="shared" si="0"/>
        <v>11</v>
      </c>
      <c r="D14" s="75">
        <f t="shared" ref="D14" si="2">D13+1</f>
        <v>11</v>
      </c>
      <c r="E14" s="86">
        <v>2013</v>
      </c>
      <c r="G14" s="171">
        <v>450000</v>
      </c>
      <c r="N14" s="203" t="s">
        <v>44</v>
      </c>
      <c r="O14" s="199">
        <v>4</v>
      </c>
      <c r="P14"/>
      <c r="AC14" s="1"/>
      <c r="AD14" s="1"/>
      <c r="AE14" s="1"/>
      <c r="AF14" s="1"/>
    </row>
    <row r="15" spans="1:32" ht="15" thickBot="1" x14ac:dyDescent="0.4">
      <c r="B15" s="85">
        <f t="shared" si="0"/>
        <v>12</v>
      </c>
      <c r="C15" s="75">
        <f t="shared" si="0"/>
        <v>12</v>
      </c>
      <c r="D15" s="75">
        <f t="shared" ref="D15" si="3">D14+1</f>
        <v>12</v>
      </c>
      <c r="E15" s="86">
        <v>2012</v>
      </c>
      <c r="G15" s="172">
        <v>500000</v>
      </c>
      <c r="N15" s="204" t="s">
        <v>41</v>
      </c>
      <c r="O15" s="201">
        <v>12</v>
      </c>
      <c r="P15"/>
      <c r="AC15" s="1"/>
      <c r="AD15" s="1"/>
      <c r="AE15" s="1"/>
      <c r="AF15" s="1"/>
    </row>
    <row r="16" spans="1:32" ht="15" customHeight="1" x14ac:dyDescent="0.35">
      <c r="B16" s="85">
        <f t="shared" si="0"/>
        <v>13</v>
      </c>
      <c r="C16" s="75">
        <f t="shared" si="0"/>
        <v>13</v>
      </c>
      <c r="D16" s="75"/>
      <c r="E16" s="86">
        <v>2011</v>
      </c>
      <c r="P16"/>
      <c r="AC16" s="1"/>
      <c r="AD16" s="1"/>
      <c r="AE16" s="1"/>
      <c r="AF16" s="1"/>
    </row>
    <row r="17" spans="2:32" ht="15.75" customHeight="1" x14ac:dyDescent="0.35">
      <c r="B17" s="85">
        <f t="shared" si="0"/>
        <v>14</v>
      </c>
      <c r="C17" s="75">
        <f t="shared" si="0"/>
        <v>14</v>
      </c>
      <c r="D17" s="75"/>
      <c r="E17" s="86">
        <v>2010</v>
      </c>
      <c r="O17" s="1"/>
      <c r="P17" s="1"/>
      <c r="AC17" s="1"/>
      <c r="AD17" s="1"/>
      <c r="AE17" s="1"/>
      <c r="AF17" s="1"/>
    </row>
    <row r="18" spans="2:32" ht="14.25" customHeight="1" x14ac:dyDescent="0.35">
      <c r="B18" s="85">
        <f t="shared" si="0"/>
        <v>15</v>
      </c>
      <c r="C18" s="75">
        <f t="shared" si="0"/>
        <v>15</v>
      </c>
      <c r="D18" s="75"/>
      <c r="E18" s="86">
        <v>2009</v>
      </c>
      <c r="O18" s="1"/>
      <c r="P18" s="1"/>
      <c r="AC18" s="1"/>
      <c r="AD18" s="1"/>
      <c r="AE18" s="1"/>
      <c r="AF18" s="1"/>
    </row>
    <row r="19" spans="2:32" ht="15.75" customHeight="1" x14ac:dyDescent="0.35">
      <c r="B19" s="85">
        <f t="shared" si="0"/>
        <v>16</v>
      </c>
      <c r="C19" s="75">
        <f t="shared" si="0"/>
        <v>16</v>
      </c>
      <c r="D19" s="75"/>
      <c r="E19" s="86">
        <v>2008</v>
      </c>
      <c r="O19" s="1"/>
      <c r="P19" s="1"/>
      <c r="AC19" s="1"/>
      <c r="AD19" s="1"/>
      <c r="AE19" s="1"/>
      <c r="AF19" s="1"/>
    </row>
    <row r="20" spans="2:32" x14ac:dyDescent="0.35">
      <c r="B20" s="85">
        <f t="shared" si="0"/>
        <v>17</v>
      </c>
      <c r="C20" s="75">
        <f t="shared" si="0"/>
        <v>17</v>
      </c>
      <c r="D20" s="75"/>
      <c r="E20" s="86">
        <v>2007</v>
      </c>
      <c r="O20" s="1"/>
      <c r="P20" s="1"/>
      <c r="AC20" s="1"/>
      <c r="AD20" s="1"/>
      <c r="AE20" s="1"/>
      <c r="AF20" s="1"/>
    </row>
    <row r="21" spans="2:32" ht="15.75" customHeight="1" x14ac:dyDescent="0.35">
      <c r="B21" s="85">
        <f t="shared" si="0"/>
        <v>18</v>
      </c>
      <c r="C21" s="75">
        <f t="shared" si="0"/>
        <v>18</v>
      </c>
      <c r="D21" s="75"/>
      <c r="E21" s="86">
        <v>2006</v>
      </c>
      <c r="O21" s="1"/>
      <c r="P21" s="1"/>
      <c r="AC21" s="1"/>
      <c r="AD21" s="1"/>
      <c r="AE21" s="1"/>
      <c r="AF21" s="1"/>
    </row>
    <row r="22" spans="2:32" x14ac:dyDescent="0.35">
      <c r="B22" s="85">
        <f t="shared" ref="B22:C37" si="4">B21+1</f>
        <v>19</v>
      </c>
      <c r="C22" s="75">
        <f t="shared" si="4"/>
        <v>19</v>
      </c>
      <c r="D22" s="75"/>
      <c r="E22" s="86">
        <v>2005</v>
      </c>
      <c r="O22" s="1"/>
      <c r="P22" s="1"/>
      <c r="AC22" s="1"/>
      <c r="AD22" s="1"/>
      <c r="AE22" s="1"/>
      <c r="AF22" s="1"/>
    </row>
    <row r="23" spans="2:32" x14ac:dyDescent="0.35">
      <c r="B23" s="85">
        <f t="shared" si="4"/>
        <v>20</v>
      </c>
      <c r="C23" s="75">
        <f t="shared" si="4"/>
        <v>20</v>
      </c>
      <c r="D23" s="75"/>
      <c r="E23" s="86">
        <v>2004</v>
      </c>
      <c r="O23" s="1"/>
      <c r="P23" s="1"/>
      <c r="AC23" s="1"/>
      <c r="AD23" s="1"/>
      <c r="AE23" s="1"/>
      <c r="AF23" s="1"/>
    </row>
    <row r="24" spans="2:32" x14ac:dyDescent="0.35">
      <c r="B24" s="85">
        <f t="shared" si="4"/>
        <v>21</v>
      </c>
      <c r="C24" s="75">
        <f t="shared" si="4"/>
        <v>21</v>
      </c>
      <c r="D24" s="75"/>
      <c r="E24" s="86">
        <v>2003</v>
      </c>
      <c r="O24" s="1"/>
      <c r="P24" s="1"/>
      <c r="AC24" s="1"/>
      <c r="AD24" s="1"/>
      <c r="AE24" s="1"/>
      <c r="AF24" s="1"/>
    </row>
    <row r="25" spans="2:32" x14ac:dyDescent="0.35">
      <c r="B25" s="85">
        <f t="shared" si="4"/>
        <v>22</v>
      </c>
      <c r="C25" s="75">
        <f t="shared" si="4"/>
        <v>22</v>
      </c>
      <c r="D25" s="75"/>
      <c r="E25" s="86">
        <v>2002</v>
      </c>
      <c r="O25" s="1"/>
      <c r="P25" s="1"/>
      <c r="AC25" s="1"/>
      <c r="AD25" s="1"/>
      <c r="AE25" s="1"/>
      <c r="AF25" s="1"/>
    </row>
    <row r="26" spans="2:32" x14ac:dyDescent="0.35">
      <c r="B26" s="85">
        <f t="shared" si="4"/>
        <v>23</v>
      </c>
      <c r="C26" s="75">
        <f t="shared" si="4"/>
        <v>23</v>
      </c>
      <c r="D26" s="75"/>
      <c r="E26" s="86">
        <v>2001</v>
      </c>
      <c r="O26" s="1"/>
      <c r="P26" s="1"/>
      <c r="AC26" s="1"/>
      <c r="AD26" s="1"/>
      <c r="AE26" s="1"/>
      <c r="AF26" s="1"/>
    </row>
    <row r="27" spans="2:32" x14ac:dyDescent="0.35">
      <c r="B27" s="85">
        <f t="shared" si="4"/>
        <v>24</v>
      </c>
      <c r="C27" s="75">
        <f t="shared" si="4"/>
        <v>24</v>
      </c>
      <c r="D27" s="75"/>
      <c r="E27" s="86">
        <v>2000</v>
      </c>
      <c r="O27" s="1"/>
      <c r="P27" s="1"/>
      <c r="AC27" s="1"/>
      <c r="AD27" s="1"/>
      <c r="AE27" s="1"/>
      <c r="AF27" s="1"/>
    </row>
    <row r="28" spans="2:32" x14ac:dyDescent="0.35">
      <c r="B28" s="85">
        <f t="shared" si="4"/>
        <v>25</v>
      </c>
      <c r="C28" s="75">
        <f t="shared" si="4"/>
        <v>25</v>
      </c>
      <c r="D28" s="75"/>
      <c r="E28" s="86">
        <v>1999</v>
      </c>
      <c r="O28" s="1"/>
      <c r="P28" s="1"/>
      <c r="AC28" s="1"/>
      <c r="AD28" s="1"/>
      <c r="AE28" s="1"/>
      <c r="AF28" s="1"/>
    </row>
    <row r="29" spans="2:32" x14ac:dyDescent="0.35">
      <c r="B29" s="85">
        <f t="shared" si="4"/>
        <v>26</v>
      </c>
      <c r="C29" s="75">
        <f t="shared" si="4"/>
        <v>26</v>
      </c>
      <c r="D29" s="75"/>
      <c r="E29" s="86">
        <v>1998</v>
      </c>
      <c r="O29" s="1"/>
      <c r="P29" s="1"/>
      <c r="AC29" s="1"/>
      <c r="AD29" s="1"/>
      <c r="AE29" s="1"/>
      <c r="AF29" s="1"/>
    </row>
    <row r="30" spans="2:32" x14ac:dyDescent="0.35">
      <c r="B30" s="85">
        <f t="shared" si="4"/>
        <v>27</v>
      </c>
      <c r="C30" s="75">
        <f t="shared" si="4"/>
        <v>27</v>
      </c>
      <c r="D30" s="75"/>
      <c r="E30" s="86">
        <v>1997</v>
      </c>
      <c r="O30" s="1"/>
      <c r="P30" s="1"/>
      <c r="AC30" s="1"/>
      <c r="AD30" s="1"/>
      <c r="AE30" s="1"/>
      <c r="AF30" s="1"/>
    </row>
    <row r="31" spans="2:32" x14ac:dyDescent="0.35">
      <c r="B31" s="85">
        <f t="shared" si="4"/>
        <v>28</v>
      </c>
      <c r="C31" s="75">
        <f t="shared" si="4"/>
        <v>28</v>
      </c>
      <c r="D31" s="75"/>
      <c r="E31" s="86">
        <v>1996</v>
      </c>
      <c r="O31" s="1"/>
      <c r="P31" s="1"/>
      <c r="AC31" s="1"/>
      <c r="AD31" s="1"/>
      <c r="AE31" s="1"/>
      <c r="AF31" s="1"/>
    </row>
    <row r="32" spans="2:32" x14ac:dyDescent="0.35">
      <c r="B32" s="85">
        <f t="shared" si="4"/>
        <v>29</v>
      </c>
      <c r="C32" s="75">
        <f t="shared" si="4"/>
        <v>29</v>
      </c>
      <c r="D32" s="75"/>
      <c r="E32" s="86">
        <v>1995</v>
      </c>
      <c r="O32" s="1"/>
      <c r="P32" s="1"/>
      <c r="AC32" s="1"/>
      <c r="AD32" s="1"/>
      <c r="AE32" s="1"/>
      <c r="AF32" s="1"/>
    </row>
    <row r="33" spans="2:32" x14ac:dyDescent="0.35">
      <c r="B33" s="85">
        <f t="shared" si="4"/>
        <v>30</v>
      </c>
      <c r="C33" s="75">
        <f t="shared" si="4"/>
        <v>30</v>
      </c>
      <c r="D33" s="75"/>
      <c r="E33" s="86">
        <v>1994</v>
      </c>
      <c r="O33" s="1"/>
      <c r="P33" s="1"/>
      <c r="AC33" s="1"/>
      <c r="AD33" s="1"/>
      <c r="AE33" s="1"/>
      <c r="AF33" s="1"/>
    </row>
    <row r="34" spans="2:32" x14ac:dyDescent="0.35">
      <c r="B34" s="85">
        <f t="shared" si="4"/>
        <v>31</v>
      </c>
      <c r="C34" s="75">
        <f t="shared" si="4"/>
        <v>31</v>
      </c>
      <c r="D34" s="75"/>
      <c r="E34" s="86">
        <v>1993</v>
      </c>
      <c r="O34" s="1"/>
      <c r="P34" s="1"/>
      <c r="AC34" s="1"/>
      <c r="AD34" s="1"/>
      <c r="AE34" s="1"/>
      <c r="AF34" s="1"/>
    </row>
    <row r="35" spans="2:32" x14ac:dyDescent="0.35">
      <c r="B35" s="85">
        <f t="shared" si="4"/>
        <v>32</v>
      </c>
      <c r="C35" s="75"/>
      <c r="D35" s="75"/>
      <c r="E35" s="86">
        <v>1992</v>
      </c>
      <c r="O35" s="1"/>
      <c r="P35" s="1"/>
      <c r="AC35" s="1"/>
      <c r="AD35" s="1"/>
      <c r="AE35" s="1"/>
      <c r="AF35" s="1"/>
    </row>
    <row r="36" spans="2:32" x14ac:dyDescent="0.35">
      <c r="B36" s="85">
        <f t="shared" si="4"/>
        <v>33</v>
      </c>
      <c r="C36" s="75"/>
      <c r="D36" s="75"/>
      <c r="E36" s="86">
        <v>1991</v>
      </c>
      <c r="O36" s="1"/>
      <c r="P36" s="1"/>
      <c r="AC36" s="1"/>
      <c r="AD36" s="1"/>
      <c r="AE36" s="1"/>
      <c r="AF36" s="1"/>
    </row>
    <row r="37" spans="2:32" x14ac:dyDescent="0.35">
      <c r="B37" s="85">
        <f t="shared" si="4"/>
        <v>34</v>
      </c>
      <c r="C37" s="75"/>
      <c r="D37" s="75"/>
      <c r="E37" s="86">
        <v>1990</v>
      </c>
      <c r="O37" s="1"/>
      <c r="P37" s="1"/>
      <c r="AC37" s="1"/>
      <c r="AD37" s="1"/>
      <c r="AE37" s="1"/>
      <c r="AF37" s="1"/>
    </row>
    <row r="38" spans="2:32" x14ac:dyDescent="0.35">
      <c r="B38" s="85">
        <f t="shared" ref="B38:B101" si="5">B37+1</f>
        <v>35</v>
      </c>
      <c r="C38" s="75"/>
      <c r="D38" s="75"/>
      <c r="E38" s="86">
        <v>1989</v>
      </c>
      <c r="O38" s="1"/>
      <c r="P38" s="1"/>
      <c r="AC38" s="1"/>
      <c r="AD38" s="1"/>
      <c r="AE38" s="1"/>
      <c r="AF38" s="1"/>
    </row>
    <row r="39" spans="2:32" x14ac:dyDescent="0.35">
      <c r="B39" s="85">
        <f t="shared" si="5"/>
        <v>36</v>
      </c>
      <c r="C39" s="75"/>
      <c r="D39" s="75"/>
      <c r="E39" s="86">
        <v>1988</v>
      </c>
      <c r="O39" s="1"/>
      <c r="P39" s="1"/>
      <c r="AC39" s="1"/>
      <c r="AD39" s="1"/>
      <c r="AE39" s="1"/>
      <c r="AF39" s="1"/>
    </row>
    <row r="40" spans="2:32" x14ac:dyDescent="0.35">
      <c r="B40" s="85">
        <f t="shared" si="5"/>
        <v>37</v>
      </c>
      <c r="C40" s="75"/>
      <c r="D40" s="75"/>
      <c r="E40" s="86">
        <v>1987</v>
      </c>
      <c r="O40" s="1"/>
      <c r="P40" s="1"/>
      <c r="AC40" s="1"/>
      <c r="AD40" s="1"/>
      <c r="AE40" s="1"/>
      <c r="AF40" s="1"/>
    </row>
    <row r="41" spans="2:32" x14ac:dyDescent="0.35">
      <c r="B41" s="85">
        <f t="shared" si="5"/>
        <v>38</v>
      </c>
      <c r="C41" s="75"/>
      <c r="D41" s="75"/>
      <c r="E41" s="86">
        <v>1986</v>
      </c>
      <c r="O41" s="1"/>
      <c r="P41" s="1"/>
      <c r="AC41" s="1"/>
      <c r="AD41" s="1"/>
      <c r="AE41" s="1"/>
      <c r="AF41" s="1"/>
    </row>
    <row r="42" spans="2:32" x14ac:dyDescent="0.35">
      <c r="B42" s="85">
        <f t="shared" si="5"/>
        <v>39</v>
      </c>
      <c r="C42" s="75"/>
      <c r="D42" s="75"/>
      <c r="E42" s="86">
        <v>1985</v>
      </c>
      <c r="O42" s="1"/>
      <c r="P42" s="1"/>
      <c r="AC42" s="1"/>
      <c r="AD42" s="1"/>
      <c r="AE42" s="1"/>
      <c r="AF42" s="1"/>
    </row>
    <row r="43" spans="2:32" x14ac:dyDescent="0.35">
      <c r="B43" s="85">
        <f t="shared" si="5"/>
        <v>40</v>
      </c>
      <c r="C43" s="75"/>
      <c r="D43" s="75"/>
      <c r="E43" s="86">
        <v>1984</v>
      </c>
      <c r="O43" s="1"/>
      <c r="P43" s="1"/>
      <c r="AC43" s="1"/>
      <c r="AD43" s="1"/>
      <c r="AE43" s="1"/>
      <c r="AF43" s="1"/>
    </row>
    <row r="44" spans="2:32" x14ac:dyDescent="0.35">
      <c r="B44" s="85">
        <f t="shared" si="5"/>
        <v>41</v>
      </c>
      <c r="C44" s="75"/>
      <c r="D44" s="75"/>
      <c r="E44" s="86">
        <v>1983</v>
      </c>
      <c r="O44" s="1"/>
      <c r="P44" s="1"/>
      <c r="AC44" s="1"/>
      <c r="AD44" s="1"/>
      <c r="AE44" s="1"/>
      <c r="AF44" s="1"/>
    </row>
    <row r="45" spans="2:32" x14ac:dyDescent="0.35">
      <c r="B45" s="85">
        <f t="shared" si="5"/>
        <v>42</v>
      </c>
      <c r="C45" s="75"/>
      <c r="D45" s="75"/>
      <c r="E45" s="86">
        <v>1982</v>
      </c>
      <c r="O45" s="1"/>
      <c r="P45" s="1"/>
      <c r="AC45" s="1"/>
      <c r="AD45" s="1"/>
      <c r="AE45" s="1"/>
      <c r="AF45" s="1"/>
    </row>
    <row r="46" spans="2:32" x14ac:dyDescent="0.35">
      <c r="B46" s="85">
        <f t="shared" si="5"/>
        <v>43</v>
      </c>
      <c r="C46" s="75"/>
      <c r="D46" s="75"/>
      <c r="E46" s="86">
        <v>1981</v>
      </c>
      <c r="O46" s="1"/>
      <c r="P46" s="1"/>
      <c r="AC46" s="1"/>
      <c r="AD46" s="1"/>
      <c r="AE46" s="1"/>
      <c r="AF46" s="1"/>
    </row>
    <row r="47" spans="2:32" x14ac:dyDescent="0.35">
      <c r="B47" s="85">
        <f t="shared" si="5"/>
        <v>44</v>
      </c>
      <c r="C47" s="75"/>
      <c r="D47" s="75"/>
      <c r="E47" s="86">
        <v>1980</v>
      </c>
      <c r="O47" s="1"/>
      <c r="P47" s="1"/>
      <c r="AC47" s="1"/>
      <c r="AD47" s="1"/>
      <c r="AE47" s="1"/>
      <c r="AF47" s="1"/>
    </row>
    <row r="48" spans="2:32" x14ac:dyDescent="0.35">
      <c r="B48" s="85">
        <f t="shared" si="5"/>
        <v>45</v>
      </c>
      <c r="C48" s="75"/>
      <c r="D48" s="75"/>
      <c r="E48" s="86">
        <v>1979</v>
      </c>
      <c r="O48" s="1"/>
      <c r="P48" s="1"/>
      <c r="AC48" s="1"/>
      <c r="AD48" s="1"/>
      <c r="AE48" s="1"/>
      <c r="AF48" s="1"/>
    </row>
    <row r="49" spans="2:32" x14ac:dyDescent="0.35">
      <c r="B49" s="85">
        <f t="shared" si="5"/>
        <v>46</v>
      </c>
      <c r="C49" s="75"/>
      <c r="D49" s="75"/>
      <c r="E49" s="86">
        <v>1978</v>
      </c>
      <c r="O49" s="1"/>
      <c r="P49" s="1"/>
      <c r="AC49" s="1"/>
      <c r="AD49" s="1"/>
      <c r="AE49" s="1"/>
      <c r="AF49" s="1"/>
    </row>
    <row r="50" spans="2:32" x14ac:dyDescent="0.35">
      <c r="B50" s="85">
        <f t="shared" si="5"/>
        <v>47</v>
      </c>
      <c r="C50" s="75"/>
      <c r="D50" s="75"/>
      <c r="E50" s="86">
        <v>1977</v>
      </c>
      <c r="O50" s="1"/>
      <c r="P50" s="1"/>
      <c r="AC50" s="1"/>
      <c r="AD50" s="1"/>
      <c r="AE50" s="1"/>
      <c r="AF50" s="1"/>
    </row>
    <row r="51" spans="2:32" x14ac:dyDescent="0.35">
      <c r="B51" s="85">
        <f t="shared" si="5"/>
        <v>48</v>
      </c>
      <c r="C51" s="75"/>
      <c r="D51" s="75"/>
      <c r="E51" s="86">
        <v>1976</v>
      </c>
      <c r="O51" s="1"/>
      <c r="P51" s="1"/>
      <c r="AC51" s="1"/>
      <c r="AD51" s="1"/>
      <c r="AE51" s="1"/>
      <c r="AF51" s="1"/>
    </row>
    <row r="52" spans="2:32" x14ac:dyDescent="0.35">
      <c r="B52" s="85">
        <f t="shared" si="5"/>
        <v>49</v>
      </c>
      <c r="C52" s="75"/>
      <c r="D52" s="75"/>
      <c r="E52" s="86">
        <v>1975</v>
      </c>
      <c r="O52" s="1"/>
      <c r="P52" s="1"/>
      <c r="AC52" s="1"/>
      <c r="AD52" s="1"/>
      <c r="AE52" s="1"/>
      <c r="AF52" s="1"/>
    </row>
    <row r="53" spans="2:32" x14ac:dyDescent="0.35">
      <c r="B53" s="85">
        <f t="shared" si="5"/>
        <v>50</v>
      </c>
      <c r="C53" s="75"/>
      <c r="D53" s="75"/>
      <c r="E53" s="86">
        <v>1974</v>
      </c>
      <c r="O53" s="1"/>
      <c r="P53" s="1"/>
      <c r="AC53" s="1"/>
      <c r="AD53" s="1"/>
      <c r="AE53" s="1"/>
      <c r="AF53" s="1"/>
    </row>
    <row r="54" spans="2:32" x14ac:dyDescent="0.35">
      <c r="B54" s="85">
        <f t="shared" si="5"/>
        <v>51</v>
      </c>
      <c r="C54" s="75"/>
      <c r="D54" s="75"/>
      <c r="E54" s="86">
        <v>1973</v>
      </c>
      <c r="P54"/>
      <c r="AC54" s="1"/>
      <c r="AD54" s="1"/>
      <c r="AE54" s="1"/>
      <c r="AF54" s="1"/>
    </row>
    <row r="55" spans="2:32" x14ac:dyDescent="0.35">
      <c r="B55" s="85">
        <f t="shared" si="5"/>
        <v>52</v>
      </c>
      <c r="C55" s="75"/>
      <c r="D55" s="75"/>
      <c r="E55" s="86">
        <v>1972</v>
      </c>
      <c r="P55"/>
      <c r="AC55" s="1"/>
      <c r="AD55" s="1"/>
      <c r="AE55" s="1"/>
      <c r="AF55" s="1"/>
    </row>
    <row r="56" spans="2:32" x14ac:dyDescent="0.35">
      <c r="B56" s="85">
        <f t="shared" si="5"/>
        <v>53</v>
      </c>
      <c r="C56" s="75"/>
      <c r="D56" s="75"/>
      <c r="E56" s="86">
        <v>1971</v>
      </c>
      <c r="P56"/>
      <c r="AC56" s="1"/>
      <c r="AD56" s="1"/>
      <c r="AE56" s="1"/>
      <c r="AF56" s="1"/>
    </row>
    <row r="57" spans="2:32" x14ac:dyDescent="0.35">
      <c r="B57" s="85">
        <f t="shared" si="5"/>
        <v>54</v>
      </c>
      <c r="C57" s="75"/>
      <c r="D57" s="75"/>
      <c r="E57" s="86">
        <v>1970</v>
      </c>
      <c r="P57"/>
      <c r="AC57" s="1"/>
      <c r="AD57" s="1"/>
      <c r="AE57" s="1"/>
      <c r="AF57" s="1"/>
    </row>
    <row r="58" spans="2:32" x14ac:dyDescent="0.35">
      <c r="B58" s="85">
        <f t="shared" si="5"/>
        <v>55</v>
      </c>
      <c r="C58" s="75"/>
      <c r="D58" s="75"/>
      <c r="E58" s="86">
        <v>1969</v>
      </c>
      <c r="P58"/>
      <c r="AC58" s="1"/>
      <c r="AD58" s="1"/>
      <c r="AE58" s="1"/>
      <c r="AF58" s="1"/>
    </row>
    <row r="59" spans="2:32" x14ac:dyDescent="0.35">
      <c r="B59" s="85">
        <f t="shared" si="5"/>
        <v>56</v>
      </c>
      <c r="C59" s="75"/>
      <c r="D59" s="75"/>
      <c r="E59" s="86">
        <v>1968</v>
      </c>
      <c r="P59"/>
      <c r="AC59" s="1"/>
      <c r="AD59" s="1"/>
      <c r="AE59" s="1"/>
      <c r="AF59" s="1"/>
    </row>
    <row r="60" spans="2:32" x14ac:dyDescent="0.35">
      <c r="B60" s="85">
        <f t="shared" si="5"/>
        <v>57</v>
      </c>
      <c r="C60" s="75"/>
      <c r="D60" s="75"/>
      <c r="E60" s="86">
        <v>1967</v>
      </c>
      <c r="P60"/>
      <c r="AC60" s="1"/>
      <c r="AD60" s="1"/>
      <c r="AE60" s="1"/>
      <c r="AF60" s="1"/>
    </row>
    <row r="61" spans="2:32" x14ac:dyDescent="0.35">
      <c r="B61" s="85">
        <f t="shared" si="5"/>
        <v>58</v>
      </c>
      <c r="C61" s="75"/>
      <c r="D61" s="75"/>
      <c r="E61" s="86">
        <v>1966</v>
      </c>
      <c r="P61"/>
      <c r="AC61" s="1"/>
      <c r="AD61" s="1"/>
      <c r="AE61" s="1"/>
      <c r="AF61" s="1"/>
    </row>
    <row r="62" spans="2:32" x14ac:dyDescent="0.35">
      <c r="B62" s="85">
        <f t="shared" si="5"/>
        <v>59</v>
      </c>
      <c r="C62" s="75"/>
      <c r="D62" s="75"/>
      <c r="E62" s="86">
        <v>1965</v>
      </c>
      <c r="P62"/>
      <c r="AC62" s="1"/>
      <c r="AD62" s="1"/>
      <c r="AE62" s="1"/>
      <c r="AF62" s="1"/>
    </row>
    <row r="63" spans="2:32" x14ac:dyDescent="0.35">
      <c r="B63" s="85">
        <f t="shared" si="5"/>
        <v>60</v>
      </c>
      <c r="C63" s="75"/>
      <c r="D63" s="75"/>
      <c r="E63" s="86">
        <v>1964</v>
      </c>
      <c r="P63"/>
      <c r="AC63" s="1"/>
      <c r="AD63" s="1"/>
      <c r="AE63" s="1"/>
      <c r="AF63" s="1"/>
    </row>
    <row r="64" spans="2:32" x14ac:dyDescent="0.35">
      <c r="B64" s="85">
        <f t="shared" si="5"/>
        <v>61</v>
      </c>
      <c r="C64" s="75"/>
      <c r="D64" s="75"/>
      <c r="E64" s="86">
        <v>1963</v>
      </c>
      <c r="P64"/>
      <c r="AC64" s="1"/>
      <c r="AD64" s="1"/>
      <c r="AE64" s="1"/>
      <c r="AF64" s="1"/>
    </row>
    <row r="65" spans="2:32" x14ac:dyDescent="0.35">
      <c r="B65" s="85">
        <f t="shared" si="5"/>
        <v>62</v>
      </c>
      <c r="C65" s="75"/>
      <c r="D65" s="75"/>
      <c r="E65" s="86">
        <v>1962</v>
      </c>
      <c r="P65"/>
      <c r="AC65" s="1"/>
      <c r="AD65" s="1"/>
      <c r="AE65" s="1"/>
      <c r="AF65" s="1"/>
    </row>
    <row r="66" spans="2:32" x14ac:dyDescent="0.35">
      <c r="B66" s="85">
        <f t="shared" si="5"/>
        <v>63</v>
      </c>
      <c r="C66" s="75"/>
      <c r="D66" s="75"/>
      <c r="E66" s="86">
        <v>1961</v>
      </c>
      <c r="P66"/>
      <c r="AC66" s="1"/>
      <c r="AD66" s="1"/>
      <c r="AE66" s="1"/>
      <c r="AF66" s="1"/>
    </row>
    <row r="67" spans="2:32" x14ac:dyDescent="0.35">
      <c r="B67" s="85">
        <f t="shared" si="5"/>
        <v>64</v>
      </c>
      <c r="C67" s="75"/>
      <c r="D67" s="75"/>
      <c r="E67" s="86">
        <v>1960</v>
      </c>
      <c r="P67"/>
      <c r="AC67" s="1"/>
      <c r="AD67" s="1"/>
      <c r="AE67" s="1"/>
      <c r="AF67" s="1"/>
    </row>
    <row r="68" spans="2:32" x14ac:dyDescent="0.35">
      <c r="B68" s="85">
        <f t="shared" si="5"/>
        <v>65</v>
      </c>
      <c r="C68" s="75"/>
      <c r="D68" s="75"/>
      <c r="E68" s="86">
        <v>1959</v>
      </c>
      <c r="P68"/>
      <c r="AC68" s="1"/>
      <c r="AD68" s="1"/>
      <c r="AE68" s="1"/>
      <c r="AF68" s="1"/>
    </row>
    <row r="69" spans="2:32" x14ac:dyDescent="0.35">
      <c r="B69" s="85">
        <f t="shared" si="5"/>
        <v>66</v>
      </c>
      <c r="C69" s="75"/>
      <c r="D69" s="75"/>
      <c r="E69" s="86">
        <v>1958</v>
      </c>
      <c r="P69"/>
      <c r="AC69" s="1"/>
      <c r="AD69" s="1"/>
      <c r="AE69" s="1"/>
      <c r="AF69" s="1"/>
    </row>
    <row r="70" spans="2:32" x14ac:dyDescent="0.35">
      <c r="B70" s="85">
        <f t="shared" si="5"/>
        <v>67</v>
      </c>
      <c r="C70" s="75"/>
      <c r="D70" s="75"/>
      <c r="E70" s="86">
        <v>1957</v>
      </c>
      <c r="P70"/>
      <c r="AC70" s="1"/>
      <c r="AD70" s="1"/>
      <c r="AE70" s="1"/>
      <c r="AF70" s="1"/>
    </row>
    <row r="71" spans="2:32" x14ac:dyDescent="0.35">
      <c r="B71" s="85">
        <f t="shared" si="5"/>
        <v>68</v>
      </c>
      <c r="C71" s="75"/>
      <c r="D71" s="75"/>
      <c r="E71" s="86">
        <v>1956</v>
      </c>
      <c r="P71"/>
      <c r="AC71" s="1"/>
      <c r="AD71" s="1"/>
      <c r="AE71" s="1"/>
      <c r="AF71" s="1"/>
    </row>
    <row r="72" spans="2:32" x14ac:dyDescent="0.35">
      <c r="B72" s="85">
        <f t="shared" si="5"/>
        <v>69</v>
      </c>
      <c r="C72" s="75"/>
      <c r="D72" s="75"/>
      <c r="E72" s="86">
        <v>1955</v>
      </c>
      <c r="P72"/>
      <c r="AC72" s="1"/>
      <c r="AD72" s="1"/>
      <c r="AE72" s="1"/>
      <c r="AF72" s="1"/>
    </row>
    <row r="73" spans="2:32" x14ac:dyDescent="0.35">
      <c r="B73" s="85">
        <f t="shared" si="5"/>
        <v>70</v>
      </c>
      <c r="C73" s="75"/>
      <c r="D73" s="75"/>
      <c r="E73" s="86">
        <v>1954</v>
      </c>
      <c r="P73"/>
      <c r="AC73" s="1"/>
      <c r="AD73" s="1"/>
      <c r="AE73" s="1"/>
      <c r="AF73" s="1"/>
    </row>
    <row r="74" spans="2:32" x14ac:dyDescent="0.35">
      <c r="B74" s="85">
        <f t="shared" si="5"/>
        <v>71</v>
      </c>
      <c r="C74" s="75"/>
      <c r="D74" s="75"/>
      <c r="E74" s="86">
        <v>1953</v>
      </c>
      <c r="P74"/>
      <c r="AC74" s="1"/>
      <c r="AD74" s="1"/>
      <c r="AE74" s="1"/>
      <c r="AF74" s="1"/>
    </row>
    <row r="75" spans="2:32" x14ac:dyDescent="0.35">
      <c r="B75" s="85">
        <f t="shared" si="5"/>
        <v>72</v>
      </c>
      <c r="C75" s="75"/>
      <c r="D75" s="75"/>
      <c r="E75" s="86">
        <v>1952</v>
      </c>
      <c r="P75"/>
      <c r="AC75" s="1"/>
      <c r="AD75" s="1"/>
      <c r="AE75" s="1"/>
      <c r="AF75" s="1"/>
    </row>
    <row r="76" spans="2:32" x14ac:dyDescent="0.35">
      <c r="B76" s="85">
        <f t="shared" si="5"/>
        <v>73</v>
      </c>
      <c r="C76" s="75"/>
      <c r="D76" s="75"/>
      <c r="E76" s="86">
        <v>1951</v>
      </c>
      <c r="P76"/>
      <c r="AC76" s="1"/>
      <c r="AD76" s="1"/>
      <c r="AE76" s="1"/>
      <c r="AF76" s="1"/>
    </row>
    <row r="77" spans="2:32" x14ac:dyDescent="0.35">
      <c r="B77" s="85">
        <f t="shared" si="5"/>
        <v>74</v>
      </c>
      <c r="C77" s="75"/>
      <c r="D77" s="75"/>
      <c r="E77" s="86">
        <v>1950</v>
      </c>
      <c r="P77"/>
      <c r="AC77" s="1"/>
      <c r="AD77" s="1"/>
      <c r="AE77" s="1"/>
      <c r="AF77" s="1"/>
    </row>
    <row r="78" spans="2:32" x14ac:dyDescent="0.35">
      <c r="B78" s="85">
        <f t="shared" si="5"/>
        <v>75</v>
      </c>
      <c r="C78" s="75"/>
      <c r="D78" s="75"/>
      <c r="E78" s="86">
        <v>1949</v>
      </c>
      <c r="P78"/>
      <c r="AC78" s="1"/>
      <c r="AD78" s="1"/>
      <c r="AE78" s="1"/>
      <c r="AF78" s="1"/>
    </row>
    <row r="79" spans="2:32" x14ac:dyDescent="0.35">
      <c r="B79" s="85">
        <f t="shared" si="5"/>
        <v>76</v>
      </c>
      <c r="C79" s="75"/>
      <c r="D79" s="75"/>
      <c r="E79" s="86">
        <v>1948</v>
      </c>
      <c r="P79"/>
      <c r="AC79" s="1"/>
      <c r="AD79" s="1"/>
      <c r="AE79" s="1"/>
      <c r="AF79" s="1"/>
    </row>
    <row r="80" spans="2:32" x14ac:dyDescent="0.35">
      <c r="B80" s="85">
        <f t="shared" si="5"/>
        <v>77</v>
      </c>
      <c r="C80" s="75"/>
      <c r="D80" s="75"/>
      <c r="E80" s="86">
        <v>1947</v>
      </c>
      <c r="P80"/>
      <c r="AC80" s="1"/>
      <c r="AD80" s="1"/>
      <c r="AE80" s="1"/>
      <c r="AF80" s="1"/>
    </row>
    <row r="81" spans="2:32" x14ac:dyDescent="0.35">
      <c r="B81" s="85">
        <f t="shared" si="5"/>
        <v>78</v>
      </c>
      <c r="C81" s="75"/>
      <c r="D81" s="75"/>
      <c r="E81" s="86">
        <v>1946</v>
      </c>
      <c r="P81"/>
      <c r="AC81" s="1"/>
      <c r="AD81" s="1"/>
      <c r="AE81" s="1"/>
      <c r="AF81" s="1"/>
    </row>
    <row r="82" spans="2:32" x14ac:dyDescent="0.35">
      <c r="B82" s="85">
        <f t="shared" si="5"/>
        <v>79</v>
      </c>
      <c r="C82" s="75"/>
      <c r="D82" s="75"/>
      <c r="E82" s="86">
        <v>1945</v>
      </c>
      <c r="P82"/>
      <c r="AC82" s="1"/>
      <c r="AD82" s="1"/>
      <c r="AE82" s="1"/>
      <c r="AF82" s="1"/>
    </row>
    <row r="83" spans="2:32" x14ac:dyDescent="0.35">
      <c r="B83" s="85">
        <f t="shared" si="5"/>
        <v>80</v>
      </c>
      <c r="C83" s="75"/>
      <c r="D83" s="75"/>
      <c r="E83" s="86">
        <v>1944</v>
      </c>
      <c r="P83"/>
      <c r="AC83" s="1"/>
      <c r="AD83" s="1"/>
      <c r="AE83" s="1"/>
      <c r="AF83" s="1"/>
    </row>
    <row r="84" spans="2:32" x14ac:dyDescent="0.35">
      <c r="B84" s="85">
        <f t="shared" si="5"/>
        <v>81</v>
      </c>
      <c r="C84" s="75"/>
      <c r="D84" s="75"/>
      <c r="E84" s="86">
        <v>1943</v>
      </c>
      <c r="P84"/>
      <c r="AC84" s="1"/>
      <c r="AD84" s="1"/>
      <c r="AE84" s="1"/>
      <c r="AF84" s="1"/>
    </row>
    <row r="85" spans="2:32" x14ac:dyDescent="0.35">
      <c r="B85" s="85">
        <f t="shared" si="5"/>
        <v>82</v>
      </c>
      <c r="C85" s="75"/>
      <c r="D85" s="75"/>
      <c r="E85" s="86">
        <v>1942</v>
      </c>
      <c r="P85"/>
      <c r="AC85" s="1"/>
      <c r="AD85" s="1"/>
      <c r="AE85" s="1"/>
      <c r="AF85" s="1"/>
    </row>
    <row r="86" spans="2:32" x14ac:dyDescent="0.35">
      <c r="B86" s="85">
        <f t="shared" si="5"/>
        <v>83</v>
      </c>
      <c r="C86" s="75"/>
      <c r="D86" s="75"/>
      <c r="E86" s="86">
        <v>1941</v>
      </c>
      <c r="P86"/>
      <c r="AC86" s="1"/>
      <c r="AD86" s="1"/>
      <c r="AE86" s="1"/>
      <c r="AF86" s="1"/>
    </row>
    <row r="87" spans="2:32" x14ac:dyDescent="0.35">
      <c r="B87" s="85">
        <f t="shared" si="5"/>
        <v>84</v>
      </c>
      <c r="C87" s="75"/>
      <c r="D87" s="75"/>
      <c r="E87" s="86"/>
      <c r="P87"/>
      <c r="AC87" s="1"/>
      <c r="AD87" s="1"/>
      <c r="AE87" s="1"/>
      <c r="AF87" s="1"/>
    </row>
    <row r="88" spans="2:32" x14ac:dyDescent="0.35">
      <c r="B88" s="85">
        <f t="shared" si="5"/>
        <v>85</v>
      </c>
      <c r="C88" s="75"/>
      <c r="D88" s="75"/>
      <c r="E88" s="86"/>
      <c r="P88"/>
      <c r="AC88" s="1"/>
      <c r="AD88" s="1"/>
      <c r="AE88" s="1"/>
      <c r="AF88" s="1"/>
    </row>
    <row r="89" spans="2:32" x14ac:dyDescent="0.35">
      <c r="B89" s="85">
        <f t="shared" si="5"/>
        <v>86</v>
      </c>
      <c r="C89" s="75"/>
      <c r="D89" s="75"/>
      <c r="E89" s="86"/>
      <c r="P89"/>
      <c r="AC89" s="1"/>
      <c r="AD89" s="1"/>
      <c r="AE89" s="1"/>
      <c r="AF89" s="1"/>
    </row>
    <row r="90" spans="2:32" x14ac:dyDescent="0.35">
      <c r="B90" s="85">
        <f t="shared" si="5"/>
        <v>87</v>
      </c>
      <c r="C90" s="75"/>
      <c r="D90" s="75"/>
      <c r="E90" s="86"/>
      <c r="P90"/>
      <c r="AC90" s="1"/>
      <c r="AD90" s="1"/>
      <c r="AE90" s="1"/>
      <c r="AF90" s="1"/>
    </row>
    <row r="91" spans="2:32" x14ac:dyDescent="0.35">
      <c r="B91" s="85">
        <f t="shared" si="5"/>
        <v>88</v>
      </c>
      <c r="C91" s="75"/>
      <c r="D91" s="75"/>
      <c r="E91" s="86"/>
      <c r="P91"/>
      <c r="AC91" s="1"/>
      <c r="AD91" s="1"/>
      <c r="AE91" s="1"/>
      <c r="AF91" s="1"/>
    </row>
    <row r="92" spans="2:32" x14ac:dyDescent="0.35">
      <c r="B92" s="85">
        <f t="shared" si="5"/>
        <v>89</v>
      </c>
      <c r="C92" s="75"/>
      <c r="D92" s="75"/>
      <c r="E92" s="86"/>
      <c r="P92"/>
      <c r="AC92" s="1"/>
      <c r="AD92" s="1"/>
      <c r="AE92" s="1"/>
      <c r="AF92" s="1"/>
    </row>
    <row r="93" spans="2:32" x14ac:dyDescent="0.35">
      <c r="B93" s="85">
        <f t="shared" si="5"/>
        <v>90</v>
      </c>
      <c r="C93" s="75"/>
      <c r="D93" s="75"/>
      <c r="E93" s="86"/>
      <c r="P93"/>
      <c r="AC93" s="1"/>
      <c r="AD93" s="1"/>
      <c r="AE93" s="1"/>
      <c r="AF93" s="1"/>
    </row>
    <row r="94" spans="2:32" x14ac:dyDescent="0.35">
      <c r="B94" s="85">
        <f t="shared" si="5"/>
        <v>91</v>
      </c>
      <c r="C94" s="75"/>
      <c r="D94" s="75"/>
      <c r="E94" s="86"/>
      <c r="P94"/>
      <c r="AC94" s="1"/>
      <c r="AD94" s="1"/>
      <c r="AE94" s="1"/>
      <c r="AF94" s="1"/>
    </row>
    <row r="95" spans="2:32" x14ac:dyDescent="0.35">
      <c r="B95" s="85">
        <f t="shared" si="5"/>
        <v>92</v>
      </c>
      <c r="C95" s="75"/>
      <c r="D95" s="75"/>
      <c r="E95" s="86"/>
      <c r="P95"/>
      <c r="AC95" s="1"/>
      <c r="AD95" s="1"/>
      <c r="AE95" s="1"/>
      <c r="AF95" s="1"/>
    </row>
    <row r="96" spans="2:32" x14ac:dyDescent="0.35">
      <c r="B96" s="85">
        <f t="shared" si="5"/>
        <v>93</v>
      </c>
      <c r="C96" s="75"/>
      <c r="D96" s="75"/>
      <c r="E96" s="86"/>
      <c r="P96"/>
      <c r="AC96" s="1"/>
      <c r="AD96" s="1"/>
      <c r="AE96" s="1"/>
      <c r="AF96" s="1"/>
    </row>
    <row r="97" spans="2:32" x14ac:dyDescent="0.35">
      <c r="B97" s="85">
        <f t="shared" si="5"/>
        <v>94</v>
      </c>
      <c r="C97" s="75"/>
      <c r="D97" s="75"/>
      <c r="E97" s="86"/>
      <c r="P97"/>
      <c r="AC97" s="1"/>
      <c r="AD97" s="1"/>
      <c r="AE97" s="1"/>
      <c r="AF97" s="1"/>
    </row>
    <row r="98" spans="2:32" x14ac:dyDescent="0.35">
      <c r="B98" s="85">
        <f t="shared" si="5"/>
        <v>95</v>
      </c>
      <c r="C98" s="75"/>
      <c r="D98" s="75"/>
      <c r="E98" s="86"/>
      <c r="P98"/>
      <c r="AC98" s="1"/>
      <c r="AD98" s="1"/>
      <c r="AE98" s="1"/>
      <c r="AF98" s="1"/>
    </row>
    <row r="99" spans="2:32" x14ac:dyDescent="0.35">
      <c r="B99" s="85">
        <f t="shared" si="5"/>
        <v>96</v>
      </c>
      <c r="C99" s="75"/>
      <c r="D99" s="75"/>
      <c r="E99" s="86"/>
      <c r="P99"/>
      <c r="AC99" s="1"/>
      <c r="AD99" s="1"/>
      <c r="AE99" s="1"/>
      <c r="AF99" s="1"/>
    </row>
    <row r="100" spans="2:32" x14ac:dyDescent="0.35">
      <c r="B100" s="85">
        <f t="shared" si="5"/>
        <v>97</v>
      </c>
      <c r="C100" s="75"/>
      <c r="D100" s="75"/>
      <c r="E100" s="86"/>
      <c r="AC100" s="1"/>
      <c r="AD100" s="1"/>
      <c r="AE100" s="1"/>
      <c r="AF100" s="1"/>
    </row>
    <row r="101" spans="2:32" x14ac:dyDescent="0.35">
      <c r="B101" s="85">
        <f t="shared" si="5"/>
        <v>98</v>
      </c>
      <c r="C101" s="75"/>
      <c r="D101" s="75"/>
      <c r="E101" s="86"/>
      <c r="AC101" s="1"/>
      <c r="AD101" s="1"/>
      <c r="AE101" s="1"/>
      <c r="AF101" s="1"/>
    </row>
    <row r="102" spans="2:32" x14ac:dyDescent="0.35">
      <c r="B102" s="85">
        <f t="shared" ref="B102:B105" si="6">B101+1</f>
        <v>99</v>
      </c>
      <c r="C102" s="75"/>
      <c r="D102" s="75"/>
      <c r="E102" s="86"/>
      <c r="AC102" s="1"/>
      <c r="AD102" s="1"/>
      <c r="AE102" s="1"/>
      <c r="AF102" s="1"/>
    </row>
    <row r="103" spans="2:32" x14ac:dyDescent="0.35">
      <c r="B103" s="85">
        <f t="shared" si="6"/>
        <v>100</v>
      </c>
      <c r="C103" s="75"/>
      <c r="D103" s="75"/>
      <c r="E103" s="86"/>
      <c r="AC103" s="1"/>
      <c r="AD103" s="1"/>
      <c r="AE103" s="1"/>
      <c r="AF103" s="1"/>
    </row>
    <row r="104" spans="2:32" x14ac:dyDescent="0.35">
      <c r="B104" s="85">
        <f t="shared" si="6"/>
        <v>101</v>
      </c>
      <c r="C104" s="75"/>
      <c r="D104" s="75"/>
      <c r="E104" s="86"/>
      <c r="AC104" s="1"/>
      <c r="AD104" s="1"/>
      <c r="AE104" s="1"/>
      <c r="AF104" s="1"/>
    </row>
    <row r="105" spans="2:32" ht="15" thickBot="1" x14ac:dyDescent="0.4">
      <c r="B105" s="87">
        <f t="shared" si="6"/>
        <v>102</v>
      </c>
      <c r="C105" s="88"/>
      <c r="D105" s="88"/>
      <c r="E105" s="89"/>
      <c r="AC105" s="1"/>
      <c r="AD105" s="1"/>
      <c r="AE105" s="1"/>
      <c r="AF105" s="1"/>
    </row>
  </sheetData>
  <mergeCells count="5">
    <mergeCell ref="B2:E2"/>
    <mergeCell ref="N2:P2"/>
    <mergeCell ref="K9:L9"/>
    <mergeCell ref="K2:L2"/>
    <mergeCell ref="N6:O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Cotizador</vt:lpstr>
      <vt:lpstr>Calculos</vt:lpstr>
      <vt:lpstr>Factores</vt:lpstr>
      <vt:lpstr>Primas_Importes </vt:lpstr>
      <vt:lpstr>tablas</vt:lpstr>
      <vt:lpstr>Año</vt:lpstr>
      <vt:lpstr>dia</vt:lpstr>
      <vt:lpstr>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Ángel Soto Gómez</dc:creator>
  <cp:lastModifiedBy>JESSICA FARIAS</cp:lastModifiedBy>
  <cp:lastPrinted>2022-04-04T22:52:40Z</cp:lastPrinted>
  <dcterms:created xsi:type="dcterms:W3CDTF">2022-03-03T16:39:56Z</dcterms:created>
  <dcterms:modified xsi:type="dcterms:W3CDTF">2022-07-13T16:07:16Z</dcterms:modified>
</cp:coreProperties>
</file>