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1'!$A$1:$BC$49</definedName>
  </definedNames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4" xfId="0" applyFont="1" applyNumberFormat="1"/>
    <xf borderId="0" fillId="0" fontId="1" numFmtId="10" xfId="0" applyFont="1" applyNumberForma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IFERROR(__xludf.DUMMYFUNCTION("IMPORTRANGE(""https://docs.google.com/spreadsheets/d/1uDlCTOVO6E9yL1zOiquXmjIkvVYIf8nkiJA1dcQiHVo/edit?gid=1137002040#gid=1137002040"", ""Nuevo Master de Ventas 25-2!A1:BJ700"")"),"N°")</f>
        <v>N°</v>
      </c>
      <c r="B1" s="1" t="str">
        <f>IFERROR(__xludf.DUMMYFUNCTION("""COMPUTED_VALUE"""),"ID PROMETEO")</f>
        <v>ID PROMETEO</v>
      </c>
      <c r="C1" s="1" t="str">
        <f>IFERROR(__xludf.DUMMYFUNCTION("""COMPUTED_VALUE"""),"ID CAMPUS")</f>
        <v>ID CAMPUS</v>
      </c>
      <c r="D1" s="1" t="str">
        <f>IFERROR(__xludf.DUMMYFUNCTION("""COMPUTED_VALUE"""),"NOMBRES")</f>
        <v>NOMBRES</v>
      </c>
      <c r="E1" s="2" t="str">
        <f>IFERROR(__xludf.DUMMYFUNCTION("""COMPUTED_VALUE"""),"APELLIDOS")</f>
        <v>APELLIDOS</v>
      </c>
      <c r="F1" s="1" t="str">
        <f>IFERROR(__xludf.DUMMYFUNCTION("""COMPUTED_VALUE"""),"DNI")</f>
        <v>DNI</v>
      </c>
      <c r="G1" s="1" t="str">
        <f>IFERROR(__xludf.DUMMYFUNCTION("""COMPUTED_VALUE"""),"CELULAR")</f>
        <v>CELULAR</v>
      </c>
      <c r="H1" s="1" t="str">
        <f>IFERROR(__xludf.DUMMYFUNCTION("""COMPUTED_VALUE"""),"CORREO")</f>
        <v>CORREO</v>
      </c>
      <c r="I1" s="1" t="str">
        <f>IFERROR(__xludf.DUMMYFUNCTION("""COMPUTED_VALUE"""),"CARRERA")</f>
        <v>CARRERA</v>
      </c>
      <c r="J1" s="1" t="str">
        <f>IFERROR(__xludf.DUMMYFUNCTION("""COMPUTED_VALUE"""),"MUNDO")</f>
        <v>MUNDO</v>
      </c>
      <c r="K1" s="1" t="str">
        <f>IFERROR(__xludf.DUMMYFUNCTION("""COMPUTED_VALUE"""),"TIPO DE CARRERA")</f>
        <v>TIPO DE CARRERA</v>
      </c>
      <c r="L1" s="1" t="str">
        <f>IFERROR(__xludf.DUMMYFUNCTION("""COMPUTED_VALUE"""),"MODALIDAD DE INGRESO")</f>
        <v>MODALIDAD DE INGRESO</v>
      </c>
      <c r="M1" s="1" t="str">
        <f>IFERROR(__xludf.DUMMYFUNCTION("""COMPUTED_VALUE"""),"MODALIDAD DE ESTUDIO")</f>
        <v>MODALIDAD DE ESTUDIO</v>
      </c>
      <c r="N1" s="1" t="str">
        <f>IFERROR(__xludf.DUMMYFUNCTION("""COMPUTED_VALUE"""),"HORARIO DE ESTUDIO")</f>
        <v>HORARIO DE ESTUDIO</v>
      </c>
      <c r="O1" s="1" t="str">
        <f>IFERROR(__xludf.DUMMYFUNCTION("""COMPUTED_VALUE"""),"TIPO DE INGRESO")</f>
        <v>TIPO DE INGRESO</v>
      </c>
      <c r="P1" s="1" t="str">
        <f>IFERROR(__xludf.DUMMYFUNCTION("""COMPUTED_VALUE"""),"TIPO DE DESCUENTO")</f>
        <v>TIPO DE DESCUENTO</v>
      </c>
      <c r="Q1" s="1" t="str">
        <f>IFERROR(__xludf.DUMMYFUNCTION("""COMPUTED_VALUE"""),"DETALLE DE TIPO DE DESCUENTO")</f>
        <v>DETALLE DE TIPO DE DESCUENTO</v>
      </c>
      <c r="R1" s="1" t="str">
        <f>IFERROR(__xludf.DUMMYFUNCTION("""COMPUTED_VALUE"""),"TIPO DE DESCUENTOS ADICIONALES")</f>
        <v>TIPO DE DESCUENTOS ADICIONALES</v>
      </c>
      <c r="S1" s="1" t="str">
        <f>IFERROR(__xludf.DUMMYFUNCTION("""COMPUTED_VALUE"""),"VB")</f>
        <v>VB</v>
      </c>
      <c r="T1" s="1" t="str">
        <f>IFERROR(__xludf.DUMMYFUNCTION("""COMPUTED_VALUE"""),"FECHA DE PAGO")</f>
        <v>FECHA DE PAGO</v>
      </c>
      <c r="U1" s="1" t="str">
        <f>IFERROR(__xludf.DUMMYFUNCTION("""COMPUTED_VALUE"""),"MEDIO DE PAGO")</f>
        <v>MEDIO DE PAGO</v>
      </c>
      <c r="V1" s="1" t="str">
        <f>IFERROR(__xludf.DUMMYFUNCTION("""COMPUTED_VALUE"""),"STATUS DE PAGO")</f>
        <v>STATUS DE PAGO</v>
      </c>
      <c r="W1" s="1" t="str">
        <f>IFERROR(__xludf.DUMMYFUNCTION("""COMPUTED_VALUE"""),"FALTA PAGAR")</f>
        <v>FALTA PAGAR</v>
      </c>
      <c r="X1" s="1" t="str">
        <f>IFERROR(__xludf.DUMMYFUNCTION("""COMPUTED_VALUE"""),"FECHA DE PROMESA DE PAGO")</f>
        <v>FECHA DE PROMESA DE PAGO</v>
      </c>
      <c r="Y1" s="1" t="str">
        <f>IFERROR(__xludf.DUMMYFUNCTION("""COMPUTED_VALUE"""),"FECHA DE PAGO COMPLETO")</f>
        <v>FECHA DE PAGO COMPLETO</v>
      </c>
      <c r="Z1" s="1" t="str">
        <f>IFERROR(__xludf.DUMMYFUNCTION("""COMPUTED_VALUE"""),"STATUS DE PAGO FINAL")</f>
        <v>STATUS DE PAGO FINAL</v>
      </c>
      <c r="AA1" s="1" t="str">
        <f>IFERROR(__xludf.DUMMYFUNCTION("""COMPUTED_VALUE"""),"FLAG ACEPTO CONVA")</f>
        <v>FLAG ACEPTO CONVA</v>
      </c>
      <c r="AB1" s="1" t="str">
        <f>IFERROR(__xludf.DUMMYFUNCTION("""COMPUTED_VALUE"""),"STATUS MATRICULA")</f>
        <v>STATUS MATRICULA</v>
      </c>
      <c r="AC1" s="1" t="str">
        <f>IFERROR(__xludf.DUMMYFUNCTION("""COMPUTED_VALUE"""),"PAGO DE ADMISION")</f>
        <v>PAGO DE ADMISION</v>
      </c>
      <c r="AD1" s="1" t="str">
        <f>IFERROR(__xludf.DUMMYFUNCTION("""COMPUTED_VALUE"""),"MATRICULA")</f>
        <v>MATRICULA</v>
      </c>
      <c r="AE1" s="1" t="str">
        <f>IFERROR(__xludf.DUMMYFUNCTION("""COMPUTED_VALUE"""),"ESCALA INICIAL")</f>
        <v>ESCALA INICIAL</v>
      </c>
      <c r="AF1" s="1" t="str">
        <f>IFERROR(__xludf.DUMMYFUNCTION("""COMPUTED_VALUE"""),"BOLETA CAMPUS")</f>
        <v>BOLETA CAMPUS</v>
      </c>
      <c r="AG1" s="1" t="str">
        <f>IFERROR(__xludf.DUMMYFUNCTION("""COMPUTED_VALUE"""),"DESERTOR")</f>
        <v>DESERTOR</v>
      </c>
      <c r="AH1" s="1" t="str">
        <f>IFERROR(__xludf.DUMMYFUNCTION("""COMPUTED_VALUE"""),"RESERVA PROX. CAMPAÑA")</f>
        <v>RESERVA PROX. CAMPAÑA</v>
      </c>
      <c r="AI1" s="1" t="str">
        <f>IFERROR(__xludf.DUMMYFUNCTION("""COMPUTED_VALUE"""),"RESERVA HEREDADA")</f>
        <v>RESERVA HEREDADA</v>
      </c>
      <c r="AJ1" s="1" t="str">
        <f>IFERROR(__xludf.DUMMYFUNCTION("""COMPUTED_VALUE"""),"COD_MODULAR")</f>
        <v>COD_MODULAR</v>
      </c>
      <c r="AK1" s="1" t="str">
        <f>IFERROR(__xludf.DUMMYFUNCTION("""COMPUTED_VALUE"""),"RANGO DISTANCIA")</f>
        <v>RANGO DISTANCIA</v>
      </c>
      <c r="AL1" s="1" t="str">
        <f>IFERROR(__xludf.DUMMYFUNCTION("""COMPUTED_VALUE"""),"RANGO BOLETA")</f>
        <v>RANGO BOLETA</v>
      </c>
      <c r="AM1" s="1" t="str">
        <f>IFERROR(__xludf.DUMMYFUNCTION("""COMPUTED_VALUE"""),"UNIVERSIDAD Y/O INSTITUTO DE PROCEDENCIA")</f>
        <v>UNIVERSIDAD Y/O INSTITUTO DE PROCEDENCIA</v>
      </c>
      <c r="AN1" s="1" t="str">
        <f>IFERROR(__xludf.DUMMYFUNCTION("""COMPUTED_VALUE"""),"BOLETA DE PROCEDENCIA")</f>
        <v>BOLETA DE PROCEDENCIA</v>
      </c>
      <c r="AO1" s="1" t="str">
        <f>IFERROR(__xludf.DUMMYFUNCTION("""COMPUTED_VALUE"""),"AÑO_FIN_COLEGIO")</f>
        <v>AÑO_FIN_COLEGIO</v>
      </c>
      <c r="AP1" s="1" t="str">
        <f>IFERROR(__xludf.DUMMYFUNCTION("""COMPUTED_VALUE"""),"FECHA MES PAGO")</f>
        <v>FECHA MES PAGO</v>
      </c>
      <c r="AQ1" s="1" t="str">
        <f>IFERROR(__xludf.DUMMYFUNCTION("""COMPUTED_VALUE"""),"FECHA SEMANA PAGO")</f>
        <v>FECHA SEMANA PAGO</v>
      </c>
      <c r="AR1" s="1" t="str">
        <f>IFERROR(__xludf.DUMMYFUNCTION("""COMPUTED_VALUE"""),"FECHA DE REGISTRO LEAD")</f>
        <v>FECHA DE REGISTRO LEAD</v>
      </c>
      <c r="AS1" s="1" t="str">
        <f>IFERROR(__xludf.DUMMYFUNCTION("""COMPUTED_VALUE"""),"FECHA MES REGISTRO")</f>
        <v>FECHA MES REGISTRO</v>
      </c>
      <c r="AT1" s="1" t="str">
        <f>IFERROR(__xludf.DUMMYFUNCTION("""COMPUTED_VALUE"""),"FECHA SEMANA REGISTRO")</f>
        <v>FECHA SEMANA REGISTRO</v>
      </c>
      <c r="AU1" s="1" t="str">
        <f>IFERROR(__xludf.DUMMYFUNCTION("""COMPUTED_VALUE"""),"DIAS DE MADURACION")</f>
        <v>DIAS DE MADURACION</v>
      </c>
      <c r="AV1" s="1" t="str">
        <f>IFERROR(__xludf.DUMMYFUNCTION("""COMPUTED_VALUE"""),"AGRUPACION CANAL")</f>
        <v>AGRUPACION CANAL</v>
      </c>
      <c r="AW1" s="1" t="str">
        <f>IFERROR(__xludf.DUMMYFUNCTION("""COMPUTED_VALUE"""),"CANAL")</f>
        <v>CANAL</v>
      </c>
      <c r="AX1" s="1" t="str">
        <f>IFERROR(__xludf.DUMMYFUNCTION("""COMPUTED_VALUE"""),"SUBCANAL")</f>
        <v>SUBCANAL</v>
      </c>
      <c r="AY1" s="1" t="str">
        <f>IFERROR(__xludf.DUMMYFUNCTION("""COMPUTED_VALUE"""),"FLAG_MASTER_NEW")</f>
        <v>FLAG_MASTER_NEW</v>
      </c>
      <c r="AZ1" s="1" t="str">
        <f>IFERROR(__xludf.DUMMYFUNCTION("""COMPUTED_VALUE"""),"ASESOR HOMOLOGADO")</f>
        <v>ASESOR HOMOLOGADO</v>
      </c>
      <c r="BA1" s="1" t="str">
        <f>IFERROR(__xludf.DUMMYFUNCTION("""COMPUTED_VALUE"""),"% DE ADELANTO")</f>
        <v>% DE ADELANTO</v>
      </c>
      <c r="BB1" s="1" t="str">
        <f>IFERROR(__xludf.DUMMYFUNCTION("""COMPUTED_VALUE"""),"BOLETA PROYECTADA")</f>
        <v>BOLETA PROYECTADA</v>
      </c>
      <c r="BC1" s="1" t="str">
        <f>IFERROR(__xludf.DUMMYFUNCTION("""COMPUTED_VALUE"""),"RINDIÓ PAU")</f>
        <v>RINDIÓ PAU</v>
      </c>
      <c r="BD1" s="1" t="str">
        <f>IFERROR(__xludf.DUMMYFUNCTION("""COMPUTED_VALUE"""),"CURSO A NIVELAR")</f>
        <v>CURSO A NIVELAR</v>
      </c>
      <c r="BE1" s="1" t="str">
        <f>IFERROR(__xludf.DUMMYFUNCTION("""COMPUTED_VALUE"""),"TIENE CREDENCIALES")</f>
        <v>TIENE CREDENCIALES</v>
      </c>
      <c r="BF1" s="1" t="str">
        <f>IFERROR(__xludf.DUMMYFUNCTION("""COMPUTED_VALUE"""),"CONFIRMADO INICIA UCAL")</f>
        <v>CONFIRMADO INICIA UCAL</v>
      </c>
      <c r="BG1" s="1" t="str">
        <f>IFERROR(__xludf.DUMMYFUNCTION("""COMPUTED_VALUE"""),"FECHA PROGRAMACIÓN PAU")</f>
        <v>FECHA PROGRAMACIÓN PAU</v>
      </c>
      <c r="BH1" s="1" t="str">
        <f>IFERROR(__xludf.DUMMYFUNCTION("""COMPUTED_VALUE"""),"FECHA RINDIÓ PAU")</f>
        <v>FECHA RINDIÓ PAU</v>
      </c>
      <c r="BI1" s="1" t="str">
        <f>IFERROR(__xludf.DUMMYFUNCTION("""COMPUTED_VALUE"""),"CONVA CONFIRMADA")</f>
        <v>CONVA CONFIRMADA</v>
      </c>
      <c r="BJ1" s="1" t="str">
        <f>IFERROR(__xludf.DUMMYFUNCTION("""COMPUTED_VALUE"""),"TIPO INGRESO SINCERADO")</f>
        <v>TIPO INGRESO SINCERADO</v>
      </c>
    </row>
    <row r="2">
      <c r="A2" s="1">
        <f>IFERROR(__xludf.DUMMYFUNCTION("""COMPUTED_VALUE"""),1.0)</f>
        <v>1</v>
      </c>
      <c r="B2" s="1">
        <f>IFERROR(__xludf.DUMMYFUNCTION("""COMPUTED_VALUE"""),735263.0)</f>
        <v>735263</v>
      </c>
      <c r="C2" s="1" t="str">
        <f>IFERROR(__xludf.DUMMYFUNCTION("""COMPUTED_VALUE"""),"2019005412")</f>
        <v>2019005412</v>
      </c>
      <c r="D2" s="1" t="str">
        <f>IFERROR(__xludf.DUMMYFUNCTION("""COMPUTED_VALUE"""),"KATERINE FERNANDA")</f>
        <v>KATERINE FERNANDA</v>
      </c>
      <c r="E2" s="2" t="str">
        <f>IFERROR(__xludf.DUMMYFUNCTION("""COMPUTED_VALUE"""),"MURGA FALCON")</f>
        <v>MURGA FALCON</v>
      </c>
      <c r="F2" s="1">
        <f>IFERROR(__xludf.DUMMYFUNCTION("""COMPUTED_VALUE"""),7.6973687E7)</f>
        <v>76973687</v>
      </c>
      <c r="G2" s="1">
        <f>IFERROR(__xludf.DUMMYFUNCTION("""COMPUTED_VALUE"""),9.24795825E8)</f>
        <v>924795825</v>
      </c>
      <c r="H2" s="1" t="str">
        <f>IFERROR(__xludf.DUMMYFUNCTION("""COMPUTED_VALUE"""),"Katerinmurga02@hotmail.com")</f>
        <v>Katerinmurga02@hotmail.com</v>
      </c>
      <c r="I2" s="1" t="str">
        <f>IFERROR(__xludf.DUMMYFUNCTION("""COMPUTED_VALUE"""),"Arquitectura")</f>
        <v>Arquitectura</v>
      </c>
      <c r="J2" s="1" t="str">
        <f>IFERROR(__xludf.DUMMYFUNCTION("""COMPUTED_VALUE"""),"Arquitecturas")</f>
        <v>Arquitecturas</v>
      </c>
      <c r="K2" s="1" t="str">
        <f>IFERROR(__xludf.DUMMYFUNCTION("""COMPUTED_VALUE"""),"Antigua")</f>
        <v>Antigua</v>
      </c>
      <c r="L2" s="1" t="str">
        <f>IFERROR(__xludf.DUMMYFUNCTION("""COMPUTED_VALUE"""),"Admisión Extraordinaria (Traslados)")</f>
        <v>Admisión Extraordinaria (Traslados)</v>
      </c>
      <c r="M2" s="1" t="str">
        <f>IFERROR(__xludf.DUMMYFUNCTION("""COMPUTED_VALUE"""),"Semi-presencial")</f>
        <v>Semi-presencial</v>
      </c>
      <c r="N2" s="1" t="str">
        <f>IFERROR(__xludf.DUMMYFUNCTION("""COMPUTED_VALUE"""),"Diurno")</f>
        <v>Diurno</v>
      </c>
      <c r="O2" s="1" t="str">
        <f>IFERROR(__xludf.DUMMYFUNCTION("""COMPUTED_VALUE"""),"TRASLADO CON CONVA")</f>
        <v>TRASLADO CON CONVA</v>
      </c>
      <c r="P2" s="1" t="str">
        <f>IFERROR(__xludf.DUMMYFUNCTION("""COMPUTED_VALUE"""),"RECA")</f>
        <v>RECA</v>
      </c>
      <c r="Q2" s="1" t="str">
        <f>IFERROR(__xludf.DUMMYFUNCTION("""COMPUTED_VALUE"""),"RECA TRASLADO CON CONVA")</f>
        <v>RECA TRASLADO CON CONVA</v>
      </c>
      <c r="R2" s="1" t="str">
        <f>IFERROR(__xludf.DUMMYFUNCTION("""COMPUTED_VALUE"""),"Referido")</f>
        <v>Referido</v>
      </c>
      <c r="S2" s="1" t="str">
        <f>IFERROR(__xludf.DUMMYFUNCTION("""COMPUTED_VALUE"""),"-")</f>
        <v>-</v>
      </c>
      <c r="T2" s="3">
        <f>IFERROR(__xludf.DUMMYFUNCTION("""COMPUTED_VALUE"""),45346.0)</f>
        <v>45346</v>
      </c>
      <c r="U2" s="1" t="str">
        <f>IFERROR(__xludf.DUMMYFUNCTION("""COMPUTED_VALUE"""),"CARGO")</f>
        <v>CARGO</v>
      </c>
      <c r="V2" s="1" t="str">
        <f>IFERROR(__xludf.DUMMYFUNCTION("""COMPUTED_VALUE"""),"PAGO COMPLETO")</f>
        <v>PAGO COMPLETO</v>
      </c>
      <c r="W2" s="4">
        <f>IFERROR(__xludf.DUMMYFUNCTION("""COMPUTED_VALUE"""),0.0)</f>
        <v>0</v>
      </c>
      <c r="X2" s="1" t="str">
        <f>IFERROR(__xludf.DUMMYFUNCTION("""COMPUTED_VALUE"""),"-")</f>
        <v>-</v>
      </c>
      <c r="Y2" s="2">
        <f>IFERROR(__xludf.DUMMYFUNCTION("""COMPUTED_VALUE"""),45346.0)</f>
        <v>45346</v>
      </c>
      <c r="Z2" s="1" t="str">
        <f>IFERROR(__xludf.DUMMYFUNCTION("""COMPUTED_VALUE"""),"PAGO COMPLETO")</f>
        <v>PAGO COMPLETO</v>
      </c>
      <c r="AA2" s="1" t="str">
        <f>IFERROR(__xludf.DUMMYFUNCTION("""COMPUTED_VALUE"""),"1")</f>
        <v>1</v>
      </c>
      <c r="AB2" s="1"/>
      <c r="AC2" s="4">
        <f>IFERROR(__xludf.DUMMYFUNCTION("""COMPUTED_VALUE"""),0.0)</f>
        <v>0</v>
      </c>
      <c r="AD2" s="4">
        <f>IFERROR(__xludf.DUMMYFUNCTION("""COMPUTED_VALUE"""),0.0)</f>
        <v>0</v>
      </c>
      <c r="AE2" s="4">
        <f>IFERROR(__xludf.DUMMYFUNCTION("""COMPUTED_VALUE"""),1250.0)</f>
        <v>1250</v>
      </c>
      <c r="AF2" s="4">
        <f>IFERROR(__xludf.DUMMYFUNCTION("""COMPUTED_VALUE"""),900.0)</f>
        <v>900</v>
      </c>
      <c r="AG2" s="1">
        <f>IFERROR(__xludf.DUMMYFUNCTION("""COMPUTED_VALUE"""),0.0)</f>
        <v>0</v>
      </c>
      <c r="AH2" s="1">
        <f>IFERROR(__xludf.DUMMYFUNCTION("""COMPUTED_VALUE"""),0.0)</f>
        <v>0</v>
      </c>
      <c r="AI2" s="1">
        <f>IFERROR(__xludf.DUMMYFUNCTION("""COMPUTED_VALUE"""),1.0)</f>
        <v>1</v>
      </c>
      <c r="AJ2" s="1">
        <f>IFERROR(__xludf.DUMMYFUNCTION("""COMPUTED_VALUE"""),583203.0)</f>
        <v>583203</v>
      </c>
      <c r="AK2" s="1" t="str">
        <f>IFERROR(__xludf.DUMMYFUNCTION("""COMPUTED_VALUE"""),"10 kms a 15 kms")</f>
        <v>10 kms a 15 kms</v>
      </c>
      <c r="AL2" s="1" t="str">
        <f>IFERROR(__xludf.DUMMYFUNCTION("""COMPUTED_VALUE"""),"01 Nacional")</f>
        <v>01 Nacional</v>
      </c>
      <c r="AM2" s="1" t="str">
        <f>IFERROR(__xludf.DUMMYFUNCTION("""COMPUTED_VALUE"""),"Instituto de Educación Superior Tecnológico Privado Toulouse Lautrec")</f>
        <v>Instituto de Educación Superior Tecnológico Privado Toulouse Lautrec</v>
      </c>
      <c r="AN2" s="1" t="str">
        <f>IFERROR(__xludf.DUMMYFUNCTION("""COMPUTED_VALUE""")," -")</f>
        <v> -</v>
      </c>
      <c r="AO2" s="1">
        <f>IFERROR(__xludf.DUMMYFUNCTION("""COMPUTED_VALUE"""),2017.0)</f>
        <v>2017</v>
      </c>
      <c r="AP2" s="3">
        <f>IFERROR(__xludf.DUMMYFUNCTION("""COMPUTED_VALUE"""),45323.0)</f>
        <v>45323</v>
      </c>
      <c r="AQ2" s="2">
        <f>IFERROR(__xludf.DUMMYFUNCTION("""COMPUTED_VALUE"""),45341.0)</f>
        <v>45341</v>
      </c>
      <c r="AR2" s="2">
        <f>IFERROR(__xludf.DUMMYFUNCTION("""COMPUTED_VALUE"""),45188.0)</f>
        <v>45188</v>
      </c>
      <c r="AS2" s="2">
        <f>IFERROR(__xludf.DUMMYFUNCTION("""COMPUTED_VALUE"""),45170.0)</f>
        <v>45170</v>
      </c>
      <c r="AT2" s="2">
        <f>IFERROR(__xludf.DUMMYFUNCTION("""COMPUTED_VALUE"""),45166.0)</f>
        <v>45166</v>
      </c>
      <c r="AU2" s="1">
        <f>IFERROR(__xludf.DUMMYFUNCTION("""COMPUTED_VALUE"""),158.0)</f>
        <v>158</v>
      </c>
      <c r="AV2" s="1" t="str">
        <f>IFERROR(__xludf.DUMMYFUNCTION("""COMPUTED_VALUE"""),"DIGITAL")</f>
        <v>DIGITAL</v>
      </c>
      <c r="AW2" s="1" t="str">
        <f>IFERROR(__xludf.DUMMYFUNCTION("""COMPUTED_VALUE"""),"BIDIRECCIONAL")</f>
        <v>BIDIRECCIONAL</v>
      </c>
      <c r="AX2" s="1" t="str">
        <f>IFERROR(__xludf.DUMMYFUNCTION("""COMPUTED_VALUE"""),"ORGANICO")</f>
        <v>ORGANICO</v>
      </c>
      <c r="AY2" s="1">
        <f>IFERROR(__xludf.DUMMYFUNCTION("""COMPUTED_VALUE"""),1.0)</f>
        <v>1</v>
      </c>
      <c r="AZ2" s="1" t="str">
        <f>IFERROR(__xludf.DUMMYFUNCTION("""COMPUTED_VALUE"""),"Fiorella Lanegra")</f>
        <v>Fiorella Lanegra</v>
      </c>
      <c r="BA2" s="5">
        <f>IFERROR(__xludf.DUMMYFUNCTION("""COMPUTED_VALUE"""),1.0)</f>
        <v>1</v>
      </c>
      <c r="BB2" s="6">
        <f>IFERROR(__xludf.DUMMYFUNCTION("""COMPUTED_VALUE"""),900.0)</f>
        <v>900</v>
      </c>
      <c r="BC2" s="1"/>
      <c r="BD2" s="1" t="str">
        <f>IFERROR(__xludf.DUMMYFUNCTION("""COMPUTED_VALUE""")," -")</f>
        <v> -</v>
      </c>
      <c r="BE2" s="1">
        <f>IFERROR(__xludf.DUMMYFUNCTION("""COMPUTED_VALUE"""),1.0)</f>
        <v>1</v>
      </c>
      <c r="BF2" s="1">
        <f>IFERROR(__xludf.DUMMYFUNCTION("""COMPUTED_VALUE"""),0.0)</f>
        <v>0</v>
      </c>
      <c r="BG2" s="1"/>
      <c r="BH2" s="1" t="str">
        <f>IFERROR(__xludf.DUMMYFUNCTION("""COMPUTED_VALUE"""),"No aplica")</f>
        <v>No aplica</v>
      </c>
      <c r="BI2" s="1">
        <f>IFERROR(__xludf.DUMMYFUNCTION("""COMPUTED_VALUE"""),0.0)</f>
        <v>0</v>
      </c>
      <c r="BJ2" s="1" t="str">
        <f>IFERROR(__xludf.DUMMYFUNCTION("""COMPUTED_VALUE"""),"TRASLADO")</f>
        <v>TRASLADO</v>
      </c>
    </row>
    <row r="3">
      <c r="A3" s="1">
        <f>IFERROR(__xludf.DUMMYFUNCTION("""COMPUTED_VALUE"""),2.0)</f>
        <v>2</v>
      </c>
      <c r="B3" s="1">
        <f>IFERROR(__xludf.DUMMYFUNCTION("""COMPUTED_VALUE"""),1566748.0)</f>
        <v>1566748</v>
      </c>
      <c r="C3" s="1" t="str">
        <f>IFERROR(__xludf.DUMMYFUNCTION("""COMPUTED_VALUE"""),"0000024511")</f>
        <v>0000024511</v>
      </c>
      <c r="D3" s="1" t="str">
        <f>IFERROR(__xludf.DUMMYFUNCTION("""COMPUTED_VALUE"""),"VICTOR ANTONIO")</f>
        <v>VICTOR ANTONIO</v>
      </c>
      <c r="E3" s="2" t="str">
        <f>IFERROR(__xludf.DUMMYFUNCTION("""COMPUTED_VALUE"""),"RAMÍREZ TARRILLO")</f>
        <v>RAMÍREZ TARRILLO</v>
      </c>
      <c r="F3" s="1">
        <f>IFERROR(__xludf.DUMMYFUNCTION("""COMPUTED_VALUE"""),7.0952715E7)</f>
        <v>70952715</v>
      </c>
      <c r="G3" s="1">
        <f>IFERROR(__xludf.DUMMYFUNCTION("""COMPUTED_VALUE"""),9.7205963E8)</f>
        <v>972059630</v>
      </c>
      <c r="H3" s="1" t="str">
        <f>IFERROR(__xludf.DUMMYFUNCTION("""COMPUTED_VALUE"""),"victortarrillo14@gmail.com")</f>
        <v>victortarrillo14@gmail.com</v>
      </c>
      <c r="I3" s="1" t="str">
        <f>IFERROR(__xludf.DUMMYFUNCTION("""COMPUTED_VALUE"""),"Psicología")</f>
        <v>Psicología</v>
      </c>
      <c r="J3" s="1" t="str">
        <f>IFERROR(__xludf.DUMMYFUNCTION("""COMPUTED_VALUE"""),"Psicología")</f>
        <v>Psicología</v>
      </c>
      <c r="K3" s="1" t="str">
        <f>IFERROR(__xludf.DUMMYFUNCTION("""COMPUTED_VALUE"""),"Nueva")</f>
        <v>Nueva</v>
      </c>
      <c r="L3" s="1" t="str">
        <f>IFERROR(__xludf.DUMMYFUNCTION("""COMPUTED_VALUE"""),"Admisión de Alto Rendimiento")</f>
        <v>Admisión de Alto Rendimiento</v>
      </c>
      <c r="M3" s="1" t="str">
        <f>IFERROR(__xludf.DUMMYFUNCTION("""COMPUTED_VALUE"""),"Presencial")</f>
        <v>Presencial</v>
      </c>
      <c r="N3" s="1" t="str">
        <f>IFERROR(__xludf.DUMMYFUNCTION("""COMPUTED_VALUE"""),"Diurno")</f>
        <v>Diurno</v>
      </c>
      <c r="O3" s="1" t="str">
        <f>IFERROR(__xludf.DUMMYFUNCTION("""COMPUTED_VALUE"""),"NUEVO")</f>
        <v>NUEVO</v>
      </c>
      <c r="P3" s="1" t="str">
        <f>IFERROR(__xludf.DUMMYFUNCTION("""COMPUTED_VALUE"""),"BECA")</f>
        <v>BECA</v>
      </c>
      <c r="Q3" s="1" t="str">
        <f>IFERROR(__xludf.DUMMYFUNCTION("""COMPUTED_VALUE"""),"BECA CARRERAS NUEVAS")</f>
        <v>BECA CARRERAS NUEVAS</v>
      </c>
      <c r="R3" s="1" t="str">
        <f>IFERROR(__xludf.DUMMYFUNCTION("""COMPUTED_VALUE"""),"NINGUNO")</f>
        <v>NINGUNO</v>
      </c>
      <c r="S3" s="1" t="str">
        <f>IFERROR(__xludf.DUMMYFUNCTION("""COMPUTED_VALUE"""),"LORENA")</f>
        <v>LORENA</v>
      </c>
      <c r="T3" s="3">
        <f>IFERROR(__xludf.DUMMYFUNCTION("""COMPUTED_VALUE"""),45449.0)</f>
        <v>45449</v>
      </c>
      <c r="U3" s="1" t="str">
        <f>IFERROR(__xludf.DUMMYFUNCTION("""COMPUTED_VALUE"""),"CARGO")</f>
        <v>CARGO</v>
      </c>
      <c r="V3" s="1" t="str">
        <f>IFERROR(__xludf.DUMMYFUNCTION("""COMPUTED_VALUE"""),"PAGO COMPLETO")</f>
        <v>PAGO COMPLETO</v>
      </c>
      <c r="W3" s="4">
        <f>IFERROR(__xludf.DUMMYFUNCTION("""COMPUTED_VALUE"""),0.0)</f>
        <v>0</v>
      </c>
      <c r="X3" s="1" t="str">
        <f>IFERROR(__xludf.DUMMYFUNCTION("""COMPUTED_VALUE"""),"-")</f>
        <v>-</v>
      </c>
      <c r="Y3" s="2">
        <f>IFERROR(__xludf.DUMMYFUNCTION("""COMPUTED_VALUE"""),45449.0)</f>
        <v>45449</v>
      </c>
      <c r="Z3" s="1" t="str">
        <f>IFERROR(__xludf.DUMMYFUNCTION("""COMPUTED_VALUE"""),"PAGO COMPLETO")</f>
        <v>PAGO COMPLETO</v>
      </c>
      <c r="AA3" s="1" t="str">
        <f>IFERROR(__xludf.DUMMYFUNCTION("""COMPUTED_VALUE"""),"0")</f>
        <v>0</v>
      </c>
      <c r="AB3" s="1"/>
      <c r="AC3" s="4">
        <f>IFERROR(__xludf.DUMMYFUNCTION("""COMPUTED_VALUE"""),0.0)</f>
        <v>0</v>
      </c>
      <c r="AD3" s="4">
        <f>IFERROR(__xludf.DUMMYFUNCTION("""COMPUTED_VALUE"""),0.0)</f>
        <v>0</v>
      </c>
      <c r="AE3" s="4">
        <f>IFERROR(__xludf.DUMMYFUNCTION("""COMPUTED_VALUE"""),1350.0)</f>
        <v>1350</v>
      </c>
      <c r="AF3" s="4">
        <f>IFERROR(__xludf.DUMMYFUNCTION("""COMPUTED_VALUE"""),1000.0)</f>
        <v>1000</v>
      </c>
      <c r="AG3" s="1">
        <f>IFERROR(__xludf.DUMMYFUNCTION("""COMPUTED_VALUE"""),0.0)</f>
        <v>0</v>
      </c>
      <c r="AH3" s="1">
        <f>IFERROR(__xludf.DUMMYFUNCTION("""COMPUTED_VALUE"""),0.0)</f>
        <v>0</v>
      </c>
      <c r="AI3" s="1">
        <f>IFERROR(__xludf.DUMMYFUNCTION("""COMPUTED_VALUE"""),1.0)</f>
        <v>1</v>
      </c>
      <c r="AJ3" s="1">
        <f>IFERROR(__xludf.DUMMYFUNCTION("""COMPUTED_VALUE"""),1509611.0)</f>
        <v>1509611</v>
      </c>
      <c r="AK3" s="1" t="str">
        <f>IFERROR(__xludf.DUMMYFUNCTION("""COMPUTED_VALUE"""),"Más de 15 kms")</f>
        <v>Más de 15 kms</v>
      </c>
      <c r="AL3" s="1" t="str">
        <f>IFERROR(__xludf.DUMMYFUNCTION("""COMPUTED_VALUE"""),"05 301 a 550")</f>
        <v>05 301 a 550</v>
      </c>
      <c r="AM3" s="1" t="str">
        <f>IFERROR(__xludf.DUMMYFUNCTION("""COMPUTED_VALUE"""),"-")</f>
        <v>-</v>
      </c>
      <c r="AN3" s="1" t="str">
        <f>IFERROR(__xludf.DUMMYFUNCTION("""COMPUTED_VALUE""")," -")</f>
        <v> -</v>
      </c>
      <c r="AO3" s="1">
        <f>IFERROR(__xludf.DUMMYFUNCTION("""COMPUTED_VALUE"""),2024.0)</f>
        <v>2024</v>
      </c>
      <c r="AP3" s="3">
        <f>IFERROR(__xludf.DUMMYFUNCTION("""COMPUTED_VALUE"""),45444.0)</f>
        <v>45444</v>
      </c>
      <c r="AQ3" s="2">
        <f>IFERROR(__xludf.DUMMYFUNCTION("""COMPUTED_VALUE"""),45446.0)</f>
        <v>45446</v>
      </c>
      <c r="AR3" s="2">
        <f>IFERROR(__xludf.DUMMYFUNCTION("""COMPUTED_VALUE"""),45420.0)</f>
        <v>45420</v>
      </c>
      <c r="AS3" s="2">
        <f>IFERROR(__xludf.DUMMYFUNCTION("""COMPUTED_VALUE"""),45413.0)</f>
        <v>45413</v>
      </c>
      <c r="AT3" s="2">
        <f>IFERROR(__xludf.DUMMYFUNCTION("""COMPUTED_VALUE"""),45411.0)</f>
        <v>45411</v>
      </c>
      <c r="AU3" s="1">
        <f>IFERROR(__xludf.DUMMYFUNCTION("""COMPUTED_VALUE"""),29.0)</f>
        <v>29</v>
      </c>
      <c r="AV3" s="1" t="str">
        <f>IFERROR(__xludf.DUMMYFUNCTION("""COMPUTED_VALUE"""),"TRADICIONAL")</f>
        <v>TRADICIONAL</v>
      </c>
      <c r="AW3" s="1" t="str">
        <f>IFERROR(__xludf.DUMMYFUNCTION("""COMPUTED_VALUE"""),"VISITA")</f>
        <v>VISITA</v>
      </c>
      <c r="AX3" s="1" t="str">
        <f>IFERROR(__xludf.DUMMYFUNCTION("""COMPUTED_VALUE"""),"VISITA")</f>
        <v>VISITA</v>
      </c>
      <c r="AY3" s="1">
        <f>IFERROR(__xludf.DUMMYFUNCTION("""COMPUTED_VALUE"""),1.0)</f>
        <v>1</v>
      </c>
      <c r="AZ3" s="1" t="str">
        <f>IFERROR(__xludf.DUMMYFUNCTION("""COMPUTED_VALUE"""),"Fiorella Lanegra")</f>
        <v>Fiorella Lanegra</v>
      </c>
      <c r="BA3" s="5">
        <f>IFERROR(__xludf.DUMMYFUNCTION("""COMPUTED_VALUE"""),1.0)</f>
        <v>1</v>
      </c>
      <c r="BB3" s="6">
        <f>IFERROR(__xludf.DUMMYFUNCTION("""COMPUTED_VALUE"""),1000.0)</f>
        <v>1000</v>
      </c>
      <c r="BC3" s="1"/>
      <c r="BD3" s="1" t="str">
        <f>IFERROR(__xludf.DUMMYFUNCTION("""COMPUTED_VALUE""")," -")</f>
        <v> -</v>
      </c>
      <c r="BE3" s="1">
        <f>IFERROR(__xludf.DUMMYFUNCTION("""COMPUTED_VALUE"""),1.0)</f>
        <v>1</v>
      </c>
      <c r="BF3" s="1">
        <f>IFERROR(__xludf.DUMMYFUNCTION("""COMPUTED_VALUE"""),0.0)</f>
        <v>0</v>
      </c>
      <c r="BG3" s="1"/>
      <c r="BH3" s="1" t="str">
        <f>IFERROR(__xludf.DUMMYFUNCTION("""COMPUTED_VALUE"""),"No aplica")</f>
        <v>No aplica</v>
      </c>
      <c r="BI3" s="1">
        <f>IFERROR(__xludf.DUMMYFUNCTION("""COMPUTED_VALUE"""),0.0)</f>
        <v>0</v>
      </c>
      <c r="BJ3" s="1" t="str">
        <f>IFERROR(__xludf.DUMMYFUNCTION("""COMPUTED_VALUE"""),"NUEVO")</f>
        <v>NUEVO</v>
      </c>
    </row>
    <row r="4">
      <c r="A4" s="1">
        <f>IFERROR(__xludf.DUMMYFUNCTION("""COMPUTED_VALUE"""),3.0)</f>
        <v>3</v>
      </c>
      <c r="B4" s="1">
        <f>IFERROR(__xludf.DUMMYFUNCTION("""COMPUTED_VALUE"""),2097195.0)</f>
        <v>2097195</v>
      </c>
      <c r="C4" s="1" t="str">
        <f>IFERROR(__xludf.DUMMYFUNCTION("""COMPUTED_VALUE"""),"0000384255")</f>
        <v>0000384255</v>
      </c>
      <c r="D4" s="1" t="str">
        <f>IFERROR(__xludf.DUMMYFUNCTION("""COMPUTED_VALUE"""),"MATHIAS ABDIEL")</f>
        <v>MATHIAS ABDIEL</v>
      </c>
      <c r="E4" s="2" t="str">
        <f>IFERROR(__xludf.DUMMYFUNCTION("""COMPUTED_VALUE"""),"GUTIERREZ LOPEZ")</f>
        <v>GUTIERREZ LOPEZ</v>
      </c>
      <c r="F4" s="1">
        <f>IFERROR(__xludf.DUMMYFUNCTION("""COMPUTED_VALUE"""),6.1445645E7)</f>
        <v>61445645</v>
      </c>
      <c r="G4" s="1">
        <f>IFERROR(__xludf.DUMMYFUNCTION("""COMPUTED_VALUE"""),9.32203439E8)</f>
        <v>932203439</v>
      </c>
      <c r="H4" s="1" t="str">
        <f>IFERROR(__xludf.DUMMYFUNCTION("""COMPUTED_VALUE"""),"GUTIERREZLOPEZMATIAS1@gmail.com")</f>
        <v>GUTIERREZLOPEZMATIAS1@gmail.com</v>
      </c>
      <c r="I4" s="1" t="str">
        <f>IFERROR(__xludf.DUMMYFUNCTION("""COMPUTED_VALUE"""),"Comunicación Audiovisual y Cine")</f>
        <v>Comunicación Audiovisual y Cine</v>
      </c>
      <c r="J4" s="1" t="str">
        <f>IFERROR(__xludf.DUMMYFUNCTION("""COMPUTED_VALUE"""),"Comunicaciones")</f>
        <v>Comunicaciones</v>
      </c>
      <c r="K4" s="1" t="str">
        <f>IFERROR(__xludf.DUMMYFUNCTION("""COMPUTED_VALUE"""),"Antigua")</f>
        <v>Antigua</v>
      </c>
      <c r="L4" s="1" t="str">
        <f>IFERROR(__xludf.DUMMYFUNCTION("""COMPUTED_VALUE"""),"Admisión de Alto Rendimiento")</f>
        <v>Admisión de Alto Rendimiento</v>
      </c>
      <c r="M4" s="1" t="str">
        <f>IFERROR(__xludf.DUMMYFUNCTION("""COMPUTED_VALUE"""),"Semi-presencial")</f>
        <v>Semi-presencial</v>
      </c>
      <c r="N4" s="1" t="str">
        <f>IFERROR(__xludf.DUMMYFUNCTION("""COMPUTED_VALUE"""),"Diurno")</f>
        <v>Diurno</v>
      </c>
      <c r="O4" s="1" t="str">
        <f>IFERROR(__xludf.DUMMYFUNCTION("""COMPUTED_VALUE"""),"NUEVO")</f>
        <v>NUEVO</v>
      </c>
      <c r="P4" s="1" t="str">
        <f>IFERROR(__xludf.DUMMYFUNCTION("""COMPUTED_VALUE"""),"BECA")</f>
        <v>BECA</v>
      </c>
      <c r="Q4" s="1" t="str">
        <f>IFERROR(__xludf.DUMMYFUNCTION("""COMPUTED_VALUE"""),"BECA CARRERAS CORE")</f>
        <v>BECA CARRERAS CORE</v>
      </c>
      <c r="R4" s="1" t="str">
        <f>IFERROR(__xludf.DUMMYFUNCTION("""COMPUTED_VALUE"""),"NINGUNO")</f>
        <v>NINGUNO</v>
      </c>
      <c r="S4" s="1" t="str">
        <f>IFERROR(__xludf.DUMMYFUNCTION("""COMPUTED_VALUE"""),"FABIOLA")</f>
        <v>FABIOLA</v>
      </c>
      <c r="T4" s="3">
        <f>IFERROR(__xludf.DUMMYFUNCTION("""COMPUTED_VALUE"""),45481.0)</f>
        <v>45481</v>
      </c>
      <c r="U4" s="1" t="str">
        <f>IFERROR(__xludf.DUMMYFUNCTION("""COMPUTED_VALUE"""),"Pago Link")</f>
        <v>Pago Link</v>
      </c>
      <c r="V4" s="1" t="str">
        <f>IFERROR(__xludf.DUMMYFUNCTION("""COMPUTED_VALUE"""),"PAGO COMPLETO")</f>
        <v>PAGO COMPLETO</v>
      </c>
      <c r="W4" s="4">
        <f>IFERROR(__xludf.DUMMYFUNCTION("""COMPUTED_VALUE"""),0.0)</f>
        <v>0</v>
      </c>
      <c r="X4" s="1" t="str">
        <f>IFERROR(__xludf.DUMMYFUNCTION("""COMPUTED_VALUE"""),"-")</f>
        <v>-</v>
      </c>
      <c r="Y4" s="2">
        <f>IFERROR(__xludf.DUMMYFUNCTION("""COMPUTED_VALUE"""),45481.0)</f>
        <v>45481</v>
      </c>
      <c r="Z4" s="1" t="str">
        <f>IFERROR(__xludf.DUMMYFUNCTION("""COMPUTED_VALUE"""),"PAGO COMPLETO")</f>
        <v>PAGO COMPLETO</v>
      </c>
      <c r="AA4" s="1" t="str">
        <f>IFERROR(__xludf.DUMMYFUNCTION("""COMPUTED_VALUE"""),"0")</f>
        <v>0</v>
      </c>
      <c r="AB4" s="1"/>
      <c r="AC4" s="4">
        <f>IFERROR(__xludf.DUMMYFUNCTION("""COMPUTED_VALUE"""),0.0)</f>
        <v>0</v>
      </c>
      <c r="AD4" s="4">
        <f>IFERROR(__xludf.DUMMYFUNCTION("""COMPUTED_VALUE"""),0.0)</f>
        <v>0</v>
      </c>
      <c r="AE4" s="4">
        <f>IFERROR(__xludf.DUMMYFUNCTION("""COMPUTED_VALUE"""),1600.0)</f>
        <v>1600</v>
      </c>
      <c r="AF4" s="4">
        <f>IFERROR(__xludf.DUMMYFUNCTION("""COMPUTED_VALUE"""),1300.0)</f>
        <v>1300</v>
      </c>
      <c r="AG4" s="1">
        <f>IFERROR(__xludf.DUMMYFUNCTION("""COMPUTED_VALUE"""),0.0)</f>
        <v>0</v>
      </c>
      <c r="AH4" s="1">
        <f>IFERROR(__xludf.DUMMYFUNCTION("""COMPUTED_VALUE"""),0.0)</f>
        <v>0</v>
      </c>
      <c r="AI4" s="1">
        <f>IFERROR(__xludf.DUMMYFUNCTION("""COMPUTED_VALUE"""),1.0)</f>
        <v>1</v>
      </c>
      <c r="AJ4" s="1">
        <f>IFERROR(__xludf.DUMMYFUNCTION("""COMPUTED_VALUE"""),1320076.0)</f>
        <v>1320076</v>
      </c>
      <c r="AK4" s="1" t="str">
        <f>IFERROR(__xludf.DUMMYFUNCTION("""COMPUTED_VALUE"""),"Más de 15 kms")</f>
        <v>Más de 15 kms</v>
      </c>
      <c r="AL4" s="1" t="str">
        <f>IFERROR(__xludf.DUMMYFUNCTION("""COMPUTED_VALUE"""),"04 200 a 300")</f>
        <v>04 200 a 300</v>
      </c>
      <c r="AM4" s="1" t="str">
        <f>IFERROR(__xludf.DUMMYFUNCTION("""COMPUTED_VALUE"""),"-")</f>
        <v>-</v>
      </c>
      <c r="AN4" s="1" t="str">
        <f>IFERROR(__xludf.DUMMYFUNCTION("""COMPUTED_VALUE""")," -")</f>
        <v> -</v>
      </c>
      <c r="AO4" s="1">
        <f>IFERROR(__xludf.DUMMYFUNCTION("""COMPUTED_VALUE"""),2024.0)</f>
        <v>2024</v>
      </c>
      <c r="AP4" s="3">
        <f>IFERROR(__xludf.DUMMYFUNCTION("""COMPUTED_VALUE"""),45474.0)</f>
        <v>45474</v>
      </c>
      <c r="AQ4" s="2">
        <f>IFERROR(__xludf.DUMMYFUNCTION("""COMPUTED_VALUE"""),45481.0)</f>
        <v>45481</v>
      </c>
      <c r="AR4" s="2">
        <f>IFERROR(__xludf.DUMMYFUNCTION("""COMPUTED_VALUE"""),45474.0)</f>
        <v>45474</v>
      </c>
      <c r="AS4" s="2">
        <f>IFERROR(__xludf.DUMMYFUNCTION("""COMPUTED_VALUE"""),45474.0)</f>
        <v>45474</v>
      </c>
      <c r="AT4" s="2">
        <f>IFERROR(__xludf.DUMMYFUNCTION("""COMPUTED_VALUE"""),45474.0)</f>
        <v>45474</v>
      </c>
      <c r="AU4" s="1">
        <f>IFERROR(__xludf.DUMMYFUNCTION("""COMPUTED_VALUE"""),7.0)</f>
        <v>7</v>
      </c>
      <c r="AV4" s="1" t="str">
        <f>IFERROR(__xludf.DUMMYFUNCTION("""COMPUTED_VALUE"""),"DIGITAL")</f>
        <v>DIGITAL</v>
      </c>
      <c r="AW4" s="1" t="str">
        <f>IFERROR(__xludf.DUMMYFUNCTION("""COMPUTED_VALUE"""),"FORMULARIO")</f>
        <v>FORMULARIO</v>
      </c>
      <c r="AX4" s="1" t="str">
        <f>IFERROR(__xludf.DUMMYFUNCTION("""COMPUTED_VALUE"""),"SEARCH MARCA")</f>
        <v>SEARCH MARCA</v>
      </c>
      <c r="AY4" s="1">
        <f>IFERROR(__xludf.DUMMYFUNCTION("""COMPUTED_VALUE"""),1.0)</f>
        <v>1</v>
      </c>
      <c r="AZ4" s="1" t="str">
        <f>IFERROR(__xludf.DUMMYFUNCTION("""COMPUTED_VALUE"""),"Stefano Napuri")</f>
        <v>Stefano Napuri</v>
      </c>
      <c r="BA4" s="5">
        <f>IFERROR(__xludf.DUMMYFUNCTION("""COMPUTED_VALUE"""),1.0)</f>
        <v>1</v>
      </c>
      <c r="BB4" s="6">
        <f>IFERROR(__xludf.DUMMYFUNCTION("""COMPUTED_VALUE"""),1300.0)</f>
        <v>1300</v>
      </c>
      <c r="BC4" s="1"/>
      <c r="BD4" s="1" t="str">
        <f>IFERROR(__xludf.DUMMYFUNCTION("""COMPUTED_VALUE""")," -")</f>
        <v> -</v>
      </c>
      <c r="BE4" s="1">
        <f>IFERROR(__xludf.DUMMYFUNCTION("""COMPUTED_VALUE"""),1.0)</f>
        <v>1</v>
      </c>
      <c r="BF4" s="1">
        <f>IFERROR(__xludf.DUMMYFUNCTION("""COMPUTED_VALUE"""),0.0)</f>
        <v>0</v>
      </c>
      <c r="BG4" s="1"/>
      <c r="BH4" s="1" t="str">
        <f>IFERROR(__xludf.DUMMYFUNCTION("""COMPUTED_VALUE"""),"No aplica")</f>
        <v>No aplica</v>
      </c>
      <c r="BI4" s="1">
        <f>IFERROR(__xludf.DUMMYFUNCTION("""COMPUTED_VALUE"""),0.0)</f>
        <v>0</v>
      </c>
      <c r="BJ4" s="1" t="str">
        <f>IFERROR(__xludf.DUMMYFUNCTION("""COMPUTED_VALUE"""),"NUEVO")</f>
        <v>NUEVO</v>
      </c>
    </row>
    <row r="5">
      <c r="A5" s="1">
        <f>IFERROR(__xludf.DUMMYFUNCTION("""COMPUTED_VALUE"""),4.0)</f>
        <v>4</v>
      </c>
      <c r="B5" s="1">
        <f>IFERROR(__xludf.DUMMYFUNCTION("""COMPUTED_VALUE"""),1098267.0)</f>
        <v>1098267</v>
      </c>
      <c r="C5" s="1" t="str">
        <f>IFERROR(__xludf.DUMMYFUNCTION("""COMPUTED_VALUE"""),"2020008861")</f>
        <v>2020008861</v>
      </c>
      <c r="D5" s="1" t="str">
        <f>IFERROR(__xludf.DUMMYFUNCTION("""COMPUTED_VALUE"""),"GRECIA MARIA DE FATIMA")</f>
        <v>GRECIA MARIA DE FATIMA</v>
      </c>
      <c r="E5" s="2" t="str">
        <f>IFERROR(__xludf.DUMMYFUNCTION("""COMPUTED_VALUE"""),"SALAS MATTOS")</f>
        <v>SALAS MATTOS</v>
      </c>
      <c r="F5" s="1">
        <f>IFERROR(__xludf.DUMMYFUNCTION("""COMPUTED_VALUE"""),7.3136437E7)</f>
        <v>73136437</v>
      </c>
      <c r="G5" s="1">
        <f>IFERROR(__xludf.DUMMYFUNCTION("""COMPUTED_VALUE"""),9.89556452E8)</f>
        <v>989556452</v>
      </c>
      <c r="H5" s="1" t="str">
        <f>IFERROR(__xludf.DUMMYFUNCTION("""COMPUTED_VALUE"""),"grecia.salasmattos@gmail.com")</f>
        <v>grecia.salasmattos@gmail.com</v>
      </c>
      <c r="I5" s="1" t="str">
        <f>IFERROR(__xludf.DUMMYFUNCTION("""COMPUTED_VALUE"""),"Arquitectura")</f>
        <v>Arquitectura</v>
      </c>
      <c r="J5" s="1" t="str">
        <f>IFERROR(__xludf.DUMMYFUNCTION("""COMPUTED_VALUE"""),"Arquitecturas")</f>
        <v>Arquitecturas</v>
      </c>
      <c r="K5" s="1" t="str">
        <f>IFERROR(__xludf.DUMMYFUNCTION("""COMPUTED_VALUE"""),"Antigua")</f>
        <v>Antigua</v>
      </c>
      <c r="L5" s="1" t="str">
        <f>IFERROR(__xludf.DUMMYFUNCTION("""COMPUTED_VALUE"""),"Admisión Extraordinaria (Traslados)")</f>
        <v>Admisión Extraordinaria (Traslados)</v>
      </c>
      <c r="M5" s="1" t="str">
        <f>IFERROR(__xludf.DUMMYFUNCTION("""COMPUTED_VALUE"""),"Semi-presencial")</f>
        <v>Semi-presencial</v>
      </c>
      <c r="N5" s="1" t="str">
        <f>IFERROR(__xludf.DUMMYFUNCTION("""COMPUTED_VALUE"""),"Diurno")</f>
        <v>Diurno</v>
      </c>
      <c r="O5" s="1" t="str">
        <f>IFERROR(__xludf.DUMMYFUNCTION("""COMPUTED_VALUE"""),"TRASLADO CON CONVA")</f>
        <v>TRASLADO CON CONVA</v>
      </c>
      <c r="P5" s="1" t="str">
        <f>IFERROR(__xludf.DUMMYFUNCTION("""COMPUTED_VALUE"""),"RECA")</f>
        <v>RECA</v>
      </c>
      <c r="Q5" s="1" t="str">
        <f>IFERROR(__xludf.DUMMYFUNCTION("""COMPUTED_VALUE"""),"RECA TRASLADO CON CONVA")</f>
        <v>RECA TRASLADO CON CONVA</v>
      </c>
      <c r="R5" s="1" t="str">
        <f>IFERROR(__xludf.DUMMYFUNCTION("""COMPUTED_VALUE"""),"NINGUNO")</f>
        <v>NINGUNO</v>
      </c>
      <c r="S5" s="1" t="str">
        <f>IFERROR(__xludf.DUMMYFUNCTION("""COMPUTED_VALUE"""),"FABIOLA")</f>
        <v>FABIOLA</v>
      </c>
      <c r="T5" s="3">
        <f>IFERROR(__xludf.DUMMYFUNCTION("""COMPUTED_VALUE"""),45499.0)</f>
        <v>45499</v>
      </c>
      <c r="U5" s="1" t="str">
        <f>IFERROR(__xludf.DUMMYFUNCTION("""COMPUTED_VALUE"""),"POS")</f>
        <v>POS</v>
      </c>
      <c r="V5" s="1" t="str">
        <f>IFERROR(__xludf.DUMMYFUNCTION("""COMPUTED_VALUE"""),"PAGO COMPLETO")</f>
        <v>PAGO COMPLETO</v>
      </c>
      <c r="W5" s="4">
        <f>IFERROR(__xludf.DUMMYFUNCTION("""COMPUTED_VALUE"""),0.0)</f>
        <v>0</v>
      </c>
      <c r="X5" s="1" t="str">
        <f>IFERROR(__xludf.DUMMYFUNCTION("""COMPUTED_VALUE"""),"-")</f>
        <v>-</v>
      </c>
      <c r="Y5" s="2">
        <f>IFERROR(__xludf.DUMMYFUNCTION("""COMPUTED_VALUE"""),45499.0)</f>
        <v>45499</v>
      </c>
      <c r="Z5" s="1" t="str">
        <f>IFERROR(__xludf.DUMMYFUNCTION("""COMPUTED_VALUE"""),"PAGO COMPLETO")</f>
        <v>PAGO COMPLETO</v>
      </c>
      <c r="AA5" s="1" t="str">
        <f>IFERROR(__xludf.DUMMYFUNCTION("""COMPUTED_VALUE"""),"0")</f>
        <v>0</v>
      </c>
      <c r="AB5" s="1"/>
      <c r="AC5" s="4">
        <f>IFERROR(__xludf.DUMMYFUNCTION("""COMPUTED_VALUE"""),0.0)</f>
        <v>0</v>
      </c>
      <c r="AD5" s="4">
        <f>IFERROR(__xludf.DUMMYFUNCTION("""COMPUTED_VALUE"""),0.0)</f>
        <v>0</v>
      </c>
      <c r="AE5" s="4">
        <f>IFERROR(__xludf.DUMMYFUNCTION("""COMPUTED_VALUE"""),1775.0)</f>
        <v>1775</v>
      </c>
      <c r="AF5" s="4">
        <f>IFERROR(__xludf.DUMMYFUNCTION("""COMPUTED_VALUE"""),900.0)</f>
        <v>900</v>
      </c>
      <c r="AG5" s="1">
        <f>IFERROR(__xludf.DUMMYFUNCTION("""COMPUTED_VALUE"""),0.0)</f>
        <v>0</v>
      </c>
      <c r="AH5" s="1">
        <f>IFERROR(__xludf.DUMMYFUNCTION("""COMPUTED_VALUE"""),0.0)</f>
        <v>0</v>
      </c>
      <c r="AI5" s="1">
        <f>IFERROR(__xludf.DUMMYFUNCTION("""COMPUTED_VALUE"""),1.0)</f>
        <v>1</v>
      </c>
      <c r="AJ5" s="1">
        <f>IFERROR(__xludf.DUMMYFUNCTION("""COMPUTED_VALUE"""),304428.0)</f>
        <v>304428</v>
      </c>
      <c r="AK5" s="1" t="str">
        <f>IFERROR(__xludf.DUMMYFUNCTION("""COMPUTED_VALUE"""),"Más de 15 kms")</f>
        <v>Más de 15 kms</v>
      </c>
      <c r="AL5" s="1" t="str">
        <f>IFERROR(__xludf.DUMMYFUNCTION("""COMPUTED_VALUE"""),"05 301 a 550")</f>
        <v>05 301 a 550</v>
      </c>
      <c r="AM5" s="1" t="str">
        <f>IFERROR(__xludf.DUMMYFUNCTION("""COMPUTED_VALUE"""),"Instituto de Educación Superior Tecnológico Privado Toulouse Lautrec")</f>
        <v>Instituto de Educación Superior Tecnológico Privado Toulouse Lautrec</v>
      </c>
      <c r="AN5" s="1" t="str">
        <f>IFERROR(__xludf.DUMMYFUNCTION("""COMPUTED_VALUE""")," -")</f>
        <v> -</v>
      </c>
      <c r="AO5" s="1">
        <f>IFERROR(__xludf.DUMMYFUNCTION("""COMPUTED_VALUE"""),2024.0)</f>
        <v>2024</v>
      </c>
      <c r="AP5" s="3">
        <f>IFERROR(__xludf.DUMMYFUNCTION("""COMPUTED_VALUE"""),45474.0)</f>
        <v>45474</v>
      </c>
      <c r="AQ5" s="2">
        <f>IFERROR(__xludf.DUMMYFUNCTION("""COMPUTED_VALUE"""),45495.0)</f>
        <v>45495</v>
      </c>
      <c r="AR5" s="2">
        <f>IFERROR(__xludf.DUMMYFUNCTION("""COMPUTED_VALUE"""),45499.0)</f>
        <v>45499</v>
      </c>
      <c r="AS5" s="2">
        <f>IFERROR(__xludf.DUMMYFUNCTION("""COMPUTED_VALUE"""),45474.0)</f>
        <v>45474</v>
      </c>
      <c r="AT5" s="2">
        <f>IFERROR(__xludf.DUMMYFUNCTION("""COMPUTED_VALUE"""),45474.0)</f>
        <v>45474</v>
      </c>
      <c r="AU5" s="1">
        <f>IFERROR(__xludf.DUMMYFUNCTION("""COMPUTED_VALUE"""),0.0)</f>
        <v>0</v>
      </c>
      <c r="AV5" s="1" t="str">
        <f>IFERROR(__xludf.DUMMYFUNCTION("""COMPUTED_VALUE"""),"OUTBOUND")</f>
        <v>OUTBOUND</v>
      </c>
      <c r="AW5" s="1" t="str">
        <f>IFERROR(__xludf.DUMMYFUNCTION("""COMPUTED_VALUE"""),"OUTBOUND")</f>
        <v>OUTBOUND</v>
      </c>
      <c r="AX5" s="1" t="str">
        <f>IFERROR(__xludf.DUMMYFUNCTION("""COMPUTED_VALUE"""),"OUTBOUND")</f>
        <v>OUTBOUND</v>
      </c>
      <c r="AY5" s="1">
        <f>IFERROR(__xludf.DUMMYFUNCTION("""COMPUTED_VALUE"""),1.0)</f>
        <v>1</v>
      </c>
      <c r="AZ5" s="1" t="str">
        <f>IFERROR(__xludf.DUMMYFUNCTION("""COMPUTED_VALUE"""),"Andrea Araujo Antara")</f>
        <v>Andrea Araujo Antara</v>
      </c>
      <c r="BA5" s="5">
        <f>IFERROR(__xludf.DUMMYFUNCTION("""COMPUTED_VALUE"""),1.0)</f>
        <v>1</v>
      </c>
      <c r="BB5" s="6">
        <f>IFERROR(__xludf.DUMMYFUNCTION("""COMPUTED_VALUE"""),900.0)</f>
        <v>900</v>
      </c>
      <c r="BC5" s="1"/>
      <c r="BD5" s="1" t="str">
        <f>IFERROR(__xludf.DUMMYFUNCTION("""COMPUTED_VALUE""")," -")</f>
        <v> -</v>
      </c>
      <c r="BE5" s="1">
        <f>IFERROR(__xludf.DUMMYFUNCTION("""COMPUTED_VALUE"""),1.0)</f>
        <v>1</v>
      </c>
      <c r="BF5" s="1">
        <f>IFERROR(__xludf.DUMMYFUNCTION("""COMPUTED_VALUE"""),0.0)</f>
        <v>0</v>
      </c>
      <c r="BG5" s="1"/>
      <c r="BH5" s="1" t="str">
        <f>IFERROR(__xludf.DUMMYFUNCTION("""COMPUTED_VALUE"""),"No aplica")</f>
        <v>No aplica</v>
      </c>
      <c r="BI5" s="1">
        <f>IFERROR(__xludf.DUMMYFUNCTION("""COMPUTED_VALUE"""),0.0)</f>
        <v>0</v>
      </c>
      <c r="BJ5" s="1" t="str">
        <f>IFERROR(__xludf.DUMMYFUNCTION("""COMPUTED_VALUE"""),"TRASLADO")</f>
        <v>TRASLADO</v>
      </c>
    </row>
    <row r="6">
      <c r="A6" s="1">
        <f>IFERROR(__xludf.DUMMYFUNCTION("""COMPUTED_VALUE"""),5.0)</f>
        <v>5</v>
      </c>
      <c r="B6" s="1">
        <f>IFERROR(__xludf.DUMMYFUNCTION("""COMPUTED_VALUE"""),604610.0)</f>
        <v>604610</v>
      </c>
      <c r="C6" s="1" t="str">
        <f>IFERROR(__xludf.DUMMYFUNCTION("""COMPUTED_VALUE"""),"2018002207")</f>
        <v>2018002207</v>
      </c>
      <c r="D6" s="1" t="str">
        <f>IFERROR(__xludf.DUMMYFUNCTION("""COMPUTED_VALUE"""),"ANA SOFIA")</f>
        <v>ANA SOFIA</v>
      </c>
      <c r="E6" s="2" t="str">
        <f>IFERROR(__xludf.DUMMYFUNCTION("""COMPUTED_VALUE"""),"CORDERO VIDAL")</f>
        <v>CORDERO VIDAL</v>
      </c>
      <c r="F6" s="1">
        <f>IFERROR(__xludf.DUMMYFUNCTION("""COMPUTED_VALUE"""),7.8976934E7)</f>
        <v>78976934</v>
      </c>
      <c r="G6" s="1">
        <f>IFERROR(__xludf.DUMMYFUNCTION("""COMPUTED_VALUE"""),9.91085902E8)</f>
        <v>991085902</v>
      </c>
      <c r="H6" s="1" t="str">
        <f>IFERROR(__xludf.DUMMYFUNCTION("""COMPUTED_VALUE"""),"sophiacv10@gmail.com")</f>
        <v>sophiacv10@gmail.com</v>
      </c>
      <c r="I6" s="1" t="str">
        <f>IFERROR(__xludf.DUMMYFUNCTION("""COMPUTED_VALUE"""),"Arquitectura")</f>
        <v>Arquitectura</v>
      </c>
      <c r="J6" s="1" t="str">
        <f>IFERROR(__xludf.DUMMYFUNCTION("""COMPUTED_VALUE"""),"Arquitecturas")</f>
        <v>Arquitecturas</v>
      </c>
      <c r="K6" s="1" t="str">
        <f>IFERROR(__xludf.DUMMYFUNCTION("""COMPUTED_VALUE"""),"Antigua")</f>
        <v>Antigua</v>
      </c>
      <c r="L6" s="1" t="str">
        <f>IFERROR(__xludf.DUMMYFUNCTION("""COMPUTED_VALUE"""),"Admisión Extraordinaria (Traslados)")</f>
        <v>Admisión Extraordinaria (Traslados)</v>
      </c>
      <c r="M6" s="1" t="str">
        <f>IFERROR(__xludf.DUMMYFUNCTION("""COMPUTED_VALUE"""),"Semi-presencial")</f>
        <v>Semi-presencial</v>
      </c>
      <c r="N6" s="1" t="str">
        <f>IFERROR(__xludf.DUMMYFUNCTION("""COMPUTED_VALUE"""),"Diurno")</f>
        <v>Diurno</v>
      </c>
      <c r="O6" s="1" t="str">
        <f>IFERROR(__xludf.DUMMYFUNCTION("""COMPUTED_VALUE"""),"TRASLADO CON CONVA")</f>
        <v>TRASLADO CON CONVA</v>
      </c>
      <c r="P6" s="1" t="str">
        <f>IFERROR(__xludf.DUMMYFUNCTION("""COMPUTED_VALUE"""),"RECA")</f>
        <v>RECA</v>
      </c>
      <c r="Q6" s="1" t="str">
        <f>IFERROR(__xludf.DUMMYFUNCTION("""COMPUTED_VALUE"""),"RECA TRASLADO CON CONVA")</f>
        <v>RECA TRASLADO CON CONVA</v>
      </c>
      <c r="R6" s="1" t="str">
        <f>IFERROR(__xludf.DUMMYFUNCTION("""COMPUTED_VALUE"""),"NINGUNO")</f>
        <v>NINGUNO</v>
      </c>
      <c r="S6" s="1" t="str">
        <f>IFERROR(__xludf.DUMMYFUNCTION("""COMPUTED_VALUE"""),"FABIOLA")</f>
        <v>FABIOLA</v>
      </c>
      <c r="T6" s="3">
        <f>IFERROR(__xludf.DUMMYFUNCTION("""COMPUTED_VALUE"""),45500.0)</f>
        <v>45500</v>
      </c>
      <c r="U6" s="1" t="str">
        <f>IFERROR(__xludf.DUMMYFUNCTION("""COMPUTED_VALUE"""),"POS")</f>
        <v>POS</v>
      </c>
      <c r="V6" s="1" t="str">
        <f>IFERROR(__xludf.DUMMYFUNCTION("""COMPUTED_VALUE"""),"PAGO COMPLETO")</f>
        <v>PAGO COMPLETO</v>
      </c>
      <c r="W6" s="4">
        <f>IFERROR(__xludf.DUMMYFUNCTION("""COMPUTED_VALUE"""),0.0)</f>
        <v>0</v>
      </c>
      <c r="X6" s="1" t="str">
        <f>IFERROR(__xludf.DUMMYFUNCTION("""COMPUTED_VALUE"""),"-")</f>
        <v>-</v>
      </c>
      <c r="Y6" s="2">
        <f>IFERROR(__xludf.DUMMYFUNCTION("""COMPUTED_VALUE"""),45500.0)</f>
        <v>45500</v>
      </c>
      <c r="Z6" s="1" t="str">
        <f>IFERROR(__xludf.DUMMYFUNCTION("""COMPUTED_VALUE"""),"PAGO COMPLETO")</f>
        <v>PAGO COMPLETO</v>
      </c>
      <c r="AA6" s="1" t="str">
        <f>IFERROR(__xludf.DUMMYFUNCTION("""COMPUTED_VALUE"""),"1")</f>
        <v>1</v>
      </c>
      <c r="AB6" s="1"/>
      <c r="AC6" s="4">
        <f>IFERROR(__xludf.DUMMYFUNCTION("""COMPUTED_VALUE"""),0.0)</f>
        <v>0</v>
      </c>
      <c r="AD6" s="4">
        <f>IFERROR(__xludf.DUMMYFUNCTION("""COMPUTED_VALUE"""),0.0)</f>
        <v>0</v>
      </c>
      <c r="AE6" s="4">
        <f>IFERROR(__xludf.DUMMYFUNCTION("""COMPUTED_VALUE"""),1775.0)</f>
        <v>1775</v>
      </c>
      <c r="AF6" s="4">
        <f>IFERROR(__xludf.DUMMYFUNCTION("""COMPUTED_VALUE"""),900.0)</f>
        <v>900</v>
      </c>
      <c r="AG6" s="1">
        <f>IFERROR(__xludf.DUMMYFUNCTION("""COMPUTED_VALUE"""),0.0)</f>
        <v>0</v>
      </c>
      <c r="AH6" s="1">
        <f>IFERROR(__xludf.DUMMYFUNCTION("""COMPUTED_VALUE"""),0.0)</f>
        <v>0</v>
      </c>
      <c r="AI6" s="1">
        <f>IFERROR(__xludf.DUMMYFUNCTION("""COMPUTED_VALUE"""),1.0)</f>
        <v>1</v>
      </c>
      <c r="AJ6" s="1">
        <f>IFERROR(__xludf.DUMMYFUNCTION("""COMPUTED_VALUE"""),1512144.0)</f>
        <v>1512144</v>
      </c>
      <c r="AK6" s="1" t="str">
        <f>IFERROR(__xludf.DUMMYFUNCTION("""COMPUTED_VALUE"""),"10 kms a 15 kms")</f>
        <v>10 kms a 15 kms</v>
      </c>
      <c r="AL6" s="1" t="str">
        <f>IFERROR(__xludf.DUMMYFUNCTION("""COMPUTED_VALUE"""),"05 301 a 550")</f>
        <v>05 301 a 550</v>
      </c>
      <c r="AM6" s="1" t="str">
        <f>IFERROR(__xludf.DUMMYFUNCTION("""COMPUTED_VALUE"""),"Instituto de Educación Superior Tecnológico Privado Toulouse Lautrec")</f>
        <v>Instituto de Educación Superior Tecnológico Privado Toulouse Lautrec</v>
      </c>
      <c r="AN6" s="1" t="str">
        <f>IFERROR(__xludf.DUMMYFUNCTION("""COMPUTED_VALUE""")," -")</f>
        <v> -</v>
      </c>
      <c r="AO6" s="1">
        <f>IFERROR(__xludf.DUMMYFUNCTION("""COMPUTED_VALUE"""),2017.0)</f>
        <v>2017</v>
      </c>
      <c r="AP6" s="3">
        <f>IFERROR(__xludf.DUMMYFUNCTION("""COMPUTED_VALUE"""),45474.0)</f>
        <v>45474</v>
      </c>
      <c r="AQ6" s="2">
        <f>IFERROR(__xludf.DUMMYFUNCTION("""COMPUTED_VALUE"""),45495.0)</f>
        <v>45495</v>
      </c>
      <c r="AR6" s="2">
        <f>IFERROR(__xludf.DUMMYFUNCTION("""COMPUTED_VALUE"""),45489.0)</f>
        <v>45489</v>
      </c>
      <c r="AS6" s="2">
        <f>IFERROR(__xludf.DUMMYFUNCTION("""COMPUTED_VALUE"""),45474.0)</f>
        <v>45474</v>
      </c>
      <c r="AT6" s="2">
        <f>IFERROR(__xludf.DUMMYFUNCTION("""COMPUTED_VALUE"""),45474.0)</f>
        <v>45474</v>
      </c>
      <c r="AU6" s="1">
        <f>IFERROR(__xludf.DUMMYFUNCTION("""COMPUTED_VALUE"""),11.0)</f>
        <v>11</v>
      </c>
      <c r="AV6" s="1" t="str">
        <f>IFERROR(__xludf.DUMMYFUNCTION("""COMPUTED_VALUE"""),"DIGITAL")</f>
        <v>DIGITAL</v>
      </c>
      <c r="AW6" s="1" t="str">
        <f>IFERROR(__xludf.DUMMYFUNCTION("""COMPUTED_VALUE"""),"BIDIRECCIONAL")</f>
        <v>BIDIRECCIONAL</v>
      </c>
      <c r="AX6" s="1" t="str">
        <f>IFERROR(__xludf.DUMMYFUNCTION("""COMPUTED_VALUE"""),"ORGANICO")</f>
        <v>ORGANICO</v>
      </c>
      <c r="AY6" s="1">
        <f>IFERROR(__xludf.DUMMYFUNCTION("""COMPUTED_VALUE"""),1.0)</f>
        <v>1</v>
      </c>
      <c r="AZ6" s="1" t="str">
        <f>IFERROR(__xludf.DUMMYFUNCTION("""COMPUTED_VALUE"""),"Lohana Rivera")</f>
        <v>Lohana Rivera</v>
      </c>
      <c r="BA6" s="5">
        <f>IFERROR(__xludf.DUMMYFUNCTION("""COMPUTED_VALUE"""),1.0)</f>
        <v>1</v>
      </c>
      <c r="BB6" s="6">
        <f>IFERROR(__xludf.DUMMYFUNCTION("""COMPUTED_VALUE"""),900.0)</f>
        <v>900</v>
      </c>
      <c r="BC6" s="1"/>
      <c r="BD6" s="1" t="str">
        <f>IFERROR(__xludf.DUMMYFUNCTION("""COMPUTED_VALUE""")," -")</f>
        <v> -</v>
      </c>
      <c r="BE6" s="1">
        <f>IFERROR(__xludf.DUMMYFUNCTION("""COMPUTED_VALUE"""),1.0)</f>
        <v>1</v>
      </c>
      <c r="BF6" s="1">
        <f>IFERROR(__xludf.DUMMYFUNCTION("""COMPUTED_VALUE"""),0.0)</f>
        <v>0</v>
      </c>
      <c r="BG6" s="1"/>
      <c r="BH6" s="1" t="str">
        <f>IFERROR(__xludf.DUMMYFUNCTION("""COMPUTED_VALUE"""),"No aplica")</f>
        <v>No aplica</v>
      </c>
      <c r="BI6" s="1">
        <f>IFERROR(__xludf.DUMMYFUNCTION("""COMPUTED_VALUE"""),0.0)</f>
        <v>0</v>
      </c>
      <c r="BJ6" s="1" t="str">
        <f>IFERROR(__xludf.DUMMYFUNCTION("""COMPUTED_VALUE"""),"TRASLADO")</f>
        <v>TRASLADO</v>
      </c>
    </row>
    <row r="7">
      <c r="A7" s="1">
        <f>IFERROR(__xludf.DUMMYFUNCTION("""COMPUTED_VALUE"""),6.0)</f>
        <v>6</v>
      </c>
      <c r="B7" s="1">
        <f>IFERROR(__xludf.DUMMYFUNCTION("""COMPUTED_VALUE"""),1402833.0)</f>
        <v>1402833</v>
      </c>
      <c r="C7" s="1" t="str">
        <f>IFERROR(__xludf.DUMMYFUNCTION("""COMPUTED_VALUE"""),"0000016057")</f>
        <v>0000016057</v>
      </c>
      <c r="D7" s="1" t="str">
        <f>IFERROR(__xludf.DUMMYFUNCTION("""COMPUTED_VALUE"""),"VICTORIA ALEXANDRA")</f>
        <v>VICTORIA ALEXANDRA</v>
      </c>
      <c r="E7" s="2" t="str">
        <f>IFERROR(__xludf.DUMMYFUNCTION("""COMPUTED_VALUE"""),"VALENCIA SOTO")</f>
        <v>VALENCIA SOTO</v>
      </c>
      <c r="F7" s="1">
        <f>IFERROR(__xludf.DUMMYFUNCTION("""COMPUTED_VALUE"""),4.7157105E7)</f>
        <v>47157105</v>
      </c>
      <c r="G7" s="1">
        <f>IFERROR(__xludf.DUMMYFUNCTION("""COMPUTED_VALUE"""),9.23517854E8)</f>
        <v>923517854</v>
      </c>
      <c r="H7" s="1" t="str">
        <f>IFERROR(__xludf.DUMMYFUNCTION("""COMPUTED_VALUE"""),"valenciasoto.va@gmail.com")</f>
        <v>valenciasoto.va@gmail.com</v>
      </c>
      <c r="I7" s="1" t="str">
        <f>IFERROR(__xludf.DUMMYFUNCTION("""COMPUTED_VALUE"""),"Arquitectura")</f>
        <v>Arquitectura</v>
      </c>
      <c r="J7" s="1" t="str">
        <f>IFERROR(__xludf.DUMMYFUNCTION("""COMPUTED_VALUE"""),"Arquitecturas")</f>
        <v>Arquitecturas</v>
      </c>
      <c r="K7" s="1" t="str">
        <f>IFERROR(__xludf.DUMMYFUNCTION("""COMPUTED_VALUE"""),"Antigua")</f>
        <v>Antigua</v>
      </c>
      <c r="L7" s="1" t="str">
        <f>IFERROR(__xludf.DUMMYFUNCTION("""COMPUTED_VALUE"""),"Admisión Extraordinaria (Traslados)")</f>
        <v>Admisión Extraordinaria (Traslados)</v>
      </c>
      <c r="M7" s="1" t="str">
        <f>IFERROR(__xludf.DUMMYFUNCTION("""COMPUTED_VALUE"""),"Semi-presencial")</f>
        <v>Semi-presencial</v>
      </c>
      <c r="N7" s="1" t="str">
        <f>IFERROR(__xludf.DUMMYFUNCTION("""COMPUTED_VALUE"""),"Diurno")</f>
        <v>Diurno</v>
      </c>
      <c r="O7" s="1" t="str">
        <f>IFERROR(__xludf.DUMMYFUNCTION("""COMPUTED_VALUE"""),"TRASLADO CON CONVA")</f>
        <v>TRASLADO CON CONVA</v>
      </c>
      <c r="P7" s="1" t="str">
        <f>IFERROR(__xludf.DUMMYFUNCTION("""COMPUTED_VALUE"""),"RECA")</f>
        <v>RECA</v>
      </c>
      <c r="Q7" s="1" t="str">
        <f>IFERROR(__xludf.DUMMYFUNCTION("""COMPUTED_VALUE"""),"RECATEGORIZACIÓN")</f>
        <v>RECATEGORIZACIÓN</v>
      </c>
      <c r="R7" s="1" t="str">
        <f>IFERROR(__xludf.DUMMYFUNCTION("""COMPUTED_VALUE"""),"NINGUNO")</f>
        <v>NINGUNO</v>
      </c>
      <c r="S7" s="1" t="str">
        <f>IFERROR(__xludf.DUMMYFUNCTION("""COMPUTED_VALUE"""),"FABIOLA")</f>
        <v>FABIOLA</v>
      </c>
      <c r="T7" s="3">
        <f>IFERROR(__xludf.DUMMYFUNCTION("""COMPUTED_VALUE"""),45513.0)</f>
        <v>45513</v>
      </c>
      <c r="U7" s="1" t="str">
        <f>IFERROR(__xludf.DUMMYFUNCTION("""COMPUTED_VALUE"""),"CARGO")</f>
        <v>CARGO</v>
      </c>
      <c r="V7" s="1" t="str">
        <f>IFERROR(__xludf.DUMMYFUNCTION("""COMPUTED_VALUE"""),"PAGO COMPLETO")</f>
        <v>PAGO COMPLETO</v>
      </c>
      <c r="W7" s="4">
        <f>IFERROR(__xludf.DUMMYFUNCTION("""COMPUTED_VALUE"""),0.0)</f>
        <v>0</v>
      </c>
      <c r="X7" s="1" t="str">
        <f>IFERROR(__xludf.DUMMYFUNCTION("""COMPUTED_VALUE"""),"-")</f>
        <v>-</v>
      </c>
      <c r="Y7" s="2">
        <f>IFERROR(__xludf.DUMMYFUNCTION("""COMPUTED_VALUE"""),45513.0)</f>
        <v>45513</v>
      </c>
      <c r="Z7" s="1" t="str">
        <f>IFERROR(__xludf.DUMMYFUNCTION("""COMPUTED_VALUE"""),"PAGO COMPLETO")</f>
        <v>PAGO COMPLETO</v>
      </c>
      <c r="AA7" s="1" t="str">
        <f>IFERROR(__xludf.DUMMYFUNCTION("""COMPUTED_VALUE"""),"0")</f>
        <v>0</v>
      </c>
      <c r="AB7" s="1"/>
      <c r="AC7" s="4">
        <f>IFERROR(__xludf.DUMMYFUNCTION("""COMPUTED_VALUE"""),0.0)</f>
        <v>0</v>
      </c>
      <c r="AD7" s="4">
        <f>IFERROR(__xludf.DUMMYFUNCTION("""COMPUTED_VALUE"""),0.0)</f>
        <v>0</v>
      </c>
      <c r="AE7" s="4">
        <f>IFERROR(__xludf.DUMMYFUNCTION("""COMPUTED_VALUE"""),1350.0)</f>
        <v>1350</v>
      </c>
      <c r="AF7" s="4">
        <f>IFERROR(__xludf.DUMMYFUNCTION("""COMPUTED_VALUE"""),900.0)</f>
        <v>900</v>
      </c>
      <c r="AG7" s="1">
        <f>IFERROR(__xludf.DUMMYFUNCTION("""COMPUTED_VALUE"""),0.0)</f>
        <v>0</v>
      </c>
      <c r="AH7" s="1">
        <f>IFERROR(__xludf.DUMMYFUNCTION("""COMPUTED_VALUE"""),0.0)</f>
        <v>0</v>
      </c>
      <c r="AI7" s="1">
        <f>IFERROR(__xludf.DUMMYFUNCTION("""COMPUTED_VALUE"""),1.0)</f>
        <v>1</v>
      </c>
      <c r="AJ7" s="1">
        <f>IFERROR(__xludf.DUMMYFUNCTION("""COMPUTED_VALUE"""),1243955.0)</f>
        <v>1243955</v>
      </c>
      <c r="AK7" s="1"/>
      <c r="AL7" s="1"/>
      <c r="AM7" s="1" t="str">
        <f>IFERROR(__xludf.DUMMYFUNCTION("""COMPUTED_VALUE"""),"Instituto de Educación Superior Tecnológico Privado Toulouse Lautrec")</f>
        <v>Instituto de Educación Superior Tecnológico Privado Toulouse Lautrec</v>
      </c>
      <c r="AN7" s="1" t="str">
        <f>IFERROR(__xludf.DUMMYFUNCTION("""COMPUTED_VALUE""")," -")</f>
        <v> -</v>
      </c>
      <c r="AO7" s="1">
        <f>IFERROR(__xludf.DUMMYFUNCTION("""COMPUTED_VALUE"""),2007.0)</f>
        <v>2007</v>
      </c>
      <c r="AP7" s="3">
        <f>IFERROR(__xludf.DUMMYFUNCTION("""COMPUTED_VALUE"""),45505.0)</f>
        <v>45505</v>
      </c>
      <c r="AQ7" s="2">
        <f>IFERROR(__xludf.DUMMYFUNCTION("""COMPUTED_VALUE"""),45509.0)</f>
        <v>45509</v>
      </c>
      <c r="AR7" s="2">
        <f>IFERROR(__xludf.DUMMYFUNCTION("""COMPUTED_VALUE"""),45511.0)</f>
        <v>45511</v>
      </c>
      <c r="AS7" s="2">
        <f>IFERROR(__xludf.DUMMYFUNCTION("""COMPUTED_VALUE"""),45505.0)</f>
        <v>45505</v>
      </c>
      <c r="AT7" s="2">
        <f>IFERROR(__xludf.DUMMYFUNCTION("""COMPUTED_VALUE"""),45502.0)</f>
        <v>45502</v>
      </c>
      <c r="AU7" s="1">
        <f>IFERROR(__xludf.DUMMYFUNCTION("""COMPUTED_VALUE"""),2.0)</f>
        <v>2</v>
      </c>
      <c r="AV7" s="1" t="str">
        <f>IFERROR(__xludf.DUMMYFUNCTION("""COMPUTED_VALUE"""),"OUTBOUND")</f>
        <v>OUTBOUND</v>
      </c>
      <c r="AW7" s="1" t="str">
        <f>IFERROR(__xludf.DUMMYFUNCTION("""COMPUTED_VALUE"""),"OUTBOUND")</f>
        <v>OUTBOUND</v>
      </c>
      <c r="AX7" s="1" t="str">
        <f>IFERROR(__xludf.DUMMYFUNCTION("""COMPUTED_VALUE"""),"OUTBOUND")</f>
        <v>OUTBOUND</v>
      </c>
      <c r="AY7" s="1">
        <f>IFERROR(__xludf.DUMMYFUNCTION("""COMPUTED_VALUE"""),1.0)</f>
        <v>1</v>
      </c>
      <c r="AZ7" s="1" t="str">
        <f>IFERROR(__xludf.DUMMYFUNCTION("""COMPUTED_VALUE"""),"Ingrid Guillermo Rivera")</f>
        <v>Ingrid Guillermo Rivera</v>
      </c>
      <c r="BA7" s="5">
        <f>IFERROR(__xludf.DUMMYFUNCTION("""COMPUTED_VALUE"""),1.0)</f>
        <v>1</v>
      </c>
      <c r="BB7" s="6">
        <f>IFERROR(__xludf.DUMMYFUNCTION("""COMPUTED_VALUE"""),900.0)</f>
        <v>900</v>
      </c>
      <c r="BC7" s="1"/>
      <c r="BD7" s="1" t="str">
        <f>IFERROR(__xludf.DUMMYFUNCTION("""COMPUTED_VALUE""")," -")</f>
        <v> -</v>
      </c>
      <c r="BE7" s="1">
        <f>IFERROR(__xludf.DUMMYFUNCTION("""COMPUTED_VALUE"""),1.0)</f>
        <v>1</v>
      </c>
      <c r="BF7" s="1">
        <f>IFERROR(__xludf.DUMMYFUNCTION("""COMPUTED_VALUE"""),0.0)</f>
        <v>0</v>
      </c>
      <c r="BG7" s="1"/>
      <c r="BH7" s="1" t="str">
        <f>IFERROR(__xludf.DUMMYFUNCTION("""COMPUTED_VALUE"""),"No aplica")</f>
        <v>No aplica</v>
      </c>
      <c r="BI7" s="1">
        <f>IFERROR(__xludf.DUMMYFUNCTION("""COMPUTED_VALUE"""),0.0)</f>
        <v>0</v>
      </c>
      <c r="BJ7" s="1" t="str">
        <f>IFERROR(__xludf.DUMMYFUNCTION("""COMPUTED_VALUE"""),"TRASLADO")</f>
        <v>TRASLADO</v>
      </c>
    </row>
    <row r="8">
      <c r="A8" s="1">
        <f>IFERROR(__xludf.DUMMYFUNCTION("""COMPUTED_VALUE"""),7.0)</f>
        <v>7</v>
      </c>
      <c r="B8" s="1">
        <f>IFERROR(__xludf.DUMMYFUNCTION("""COMPUTED_VALUE"""),3306259.0)</f>
        <v>3306259</v>
      </c>
      <c r="C8" s="1" t="str">
        <f>IFERROR(__xludf.DUMMYFUNCTION("""COMPUTED_VALUE"""),"0000397773")</f>
        <v>0000397773</v>
      </c>
      <c r="D8" s="1" t="str">
        <f>IFERROR(__xludf.DUMMYFUNCTION("""COMPUTED_VALUE"""),"ANA LUCIA")</f>
        <v>ANA LUCIA</v>
      </c>
      <c r="E8" s="2" t="str">
        <f>IFERROR(__xludf.DUMMYFUNCTION("""COMPUTED_VALUE"""),"BACA TORRES")</f>
        <v>BACA TORRES</v>
      </c>
      <c r="F8" s="1">
        <f>IFERROR(__xludf.DUMMYFUNCTION("""COMPUTED_VALUE"""),7.0725431E7)</f>
        <v>70725431</v>
      </c>
      <c r="G8" s="1">
        <f>IFERROR(__xludf.DUMMYFUNCTION("""COMPUTED_VALUE"""),9.24733946E8)</f>
        <v>924733946</v>
      </c>
      <c r="H8" s="1" t="str">
        <f>IFERROR(__xludf.DUMMYFUNCTION("""COMPUTED_VALUE"""),"tolgabeatriz@yahoo.es")</f>
        <v>tolgabeatriz@yahoo.es</v>
      </c>
      <c r="I8" s="1" t="str">
        <f>IFERROR(__xludf.DUMMYFUNCTION("""COMPUTED_VALUE"""),"Comunicación Audiovisual y Cine")</f>
        <v>Comunicación Audiovisual y Cine</v>
      </c>
      <c r="J8" s="1" t="str">
        <f>IFERROR(__xludf.DUMMYFUNCTION("""COMPUTED_VALUE"""),"Comunicaciones")</f>
        <v>Comunicaciones</v>
      </c>
      <c r="K8" s="1" t="str">
        <f>IFERROR(__xludf.DUMMYFUNCTION("""COMPUTED_VALUE"""),"Antigua")</f>
        <v>Antigua</v>
      </c>
      <c r="L8" s="1" t="str">
        <f>IFERROR(__xludf.DUMMYFUNCTION("""COMPUTED_VALUE"""),"Admisión de Alto Rendimiento")</f>
        <v>Admisión de Alto Rendimiento</v>
      </c>
      <c r="M8" s="1" t="str">
        <f>IFERROR(__xludf.DUMMYFUNCTION("""COMPUTED_VALUE"""),"Semi-presencial")</f>
        <v>Semi-presencial</v>
      </c>
      <c r="N8" s="1" t="str">
        <f>IFERROR(__xludf.DUMMYFUNCTION("""COMPUTED_VALUE"""),"Diurno")</f>
        <v>Diurno</v>
      </c>
      <c r="O8" s="1" t="str">
        <f>IFERROR(__xludf.DUMMYFUNCTION("""COMPUTED_VALUE"""),"NUEVO")</f>
        <v>NUEVO</v>
      </c>
      <c r="P8" s="1" t="str">
        <f>IFERROR(__xludf.DUMMYFUNCTION("""COMPUTED_VALUE"""),"BECA")</f>
        <v>BECA</v>
      </c>
      <c r="Q8" s="1" t="str">
        <f>IFERROR(__xludf.DUMMYFUNCTION("""COMPUTED_VALUE"""),"BECAS FINALISTA DEL CONCURSO")</f>
        <v>BECAS FINALISTA DEL CONCURSO</v>
      </c>
      <c r="R8" s="1" t="str">
        <f>IFERROR(__xludf.DUMMYFUNCTION("""COMPUTED_VALUE"""),"NINGUNO")</f>
        <v>NINGUNO</v>
      </c>
      <c r="S8" s="1" t="str">
        <f>IFERROR(__xludf.DUMMYFUNCTION("""COMPUTED_VALUE"""),"SEBASTIAN")</f>
        <v>SEBASTIAN</v>
      </c>
      <c r="T8" s="3">
        <f>IFERROR(__xludf.DUMMYFUNCTION("""COMPUTED_VALUE"""),45580.0)</f>
        <v>45580</v>
      </c>
      <c r="U8" s="1" t="str">
        <f>IFERROR(__xludf.DUMMYFUNCTION("""COMPUTED_VALUE"""),"CARGO")</f>
        <v>CARGO</v>
      </c>
      <c r="V8" s="1" t="str">
        <f>IFERROR(__xludf.DUMMYFUNCTION("""COMPUTED_VALUE"""),"PAGO COMPLETO")</f>
        <v>PAGO COMPLETO</v>
      </c>
      <c r="W8" s="4">
        <f>IFERROR(__xludf.DUMMYFUNCTION("""COMPUTED_VALUE"""),0.0)</f>
        <v>0</v>
      </c>
      <c r="X8" s="1" t="str">
        <f>IFERROR(__xludf.DUMMYFUNCTION("""COMPUTED_VALUE"""),"-")</f>
        <v>-</v>
      </c>
      <c r="Y8" s="2">
        <f>IFERROR(__xludf.DUMMYFUNCTION("""COMPUTED_VALUE"""),45580.0)</f>
        <v>45580</v>
      </c>
      <c r="Z8" s="1" t="str">
        <f>IFERROR(__xludf.DUMMYFUNCTION("""COMPUTED_VALUE"""),"PAGO COMPLETO")</f>
        <v>PAGO COMPLETO</v>
      </c>
      <c r="AA8" s="1" t="str">
        <f>IFERROR(__xludf.DUMMYFUNCTION("""COMPUTED_VALUE"""),"0")</f>
        <v>0</v>
      </c>
      <c r="AB8" s="1"/>
      <c r="AC8" s="4">
        <f>IFERROR(__xludf.DUMMYFUNCTION("""COMPUTED_VALUE"""),200.0)</f>
        <v>200</v>
      </c>
      <c r="AD8" s="4">
        <f>IFERROR(__xludf.DUMMYFUNCTION("""COMPUTED_VALUE"""),475.0)</f>
        <v>475</v>
      </c>
      <c r="AE8" s="4">
        <f>IFERROR(__xludf.DUMMYFUNCTION("""COMPUTED_VALUE"""),2200.0)</f>
        <v>2200</v>
      </c>
      <c r="AF8" s="4">
        <f>IFERROR(__xludf.DUMMYFUNCTION("""COMPUTED_VALUE"""),880.0)</f>
        <v>880</v>
      </c>
      <c r="AG8" s="1">
        <f>IFERROR(__xludf.DUMMYFUNCTION("""COMPUTED_VALUE"""),0.0)</f>
        <v>0</v>
      </c>
      <c r="AH8" s="1">
        <f>IFERROR(__xludf.DUMMYFUNCTION("""COMPUTED_VALUE"""),0.0)</f>
        <v>0</v>
      </c>
      <c r="AI8" s="1">
        <f>IFERROR(__xludf.DUMMYFUNCTION("""COMPUTED_VALUE"""),1.0)</f>
        <v>1</v>
      </c>
      <c r="AJ8" s="1">
        <f>IFERROR(__xludf.DUMMYFUNCTION("""COMPUTED_VALUE"""),604082.0)</f>
        <v>604082</v>
      </c>
      <c r="AK8" s="1" t="str">
        <f>IFERROR(__xludf.DUMMYFUNCTION("""COMPUTED_VALUE"""),"10 kms a 15 kms")</f>
        <v>10 kms a 15 kms</v>
      </c>
      <c r="AL8" s="1" t="str">
        <f>IFERROR(__xludf.DUMMYFUNCTION("""COMPUTED_VALUE"""),"07 801 a 900")</f>
        <v>07 801 a 900</v>
      </c>
      <c r="AM8" s="1" t="str">
        <f>IFERROR(__xludf.DUMMYFUNCTION("""COMPUTED_VALUE"""),"-")</f>
        <v>-</v>
      </c>
      <c r="AN8" s="1" t="str">
        <f>IFERROR(__xludf.DUMMYFUNCTION("""COMPUTED_VALUE""")," -")</f>
        <v> -</v>
      </c>
      <c r="AO8" s="1">
        <f>IFERROR(__xludf.DUMMYFUNCTION("""COMPUTED_VALUE"""),2024.0)</f>
        <v>2024</v>
      </c>
      <c r="AP8" s="3">
        <f>IFERROR(__xludf.DUMMYFUNCTION("""COMPUTED_VALUE"""),45566.0)</f>
        <v>45566</v>
      </c>
      <c r="AQ8" s="2">
        <f>IFERROR(__xludf.DUMMYFUNCTION("""COMPUTED_VALUE"""),45579.0)</f>
        <v>45579</v>
      </c>
      <c r="AR8" s="2">
        <f>IFERROR(__xludf.DUMMYFUNCTION("""COMPUTED_VALUE"""),45453.0)</f>
        <v>45453</v>
      </c>
      <c r="AS8" s="2">
        <f>IFERROR(__xludf.DUMMYFUNCTION("""COMPUTED_VALUE"""),45444.0)</f>
        <v>45444</v>
      </c>
      <c r="AT8" s="2">
        <f>IFERROR(__xludf.DUMMYFUNCTION("""COMPUTED_VALUE"""),45439.0)</f>
        <v>45439</v>
      </c>
      <c r="AU8" s="1">
        <f>IFERROR(__xludf.DUMMYFUNCTION("""COMPUTED_VALUE"""),127.0)</f>
        <v>127</v>
      </c>
      <c r="AV8" s="1" t="str">
        <f>IFERROR(__xludf.DUMMYFUNCTION("""COMPUTED_VALUE"""),"TRADICIONAL")</f>
        <v>TRADICIONAL</v>
      </c>
      <c r="AW8" s="1" t="str">
        <f>IFERROR(__xludf.DUMMYFUNCTION("""COMPUTED_VALUE"""),"COLEGIOS")</f>
        <v>COLEGIOS</v>
      </c>
      <c r="AX8" s="1" t="str">
        <f>IFERROR(__xludf.DUMMYFUNCTION("""COMPUTED_VALUE"""),"COLEGIOS")</f>
        <v>COLEGIOS</v>
      </c>
      <c r="AY8" s="1">
        <f>IFERROR(__xludf.DUMMYFUNCTION("""COMPUTED_VALUE"""),1.0)</f>
        <v>1</v>
      </c>
      <c r="AZ8" s="1" t="str">
        <f>IFERROR(__xludf.DUMMYFUNCTION("""COMPUTED_VALUE"""),"Juan Pablo Gómez")</f>
        <v>Juan Pablo Gómez</v>
      </c>
      <c r="BA8" s="5">
        <f>IFERROR(__xludf.DUMMYFUNCTION("""COMPUTED_VALUE"""),1.0)</f>
        <v>1</v>
      </c>
      <c r="BB8" s="6">
        <f>IFERROR(__xludf.DUMMYFUNCTION("""COMPUTED_VALUE"""),880.0)</f>
        <v>880</v>
      </c>
      <c r="BC8" s="1"/>
      <c r="BD8" s="1" t="str">
        <f>IFERROR(__xludf.DUMMYFUNCTION("""COMPUTED_VALUE""")," -")</f>
        <v> -</v>
      </c>
      <c r="BE8" s="1">
        <f>IFERROR(__xludf.DUMMYFUNCTION("""COMPUTED_VALUE"""),1.0)</f>
        <v>1</v>
      </c>
      <c r="BF8" s="1">
        <f>IFERROR(__xludf.DUMMYFUNCTION("""COMPUTED_VALUE"""),0.0)</f>
        <v>0</v>
      </c>
      <c r="BG8" s="1"/>
      <c r="BH8" s="1" t="str">
        <f>IFERROR(__xludf.DUMMYFUNCTION("""COMPUTED_VALUE"""),"No aplica")</f>
        <v>No aplica</v>
      </c>
      <c r="BI8" s="1">
        <f>IFERROR(__xludf.DUMMYFUNCTION("""COMPUTED_VALUE"""),0.0)</f>
        <v>0</v>
      </c>
      <c r="BJ8" s="1" t="str">
        <f>IFERROR(__xludf.DUMMYFUNCTION("""COMPUTED_VALUE"""),"NUEVO")</f>
        <v>NUEVO</v>
      </c>
    </row>
    <row r="9">
      <c r="A9" s="1">
        <f>IFERROR(__xludf.DUMMYFUNCTION("""COMPUTED_VALUE"""),8.0)</f>
        <v>8</v>
      </c>
      <c r="B9" s="1">
        <f>IFERROR(__xludf.DUMMYFUNCTION("""COMPUTED_VALUE"""),537271.0)</f>
        <v>537271</v>
      </c>
      <c r="C9" s="1" t="str">
        <f>IFERROR(__xludf.DUMMYFUNCTION("""COMPUTED_VALUE"""),"0000399308")</f>
        <v>0000399308</v>
      </c>
      <c r="D9" s="1" t="str">
        <f>IFERROR(__xludf.DUMMYFUNCTION("""COMPUTED_VALUE"""),"GERALDYN FRANSHESCA")</f>
        <v>GERALDYN FRANSHESCA</v>
      </c>
      <c r="E9" s="2" t="str">
        <f>IFERROR(__xludf.DUMMYFUNCTION("""COMPUTED_VALUE"""),"BLANCAS MAURICIO")</f>
        <v>BLANCAS MAURICIO</v>
      </c>
      <c r="F9" s="1">
        <f>IFERROR(__xludf.DUMMYFUNCTION("""COMPUTED_VALUE"""),7.2920569E7)</f>
        <v>72920569</v>
      </c>
      <c r="G9" s="1">
        <f>IFERROR(__xludf.DUMMYFUNCTION("""COMPUTED_VALUE"""),9.92535486E8)</f>
        <v>992535486</v>
      </c>
      <c r="H9" s="1" t="str">
        <f>IFERROR(__xludf.DUMMYFUNCTION("""COMPUTED_VALUE"""),"geraldynblancas0@gmail.com")</f>
        <v>geraldynblancas0@gmail.com</v>
      </c>
      <c r="I9" s="1" t="str">
        <f>IFERROR(__xludf.DUMMYFUNCTION("""COMPUTED_VALUE"""),"Diseño Gráfico Publicitario")</f>
        <v>Diseño Gráfico Publicitario</v>
      </c>
      <c r="J9" s="1" t="str">
        <f>IFERROR(__xludf.DUMMYFUNCTION("""COMPUTED_VALUE"""),"Diseño")</f>
        <v>Diseño</v>
      </c>
      <c r="K9" s="1" t="str">
        <f>IFERROR(__xludf.DUMMYFUNCTION("""COMPUTED_VALUE"""),"Antigua")</f>
        <v>Antigua</v>
      </c>
      <c r="L9" s="1" t="str">
        <f>IFERROR(__xludf.DUMMYFUNCTION("""COMPUTED_VALUE"""),"Admisión Extraordinaria (Traslados)")</f>
        <v>Admisión Extraordinaria (Traslados)</v>
      </c>
      <c r="M9" s="1" t="str">
        <f>IFERROR(__xludf.DUMMYFUNCTION("""COMPUTED_VALUE"""),"Semi-presencial")</f>
        <v>Semi-presencial</v>
      </c>
      <c r="N9" s="1" t="str">
        <f>IFERROR(__xludf.DUMMYFUNCTION("""COMPUTED_VALUE"""),"Diurno")</f>
        <v>Diurno</v>
      </c>
      <c r="O9" s="1" t="str">
        <f>IFERROR(__xludf.DUMMYFUNCTION("""COMPUTED_VALUE"""),"TRASLADO CON CONVA")</f>
        <v>TRASLADO CON CONVA</v>
      </c>
      <c r="P9" s="1" t="str">
        <f>IFERROR(__xludf.DUMMYFUNCTION("""COMPUTED_VALUE"""),"RECA")</f>
        <v>RECA</v>
      </c>
      <c r="Q9" s="1" t="str">
        <f>IFERROR(__xludf.DUMMYFUNCTION("""COMPUTED_VALUE"""),"RECATEGORIZACIÓN")</f>
        <v>RECATEGORIZACIÓN</v>
      </c>
      <c r="R9" s="1" t="str">
        <f>IFERROR(__xludf.DUMMYFUNCTION("""COMPUTED_VALUE"""),"NINGUNO")</f>
        <v>NINGUNO</v>
      </c>
      <c r="S9" s="1" t="str">
        <f>IFERROR(__xludf.DUMMYFUNCTION("""COMPUTED_VALUE"""),"STEVEN")</f>
        <v>STEVEN</v>
      </c>
      <c r="T9" s="3">
        <f>IFERROR(__xludf.DUMMYFUNCTION("""COMPUTED_VALUE"""),45595.0)</f>
        <v>45595</v>
      </c>
      <c r="U9" s="1" t="str">
        <f>IFERROR(__xludf.DUMMYFUNCTION("""COMPUTED_VALUE"""),"Pago Link")</f>
        <v>Pago Link</v>
      </c>
      <c r="V9" s="1" t="str">
        <f>IFERROR(__xludf.DUMMYFUNCTION("""COMPUTED_VALUE"""),"PAGO FRACCIONADO")</f>
        <v>PAGO FRACCIONADO</v>
      </c>
      <c r="W9" s="4">
        <f>IFERROR(__xludf.DUMMYFUNCTION("""COMPUTED_VALUE"""),0.0)</f>
        <v>0</v>
      </c>
      <c r="X9" s="1" t="str">
        <f>IFERROR(__xludf.DUMMYFUNCTION("""COMPUTED_VALUE"""),"30/11/2024")</f>
        <v>30/11/2024</v>
      </c>
      <c r="Y9" s="2">
        <f>IFERROR(__xludf.DUMMYFUNCTION("""COMPUTED_VALUE"""),45626.0)</f>
        <v>45626</v>
      </c>
      <c r="Z9" s="1" t="str">
        <f>IFERROR(__xludf.DUMMYFUNCTION("""COMPUTED_VALUE"""),"PAGO COMPLETO")</f>
        <v>PAGO COMPLETO</v>
      </c>
      <c r="AA9" s="1" t="str">
        <f>IFERROR(__xludf.DUMMYFUNCTION("""COMPUTED_VALUE"""),"1")</f>
        <v>1</v>
      </c>
      <c r="AB9" s="1"/>
      <c r="AC9" s="4">
        <f>IFERROR(__xludf.DUMMYFUNCTION("""COMPUTED_VALUE"""),0.0)</f>
        <v>0</v>
      </c>
      <c r="AD9" s="4">
        <f>IFERROR(__xludf.DUMMYFUNCTION("""COMPUTED_VALUE"""),0.0)</f>
        <v>0</v>
      </c>
      <c r="AE9" s="4">
        <f>IFERROR(__xludf.DUMMYFUNCTION("""COMPUTED_VALUE"""),1350.0)</f>
        <v>1350</v>
      </c>
      <c r="AF9" s="4">
        <f>IFERROR(__xludf.DUMMYFUNCTION("""COMPUTED_VALUE"""),900.0)</f>
        <v>900</v>
      </c>
      <c r="AG9" s="1">
        <f>IFERROR(__xludf.DUMMYFUNCTION("""COMPUTED_VALUE"""),0.0)</f>
        <v>0</v>
      </c>
      <c r="AH9" s="1">
        <f>IFERROR(__xludf.DUMMYFUNCTION("""COMPUTED_VALUE"""),0.0)</f>
        <v>0</v>
      </c>
      <c r="AI9" s="1">
        <f>IFERROR(__xludf.DUMMYFUNCTION("""COMPUTED_VALUE"""),1.0)</f>
        <v>1</v>
      </c>
      <c r="AJ9" s="1">
        <f>IFERROR(__xludf.DUMMYFUNCTION("""COMPUTED_VALUE"""),245688.0)</f>
        <v>245688</v>
      </c>
      <c r="AK9" s="1" t="str">
        <f>IFERROR(__xludf.DUMMYFUNCTION("""COMPUTED_VALUE"""),"10 kms a 15 kms")</f>
        <v>10 kms a 15 kms</v>
      </c>
      <c r="AL9" s="1" t="str">
        <f>IFERROR(__xludf.DUMMYFUNCTION("""COMPUTED_VALUE"""),"01 Nacional")</f>
        <v>01 Nacional</v>
      </c>
      <c r="AM9" s="1" t="str">
        <f>IFERROR(__xludf.DUMMYFUNCTION("""COMPUTED_VALUE"""),"Universidad Privada del Norte(UPN)")</f>
        <v>Universidad Privada del Norte(UPN)</v>
      </c>
      <c r="AN9" s="1" t="str">
        <f>IFERROR(__xludf.DUMMYFUNCTION("""COMPUTED_VALUE""")," -")</f>
        <v> -</v>
      </c>
      <c r="AO9" s="1">
        <f>IFERROR(__xludf.DUMMYFUNCTION("""COMPUTED_VALUE"""),2020.0)</f>
        <v>2020</v>
      </c>
      <c r="AP9" s="3">
        <f>IFERROR(__xludf.DUMMYFUNCTION("""COMPUTED_VALUE"""),45566.0)</f>
        <v>45566</v>
      </c>
      <c r="AQ9" s="2">
        <f>IFERROR(__xludf.DUMMYFUNCTION("""COMPUTED_VALUE"""),45621.0)</f>
        <v>45621</v>
      </c>
      <c r="AR9" s="2">
        <f>IFERROR(__xludf.DUMMYFUNCTION("""COMPUTED_VALUE"""),45577.0)</f>
        <v>45577</v>
      </c>
      <c r="AS9" s="2">
        <f>IFERROR(__xludf.DUMMYFUNCTION("""COMPUTED_VALUE"""),45566.0)</f>
        <v>45566</v>
      </c>
      <c r="AT9" s="2">
        <f>IFERROR(__xludf.DUMMYFUNCTION("""COMPUTED_VALUE"""),45565.0)</f>
        <v>45565</v>
      </c>
      <c r="AU9" s="1">
        <f>IFERROR(__xludf.DUMMYFUNCTION("""COMPUTED_VALUE"""),49.0)</f>
        <v>49</v>
      </c>
      <c r="AV9" s="1" t="str">
        <f>IFERROR(__xludf.DUMMYFUNCTION("""COMPUTED_VALUE"""),"DIGITAL")</f>
        <v>DIGITAL</v>
      </c>
      <c r="AW9" s="1" t="str">
        <f>IFERROR(__xludf.DUMMYFUNCTION("""COMPUTED_VALUE"""),"BIDIRECCIONAL")</f>
        <v>BIDIRECCIONAL</v>
      </c>
      <c r="AX9" s="1" t="str">
        <f>IFERROR(__xludf.DUMMYFUNCTION("""COMPUTED_VALUE"""),"SEARCH CARRERA")</f>
        <v>SEARCH CARRERA</v>
      </c>
      <c r="AY9" s="1">
        <f>IFERROR(__xludf.DUMMYFUNCTION("""COMPUTED_VALUE"""),1.0)</f>
        <v>1</v>
      </c>
      <c r="AZ9" s="1" t="str">
        <f>IFERROR(__xludf.DUMMYFUNCTION("""COMPUTED_VALUE"""),"Janira Delgado")</f>
        <v>Janira Delgado</v>
      </c>
      <c r="BA9" s="5">
        <f>IFERROR(__xludf.DUMMYFUNCTION("""COMPUTED_VALUE"""),1.0)</f>
        <v>1</v>
      </c>
      <c r="BB9" s="6">
        <f>IFERROR(__xludf.DUMMYFUNCTION("""COMPUTED_VALUE"""),900.0)</f>
        <v>900</v>
      </c>
      <c r="BC9" s="1"/>
      <c r="BD9" s="1" t="str">
        <f>IFERROR(__xludf.DUMMYFUNCTION("""COMPUTED_VALUE""")," -")</f>
        <v> -</v>
      </c>
      <c r="BE9" s="1">
        <f>IFERROR(__xludf.DUMMYFUNCTION("""COMPUTED_VALUE"""),1.0)</f>
        <v>1</v>
      </c>
      <c r="BF9" s="1">
        <f>IFERROR(__xludf.DUMMYFUNCTION("""COMPUTED_VALUE"""),0.0)</f>
        <v>0</v>
      </c>
      <c r="BG9" s="1"/>
      <c r="BH9" s="1" t="str">
        <f>IFERROR(__xludf.DUMMYFUNCTION("""COMPUTED_VALUE"""),"No aplica")</f>
        <v>No aplica</v>
      </c>
      <c r="BI9" s="1">
        <f>IFERROR(__xludf.DUMMYFUNCTION("""COMPUTED_VALUE"""),0.0)</f>
        <v>0</v>
      </c>
      <c r="BJ9" s="1" t="str">
        <f>IFERROR(__xludf.DUMMYFUNCTION("""COMPUTED_VALUE"""),"TRASLADO")</f>
        <v>TRASLADO</v>
      </c>
    </row>
    <row r="10">
      <c r="A10" s="1">
        <f>IFERROR(__xludf.DUMMYFUNCTION("""COMPUTED_VALUE"""),9.0)</f>
        <v>9</v>
      </c>
      <c r="B10" s="1">
        <f>IFERROR(__xludf.DUMMYFUNCTION("""COMPUTED_VALUE"""),1019962.0)</f>
        <v>1019962</v>
      </c>
      <c r="C10" s="1" t="str">
        <f>IFERROR(__xludf.DUMMYFUNCTION("""COMPUTED_VALUE"""),"0000401040")</f>
        <v>0000401040</v>
      </c>
      <c r="D10" s="1" t="str">
        <f>IFERROR(__xludf.DUMMYFUNCTION("""COMPUTED_VALUE"""),"ISABEL ROXANA")</f>
        <v>ISABEL ROXANA</v>
      </c>
      <c r="E10" s="2" t="str">
        <f>IFERROR(__xludf.DUMMYFUNCTION("""COMPUTED_VALUE"""),"TORO TEJEIRA")</f>
        <v>TORO TEJEIRA</v>
      </c>
      <c r="F10" s="1">
        <f>IFERROR(__xludf.DUMMYFUNCTION("""COMPUTED_VALUE"""),7.2916262E7)</f>
        <v>72916262</v>
      </c>
      <c r="G10" s="1">
        <f>IFERROR(__xludf.DUMMYFUNCTION("""COMPUTED_VALUE"""),9.15349913E8)</f>
        <v>915349913</v>
      </c>
      <c r="H10" s="1" t="str">
        <f>IFERROR(__xludf.DUMMYFUNCTION("""COMPUTED_VALUE"""),"isabelrtoro@hotmail.com")</f>
        <v>isabelrtoro@hotmail.com</v>
      </c>
      <c r="I10" s="1" t="str">
        <f>IFERROR(__xludf.DUMMYFUNCTION("""COMPUTED_VALUE"""),"Arquitectura")</f>
        <v>Arquitectura</v>
      </c>
      <c r="J10" s="1" t="str">
        <f>IFERROR(__xludf.DUMMYFUNCTION("""COMPUTED_VALUE"""),"Arquitecturas")</f>
        <v>Arquitecturas</v>
      </c>
      <c r="K10" s="1" t="str">
        <f>IFERROR(__xludf.DUMMYFUNCTION("""COMPUTED_VALUE"""),"Antigua")</f>
        <v>Antigua</v>
      </c>
      <c r="L10" s="1" t="str">
        <f>IFERROR(__xludf.DUMMYFUNCTION("""COMPUTED_VALUE"""),"Admisión Extraordinaria (Traslados)")</f>
        <v>Admisión Extraordinaria (Traslados)</v>
      </c>
      <c r="M10" s="1" t="str">
        <f>IFERROR(__xludf.DUMMYFUNCTION("""COMPUTED_VALUE"""),"Semi-presencial")</f>
        <v>Semi-presencial</v>
      </c>
      <c r="N10" s="1" t="str">
        <f>IFERROR(__xludf.DUMMYFUNCTION("""COMPUTED_VALUE"""),"Diurno")</f>
        <v>Diurno</v>
      </c>
      <c r="O10" s="1" t="str">
        <f>IFERROR(__xludf.DUMMYFUNCTION("""COMPUTED_VALUE"""),"TRASLADO CON CONVA")</f>
        <v>TRASLADO CON CONVA</v>
      </c>
      <c r="P10" s="1" t="str">
        <f>IFERROR(__xludf.DUMMYFUNCTION("""COMPUTED_VALUE"""),"RECA")</f>
        <v>RECA</v>
      </c>
      <c r="Q10" s="1" t="str">
        <f>IFERROR(__xludf.DUMMYFUNCTION("""COMPUTED_VALUE"""),"RECATEGORIZACIÓN")</f>
        <v>RECATEGORIZACIÓN</v>
      </c>
      <c r="R10" s="1" t="str">
        <f>IFERROR(__xludf.DUMMYFUNCTION("""COMPUTED_VALUE"""),"PALANCA 500")</f>
        <v>PALANCA 500</v>
      </c>
      <c r="S10" s="1" t="str">
        <f>IFERROR(__xludf.DUMMYFUNCTION("""COMPUTED_VALUE"""),"FABIOLA")</f>
        <v>FABIOLA</v>
      </c>
      <c r="T10" s="3">
        <f>IFERROR(__xludf.DUMMYFUNCTION("""COMPUTED_VALUE"""),45614.0)</f>
        <v>45614</v>
      </c>
      <c r="U10" s="1" t="str">
        <f>IFERROR(__xludf.DUMMYFUNCTION("""COMPUTED_VALUE"""),"CARGO")</f>
        <v>CARGO</v>
      </c>
      <c r="V10" s="1" t="str">
        <f>IFERROR(__xludf.DUMMYFUNCTION("""COMPUTED_VALUE"""),"PAGO COMPLETO")</f>
        <v>PAGO COMPLETO</v>
      </c>
      <c r="W10" s="4">
        <f>IFERROR(__xludf.DUMMYFUNCTION("""COMPUTED_VALUE"""),0.0)</f>
        <v>0</v>
      </c>
      <c r="X10" s="1" t="str">
        <f>IFERROR(__xludf.DUMMYFUNCTION("""COMPUTED_VALUE"""),"-")</f>
        <v>-</v>
      </c>
      <c r="Y10" s="2">
        <f>IFERROR(__xludf.DUMMYFUNCTION("""COMPUTED_VALUE"""),45614.0)</f>
        <v>45614</v>
      </c>
      <c r="Z10" s="1" t="str">
        <f>IFERROR(__xludf.DUMMYFUNCTION("""COMPUTED_VALUE"""),"PAGO COMPLETO")</f>
        <v>PAGO COMPLETO</v>
      </c>
      <c r="AA10" s="1" t="str">
        <f>IFERROR(__xludf.DUMMYFUNCTION("""COMPUTED_VALUE"""),"1")</f>
        <v>1</v>
      </c>
      <c r="AB10" s="1"/>
      <c r="AC10" s="4">
        <f>IFERROR(__xludf.DUMMYFUNCTION("""COMPUTED_VALUE"""),0.0)</f>
        <v>0</v>
      </c>
      <c r="AD10" s="4">
        <f>IFERROR(__xludf.DUMMYFUNCTION("""COMPUTED_VALUE"""),0.0)</f>
        <v>0</v>
      </c>
      <c r="AE10" s="4">
        <f>IFERROR(__xludf.DUMMYFUNCTION("""COMPUTED_VALUE"""),1350.0)</f>
        <v>1350</v>
      </c>
      <c r="AF10" s="4">
        <f>IFERROR(__xludf.DUMMYFUNCTION("""COMPUTED_VALUE"""),900.0)</f>
        <v>900</v>
      </c>
      <c r="AG10" s="1">
        <f>IFERROR(__xludf.DUMMYFUNCTION("""COMPUTED_VALUE"""),0.0)</f>
        <v>0</v>
      </c>
      <c r="AH10" s="1">
        <f>IFERROR(__xludf.DUMMYFUNCTION("""COMPUTED_VALUE"""),0.0)</f>
        <v>0</v>
      </c>
      <c r="AI10" s="1">
        <f>IFERROR(__xludf.DUMMYFUNCTION("""COMPUTED_VALUE"""),1.0)</f>
        <v>1</v>
      </c>
      <c r="AJ10" s="1">
        <f>IFERROR(__xludf.DUMMYFUNCTION("""COMPUTED_VALUE"""),797415.0)</f>
        <v>797415</v>
      </c>
      <c r="AK10" s="1" t="str">
        <f>IFERROR(__xludf.DUMMYFUNCTION("""COMPUTED_VALUE"""),"Más de 15 kms")</f>
        <v>Más de 15 kms</v>
      </c>
      <c r="AL10" s="1" t="str">
        <f>IFERROR(__xludf.DUMMYFUNCTION("""COMPUTED_VALUE"""),"01 Nacional")</f>
        <v>01 Nacional</v>
      </c>
      <c r="AM10" s="1" t="str">
        <f>IFERROR(__xludf.DUMMYFUNCTION("""COMPUTED_VALUE"""),"Cibertec")</f>
        <v>Cibertec</v>
      </c>
      <c r="AN10" s="1" t="str">
        <f>IFERROR(__xludf.DUMMYFUNCTION("""COMPUTED_VALUE""")," -")</f>
        <v> -</v>
      </c>
      <c r="AO10" s="1">
        <f>IFERROR(__xludf.DUMMYFUNCTION("""COMPUTED_VALUE"""),2019.0)</f>
        <v>2019</v>
      </c>
      <c r="AP10" s="3">
        <f>IFERROR(__xludf.DUMMYFUNCTION("""COMPUTED_VALUE"""),45597.0)</f>
        <v>45597</v>
      </c>
      <c r="AQ10" s="2">
        <f>IFERROR(__xludf.DUMMYFUNCTION("""COMPUTED_VALUE"""),45614.0)</f>
        <v>45614</v>
      </c>
      <c r="AR10" s="2">
        <f>IFERROR(__xludf.DUMMYFUNCTION("""COMPUTED_VALUE"""),45555.0)</f>
        <v>45555</v>
      </c>
      <c r="AS10" s="2">
        <f>IFERROR(__xludf.DUMMYFUNCTION("""COMPUTED_VALUE"""),45536.0)</f>
        <v>45536</v>
      </c>
      <c r="AT10" s="2">
        <f>IFERROR(__xludf.DUMMYFUNCTION("""COMPUTED_VALUE"""),45530.0)</f>
        <v>45530</v>
      </c>
      <c r="AU10" s="1">
        <f>IFERROR(__xludf.DUMMYFUNCTION("""COMPUTED_VALUE"""),59.0)</f>
        <v>59</v>
      </c>
      <c r="AV10" s="1" t="str">
        <f>IFERROR(__xludf.DUMMYFUNCTION("""COMPUTED_VALUE"""),"TRADICIONAL")</f>
        <v>TRADICIONAL</v>
      </c>
      <c r="AW10" s="1" t="str">
        <f>IFERROR(__xludf.DUMMYFUNCTION("""COMPUTED_VALUE"""),"INBOUND")</f>
        <v>INBOUND</v>
      </c>
      <c r="AX10" s="1" t="str">
        <f>IFERROR(__xludf.DUMMYFUNCTION("""COMPUTED_VALUE"""),"INBOUND")</f>
        <v>INBOUND</v>
      </c>
      <c r="AY10" s="1">
        <f>IFERROR(__xludf.DUMMYFUNCTION("""COMPUTED_VALUE"""),1.0)</f>
        <v>1</v>
      </c>
      <c r="AZ10" s="1" t="str">
        <f>IFERROR(__xludf.DUMMYFUNCTION("""COMPUTED_VALUE"""),"Angelica Iparraguirre")</f>
        <v>Angelica Iparraguirre</v>
      </c>
      <c r="BA10" s="5">
        <f>IFERROR(__xludf.DUMMYFUNCTION("""COMPUTED_VALUE"""),1.0)</f>
        <v>1</v>
      </c>
      <c r="BB10" s="6">
        <f>IFERROR(__xludf.DUMMYFUNCTION("""COMPUTED_VALUE"""),820.0)</f>
        <v>820</v>
      </c>
      <c r="BC10" s="1"/>
      <c r="BD10" s="1" t="str">
        <f>IFERROR(__xludf.DUMMYFUNCTION("""COMPUTED_VALUE""")," -")</f>
        <v> -</v>
      </c>
      <c r="BE10" s="1">
        <f>IFERROR(__xludf.DUMMYFUNCTION("""COMPUTED_VALUE"""),1.0)</f>
        <v>1</v>
      </c>
      <c r="BF10" s="1">
        <f>IFERROR(__xludf.DUMMYFUNCTION("""COMPUTED_VALUE"""),0.0)</f>
        <v>0</v>
      </c>
      <c r="BG10" s="1"/>
      <c r="BH10" s="1" t="str">
        <f>IFERROR(__xludf.DUMMYFUNCTION("""COMPUTED_VALUE"""),"No aplica")</f>
        <v>No aplica</v>
      </c>
      <c r="BI10" s="1">
        <f>IFERROR(__xludf.DUMMYFUNCTION("""COMPUTED_VALUE"""),0.0)</f>
        <v>0</v>
      </c>
      <c r="BJ10" s="1" t="str">
        <f>IFERROR(__xludf.DUMMYFUNCTION("""COMPUTED_VALUE"""),"TRASLADO")</f>
        <v>TRASLADO</v>
      </c>
    </row>
    <row r="11">
      <c r="A11" s="1">
        <f>IFERROR(__xludf.DUMMYFUNCTION("""COMPUTED_VALUE"""),10.0)</f>
        <v>10</v>
      </c>
      <c r="B11" s="1">
        <f>IFERROR(__xludf.DUMMYFUNCTION("""COMPUTED_VALUE"""),4837481.0)</f>
        <v>4837481</v>
      </c>
      <c r="C11" s="1" t="str">
        <f>IFERROR(__xludf.DUMMYFUNCTION("""COMPUTED_VALUE"""),"0000402542")</f>
        <v>0000402542</v>
      </c>
      <c r="D11" s="1" t="str">
        <f>IFERROR(__xludf.DUMMYFUNCTION("""COMPUTED_VALUE"""),"YEDA SHARLOTTE")</f>
        <v>YEDA SHARLOTTE</v>
      </c>
      <c r="E11" s="2" t="str">
        <f>IFERROR(__xludf.DUMMYFUNCTION("""COMPUTED_VALUE"""),"GONZALES BELLIDO")</f>
        <v>GONZALES BELLIDO</v>
      </c>
      <c r="F11" s="1">
        <f>IFERROR(__xludf.DUMMYFUNCTION("""COMPUTED_VALUE"""),6.1225508E7)</f>
        <v>61225508</v>
      </c>
      <c r="G11" s="1">
        <f>IFERROR(__xludf.DUMMYFUNCTION("""COMPUTED_VALUE"""),9.02782037E8)</f>
        <v>902782037</v>
      </c>
      <c r="H11" s="1" t="str">
        <f>IFERROR(__xludf.DUMMYFUNCTION("""COMPUTED_VALUE"""),"shxrlotte147@gmail.com")</f>
        <v>shxrlotte147@gmail.com</v>
      </c>
      <c r="I11" s="1" t="str">
        <f>IFERROR(__xludf.DUMMYFUNCTION("""COMPUTED_VALUE"""),"Administración y Marketing")</f>
        <v>Administración y Marketing</v>
      </c>
      <c r="J11" s="1" t="str">
        <f>IFERROR(__xludf.DUMMYFUNCTION("""COMPUTED_VALUE"""),"Negocios")</f>
        <v>Negocios</v>
      </c>
      <c r="K11" s="1" t="str">
        <f>IFERROR(__xludf.DUMMYFUNCTION("""COMPUTED_VALUE"""),"Nueva")</f>
        <v>Nueva</v>
      </c>
      <c r="L11" s="1" t="str">
        <f>IFERROR(__xludf.DUMMYFUNCTION("""COMPUTED_VALUE"""),"Admisión Ordinaria")</f>
        <v>Admisión Ordinaria</v>
      </c>
      <c r="M11" s="1" t="str">
        <f>IFERROR(__xludf.DUMMYFUNCTION("""COMPUTED_VALUE"""),"Semi-presencial")</f>
        <v>Semi-presencial</v>
      </c>
      <c r="N11" s="1" t="str">
        <f>IFERROR(__xludf.DUMMYFUNCTION("""COMPUTED_VALUE"""),"Diurno")</f>
        <v>Diurno</v>
      </c>
      <c r="O11" s="1" t="str">
        <f>IFERROR(__xludf.DUMMYFUNCTION("""COMPUTED_VALUE"""),"NUEVO")</f>
        <v>NUEVO</v>
      </c>
      <c r="P11" s="1" t="str">
        <f>IFERROR(__xludf.DUMMYFUNCTION("""COMPUTED_VALUE"""),"BECA")</f>
        <v>BECA</v>
      </c>
      <c r="Q11" s="1" t="str">
        <f>IFERROR(__xludf.DUMMYFUNCTION("""COMPUTED_VALUE"""),"BECA CARRERAS NUEVAS")</f>
        <v>BECA CARRERAS NUEVAS</v>
      </c>
      <c r="R11" s="1" t="str">
        <f>IFERROR(__xludf.DUMMYFUNCTION("""COMPUTED_VALUE"""),"PALANCA 700")</f>
        <v>PALANCA 700</v>
      </c>
      <c r="S11" s="1" t="str">
        <f>IFERROR(__xludf.DUMMYFUNCTION("""COMPUTED_VALUE"""),"FABIOLA")</f>
        <v>FABIOLA</v>
      </c>
      <c r="T11" s="3">
        <f>IFERROR(__xludf.DUMMYFUNCTION("""COMPUTED_VALUE"""),45627.0)</f>
        <v>45627</v>
      </c>
      <c r="U11" s="1" t="str">
        <f>IFERROR(__xludf.DUMMYFUNCTION("""COMPUTED_VALUE"""),"CARGO")</f>
        <v>CARGO</v>
      </c>
      <c r="V11" s="1" t="str">
        <f>IFERROR(__xludf.DUMMYFUNCTION("""COMPUTED_VALUE"""),"PAGO COMPLETO")</f>
        <v>PAGO COMPLETO</v>
      </c>
      <c r="W11" s="4">
        <f>IFERROR(__xludf.DUMMYFUNCTION("""COMPUTED_VALUE"""),0.0)</f>
        <v>0</v>
      </c>
      <c r="X11" s="1" t="str">
        <f>IFERROR(__xludf.DUMMYFUNCTION("""COMPUTED_VALUE"""),"-")</f>
        <v>-</v>
      </c>
      <c r="Y11" s="2">
        <f>IFERROR(__xludf.DUMMYFUNCTION("""COMPUTED_VALUE"""),45627.0)</f>
        <v>45627</v>
      </c>
      <c r="Z11" s="1" t="str">
        <f>IFERROR(__xludf.DUMMYFUNCTION("""COMPUTED_VALUE"""),"PAGO COMPLETO")</f>
        <v>PAGO COMPLETO</v>
      </c>
      <c r="AA11" s="1" t="str">
        <f>IFERROR(__xludf.DUMMYFUNCTION("""COMPUTED_VALUE"""),"0")</f>
        <v>0</v>
      </c>
      <c r="AB11" s="1"/>
      <c r="AC11" s="4">
        <f>IFERROR(__xludf.DUMMYFUNCTION("""COMPUTED_VALUE"""),0.0)</f>
        <v>0</v>
      </c>
      <c r="AD11" s="4">
        <f>IFERROR(__xludf.DUMMYFUNCTION("""COMPUTED_VALUE"""),0.0)</f>
        <v>0</v>
      </c>
      <c r="AE11" s="4">
        <f>IFERROR(__xludf.DUMMYFUNCTION("""COMPUTED_VALUE"""),1150.0)</f>
        <v>1150</v>
      </c>
      <c r="AF11" s="4">
        <f>IFERROR(__xludf.DUMMYFUNCTION("""COMPUTED_VALUE"""),1050.0)</f>
        <v>1050</v>
      </c>
      <c r="AG11" s="1">
        <f>IFERROR(__xludf.DUMMYFUNCTION("""COMPUTED_VALUE"""),1.0)</f>
        <v>1</v>
      </c>
      <c r="AH11" s="1">
        <f>IFERROR(__xludf.DUMMYFUNCTION("""COMPUTED_VALUE"""),0.0)</f>
        <v>0</v>
      </c>
      <c r="AI11" s="1">
        <f>IFERROR(__xludf.DUMMYFUNCTION("""COMPUTED_VALUE"""),1.0)</f>
        <v>1</v>
      </c>
      <c r="AJ11" s="1">
        <f>IFERROR(__xludf.DUMMYFUNCTION("""COMPUTED_VALUE"""),329755.0)</f>
        <v>329755</v>
      </c>
      <c r="AK11" s="1" t="str">
        <f>IFERROR(__xludf.DUMMYFUNCTION("""COMPUTED_VALUE"""),"10 kms a 15 kms")</f>
        <v>10 kms a 15 kms</v>
      </c>
      <c r="AL11" s="1" t="str">
        <f>IFERROR(__xludf.DUMMYFUNCTION("""COMPUTED_VALUE"""),"01 Nacional")</f>
        <v>01 Nacional</v>
      </c>
      <c r="AM11" s="1" t="str">
        <f>IFERROR(__xludf.DUMMYFUNCTION("""COMPUTED_VALUE"""),"-")</f>
        <v>-</v>
      </c>
      <c r="AN11" s="1" t="str">
        <f>IFERROR(__xludf.DUMMYFUNCTION("""COMPUTED_VALUE""")," -")</f>
        <v> -</v>
      </c>
      <c r="AO11" s="1">
        <f>IFERROR(__xludf.DUMMYFUNCTION("""COMPUTED_VALUE"""),2024.0)</f>
        <v>2024</v>
      </c>
      <c r="AP11" s="3">
        <f>IFERROR(__xludf.DUMMYFUNCTION("""COMPUTED_VALUE"""),45627.0)</f>
        <v>45627</v>
      </c>
      <c r="AQ11" s="2">
        <f>IFERROR(__xludf.DUMMYFUNCTION("""COMPUTED_VALUE"""),45621.0)</f>
        <v>45621</v>
      </c>
      <c r="AR11" s="2">
        <f>IFERROR(__xludf.DUMMYFUNCTION("""COMPUTED_VALUE"""),45627.0)</f>
        <v>45627</v>
      </c>
      <c r="AS11" s="2">
        <f>IFERROR(__xludf.DUMMYFUNCTION("""COMPUTED_VALUE"""),45627.0)</f>
        <v>45627</v>
      </c>
      <c r="AT11" s="2">
        <f>IFERROR(__xludf.DUMMYFUNCTION("""COMPUTED_VALUE"""),45621.0)</f>
        <v>45621</v>
      </c>
      <c r="AU11" s="1">
        <f>IFERROR(__xludf.DUMMYFUNCTION("""COMPUTED_VALUE"""),0.0)</f>
        <v>0</v>
      </c>
      <c r="AV11" s="1" t="str">
        <f>IFERROR(__xludf.DUMMYFUNCTION("""COMPUTED_VALUE"""),"DIGITAL")</f>
        <v>DIGITAL</v>
      </c>
      <c r="AW11" s="1" t="str">
        <f>IFERROR(__xludf.DUMMYFUNCTION("""COMPUTED_VALUE"""),"FORMULARIO")</f>
        <v>FORMULARIO</v>
      </c>
      <c r="AX11" s="1" t="str">
        <f>IFERROR(__xludf.DUMMYFUNCTION("""COMPUTED_VALUE"""),"SEARCH MARCA")</f>
        <v>SEARCH MARCA</v>
      </c>
      <c r="AY11" s="1">
        <f>IFERROR(__xludf.DUMMYFUNCTION("""COMPUTED_VALUE"""),1.0)</f>
        <v>1</v>
      </c>
      <c r="AZ11" s="1" t="str">
        <f>IFERROR(__xludf.DUMMYFUNCTION("""COMPUTED_VALUE"""),"Andrea Araujo Antara")</f>
        <v>Andrea Araujo Antara</v>
      </c>
      <c r="BA11" s="5">
        <f>IFERROR(__xludf.DUMMYFUNCTION("""COMPUTED_VALUE"""),1.0)</f>
        <v>1</v>
      </c>
      <c r="BB11" s="6">
        <f>IFERROR(__xludf.DUMMYFUNCTION("""COMPUTED_VALUE"""),980.0)</f>
        <v>980</v>
      </c>
      <c r="BC11" s="1"/>
      <c r="BD11" s="1" t="str">
        <f>IFERROR(__xludf.DUMMYFUNCTION("""COMPUTED_VALUE""")," -")</f>
        <v> -</v>
      </c>
      <c r="BE11" s="1">
        <f>IFERROR(__xludf.DUMMYFUNCTION("""COMPUTED_VALUE"""),1.0)</f>
        <v>1</v>
      </c>
      <c r="BF11" s="1">
        <f>IFERROR(__xludf.DUMMYFUNCTION("""COMPUTED_VALUE"""),0.0)</f>
        <v>0</v>
      </c>
      <c r="BG11" s="1"/>
      <c r="BH11" s="1" t="str">
        <f>IFERROR(__xludf.DUMMYFUNCTION("""COMPUTED_VALUE"""),"No aplica")</f>
        <v>No aplica</v>
      </c>
      <c r="BI11" s="1">
        <f>IFERROR(__xludf.DUMMYFUNCTION("""COMPUTED_VALUE"""),0.0)</f>
        <v>0</v>
      </c>
      <c r="BJ11" s="1" t="str">
        <f>IFERROR(__xludf.DUMMYFUNCTION("""COMPUTED_VALUE"""),"NUEVO")</f>
        <v>NUEVO</v>
      </c>
    </row>
    <row r="12">
      <c r="A12" s="1">
        <f>IFERROR(__xludf.DUMMYFUNCTION("""COMPUTED_VALUE"""),11.0)</f>
        <v>11</v>
      </c>
      <c r="B12" s="1">
        <f>IFERROR(__xludf.DUMMYFUNCTION("""COMPUTED_VALUE"""),4980066.0)</f>
        <v>4980066</v>
      </c>
      <c r="C12" s="1" t="str">
        <f>IFERROR(__xludf.DUMMYFUNCTION("""COMPUTED_VALUE"""),"0000412005")</f>
        <v>0000412005</v>
      </c>
      <c r="D12" s="1" t="str">
        <f>IFERROR(__xludf.DUMMYFUNCTION("""COMPUTED_VALUE"""),"MALU ITANA")</f>
        <v>MALU ITANA</v>
      </c>
      <c r="E12" s="2" t="str">
        <f>IFERROR(__xludf.DUMMYFUNCTION("""COMPUTED_VALUE"""),"LOLANDES CARBAJAL")</f>
        <v>LOLANDES CARBAJAL</v>
      </c>
      <c r="F12" s="1">
        <f>IFERROR(__xludf.DUMMYFUNCTION("""COMPUTED_VALUE"""),7.7434089E7)</f>
        <v>77434089</v>
      </c>
      <c r="G12" s="1">
        <f>IFERROR(__xludf.DUMMYFUNCTION("""COMPUTED_VALUE"""),9.50501817E8)</f>
        <v>950501817</v>
      </c>
      <c r="H12" s="1" t="str">
        <f>IFERROR(__xludf.DUMMYFUNCTION("""COMPUTED_VALUE"""),"itanalolandes20@gmail.com")</f>
        <v>itanalolandes20@gmail.com</v>
      </c>
      <c r="I12" s="1" t="str">
        <f>IFERROR(__xludf.DUMMYFUNCTION("""COMPUTED_VALUE"""),"Marketing e Innovación")</f>
        <v>Marketing e Innovación</v>
      </c>
      <c r="J12" s="1" t="str">
        <f>IFERROR(__xludf.DUMMYFUNCTION("""COMPUTED_VALUE"""),"Negocios")</f>
        <v>Negocios</v>
      </c>
      <c r="K12" s="1" t="str">
        <f>IFERROR(__xludf.DUMMYFUNCTION("""COMPUTED_VALUE"""),"Nueva")</f>
        <v>Nueva</v>
      </c>
      <c r="L12" s="1" t="str">
        <f>IFERROR(__xludf.DUMMYFUNCTION("""COMPUTED_VALUE"""),"Admisión Extraordinaria (Traslados)")</f>
        <v>Admisión Extraordinaria (Traslados)</v>
      </c>
      <c r="M12" s="1" t="str">
        <f>IFERROR(__xludf.DUMMYFUNCTION("""COMPUTED_VALUE"""),"Semi-presencial")</f>
        <v>Semi-presencial</v>
      </c>
      <c r="N12" s="1" t="str">
        <f>IFERROR(__xludf.DUMMYFUNCTION("""COMPUTED_VALUE"""),"Diurno")</f>
        <v>Diurno</v>
      </c>
      <c r="O12" s="1" t="str">
        <f>IFERROR(__xludf.DUMMYFUNCTION("""COMPUTED_VALUE"""),"TRASLADO SIN CONVA")</f>
        <v>TRASLADO SIN CONVA</v>
      </c>
      <c r="P12" s="1" t="str">
        <f>IFERROR(__xludf.DUMMYFUNCTION("""COMPUTED_VALUE"""),"BECA")</f>
        <v>BECA</v>
      </c>
      <c r="Q12" s="1" t="str">
        <f>IFERROR(__xludf.DUMMYFUNCTION("""COMPUTED_VALUE"""),"BECA CARRERAS CORE-TRASLADOS SIN CONVA")</f>
        <v>BECA CARRERAS CORE-TRASLADOS SIN CONVA</v>
      </c>
      <c r="R12" s="1" t="str">
        <f>IFERROR(__xludf.DUMMYFUNCTION("""COMPUTED_VALUE"""),"NINGUNO")</f>
        <v>NINGUNO</v>
      </c>
      <c r="S12" s="1" t="str">
        <f>IFERROR(__xludf.DUMMYFUNCTION("""COMPUTED_VALUE"""),"FABIOLA")</f>
        <v>FABIOLA</v>
      </c>
      <c r="T12" s="3">
        <f>IFERROR(__xludf.DUMMYFUNCTION("""COMPUTED_VALUE"""),45642.0)</f>
        <v>45642</v>
      </c>
      <c r="U12" s="1" t="str">
        <f>IFERROR(__xludf.DUMMYFUNCTION("""COMPUTED_VALUE"""),"POS")</f>
        <v>POS</v>
      </c>
      <c r="V12" s="1" t="str">
        <f>IFERROR(__xludf.DUMMYFUNCTION("""COMPUTED_VALUE"""),"PAGO FRACCIONADO")</f>
        <v>PAGO FRACCIONADO</v>
      </c>
      <c r="W12" s="4">
        <f>IFERROR(__xludf.DUMMYFUNCTION("""COMPUTED_VALUE"""),0.0)</f>
        <v>0</v>
      </c>
      <c r="X12" s="1" t="str">
        <f>IFERROR(__xludf.DUMMYFUNCTION("""COMPUTED_VALUE"""),"31/12/2024")</f>
        <v>31/12/2024</v>
      </c>
      <c r="Y12" s="2">
        <f>IFERROR(__xludf.DUMMYFUNCTION("""COMPUTED_VALUE"""),45657.0)</f>
        <v>45657</v>
      </c>
      <c r="Z12" s="1" t="str">
        <f>IFERROR(__xludf.DUMMYFUNCTION("""COMPUTED_VALUE"""),"PAGO COMPLETO")</f>
        <v>PAGO COMPLETO</v>
      </c>
      <c r="AA12" s="1" t="str">
        <f>IFERROR(__xludf.DUMMYFUNCTION("""COMPUTED_VALUE"""),"0")</f>
        <v>0</v>
      </c>
      <c r="AB12" s="1"/>
      <c r="AC12" s="4">
        <f>IFERROR(__xludf.DUMMYFUNCTION("""COMPUTED_VALUE"""),0.0)</f>
        <v>0</v>
      </c>
      <c r="AD12" s="4">
        <f>IFERROR(__xludf.DUMMYFUNCTION("""COMPUTED_VALUE"""),0.0)</f>
        <v>0</v>
      </c>
      <c r="AE12" s="4">
        <f>IFERROR(__xludf.DUMMYFUNCTION("""COMPUTED_VALUE"""),1600.0)</f>
        <v>1600</v>
      </c>
      <c r="AF12" s="4">
        <f>IFERROR(__xludf.DUMMYFUNCTION("""COMPUTED_VALUE"""),1200.0)</f>
        <v>1200</v>
      </c>
      <c r="AG12" s="1">
        <f>IFERROR(__xludf.DUMMYFUNCTION("""COMPUTED_VALUE"""),0.0)</f>
        <v>0</v>
      </c>
      <c r="AH12" s="1">
        <f>IFERROR(__xludf.DUMMYFUNCTION("""COMPUTED_VALUE"""),0.0)</f>
        <v>0</v>
      </c>
      <c r="AI12" s="1">
        <f>IFERROR(__xludf.DUMMYFUNCTION("""COMPUTED_VALUE"""),1.0)</f>
        <v>1</v>
      </c>
      <c r="AJ12" s="1">
        <f>IFERROR(__xludf.DUMMYFUNCTION("""COMPUTED_VALUE"""),1731025.0)</f>
        <v>1731025</v>
      </c>
      <c r="AK12" s="1" t="str">
        <f>IFERROR(__xludf.DUMMYFUNCTION("""COMPUTED_VALUE"""),"Más de 15 kms")</f>
        <v>Más de 15 kms</v>
      </c>
      <c r="AL12" s="1" t="str">
        <f>IFERROR(__xludf.DUMMYFUNCTION("""COMPUTED_VALUE"""),"05 301 a 550")</f>
        <v>05 301 a 550</v>
      </c>
      <c r="AM12" s="1" t="str">
        <f>IFERROR(__xludf.DUMMYFUNCTION("""COMPUTED_VALUE"""),"Universidad Peruana De Ciencias Aplicadas(UPC)")</f>
        <v>Universidad Peruana De Ciencias Aplicadas(UPC)</v>
      </c>
      <c r="AN12" s="1" t="str">
        <f>IFERROR(__xludf.DUMMYFUNCTION("""COMPUTED_VALUE""")," -")</f>
        <v> -</v>
      </c>
      <c r="AO12" s="1">
        <f>IFERROR(__xludf.DUMMYFUNCTION("""COMPUTED_VALUE"""),2021.0)</f>
        <v>2021</v>
      </c>
      <c r="AP12" s="3">
        <f>IFERROR(__xludf.DUMMYFUNCTION("""COMPUTED_VALUE"""),45627.0)</f>
        <v>45627</v>
      </c>
      <c r="AQ12" s="2">
        <f>IFERROR(__xludf.DUMMYFUNCTION("""COMPUTED_VALUE"""),45656.0)</f>
        <v>45656</v>
      </c>
      <c r="AR12" s="2">
        <f>IFERROR(__xludf.DUMMYFUNCTION("""COMPUTED_VALUE"""),45642.0)</f>
        <v>45642</v>
      </c>
      <c r="AS12" s="2">
        <f>IFERROR(__xludf.DUMMYFUNCTION("""COMPUTED_VALUE"""),45627.0)</f>
        <v>45627</v>
      </c>
      <c r="AT12" s="2">
        <f>IFERROR(__xludf.DUMMYFUNCTION("""COMPUTED_VALUE"""),45621.0)</f>
        <v>45621</v>
      </c>
      <c r="AU12" s="1">
        <f>IFERROR(__xludf.DUMMYFUNCTION("""COMPUTED_VALUE"""),15.0)</f>
        <v>15</v>
      </c>
      <c r="AV12" s="1" t="str">
        <f>IFERROR(__xludf.DUMMYFUNCTION("""COMPUTED_VALUE"""),"DIGITAL")</f>
        <v>DIGITAL</v>
      </c>
      <c r="AW12" s="1" t="str">
        <f>IFERROR(__xludf.DUMMYFUNCTION("""COMPUTED_VALUE"""),"BIDIRECCIONAL")</f>
        <v>BIDIRECCIONAL</v>
      </c>
      <c r="AX12" s="1" t="str">
        <f>IFERROR(__xludf.DUMMYFUNCTION("""COMPUTED_VALUE"""),"SEARCH MARCA")</f>
        <v>SEARCH MARCA</v>
      </c>
      <c r="AY12" s="1">
        <f>IFERROR(__xludf.DUMMYFUNCTION("""COMPUTED_VALUE"""),1.0)</f>
        <v>1</v>
      </c>
      <c r="AZ12" s="1" t="str">
        <f>IFERROR(__xludf.DUMMYFUNCTION("""COMPUTED_VALUE"""),"Ingrid Guillermo Rivera")</f>
        <v>Ingrid Guillermo Rivera</v>
      </c>
      <c r="BA12" s="5">
        <f>IFERROR(__xludf.DUMMYFUNCTION("""COMPUTED_VALUE"""),1.0)</f>
        <v>1</v>
      </c>
      <c r="BB12" s="6">
        <f>IFERROR(__xludf.DUMMYFUNCTION("""COMPUTED_VALUE"""),1200.0)</f>
        <v>1200</v>
      </c>
      <c r="BC12" s="1"/>
      <c r="BD12" s="1" t="str">
        <f>IFERROR(__xludf.DUMMYFUNCTION("""COMPUTED_VALUE""")," -")</f>
        <v> -</v>
      </c>
      <c r="BE12" s="1">
        <f>IFERROR(__xludf.DUMMYFUNCTION("""COMPUTED_VALUE"""),1.0)</f>
        <v>1</v>
      </c>
      <c r="BF12" s="1">
        <f>IFERROR(__xludf.DUMMYFUNCTION("""COMPUTED_VALUE"""),0.0)</f>
        <v>0</v>
      </c>
      <c r="BG12" s="1"/>
      <c r="BH12" s="1" t="str">
        <f>IFERROR(__xludf.DUMMYFUNCTION("""COMPUTED_VALUE"""),"No aplica")</f>
        <v>No aplica</v>
      </c>
      <c r="BI12" s="1">
        <f>IFERROR(__xludf.DUMMYFUNCTION("""COMPUTED_VALUE"""),0.0)</f>
        <v>0</v>
      </c>
      <c r="BJ12" s="1" t="str">
        <f>IFERROR(__xludf.DUMMYFUNCTION("""COMPUTED_VALUE"""),"NUEVO")</f>
        <v>NUEVO</v>
      </c>
    </row>
    <row r="13">
      <c r="A13" s="1">
        <f>IFERROR(__xludf.DUMMYFUNCTION("""COMPUTED_VALUE"""),12.0)</f>
        <v>12</v>
      </c>
      <c r="B13" s="1">
        <f>IFERROR(__xludf.DUMMYFUNCTION("""COMPUTED_VALUE"""),4868137.0)</f>
        <v>4868137</v>
      </c>
      <c r="C13" s="1" t="str">
        <f>IFERROR(__xludf.DUMMYFUNCTION("""COMPUTED_VALUE"""),"0000404254")</f>
        <v>0000404254</v>
      </c>
      <c r="D13" s="1" t="str">
        <f>IFERROR(__xludf.DUMMYFUNCTION("""COMPUTED_VALUE"""),"ANNE HEYDI REYNA DEL CARMEN")</f>
        <v>ANNE HEYDI REYNA DEL CARMEN</v>
      </c>
      <c r="E13" s="2" t="str">
        <f>IFERROR(__xludf.DUMMYFUNCTION("""COMPUTED_VALUE"""),"GARCIA TITO")</f>
        <v>GARCIA TITO</v>
      </c>
      <c r="F13" s="1">
        <f>IFERROR(__xludf.DUMMYFUNCTION("""COMPUTED_VALUE"""),7.5723508E7)</f>
        <v>75723508</v>
      </c>
      <c r="G13" s="1">
        <f>IFERROR(__xludf.DUMMYFUNCTION("""COMPUTED_VALUE"""),9.92051844E8)</f>
        <v>992051844</v>
      </c>
      <c r="H13" s="1" t="str">
        <f>IFERROR(__xludf.DUMMYFUNCTION("""COMPUTED_VALUE"""),"Anne.garcia1695@gmail.com")</f>
        <v>Anne.garcia1695@gmail.com</v>
      </c>
      <c r="I13" s="1" t="str">
        <f>IFERROR(__xludf.DUMMYFUNCTION("""COMPUTED_VALUE"""),"Psicología")</f>
        <v>Psicología</v>
      </c>
      <c r="J13" s="1" t="str">
        <f>IFERROR(__xludf.DUMMYFUNCTION("""COMPUTED_VALUE"""),"Psicología")</f>
        <v>Psicología</v>
      </c>
      <c r="K13" s="1" t="str">
        <f>IFERROR(__xludf.DUMMYFUNCTION("""COMPUTED_VALUE"""),"Nueva")</f>
        <v>Nueva</v>
      </c>
      <c r="L13" s="1" t="str">
        <f>IFERROR(__xludf.DUMMYFUNCTION("""COMPUTED_VALUE"""),"Admisión Ordinaria")</f>
        <v>Admisión Ordinaria</v>
      </c>
      <c r="M13" s="1" t="str">
        <f>IFERROR(__xludf.DUMMYFUNCTION("""COMPUTED_VALUE"""),"Virtual")</f>
        <v>Virtual</v>
      </c>
      <c r="N13" s="1" t="str">
        <f>IFERROR(__xludf.DUMMYFUNCTION("""COMPUTED_VALUE"""),"Nocturno - A distancia")</f>
        <v>Nocturno - A distancia</v>
      </c>
      <c r="O13" s="1" t="str">
        <f>IFERROR(__xludf.DUMMYFUNCTION("""COMPUTED_VALUE"""),"NUEVO")</f>
        <v>NUEVO</v>
      </c>
      <c r="P13" s="1" t="str">
        <f>IFERROR(__xludf.DUMMYFUNCTION("""COMPUTED_VALUE"""),"ESCALA REGULAR")</f>
        <v>ESCALA REGULAR</v>
      </c>
      <c r="Q13" s="1" t="str">
        <f>IFERROR(__xludf.DUMMYFUNCTION("""COMPUTED_VALUE"""),"ESCALA DISTANCIA REGULAR")</f>
        <v>ESCALA DISTANCIA REGULAR</v>
      </c>
      <c r="R13" s="1" t="str">
        <f>IFERROR(__xludf.DUMMYFUNCTION("""COMPUTED_VALUE"""),"PALANCA 700")</f>
        <v>PALANCA 700</v>
      </c>
      <c r="S13" s="1" t="str">
        <f>IFERROR(__xludf.DUMMYFUNCTION("""COMPUTED_VALUE"""),"FABIOLA")</f>
        <v>FABIOLA</v>
      </c>
      <c r="T13" s="3">
        <f>IFERROR(__xludf.DUMMYFUNCTION("""COMPUTED_VALUE"""),45642.0)</f>
        <v>45642</v>
      </c>
      <c r="U13" s="1" t="str">
        <f>IFERROR(__xludf.DUMMYFUNCTION("""COMPUTED_VALUE"""),"POS")</f>
        <v>POS</v>
      </c>
      <c r="V13" s="1" t="str">
        <f>IFERROR(__xludf.DUMMYFUNCTION("""COMPUTED_VALUE"""),"PAGO COMPLETO")</f>
        <v>PAGO COMPLETO</v>
      </c>
      <c r="W13" s="4">
        <f>IFERROR(__xludf.DUMMYFUNCTION("""COMPUTED_VALUE"""),0.0)</f>
        <v>0</v>
      </c>
      <c r="X13" s="1" t="str">
        <f>IFERROR(__xludf.DUMMYFUNCTION("""COMPUTED_VALUE"""),"-")</f>
        <v>-</v>
      </c>
      <c r="Y13" s="2">
        <f>IFERROR(__xludf.DUMMYFUNCTION("""COMPUTED_VALUE"""),45642.0)</f>
        <v>45642</v>
      </c>
      <c r="Z13" s="1" t="str">
        <f>IFERROR(__xludf.DUMMYFUNCTION("""COMPUTED_VALUE"""),"PAGO COMPLETO")</f>
        <v>PAGO COMPLETO</v>
      </c>
      <c r="AA13" s="1" t="str">
        <f>IFERROR(__xludf.DUMMYFUNCTION("""COMPUTED_VALUE"""),"0")</f>
        <v>0</v>
      </c>
      <c r="AB13" s="1"/>
      <c r="AC13" s="4">
        <f>IFERROR(__xludf.DUMMYFUNCTION("""COMPUTED_VALUE"""),0.0)</f>
        <v>0</v>
      </c>
      <c r="AD13" s="4">
        <f>IFERROR(__xludf.DUMMYFUNCTION("""COMPUTED_VALUE"""),0.0)</f>
        <v>0</v>
      </c>
      <c r="AE13" s="4">
        <f>IFERROR(__xludf.DUMMYFUNCTION("""COMPUTED_VALUE"""),750.0)</f>
        <v>750</v>
      </c>
      <c r="AF13" s="4">
        <f>IFERROR(__xludf.DUMMYFUNCTION("""COMPUTED_VALUE"""),750.0)</f>
        <v>750</v>
      </c>
      <c r="AG13" s="1">
        <f>IFERROR(__xludf.DUMMYFUNCTION("""COMPUTED_VALUE"""),0.0)</f>
        <v>0</v>
      </c>
      <c r="AH13" s="1">
        <f>IFERROR(__xludf.DUMMYFUNCTION("""COMPUTED_VALUE"""),0.0)</f>
        <v>0</v>
      </c>
      <c r="AI13" s="1">
        <f>IFERROR(__xludf.DUMMYFUNCTION("""COMPUTED_VALUE"""),1.0)</f>
        <v>1</v>
      </c>
      <c r="AJ13" s="1">
        <f>IFERROR(__xludf.DUMMYFUNCTION("""COMPUTED_VALUE"""),329326.0)</f>
        <v>329326</v>
      </c>
      <c r="AK13" s="1" t="str">
        <f>IFERROR(__xludf.DUMMYFUNCTION("""COMPUTED_VALUE"""),"10 kms a 15 kms")</f>
        <v>10 kms a 15 kms</v>
      </c>
      <c r="AL13" s="1" t="str">
        <f>IFERROR(__xludf.DUMMYFUNCTION("""COMPUTED_VALUE"""),"01 Nacional")</f>
        <v>01 Nacional</v>
      </c>
      <c r="AM13" s="1" t="str">
        <f>IFERROR(__xludf.DUMMYFUNCTION("""COMPUTED_VALUE"""),"-")</f>
        <v>-</v>
      </c>
      <c r="AN13" s="1" t="str">
        <f>IFERROR(__xludf.DUMMYFUNCTION("""COMPUTED_VALUE""")," -")</f>
        <v> -</v>
      </c>
      <c r="AO13" s="1">
        <f>IFERROR(__xludf.DUMMYFUNCTION("""COMPUTED_VALUE"""),2020.0)</f>
        <v>2020</v>
      </c>
      <c r="AP13" s="3">
        <f>IFERROR(__xludf.DUMMYFUNCTION("""COMPUTED_VALUE"""),45627.0)</f>
        <v>45627</v>
      </c>
      <c r="AQ13" s="2">
        <f>IFERROR(__xludf.DUMMYFUNCTION("""COMPUTED_VALUE"""),45642.0)</f>
        <v>45642</v>
      </c>
      <c r="AR13" s="2">
        <f>IFERROR(__xludf.DUMMYFUNCTION("""COMPUTED_VALUE"""),45636.0)</f>
        <v>45636</v>
      </c>
      <c r="AS13" s="2">
        <f>IFERROR(__xludf.DUMMYFUNCTION("""COMPUTED_VALUE"""),45627.0)</f>
        <v>45627</v>
      </c>
      <c r="AT13" s="2">
        <f>IFERROR(__xludf.DUMMYFUNCTION("""COMPUTED_VALUE"""),45621.0)</f>
        <v>45621</v>
      </c>
      <c r="AU13" s="1">
        <f>IFERROR(__xludf.DUMMYFUNCTION("""COMPUTED_VALUE"""),6.0)</f>
        <v>6</v>
      </c>
      <c r="AV13" s="1" t="str">
        <f>IFERROR(__xludf.DUMMYFUNCTION("""COMPUTED_VALUE"""),"DIGITAL")</f>
        <v>DIGITAL</v>
      </c>
      <c r="AW13" s="1" t="str">
        <f>IFERROR(__xludf.DUMMYFUNCTION("""COMPUTED_VALUE"""),"FORMULARIO")</f>
        <v>FORMULARIO</v>
      </c>
      <c r="AX13" s="1" t="str">
        <f>IFERROR(__xludf.DUMMYFUNCTION("""COMPUTED_VALUE"""),"SEARCH CARRERA")</f>
        <v>SEARCH CARRERA</v>
      </c>
      <c r="AY13" s="1">
        <f>IFERROR(__xludf.DUMMYFUNCTION("""COMPUTED_VALUE"""),1.0)</f>
        <v>1</v>
      </c>
      <c r="AZ13" s="1" t="str">
        <f>IFERROR(__xludf.DUMMYFUNCTION("""COMPUTED_VALUE"""),"Cinthia Mariella Orosco")</f>
        <v>Cinthia Mariella Orosco</v>
      </c>
      <c r="BA13" s="5">
        <f>IFERROR(__xludf.DUMMYFUNCTION("""COMPUTED_VALUE"""),1.0)</f>
        <v>1</v>
      </c>
      <c r="BB13" s="6">
        <f>IFERROR(__xludf.DUMMYFUNCTION("""COMPUTED_VALUE"""),740.0)</f>
        <v>740</v>
      </c>
      <c r="BC13" s="1"/>
      <c r="BD13" s="1" t="str">
        <f>IFERROR(__xludf.DUMMYFUNCTION("""COMPUTED_VALUE""")," -")</f>
        <v> -</v>
      </c>
      <c r="BE13" s="1">
        <f>IFERROR(__xludf.DUMMYFUNCTION("""COMPUTED_VALUE"""),1.0)</f>
        <v>1</v>
      </c>
      <c r="BF13" s="1">
        <f>IFERROR(__xludf.DUMMYFUNCTION("""COMPUTED_VALUE"""),0.0)</f>
        <v>0</v>
      </c>
      <c r="BG13" s="1"/>
      <c r="BH13" s="1" t="str">
        <f>IFERROR(__xludf.DUMMYFUNCTION("""COMPUTED_VALUE"""),"No aplica")</f>
        <v>No aplica</v>
      </c>
      <c r="BI13" s="1">
        <f>IFERROR(__xludf.DUMMYFUNCTION("""COMPUTED_VALUE"""),0.0)</f>
        <v>0</v>
      </c>
      <c r="BJ13" s="1" t="str">
        <f>IFERROR(__xludf.DUMMYFUNCTION("""COMPUTED_VALUE"""),"NUEVO")</f>
        <v>NUEVO</v>
      </c>
    </row>
    <row r="14">
      <c r="A14" s="1">
        <f>IFERROR(__xludf.DUMMYFUNCTION("""COMPUTED_VALUE"""),13.0)</f>
        <v>13</v>
      </c>
      <c r="B14" s="1">
        <f>IFERROR(__xludf.DUMMYFUNCTION("""COMPUTED_VALUE"""),1075933.0)</f>
        <v>1075933</v>
      </c>
      <c r="C14" s="1" t="str">
        <f>IFERROR(__xludf.DUMMYFUNCTION("""COMPUTED_VALUE"""),"2019003302")</f>
        <v>2019003302</v>
      </c>
      <c r="D14" s="1" t="str">
        <f>IFERROR(__xludf.DUMMYFUNCTION("""COMPUTED_VALUE"""),"ANA SOFIA")</f>
        <v>ANA SOFIA</v>
      </c>
      <c r="E14" s="2" t="str">
        <f>IFERROR(__xludf.DUMMYFUNCTION("""COMPUTED_VALUE"""),"CARPIO ORTEGA DIAZ")</f>
        <v>CARPIO ORTEGA DIAZ</v>
      </c>
      <c r="F14" s="1">
        <f>IFERROR(__xludf.DUMMYFUNCTION("""COMPUTED_VALUE"""),7.6926846E7)</f>
        <v>76926846</v>
      </c>
      <c r="G14" s="1">
        <f>IFERROR(__xludf.DUMMYFUNCTION("""COMPUTED_VALUE"""),9.34582018E8)</f>
        <v>934582018</v>
      </c>
      <c r="H14" s="1" t="str">
        <f>IFERROR(__xludf.DUMMYFUNCTION("""COMPUTED_VALUE"""),"asofia2912@gmail.com")</f>
        <v>asofia2912@gmail.com</v>
      </c>
      <c r="I14" s="1" t="str">
        <f>IFERROR(__xludf.DUMMYFUNCTION("""COMPUTED_VALUE"""),"Comunicación Audiovisual y Cine")</f>
        <v>Comunicación Audiovisual y Cine</v>
      </c>
      <c r="J14" s="1" t="str">
        <f>IFERROR(__xludf.DUMMYFUNCTION("""COMPUTED_VALUE"""),"Comunicaciones")</f>
        <v>Comunicaciones</v>
      </c>
      <c r="K14" s="1" t="str">
        <f>IFERROR(__xludf.DUMMYFUNCTION("""COMPUTED_VALUE"""),"Antigua")</f>
        <v>Antigua</v>
      </c>
      <c r="L14" s="1" t="str">
        <f>IFERROR(__xludf.DUMMYFUNCTION("""COMPUTED_VALUE"""),"Admisión Extraordinaria (Traslados)")</f>
        <v>Admisión Extraordinaria (Traslados)</v>
      </c>
      <c r="M14" s="1" t="str">
        <f>IFERROR(__xludf.DUMMYFUNCTION("""COMPUTED_VALUE"""),"Semi-presencial")</f>
        <v>Semi-presencial</v>
      </c>
      <c r="N14" s="1" t="str">
        <f>IFERROR(__xludf.DUMMYFUNCTION("""COMPUTED_VALUE"""),"Diurno")</f>
        <v>Diurno</v>
      </c>
      <c r="O14" s="1" t="str">
        <f>IFERROR(__xludf.DUMMYFUNCTION("""COMPUTED_VALUE"""),"TRASLADO CON CONVA")</f>
        <v>TRASLADO CON CONVA</v>
      </c>
      <c r="P14" s="1" t="str">
        <f>IFERROR(__xludf.DUMMYFUNCTION("""COMPUTED_VALUE"""),"RECA")</f>
        <v>RECA</v>
      </c>
      <c r="Q14" s="1" t="str">
        <f>IFERROR(__xludf.DUMMYFUNCTION("""COMPUTED_VALUE"""),"RECA TRASLADO CON CONVA")</f>
        <v>RECA TRASLADO CON CONVA</v>
      </c>
      <c r="R14" s="1" t="str">
        <f>IFERROR(__xludf.DUMMYFUNCTION("""COMPUTED_VALUE"""),"NINGUNO")</f>
        <v>NINGUNO</v>
      </c>
      <c r="S14" s="1" t="str">
        <f>IFERROR(__xludf.DUMMYFUNCTION("""COMPUTED_VALUE"""),"FABIOLA")</f>
        <v>FABIOLA</v>
      </c>
      <c r="T14" s="3">
        <f>IFERROR(__xludf.DUMMYFUNCTION("""COMPUTED_VALUE"""),45646.0)</f>
        <v>45646</v>
      </c>
      <c r="U14" s="1" t="str">
        <f>IFERROR(__xludf.DUMMYFUNCTION("""COMPUTED_VALUE"""),"Pago Link")</f>
        <v>Pago Link</v>
      </c>
      <c r="V14" s="1" t="str">
        <f>IFERROR(__xludf.DUMMYFUNCTION("""COMPUTED_VALUE"""),"PAGO FRACCIONADO")</f>
        <v>PAGO FRACCIONADO</v>
      </c>
      <c r="W14" s="4">
        <f>IFERROR(__xludf.DUMMYFUNCTION("""COMPUTED_VALUE"""),0.0)</f>
        <v>0</v>
      </c>
      <c r="X14" s="1" t="str">
        <f>IFERROR(__xludf.DUMMYFUNCTION("""COMPUTED_VALUE"""),"29/12/2024")</f>
        <v>29/12/2024</v>
      </c>
      <c r="Y14" s="2">
        <f>IFERROR(__xludf.DUMMYFUNCTION("""COMPUTED_VALUE"""),45655.0)</f>
        <v>45655</v>
      </c>
      <c r="Z14" s="1" t="str">
        <f>IFERROR(__xludf.DUMMYFUNCTION("""COMPUTED_VALUE"""),"PAGO COMPLETO")</f>
        <v>PAGO COMPLETO</v>
      </c>
      <c r="AA14" s="1" t="str">
        <f>IFERROR(__xludf.DUMMYFUNCTION("""COMPUTED_VALUE"""),"1")</f>
        <v>1</v>
      </c>
      <c r="AB14" s="1"/>
      <c r="AC14" s="4">
        <f>IFERROR(__xludf.DUMMYFUNCTION("""COMPUTED_VALUE"""),0.0)</f>
        <v>0</v>
      </c>
      <c r="AD14" s="4">
        <f>IFERROR(__xludf.DUMMYFUNCTION("""COMPUTED_VALUE"""),0.0)</f>
        <v>0</v>
      </c>
      <c r="AE14" s="4">
        <f>IFERROR(__xludf.DUMMYFUNCTION("""COMPUTED_VALUE"""),1600.0)</f>
        <v>1600</v>
      </c>
      <c r="AF14" s="4">
        <f>IFERROR(__xludf.DUMMYFUNCTION("""COMPUTED_VALUE"""),1280.0)</f>
        <v>1280</v>
      </c>
      <c r="AG14" s="1">
        <f>IFERROR(__xludf.DUMMYFUNCTION("""COMPUTED_VALUE"""),0.0)</f>
        <v>0</v>
      </c>
      <c r="AH14" s="1">
        <f>IFERROR(__xludf.DUMMYFUNCTION("""COMPUTED_VALUE"""),0.0)</f>
        <v>0</v>
      </c>
      <c r="AI14" s="1">
        <f>IFERROR(__xludf.DUMMYFUNCTION("""COMPUTED_VALUE"""),1.0)</f>
        <v>1</v>
      </c>
      <c r="AJ14" s="1">
        <f>IFERROR(__xludf.DUMMYFUNCTION("""COMPUTED_VALUE"""),1511906.0)</f>
        <v>1511906</v>
      </c>
      <c r="AK14" s="1" t="str">
        <f>IFERROR(__xludf.DUMMYFUNCTION("""COMPUTED_VALUE"""),"5kms a 10 kms")</f>
        <v>5kms a 10 kms</v>
      </c>
      <c r="AL14" s="1" t="str">
        <f>IFERROR(__xludf.DUMMYFUNCTION("""COMPUTED_VALUE"""),"14 2,701 a 3,180")</f>
        <v>14 2,701 a 3,180</v>
      </c>
      <c r="AM14" s="1" t="str">
        <f>IFERROR(__xludf.DUMMYFUNCTION("""COMPUTED_VALUE"""),"Universidad Peruana De Ciencias Aplicadas(UPC)")</f>
        <v>Universidad Peruana De Ciencias Aplicadas(UPC)</v>
      </c>
      <c r="AN14" s="1" t="str">
        <f>IFERROR(__xludf.DUMMYFUNCTION("""COMPUTED_VALUE""")," -")</f>
        <v> -</v>
      </c>
      <c r="AO14" s="1">
        <f>IFERROR(__xludf.DUMMYFUNCTION("""COMPUTED_VALUE"""),2020.0)</f>
        <v>2020</v>
      </c>
      <c r="AP14" s="3">
        <f>IFERROR(__xludf.DUMMYFUNCTION("""COMPUTED_VALUE"""),45627.0)</f>
        <v>45627</v>
      </c>
      <c r="AQ14" s="2">
        <f>IFERROR(__xludf.DUMMYFUNCTION("""COMPUTED_VALUE"""),45649.0)</f>
        <v>45649</v>
      </c>
      <c r="AR14" s="2">
        <f>IFERROR(__xludf.DUMMYFUNCTION("""COMPUTED_VALUE"""),45644.0)</f>
        <v>45644</v>
      </c>
      <c r="AS14" s="2">
        <f>IFERROR(__xludf.DUMMYFUNCTION("""COMPUTED_VALUE"""),45627.0)</f>
        <v>45627</v>
      </c>
      <c r="AT14" s="2">
        <f>IFERROR(__xludf.DUMMYFUNCTION("""COMPUTED_VALUE"""),45621.0)</f>
        <v>45621</v>
      </c>
      <c r="AU14" s="1">
        <f>IFERROR(__xludf.DUMMYFUNCTION("""COMPUTED_VALUE"""),11.0)</f>
        <v>11</v>
      </c>
      <c r="AV14" s="1" t="str">
        <f>IFERROR(__xludf.DUMMYFUNCTION("""COMPUTED_VALUE"""),"DIGITAL")</f>
        <v>DIGITAL</v>
      </c>
      <c r="AW14" s="1" t="str">
        <f>IFERROR(__xludf.DUMMYFUNCTION("""COMPUTED_VALUE"""),"BIDIRECCIONAL")</f>
        <v>BIDIRECCIONAL</v>
      </c>
      <c r="AX14" s="1" t="str">
        <f>IFERROR(__xludf.DUMMYFUNCTION("""COMPUTED_VALUE"""),"ORGANICO")</f>
        <v>ORGANICO</v>
      </c>
      <c r="AY14" s="1">
        <f>IFERROR(__xludf.DUMMYFUNCTION("""COMPUTED_VALUE"""),1.0)</f>
        <v>1</v>
      </c>
      <c r="AZ14" s="1" t="str">
        <f>IFERROR(__xludf.DUMMYFUNCTION("""COMPUTED_VALUE"""),"Rosa Ugarte")</f>
        <v>Rosa Ugarte</v>
      </c>
      <c r="BA14" s="5">
        <f>IFERROR(__xludf.DUMMYFUNCTION("""COMPUTED_VALUE"""),1.0)</f>
        <v>1</v>
      </c>
      <c r="BB14" s="6">
        <f>IFERROR(__xludf.DUMMYFUNCTION("""COMPUTED_VALUE"""),1280.0)</f>
        <v>1280</v>
      </c>
      <c r="BC14" s="1"/>
      <c r="BD14" s="1" t="str">
        <f>IFERROR(__xludf.DUMMYFUNCTION("""COMPUTED_VALUE""")," -")</f>
        <v> -</v>
      </c>
      <c r="BE14" s="1">
        <f>IFERROR(__xludf.DUMMYFUNCTION("""COMPUTED_VALUE"""),1.0)</f>
        <v>1</v>
      </c>
      <c r="BF14" s="1">
        <f>IFERROR(__xludf.DUMMYFUNCTION("""COMPUTED_VALUE"""),0.0)</f>
        <v>0</v>
      </c>
      <c r="BG14" s="1"/>
      <c r="BH14" s="1" t="str">
        <f>IFERROR(__xludf.DUMMYFUNCTION("""COMPUTED_VALUE"""),"No aplica")</f>
        <v>No aplica</v>
      </c>
      <c r="BI14" s="1">
        <f>IFERROR(__xludf.DUMMYFUNCTION("""COMPUTED_VALUE"""),0.0)</f>
        <v>0</v>
      </c>
      <c r="BJ14" s="1" t="str">
        <f>IFERROR(__xludf.DUMMYFUNCTION("""COMPUTED_VALUE"""),"TRASLADO")</f>
        <v>TRASLADO</v>
      </c>
    </row>
    <row r="15">
      <c r="A15" s="1">
        <f>IFERROR(__xludf.DUMMYFUNCTION("""COMPUTED_VALUE"""),14.0)</f>
        <v>14</v>
      </c>
      <c r="B15" s="1">
        <f>IFERROR(__xludf.DUMMYFUNCTION("""COMPUTED_VALUE"""),1423223.0)</f>
        <v>1423223</v>
      </c>
      <c r="C15" s="1" t="str">
        <f>IFERROR(__xludf.DUMMYFUNCTION("""COMPUTED_VALUE"""),"0000017308")</f>
        <v>0000017308</v>
      </c>
      <c r="D15" s="1" t="str">
        <f>IFERROR(__xludf.DUMMYFUNCTION("""COMPUTED_VALUE"""),"KAREN VERUSTKHA")</f>
        <v>KAREN VERUSTKHA</v>
      </c>
      <c r="E15" s="2" t="str">
        <f>IFERROR(__xludf.DUMMYFUNCTION("""COMPUTED_VALUE"""),"OCHOA SALAZAR")</f>
        <v>OCHOA SALAZAR</v>
      </c>
      <c r="F15" s="1">
        <f>IFERROR(__xludf.DUMMYFUNCTION("""COMPUTED_VALUE"""),7.8462273E7)</f>
        <v>78462273</v>
      </c>
      <c r="G15" s="1">
        <f>IFERROR(__xludf.DUMMYFUNCTION("""COMPUTED_VALUE"""),9.5368067E8)</f>
        <v>953680670</v>
      </c>
      <c r="H15" s="1" t="str">
        <f>IFERROR(__xludf.DUMMYFUNCTION("""COMPUTED_VALUE"""),"Verustkha.4@gmail.com")</f>
        <v>Verustkha.4@gmail.com</v>
      </c>
      <c r="I15" s="1" t="str">
        <f>IFERROR(__xludf.DUMMYFUNCTION("""COMPUTED_VALUE"""),"Diseño Gráfico Publicitario")</f>
        <v>Diseño Gráfico Publicitario</v>
      </c>
      <c r="J15" s="1" t="str">
        <f>IFERROR(__xludf.DUMMYFUNCTION("""COMPUTED_VALUE"""),"Diseño")</f>
        <v>Diseño</v>
      </c>
      <c r="K15" s="1" t="str">
        <f>IFERROR(__xludf.DUMMYFUNCTION("""COMPUTED_VALUE"""),"Antigua")</f>
        <v>Antigua</v>
      </c>
      <c r="L15" s="1" t="str">
        <f>IFERROR(__xludf.DUMMYFUNCTION("""COMPUTED_VALUE"""),"Admisión Extraordinaria (Traslados)")</f>
        <v>Admisión Extraordinaria (Traslados)</v>
      </c>
      <c r="M15" s="1" t="str">
        <f>IFERROR(__xludf.DUMMYFUNCTION("""COMPUTED_VALUE"""),"Semi-presencial")</f>
        <v>Semi-presencial</v>
      </c>
      <c r="N15" s="1" t="str">
        <f>IFERROR(__xludf.DUMMYFUNCTION("""COMPUTED_VALUE"""),"Diurno")</f>
        <v>Diurno</v>
      </c>
      <c r="O15" s="1" t="str">
        <f>IFERROR(__xludf.DUMMYFUNCTION("""COMPUTED_VALUE"""),"TRASLADO CON CONVA")</f>
        <v>TRASLADO CON CONVA</v>
      </c>
      <c r="P15" s="1" t="str">
        <f>IFERROR(__xludf.DUMMYFUNCTION("""COMPUTED_VALUE"""),"RECA")</f>
        <v>RECA</v>
      </c>
      <c r="Q15" s="1" t="str">
        <f>IFERROR(__xludf.DUMMYFUNCTION("""COMPUTED_VALUE"""),"RECA TRASLADO CON CONVA")</f>
        <v>RECA TRASLADO CON CONVA</v>
      </c>
      <c r="R15" s="1" t="str">
        <f>IFERROR(__xludf.DUMMYFUNCTION("""COMPUTED_VALUE"""),"NINGUNO")</f>
        <v>NINGUNO</v>
      </c>
      <c r="S15" s="1" t="str">
        <f>IFERROR(__xludf.DUMMYFUNCTION("""COMPUTED_VALUE"""),"FABIOLA")</f>
        <v>FABIOLA</v>
      </c>
      <c r="T15" s="3">
        <f>IFERROR(__xludf.DUMMYFUNCTION("""COMPUTED_VALUE"""),45665.0)</f>
        <v>45665</v>
      </c>
      <c r="U15" s="1" t="str">
        <f>IFERROR(__xludf.DUMMYFUNCTION("""COMPUTED_VALUE"""),"Pago Link")</f>
        <v>Pago Link</v>
      </c>
      <c r="V15" s="1" t="str">
        <f>IFERROR(__xludf.DUMMYFUNCTION("""COMPUTED_VALUE"""),"PAGO COMPLETO")</f>
        <v>PAGO COMPLETO</v>
      </c>
      <c r="W15" s="4">
        <f>IFERROR(__xludf.DUMMYFUNCTION("""COMPUTED_VALUE"""),0.0)</f>
        <v>0</v>
      </c>
      <c r="X15" s="1" t="str">
        <f>IFERROR(__xludf.DUMMYFUNCTION("""COMPUTED_VALUE"""),"-")</f>
        <v>-</v>
      </c>
      <c r="Y15" s="2">
        <f>IFERROR(__xludf.DUMMYFUNCTION("""COMPUTED_VALUE"""),45665.0)</f>
        <v>45665</v>
      </c>
      <c r="Z15" s="1" t="str">
        <f>IFERROR(__xludf.DUMMYFUNCTION("""COMPUTED_VALUE"""),"PAGO COMPLETO")</f>
        <v>PAGO COMPLETO</v>
      </c>
      <c r="AA15" s="1" t="str">
        <f>IFERROR(__xludf.DUMMYFUNCTION("""COMPUTED_VALUE"""),"0")</f>
        <v>0</v>
      </c>
      <c r="AB15" s="1"/>
      <c r="AC15" s="4">
        <f>IFERROR(__xludf.DUMMYFUNCTION("""COMPUTED_VALUE"""),0.0)</f>
        <v>0</v>
      </c>
      <c r="AD15" s="4">
        <f>IFERROR(__xludf.DUMMYFUNCTION("""COMPUTED_VALUE"""),0.0)</f>
        <v>0</v>
      </c>
      <c r="AE15" s="4">
        <f>IFERROR(__xludf.DUMMYFUNCTION("""COMPUTED_VALUE"""),950.0)</f>
        <v>950</v>
      </c>
      <c r="AF15" s="4">
        <f>IFERROR(__xludf.DUMMYFUNCTION("""COMPUTED_VALUE"""),700.0)</f>
        <v>700</v>
      </c>
      <c r="AG15" s="1">
        <f>IFERROR(__xludf.DUMMYFUNCTION("""COMPUTED_VALUE"""),1.0)</f>
        <v>1</v>
      </c>
      <c r="AH15" s="1">
        <f>IFERROR(__xludf.DUMMYFUNCTION("""COMPUTED_VALUE"""),1.0)</f>
        <v>1</v>
      </c>
      <c r="AI15" s="1">
        <f>IFERROR(__xludf.DUMMYFUNCTION("""COMPUTED_VALUE"""),1.0)</f>
        <v>1</v>
      </c>
      <c r="AJ15" s="1">
        <f>IFERROR(__xludf.DUMMYFUNCTION("""COMPUTED_VALUE"""),581876.0)</f>
        <v>581876</v>
      </c>
      <c r="AK15" s="1" t="str">
        <f>IFERROR(__xludf.DUMMYFUNCTION("""COMPUTED_VALUE"""),"Más de 15 kms")</f>
        <v>Más de 15 kms</v>
      </c>
      <c r="AL15" s="1" t="str">
        <f>IFERROR(__xludf.DUMMYFUNCTION("""COMPUTED_VALUE"""),"01 Nacional")</f>
        <v>01 Nacional</v>
      </c>
      <c r="AM15" s="1" t="str">
        <f>IFERROR(__xludf.DUMMYFUNCTION("""COMPUTED_VALUE"""),"ISIL")</f>
        <v>ISIL</v>
      </c>
      <c r="AN15" s="1" t="str">
        <f>IFERROR(__xludf.DUMMYFUNCTION("""COMPUTED_VALUE""")," -")</f>
        <v> -</v>
      </c>
      <c r="AO15" s="1">
        <f>IFERROR(__xludf.DUMMYFUNCTION("""COMPUTED_VALUE"""),2020.0)</f>
        <v>2020</v>
      </c>
      <c r="AP15" s="3">
        <f>IFERROR(__xludf.DUMMYFUNCTION("""COMPUTED_VALUE"""),45658.0)</f>
        <v>45658</v>
      </c>
      <c r="AQ15" s="2">
        <f>IFERROR(__xludf.DUMMYFUNCTION("""COMPUTED_VALUE"""),45663.0)</f>
        <v>45663</v>
      </c>
      <c r="AR15" s="2">
        <f>IFERROR(__xludf.DUMMYFUNCTION("""COMPUTED_VALUE"""),45582.0)</f>
        <v>45582</v>
      </c>
      <c r="AS15" s="2">
        <f>IFERROR(__xludf.DUMMYFUNCTION("""COMPUTED_VALUE"""),45566.0)</f>
        <v>45566</v>
      </c>
      <c r="AT15" s="2">
        <f>IFERROR(__xludf.DUMMYFUNCTION("""COMPUTED_VALUE"""),45565.0)</f>
        <v>45565</v>
      </c>
      <c r="AU15" s="1">
        <f>IFERROR(__xludf.DUMMYFUNCTION("""COMPUTED_VALUE"""),83.0)</f>
        <v>83</v>
      </c>
      <c r="AV15" s="1" t="str">
        <f>IFERROR(__xludf.DUMMYFUNCTION("""COMPUTED_VALUE"""),"DIGITAL")</f>
        <v>DIGITAL</v>
      </c>
      <c r="AW15" s="1" t="str">
        <f>IFERROR(__xludf.DUMMYFUNCTION("""COMPUTED_VALUE"""),"BIDIRECCIONAL")</f>
        <v>BIDIRECCIONAL</v>
      </c>
      <c r="AX15" s="1" t="str">
        <f>IFERROR(__xludf.DUMMYFUNCTION("""COMPUTED_VALUE"""),"SEARCH CARRERA")</f>
        <v>SEARCH CARRERA</v>
      </c>
      <c r="AY15" s="1">
        <f>IFERROR(__xludf.DUMMYFUNCTION("""COMPUTED_VALUE"""),1.0)</f>
        <v>1</v>
      </c>
      <c r="AZ15" s="1" t="str">
        <f>IFERROR(__xludf.DUMMYFUNCTION("""COMPUTED_VALUE"""),"Cinthia Mariella Orosco")</f>
        <v>Cinthia Mariella Orosco</v>
      </c>
      <c r="BA15" s="5">
        <f>IFERROR(__xludf.DUMMYFUNCTION("""COMPUTED_VALUE"""),1.0)</f>
        <v>1</v>
      </c>
      <c r="BB15" s="6">
        <f>IFERROR(__xludf.DUMMYFUNCTION("""COMPUTED_VALUE"""),700.0)</f>
        <v>700</v>
      </c>
      <c r="BC15" s="1"/>
      <c r="BD15" s="1" t="str">
        <f>IFERROR(__xludf.DUMMYFUNCTION("""COMPUTED_VALUE""")," -")</f>
        <v> -</v>
      </c>
      <c r="BE15" s="1">
        <f>IFERROR(__xludf.DUMMYFUNCTION("""COMPUTED_VALUE"""),1.0)</f>
        <v>1</v>
      </c>
      <c r="BF15" s="1">
        <f>IFERROR(__xludf.DUMMYFUNCTION("""COMPUTED_VALUE"""),0.0)</f>
        <v>0</v>
      </c>
      <c r="BG15" s="1"/>
      <c r="BH15" s="1" t="str">
        <f>IFERROR(__xludf.DUMMYFUNCTION("""COMPUTED_VALUE"""),"No aplica")</f>
        <v>No aplica</v>
      </c>
      <c r="BI15" s="1">
        <f>IFERROR(__xludf.DUMMYFUNCTION("""COMPUTED_VALUE"""),0.0)</f>
        <v>0</v>
      </c>
      <c r="BJ15" s="1" t="str">
        <f>IFERROR(__xludf.DUMMYFUNCTION("""COMPUTED_VALUE"""),"TRASLADO")</f>
        <v>TRASLADO</v>
      </c>
    </row>
    <row r="16">
      <c r="A16" s="1">
        <f>IFERROR(__xludf.DUMMYFUNCTION("""COMPUTED_VALUE"""),15.0)</f>
        <v>15</v>
      </c>
      <c r="B16" s="1">
        <f>IFERROR(__xludf.DUMMYFUNCTION("""COMPUTED_VALUE"""),4714298.0)</f>
        <v>4714298</v>
      </c>
      <c r="C16" s="1" t="str">
        <f>IFERROR(__xludf.DUMMYFUNCTION("""COMPUTED_VALUE"""),"0000408298")</f>
        <v>0000408298</v>
      </c>
      <c r="D16" s="1" t="str">
        <f>IFERROR(__xludf.DUMMYFUNCTION("""COMPUTED_VALUE"""),"ARIANA")</f>
        <v>ARIANA</v>
      </c>
      <c r="E16" s="2" t="str">
        <f>IFERROR(__xludf.DUMMYFUNCTION("""COMPUTED_VALUE"""),"ALEGRIA SALAZAR")</f>
        <v>ALEGRIA SALAZAR</v>
      </c>
      <c r="F16" s="1">
        <f>IFERROR(__xludf.DUMMYFUNCTION("""COMPUTED_VALUE"""),7.4891778E7)</f>
        <v>74891778</v>
      </c>
      <c r="G16" s="1">
        <f>IFERROR(__xludf.DUMMYFUNCTION("""COMPUTED_VALUE"""),9.5393538E8)</f>
        <v>953935380</v>
      </c>
      <c r="H16" s="1" t="str">
        <f>IFERROR(__xludf.DUMMYFUNCTION("""COMPUTED_VALUE"""),"alegriasalazarariana736@gmail.com")</f>
        <v>alegriasalazarariana736@gmail.com</v>
      </c>
      <c r="I16" s="1" t="str">
        <f>IFERROR(__xludf.DUMMYFUNCTION("""COMPUTED_VALUE"""),"Diseño Gráfico Publicitario")</f>
        <v>Diseño Gráfico Publicitario</v>
      </c>
      <c r="J16" s="1" t="str">
        <f>IFERROR(__xludf.DUMMYFUNCTION("""COMPUTED_VALUE"""),"Diseño")</f>
        <v>Diseño</v>
      </c>
      <c r="K16" s="1" t="str">
        <f>IFERROR(__xludf.DUMMYFUNCTION("""COMPUTED_VALUE"""),"Antigua")</f>
        <v>Antigua</v>
      </c>
      <c r="L16" s="1" t="str">
        <f>IFERROR(__xludf.DUMMYFUNCTION("""COMPUTED_VALUE"""),"Admisión Ordinaria")</f>
        <v>Admisión Ordinaria</v>
      </c>
      <c r="M16" s="1" t="str">
        <f>IFERROR(__xludf.DUMMYFUNCTION("""COMPUTED_VALUE"""),"Semi-presencial")</f>
        <v>Semi-presencial</v>
      </c>
      <c r="N16" s="1" t="str">
        <f>IFERROR(__xludf.DUMMYFUNCTION("""COMPUTED_VALUE"""),"Diurno")</f>
        <v>Diurno</v>
      </c>
      <c r="O16" s="1" t="str">
        <f>IFERROR(__xludf.DUMMYFUNCTION("""COMPUTED_VALUE"""),"NUEVO")</f>
        <v>NUEVO</v>
      </c>
      <c r="P16" s="1" t="str">
        <f>IFERROR(__xludf.DUMMYFUNCTION("""COMPUTED_VALUE"""),"BECA")</f>
        <v>BECA</v>
      </c>
      <c r="Q16" s="1" t="str">
        <f>IFERROR(__xludf.DUMMYFUNCTION("""COMPUTED_VALUE"""),"BECA CONGELADA DE 2 AÑOS")</f>
        <v>BECA CONGELADA DE 2 AÑOS</v>
      </c>
      <c r="R16" s="1" t="str">
        <f>IFERROR(__xludf.DUMMYFUNCTION("""COMPUTED_VALUE"""),"PALANCA 700")</f>
        <v>PALANCA 700</v>
      </c>
      <c r="S16" s="1" t="str">
        <f>IFERROR(__xludf.DUMMYFUNCTION("""COMPUTED_VALUE"""),"FABIOLA")</f>
        <v>FABIOLA</v>
      </c>
      <c r="T16" s="3">
        <f>IFERROR(__xludf.DUMMYFUNCTION("""COMPUTED_VALUE"""),45666.0)</f>
        <v>45666</v>
      </c>
      <c r="U16" s="1" t="str">
        <f>IFERROR(__xludf.DUMMYFUNCTION("""COMPUTED_VALUE"""),"CARGO")</f>
        <v>CARGO</v>
      </c>
      <c r="V16" s="1" t="str">
        <f>IFERROR(__xludf.DUMMYFUNCTION("""COMPUTED_VALUE"""),"PAGO COMPLETO")</f>
        <v>PAGO COMPLETO</v>
      </c>
      <c r="W16" s="4">
        <f>IFERROR(__xludf.DUMMYFUNCTION("""COMPUTED_VALUE"""),0.0)</f>
        <v>0</v>
      </c>
      <c r="X16" s="1" t="str">
        <f>IFERROR(__xludf.DUMMYFUNCTION("""COMPUTED_VALUE"""),"-")</f>
        <v>-</v>
      </c>
      <c r="Y16" s="2">
        <f>IFERROR(__xludf.DUMMYFUNCTION("""COMPUTED_VALUE"""),45666.0)</f>
        <v>45666</v>
      </c>
      <c r="Z16" s="1" t="str">
        <f>IFERROR(__xludf.DUMMYFUNCTION("""COMPUTED_VALUE"""),"PAGO COMPLETO")</f>
        <v>PAGO COMPLETO</v>
      </c>
      <c r="AA16" s="1" t="str">
        <f>IFERROR(__xludf.DUMMYFUNCTION("""COMPUTED_VALUE"""),"0")</f>
        <v>0</v>
      </c>
      <c r="AB16" s="1"/>
      <c r="AC16" s="4">
        <f>IFERROR(__xludf.DUMMYFUNCTION("""COMPUTED_VALUE"""),0.0)</f>
        <v>0</v>
      </c>
      <c r="AD16" s="4">
        <f>IFERROR(__xludf.DUMMYFUNCTION("""COMPUTED_VALUE"""),0.0)</f>
        <v>0</v>
      </c>
      <c r="AE16" s="4">
        <f>IFERROR(__xludf.DUMMYFUNCTION("""COMPUTED_VALUE"""),1150.0)</f>
        <v>1150</v>
      </c>
      <c r="AF16" s="4">
        <f>IFERROR(__xludf.DUMMYFUNCTION("""COMPUTED_VALUE"""),850.0)</f>
        <v>850</v>
      </c>
      <c r="AG16" s="1">
        <f>IFERROR(__xludf.DUMMYFUNCTION("""COMPUTED_VALUE"""),0.0)</f>
        <v>0</v>
      </c>
      <c r="AH16" s="1">
        <f>IFERROR(__xludf.DUMMYFUNCTION("""COMPUTED_VALUE"""),0.0)</f>
        <v>0</v>
      </c>
      <c r="AI16" s="1">
        <f>IFERROR(__xludf.DUMMYFUNCTION("""COMPUTED_VALUE"""),1.0)</f>
        <v>1</v>
      </c>
      <c r="AJ16" s="1">
        <f>IFERROR(__xludf.DUMMYFUNCTION("""COMPUTED_VALUE"""),207449.0)</f>
        <v>207449</v>
      </c>
      <c r="AK16" s="1"/>
      <c r="AL16" s="1"/>
      <c r="AM16" s="1" t="str">
        <f>IFERROR(__xludf.DUMMYFUNCTION("""COMPUTED_VALUE"""),"-")</f>
        <v>-</v>
      </c>
      <c r="AN16" s="1" t="str">
        <f>IFERROR(__xludf.DUMMYFUNCTION("""COMPUTED_VALUE""")," -")</f>
        <v> -</v>
      </c>
      <c r="AO16" s="1">
        <f>IFERROR(__xludf.DUMMYFUNCTION("""COMPUTED_VALUE"""),2021.0)</f>
        <v>2021</v>
      </c>
      <c r="AP16" s="3">
        <f>IFERROR(__xludf.DUMMYFUNCTION("""COMPUTED_VALUE"""),45658.0)</f>
        <v>45658</v>
      </c>
      <c r="AQ16" s="2">
        <f>IFERROR(__xludf.DUMMYFUNCTION("""COMPUTED_VALUE"""),45663.0)</f>
        <v>45663</v>
      </c>
      <c r="AR16" s="2">
        <f>IFERROR(__xludf.DUMMYFUNCTION("""COMPUTED_VALUE"""),45664.0)</f>
        <v>45664</v>
      </c>
      <c r="AS16" s="2">
        <f>IFERROR(__xludf.DUMMYFUNCTION("""COMPUTED_VALUE"""),45658.0)</f>
        <v>45658</v>
      </c>
      <c r="AT16" s="2">
        <f>IFERROR(__xludf.DUMMYFUNCTION("""COMPUTED_VALUE"""),45656.0)</f>
        <v>45656</v>
      </c>
      <c r="AU16" s="1">
        <f>IFERROR(__xludf.DUMMYFUNCTION("""COMPUTED_VALUE"""),2.0)</f>
        <v>2</v>
      </c>
      <c r="AV16" s="1" t="str">
        <f>IFERROR(__xludf.DUMMYFUNCTION("""COMPUTED_VALUE"""),"DIGITAL")</f>
        <v>DIGITAL</v>
      </c>
      <c r="AW16" s="1" t="str">
        <f>IFERROR(__xludf.DUMMYFUNCTION("""COMPUTED_VALUE"""),"FORMULARIO")</f>
        <v>FORMULARIO</v>
      </c>
      <c r="AX16" s="1" t="str">
        <f>IFERROR(__xludf.DUMMYFUNCTION("""COMPUTED_VALUE"""),"ORGANICO")</f>
        <v>ORGANICO</v>
      </c>
      <c r="AY16" s="1">
        <f>IFERROR(__xludf.DUMMYFUNCTION("""COMPUTED_VALUE"""),1.0)</f>
        <v>1</v>
      </c>
      <c r="AZ16" s="1" t="str">
        <f>IFERROR(__xludf.DUMMYFUNCTION("""COMPUTED_VALUE"""),"Cinthia Mariella Orosco")</f>
        <v>Cinthia Mariella Orosco</v>
      </c>
      <c r="BA16" s="5">
        <f>IFERROR(__xludf.DUMMYFUNCTION("""COMPUTED_VALUE"""),1.0)</f>
        <v>1</v>
      </c>
      <c r="BB16" s="6">
        <f>IFERROR(__xludf.DUMMYFUNCTION("""COMPUTED_VALUE"""),820.0)</f>
        <v>820</v>
      </c>
      <c r="BC16" s="1"/>
      <c r="BD16" s="1" t="str">
        <f>IFERROR(__xludf.DUMMYFUNCTION("""COMPUTED_VALUE""")," -")</f>
        <v> -</v>
      </c>
      <c r="BE16" s="1">
        <f>IFERROR(__xludf.DUMMYFUNCTION("""COMPUTED_VALUE"""),1.0)</f>
        <v>1</v>
      </c>
      <c r="BF16" s="1">
        <f>IFERROR(__xludf.DUMMYFUNCTION("""COMPUTED_VALUE"""),0.0)</f>
        <v>0</v>
      </c>
      <c r="BG16" s="1"/>
      <c r="BH16" s="1" t="str">
        <f>IFERROR(__xludf.DUMMYFUNCTION("""COMPUTED_VALUE"""),"No aplica")</f>
        <v>No aplica</v>
      </c>
      <c r="BI16" s="1">
        <f>IFERROR(__xludf.DUMMYFUNCTION("""COMPUTED_VALUE"""),0.0)</f>
        <v>0</v>
      </c>
      <c r="BJ16" s="1" t="str">
        <f>IFERROR(__xludf.DUMMYFUNCTION("""COMPUTED_VALUE"""),"NUEVO")</f>
        <v>NUEVO</v>
      </c>
    </row>
    <row r="17">
      <c r="A17" s="1">
        <f>IFERROR(__xludf.DUMMYFUNCTION("""COMPUTED_VALUE"""),16.0)</f>
        <v>16</v>
      </c>
      <c r="B17" s="1">
        <f>IFERROR(__xludf.DUMMYFUNCTION("""COMPUTED_VALUE"""),4528520.0)</f>
        <v>4528520</v>
      </c>
      <c r="C17" s="1" t="str">
        <f>IFERROR(__xludf.DUMMYFUNCTION("""COMPUTED_VALUE"""),"0000143152")</f>
        <v>0000143152</v>
      </c>
      <c r="D17" s="1" t="str">
        <f>IFERROR(__xludf.DUMMYFUNCTION("""COMPUTED_VALUE"""),"BRAYAN BEDER")</f>
        <v>BRAYAN BEDER</v>
      </c>
      <c r="E17" s="2" t="str">
        <f>IFERROR(__xludf.DUMMYFUNCTION("""COMPUTED_VALUE"""),"PORTILLA LLIUYACC")</f>
        <v>PORTILLA LLIUYACC</v>
      </c>
      <c r="F17" s="1">
        <f>IFERROR(__xludf.DUMMYFUNCTION("""COMPUTED_VALUE"""),7.3712827E7)</f>
        <v>73712827</v>
      </c>
      <c r="G17" s="1">
        <f>IFERROR(__xludf.DUMMYFUNCTION("""COMPUTED_VALUE"""),9.33501433E8)</f>
        <v>933501433</v>
      </c>
      <c r="H17" s="1" t="str">
        <f>IFERROR(__xludf.DUMMYFUNCTION("""COMPUTED_VALUE"""),"bederportilla@gmail.com")</f>
        <v>bederportilla@gmail.com</v>
      </c>
      <c r="I17" s="1" t="str">
        <f>IFERROR(__xludf.DUMMYFUNCTION("""COMPUTED_VALUE"""),"Administración y Negocios Internacionales")</f>
        <v>Administración y Negocios Internacionales</v>
      </c>
      <c r="J17" s="1" t="str">
        <f>IFERROR(__xludf.DUMMYFUNCTION("""COMPUTED_VALUE"""),"Negocios")</f>
        <v>Negocios</v>
      </c>
      <c r="K17" s="1" t="str">
        <f>IFERROR(__xludf.DUMMYFUNCTION("""COMPUTED_VALUE"""),"Nueva")</f>
        <v>Nueva</v>
      </c>
      <c r="L17" s="1" t="str">
        <f>IFERROR(__xludf.DUMMYFUNCTION("""COMPUTED_VALUE"""),"Admisión Ordinaria")</f>
        <v>Admisión Ordinaria</v>
      </c>
      <c r="M17" s="1" t="str">
        <f>IFERROR(__xludf.DUMMYFUNCTION("""COMPUTED_VALUE"""),"Semi-presencial")</f>
        <v>Semi-presencial</v>
      </c>
      <c r="N17" s="1" t="str">
        <f>IFERROR(__xludf.DUMMYFUNCTION("""COMPUTED_VALUE"""),"Diurno")</f>
        <v>Diurno</v>
      </c>
      <c r="O17" s="1" t="str">
        <f>IFERROR(__xludf.DUMMYFUNCTION("""COMPUTED_VALUE"""),"TRASLADO CON CONVA")</f>
        <v>TRASLADO CON CONVA</v>
      </c>
      <c r="P17" s="1" t="str">
        <f>IFERROR(__xludf.DUMMYFUNCTION("""COMPUTED_VALUE"""),"ESCALA REGULAR")</f>
        <v>ESCALA REGULAR</v>
      </c>
      <c r="Q17" s="1" t="str">
        <f>IFERROR(__xludf.DUMMYFUNCTION("""COMPUTED_VALUE"""),"ESCALA DISTANCIA TRASLADO")</f>
        <v>ESCALA DISTANCIA TRASLADO</v>
      </c>
      <c r="R17" s="1" t="str">
        <f>IFERROR(__xludf.DUMMYFUNCTION("""COMPUTED_VALUE"""),"NINGUNO")</f>
        <v>NINGUNO</v>
      </c>
      <c r="S17" s="1" t="str">
        <f>IFERROR(__xludf.DUMMYFUNCTION("""COMPUTED_VALUE"""),"FABIOLA")</f>
        <v>FABIOLA</v>
      </c>
      <c r="T17" s="3">
        <f>IFERROR(__xludf.DUMMYFUNCTION("""COMPUTED_VALUE"""),45668.0)</f>
        <v>45668</v>
      </c>
      <c r="U17" s="1" t="str">
        <f>IFERROR(__xludf.DUMMYFUNCTION("""COMPUTED_VALUE"""),"Pago Link")</f>
        <v>Pago Link</v>
      </c>
      <c r="V17" s="1" t="str">
        <f>IFERROR(__xludf.DUMMYFUNCTION("""COMPUTED_VALUE"""),"PAGO COMPLETO")</f>
        <v>PAGO COMPLETO</v>
      </c>
      <c r="W17" s="4">
        <f>IFERROR(__xludf.DUMMYFUNCTION("""COMPUTED_VALUE"""),0.0)</f>
        <v>0</v>
      </c>
      <c r="X17" s="1" t="str">
        <f>IFERROR(__xludf.DUMMYFUNCTION("""COMPUTED_VALUE"""),"-")</f>
        <v>-</v>
      </c>
      <c r="Y17" s="2">
        <f>IFERROR(__xludf.DUMMYFUNCTION("""COMPUTED_VALUE"""),45668.0)</f>
        <v>45668</v>
      </c>
      <c r="Z17" s="1" t="str">
        <f>IFERROR(__xludf.DUMMYFUNCTION("""COMPUTED_VALUE"""),"PAGO COMPLETO")</f>
        <v>PAGO COMPLETO</v>
      </c>
      <c r="AA17" s="1" t="str">
        <f>IFERROR(__xludf.DUMMYFUNCTION("""COMPUTED_VALUE"""),"1")</f>
        <v>1</v>
      </c>
      <c r="AB17" s="1"/>
      <c r="AC17" s="4">
        <f>IFERROR(__xludf.DUMMYFUNCTION("""COMPUTED_VALUE"""),0.0)</f>
        <v>0</v>
      </c>
      <c r="AD17" s="4">
        <f>IFERROR(__xludf.DUMMYFUNCTION("""COMPUTED_VALUE"""),0.0)</f>
        <v>0</v>
      </c>
      <c r="AE17" s="4">
        <f>IFERROR(__xludf.DUMMYFUNCTION("""COMPUTED_VALUE"""),700.0)</f>
        <v>700</v>
      </c>
      <c r="AF17" s="4">
        <f>IFERROR(__xludf.DUMMYFUNCTION("""COMPUTED_VALUE"""),700.0)</f>
        <v>700</v>
      </c>
      <c r="AG17" s="1">
        <f>IFERROR(__xludf.DUMMYFUNCTION("""COMPUTED_VALUE"""),0.0)</f>
        <v>0</v>
      </c>
      <c r="AH17" s="1">
        <f>IFERROR(__xludf.DUMMYFUNCTION("""COMPUTED_VALUE"""),0.0)</f>
        <v>0</v>
      </c>
      <c r="AI17" s="1">
        <f>IFERROR(__xludf.DUMMYFUNCTION("""COMPUTED_VALUE"""),1.0)</f>
        <v>1</v>
      </c>
      <c r="AJ17" s="1">
        <f>IFERROR(__xludf.DUMMYFUNCTION("""COMPUTED_VALUE"""),555946.0)</f>
        <v>555946</v>
      </c>
      <c r="AK17" s="1" t="str">
        <f>IFERROR(__xludf.DUMMYFUNCTION("""COMPUTED_VALUE"""),"10 kms a 15 kms")</f>
        <v>10 kms a 15 kms</v>
      </c>
      <c r="AL17" s="1" t="str">
        <f>IFERROR(__xludf.DUMMYFUNCTION("""COMPUTED_VALUE"""),"01 Nacional")</f>
        <v>01 Nacional</v>
      </c>
      <c r="AM17" s="1" t="str">
        <f>IFERROR(__xludf.DUMMYFUNCTION("""COMPUTED_VALUE"""),"Certus")</f>
        <v>Certus</v>
      </c>
      <c r="AN17" s="1" t="str">
        <f>IFERROR(__xludf.DUMMYFUNCTION("""COMPUTED_VALUE""")," -")</f>
        <v> -</v>
      </c>
      <c r="AO17" s="1">
        <f>IFERROR(__xludf.DUMMYFUNCTION("""COMPUTED_VALUE"""),2020.0)</f>
        <v>2020</v>
      </c>
      <c r="AP17" s="3">
        <f>IFERROR(__xludf.DUMMYFUNCTION("""COMPUTED_VALUE"""),45658.0)</f>
        <v>45658</v>
      </c>
      <c r="AQ17" s="2">
        <f>IFERROR(__xludf.DUMMYFUNCTION("""COMPUTED_VALUE"""),45663.0)</f>
        <v>45663</v>
      </c>
      <c r="AR17" s="2">
        <f>IFERROR(__xludf.DUMMYFUNCTION("""COMPUTED_VALUE"""),45667.0)</f>
        <v>45667</v>
      </c>
      <c r="AS17" s="2">
        <f>IFERROR(__xludf.DUMMYFUNCTION("""COMPUTED_VALUE"""),45658.0)</f>
        <v>45658</v>
      </c>
      <c r="AT17" s="2">
        <f>IFERROR(__xludf.DUMMYFUNCTION("""COMPUTED_VALUE"""),45656.0)</f>
        <v>45656</v>
      </c>
      <c r="AU17" s="1">
        <f>IFERROR(__xludf.DUMMYFUNCTION("""COMPUTED_VALUE"""),1.0)</f>
        <v>1</v>
      </c>
      <c r="AV17" s="1" t="str">
        <f>IFERROR(__xludf.DUMMYFUNCTION("""COMPUTED_VALUE"""),"DIGITAL")</f>
        <v>DIGITAL</v>
      </c>
      <c r="AW17" s="1" t="str">
        <f>IFERROR(__xludf.DUMMYFUNCTION("""COMPUTED_VALUE"""),"BIDIRECCIONAL")</f>
        <v>BIDIRECCIONAL</v>
      </c>
      <c r="AX17" s="1" t="str">
        <f>IFERROR(__xludf.DUMMYFUNCTION("""COMPUTED_VALUE"""),"SEARCH MARCA")</f>
        <v>SEARCH MARCA</v>
      </c>
      <c r="AY17" s="1">
        <f>IFERROR(__xludf.DUMMYFUNCTION("""COMPUTED_VALUE"""),1.0)</f>
        <v>1</v>
      </c>
      <c r="AZ17" s="1" t="str">
        <f>IFERROR(__xludf.DUMMYFUNCTION("""COMPUTED_VALUE"""),"Daniel Zapata")</f>
        <v>Daniel Zapata</v>
      </c>
      <c r="BA17" s="5">
        <f>IFERROR(__xludf.DUMMYFUNCTION("""COMPUTED_VALUE"""),1.0)</f>
        <v>1</v>
      </c>
      <c r="BB17" s="6">
        <f>IFERROR(__xludf.DUMMYFUNCTION("""COMPUTED_VALUE"""),700.0)</f>
        <v>700</v>
      </c>
      <c r="BC17" s="1"/>
      <c r="BD17" s="1" t="str">
        <f>IFERROR(__xludf.DUMMYFUNCTION("""COMPUTED_VALUE""")," -")</f>
        <v> -</v>
      </c>
      <c r="BE17" s="1">
        <f>IFERROR(__xludf.DUMMYFUNCTION("""COMPUTED_VALUE"""),1.0)</f>
        <v>1</v>
      </c>
      <c r="BF17" s="1">
        <f>IFERROR(__xludf.DUMMYFUNCTION("""COMPUTED_VALUE"""),0.0)</f>
        <v>0</v>
      </c>
      <c r="BG17" s="1"/>
      <c r="BH17" s="1" t="str">
        <f>IFERROR(__xludf.DUMMYFUNCTION("""COMPUTED_VALUE"""),"No aplica")</f>
        <v>No aplica</v>
      </c>
      <c r="BI17" s="1">
        <f>IFERROR(__xludf.DUMMYFUNCTION("""COMPUTED_VALUE"""),1.0)</f>
        <v>1</v>
      </c>
      <c r="BJ17" s="1" t="str">
        <f>IFERROR(__xludf.DUMMYFUNCTION("""COMPUTED_VALUE"""),"TRASLADO")</f>
        <v>TRASLADO</v>
      </c>
    </row>
    <row r="18">
      <c r="A18" s="1">
        <f>IFERROR(__xludf.DUMMYFUNCTION("""COMPUTED_VALUE"""),17.0)</f>
        <v>17</v>
      </c>
      <c r="B18" s="1">
        <f>IFERROR(__xludf.DUMMYFUNCTION("""COMPUTED_VALUE"""),911406.0)</f>
        <v>911406</v>
      </c>
      <c r="C18" s="1" t="str">
        <f>IFERROR(__xludf.DUMMYFUNCTION("""COMPUTED_VALUE"""),"2018003069")</f>
        <v>2018003069</v>
      </c>
      <c r="D18" s="1" t="str">
        <f>IFERROR(__xludf.DUMMYFUNCTION("""COMPUTED_VALUE"""),"CLAUDIA ALESSANDRA")</f>
        <v>CLAUDIA ALESSANDRA</v>
      </c>
      <c r="E18" s="2" t="str">
        <f>IFERROR(__xludf.DUMMYFUNCTION("""COMPUTED_VALUE"""),"CARRASCO TORRALVA")</f>
        <v>CARRASCO TORRALVA</v>
      </c>
      <c r="F18" s="1">
        <f>IFERROR(__xludf.DUMMYFUNCTION("""COMPUTED_VALUE"""),7.0477207E7)</f>
        <v>70477207</v>
      </c>
      <c r="G18" s="1">
        <f>IFERROR(__xludf.DUMMYFUNCTION("""COMPUTED_VALUE"""),9.96158856E8)</f>
        <v>996158856</v>
      </c>
      <c r="H18" s="1" t="str">
        <f>IFERROR(__xludf.DUMMYFUNCTION("""COMPUTED_VALUE"""),"alessandratorralva@gmail.com")</f>
        <v>alessandratorralva@gmail.com</v>
      </c>
      <c r="I18" s="1" t="str">
        <f>IFERROR(__xludf.DUMMYFUNCTION("""COMPUTED_VALUE"""),"Arquitectura")</f>
        <v>Arquitectura</v>
      </c>
      <c r="J18" s="1" t="str">
        <f>IFERROR(__xludf.DUMMYFUNCTION("""COMPUTED_VALUE"""),"Arquitecturas")</f>
        <v>Arquitecturas</v>
      </c>
      <c r="K18" s="1" t="str">
        <f>IFERROR(__xludf.DUMMYFUNCTION("""COMPUTED_VALUE"""),"Antigua")</f>
        <v>Antigua</v>
      </c>
      <c r="L18" s="1" t="str">
        <f>IFERROR(__xludf.DUMMYFUNCTION("""COMPUTED_VALUE"""),"Admisión Extraordinaria (Traslados)")</f>
        <v>Admisión Extraordinaria (Traslados)</v>
      </c>
      <c r="M18" s="1" t="str">
        <f>IFERROR(__xludf.DUMMYFUNCTION("""COMPUTED_VALUE"""),"Semi-presencial")</f>
        <v>Semi-presencial</v>
      </c>
      <c r="N18" s="1" t="str">
        <f>IFERROR(__xludf.DUMMYFUNCTION("""COMPUTED_VALUE"""),"Diurno")</f>
        <v>Diurno</v>
      </c>
      <c r="O18" s="1" t="str">
        <f>IFERROR(__xludf.DUMMYFUNCTION("""COMPUTED_VALUE"""),"TRASLADO CON CONVA")</f>
        <v>TRASLADO CON CONVA</v>
      </c>
      <c r="P18" s="1" t="str">
        <f>IFERROR(__xludf.DUMMYFUNCTION("""COMPUTED_VALUE"""),"RECA")</f>
        <v>RECA</v>
      </c>
      <c r="Q18" s="1" t="str">
        <f>IFERROR(__xludf.DUMMYFUNCTION("""COMPUTED_VALUE"""),"RECA TRASLADO CON CONVA")</f>
        <v>RECA TRASLADO CON CONVA</v>
      </c>
      <c r="R18" s="1" t="str">
        <f>IFERROR(__xludf.DUMMYFUNCTION("""COMPUTED_VALUE"""),"Visita Guiada")</f>
        <v>Visita Guiada</v>
      </c>
      <c r="S18" s="1" t="str">
        <f>IFERROR(__xludf.DUMMYFUNCTION("""COMPUTED_VALUE"""),"-")</f>
        <v>-</v>
      </c>
      <c r="T18" s="3">
        <f>IFERROR(__xludf.DUMMYFUNCTION("""COMPUTED_VALUE"""),45682.0)</f>
        <v>45682</v>
      </c>
      <c r="U18" s="1" t="str">
        <f>IFERROR(__xludf.DUMMYFUNCTION("""COMPUTED_VALUE"""),"POS")</f>
        <v>POS</v>
      </c>
      <c r="V18" s="1" t="str">
        <f>IFERROR(__xludf.DUMMYFUNCTION("""COMPUTED_VALUE"""),"PAGO COMPLETO")</f>
        <v>PAGO COMPLETO</v>
      </c>
      <c r="W18" s="4">
        <f>IFERROR(__xludf.DUMMYFUNCTION("""COMPUTED_VALUE"""),0.0)</f>
        <v>0</v>
      </c>
      <c r="X18" s="1" t="str">
        <f>IFERROR(__xludf.DUMMYFUNCTION("""COMPUTED_VALUE"""),"-")</f>
        <v>-</v>
      </c>
      <c r="Y18" s="2">
        <f>IFERROR(__xludf.DUMMYFUNCTION("""COMPUTED_VALUE"""),45682.0)</f>
        <v>45682</v>
      </c>
      <c r="Z18" s="1" t="str">
        <f>IFERROR(__xludf.DUMMYFUNCTION("""COMPUTED_VALUE"""),"PAGO COMPLETO")</f>
        <v>PAGO COMPLETO</v>
      </c>
      <c r="AA18" s="1" t="str">
        <f>IFERROR(__xludf.DUMMYFUNCTION("""COMPUTED_VALUE"""),"0")</f>
        <v>0</v>
      </c>
      <c r="AB18" s="1"/>
      <c r="AC18" s="4">
        <f>IFERROR(__xludf.DUMMYFUNCTION("""COMPUTED_VALUE"""),0.0)</f>
        <v>0</v>
      </c>
      <c r="AD18" s="4">
        <f>IFERROR(__xludf.DUMMYFUNCTION("""COMPUTED_VALUE"""),0.0)</f>
        <v>0</v>
      </c>
      <c r="AE18" s="4">
        <f>IFERROR(__xludf.DUMMYFUNCTION("""COMPUTED_VALUE"""),1050.0)</f>
        <v>1050</v>
      </c>
      <c r="AF18" s="4">
        <f>IFERROR(__xludf.DUMMYFUNCTION("""COMPUTED_VALUE"""),1050.0)</f>
        <v>1050</v>
      </c>
      <c r="AG18" s="1">
        <f>IFERROR(__xludf.DUMMYFUNCTION("""COMPUTED_VALUE"""),0.0)</f>
        <v>0</v>
      </c>
      <c r="AH18" s="1">
        <f>IFERROR(__xludf.DUMMYFUNCTION("""COMPUTED_VALUE"""),0.0)</f>
        <v>0</v>
      </c>
      <c r="AI18" s="1">
        <f>IFERROR(__xludf.DUMMYFUNCTION("""COMPUTED_VALUE"""),1.0)</f>
        <v>1</v>
      </c>
      <c r="AJ18" s="1">
        <f>IFERROR(__xludf.DUMMYFUNCTION("""COMPUTED_VALUE"""),1723873.0)</f>
        <v>1723873</v>
      </c>
      <c r="AK18" s="1" t="str">
        <f>IFERROR(__xludf.DUMMYFUNCTION("""COMPUTED_VALUE"""),"Más de 15 kms")</f>
        <v>Más de 15 kms</v>
      </c>
      <c r="AL18" s="1" t="str">
        <f>IFERROR(__xludf.DUMMYFUNCTION("""COMPUTED_VALUE"""),"06 551 a 800")</f>
        <v>06 551 a 800</v>
      </c>
      <c r="AM18" s="1" t="str">
        <f>IFERROR(__xludf.DUMMYFUNCTION("""COMPUTED_VALUE"""),"Instituto de Educación Superior Tecnológico Privado Toulouse Lautrec")</f>
        <v>Instituto de Educación Superior Tecnológico Privado Toulouse Lautrec</v>
      </c>
      <c r="AN18" s="1" t="str">
        <f>IFERROR(__xludf.DUMMYFUNCTION("""COMPUTED_VALUE""")," -")</f>
        <v> -</v>
      </c>
      <c r="AO18" s="1">
        <f>IFERROR(__xludf.DUMMYFUNCTION("""COMPUTED_VALUE"""),2019.0)</f>
        <v>2019</v>
      </c>
      <c r="AP18" s="3">
        <f>IFERROR(__xludf.DUMMYFUNCTION("""COMPUTED_VALUE"""),45658.0)</f>
        <v>45658</v>
      </c>
      <c r="AQ18" s="2">
        <f>IFERROR(__xludf.DUMMYFUNCTION("""COMPUTED_VALUE"""),45677.0)</f>
        <v>45677</v>
      </c>
      <c r="AR18" s="2">
        <f>IFERROR(__xludf.DUMMYFUNCTION("""COMPUTED_VALUE"""),45524.0)</f>
        <v>45524</v>
      </c>
      <c r="AS18" s="2">
        <f>IFERROR(__xludf.DUMMYFUNCTION("""COMPUTED_VALUE"""),45505.0)</f>
        <v>45505</v>
      </c>
      <c r="AT18" s="2">
        <f>IFERROR(__xludf.DUMMYFUNCTION("""COMPUTED_VALUE"""),45502.0)</f>
        <v>45502</v>
      </c>
      <c r="AU18" s="1">
        <f>IFERROR(__xludf.DUMMYFUNCTION("""COMPUTED_VALUE"""),158.0)</f>
        <v>158</v>
      </c>
      <c r="AV18" s="1" t="str">
        <f>IFERROR(__xludf.DUMMYFUNCTION("""COMPUTED_VALUE"""),"DIGITAL")</f>
        <v>DIGITAL</v>
      </c>
      <c r="AW18" s="1" t="str">
        <f>IFERROR(__xludf.DUMMYFUNCTION("""COMPUTED_VALUE"""),"BIDIRECCIONAL")</f>
        <v>BIDIRECCIONAL</v>
      </c>
      <c r="AX18" s="1" t="str">
        <f>IFERROR(__xludf.DUMMYFUNCTION("""COMPUTED_VALUE"""),"ORGANICO")</f>
        <v>ORGANICO</v>
      </c>
      <c r="AY18" s="1">
        <f>IFERROR(__xludf.DUMMYFUNCTION("""COMPUTED_VALUE"""),1.0)</f>
        <v>1</v>
      </c>
      <c r="AZ18" s="1" t="str">
        <f>IFERROR(__xludf.DUMMYFUNCTION("""COMPUTED_VALUE"""),"Ingrid Guillermo Rivera")</f>
        <v>Ingrid Guillermo Rivera</v>
      </c>
      <c r="BA18" s="5">
        <f>IFERROR(__xludf.DUMMYFUNCTION("""COMPUTED_VALUE"""),1.0)</f>
        <v>1</v>
      </c>
      <c r="BB18" s="6">
        <f>IFERROR(__xludf.DUMMYFUNCTION("""COMPUTED_VALUE"""),1030.0)</f>
        <v>1030</v>
      </c>
      <c r="BC18" s="1"/>
      <c r="BD18" s="1" t="str">
        <f>IFERROR(__xludf.DUMMYFUNCTION("""COMPUTED_VALUE""")," -")</f>
        <v> -</v>
      </c>
      <c r="BE18" s="1">
        <f>IFERROR(__xludf.DUMMYFUNCTION("""COMPUTED_VALUE"""),1.0)</f>
        <v>1</v>
      </c>
      <c r="BF18" s="1">
        <f>IFERROR(__xludf.DUMMYFUNCTION("""COMPUTED_VALUE"""),0.0)</f>
        <v>0</v>
      </c>
      <c r="BG18" s="1"/>
      <c r="BH18" s="1" t="str">
        <f>IFERROR(__xludf.DUMMYFUNCTION("""COMPUTED_VALUE"""),"No aplica")</f>
        <v>No aplica</v>
      </c>
      <c r="BI18" s="1">
        <f>IFERROR(__xludf.DUMMYFUNCTION("""COMPUTED_VALUE"""),1.0)</f>
        <v>1</v>
      </c>
      <c r="BJ18" s="1" t="str">
        <f>IFERROR(__xludf.DUMMYFUNCTION("""COMPUTED_VALUE"""),"TRASLADO")</f>
        <v>TRASLADO</v>
      </c>
    </row>
    <row r="19">
      <c r="A19" s="1">
        <f>IFERROR(__xludf.DUMMYFUNCTION("""COMPUTED_VALUE"""),18.0)</f>
        <v>18</v>
      </c>
      <c r="B19" s="1">
        <f>IFERROR(__xludf.DUMMYFUNCTION("""COMPUTED_VALUE"""),712328.0)</f>
        <v>712328</v>
      </c>
      <c r="C19" s="1" t="str">
        <f>IFERROR(__xludf.DUMMYFUNCTION("""COMPUTED_VALUE"""),"0000411515")</f>
        <v>0000411515</v>
      </c>
      <c r="D19" s="1" t="str">
        <f>IFERROR(__xludf.DUMMYFUNCTION("""COMPUTED_VALUE"""),"IVAN RICARDO")</f>
        <v>IVAN RICARDO</v>
      </c>
      <c r="E19" s="2" t="str">
        <f>IFERROR(__xludf.DUMMYFUNCTION("""COMPUTED_VALUE"""),"REMY MONTERO")</f>
        <v>REMY MONTERO</v>
      </c>
      <c r="F19" s="1">
        <f>IFERROR(__xludf.DUMMYFUNCTION("""COMPUTED_VALUE"""),4.8948833E7)</f>
        <v>48948833</v>
      </c>
      <c r="G19" s="1">
        <f>IFERROR(__xludf.DUMMYFUNCTION("""COMPUTED_VALUE"""),9.97190903E8)</f>
        <v>997190903</v>
      </c>
      <c r="H19" s="1" t="str">
        <f>IFERROR(__xludf.DUMMYFUNCTION("""COMPUTED_VALUE"""),"ivanremymontero@gmail.com")</f>
        <v>ivanremymontero@gmail.com</v>
      </c>
      <c r="I19" s="1" t="str">
        <f>IFERROR(__xludf.DUMMYFUNCTION("""COMPUTED_VALUE"""),"Arquitectura")</f>
        <v>Arquitectura</v>
      </c>
      <c r="J19" s="1" t="str">
        <f>IFERROR(__xludf.DUMMYFUNCTION("""COMPUTED_VALUE"""),"Arquitecturas")</f>
        <v>Arquitecturas</v>
      </c>
      <c r="K19" s="1" t="str">
        <f>IFERROR(__xludf.DUMMYFUNCTION("""COMPUTED_VALUE"""),"Antigua")</f>
        <v>Antigua</v>
      </c>
      <c r="L19" s="1" t="str">
        <f>IFERROR(__xludf.DUMMYFUNCTION("""COMPUTED_VALUE"""),"Admisión Extraordinaria (Traslados)")</f>
        <v>Admisión Extraordinaria (Traslados)</v>
      </c>
      <c r="M19" s="1" t="str">
        <f>IFERROR(__xludf.DUMMYFUNCTION("""COMPUTED_VALUE"""),"Semi-presencial")</f>
        <v>Semi-presencial</v>
      </c>
      <c r="N19" s="1" t="str">
        <f>IFERROR(__xludf.DUMMYFUNCTION("""COMPUTED_VALUE"""),"Diurno")</f>
        <v>Diurno</v>
      </c>
      <c r="O19" s="1" t="str">
        <f>IFERROR(__xludf.DUMMYFUNCTION("""COMPUTED_VALUE"""),"TRASLADO CON CONVA")</f>
        <v>TRASLADO CON CONVA</v>
      </c>
      <c r="P19" s="1" t="str">
        <f>IFERROR(__xludf.DUMMYFUNCTION("""COMPUTED_VALUE"""),"RECA")</f>
        <v>RECA</v>
      </c>
      <c r="Q19" s="1" t="str">
        <f>IFERROR(__xludf.DUMMYFUNCTION("""COMPUTED_VALUE"""),"RECA TRASLADO CON CONVA")</f>
        <v>RECA TRASLADO CON CONVA</v>
      </c>
      <c r="R19" s="1" t="str">
        <f>IFERROR(__xludf.DUMMYFUNCTION("""COMPUTED_VALUE"""),"NINGUNO")</f>
        <v>NINGUNO</v>
      </c>
      <c r="S19" s="1" t="str">
        <f>IFERROR(__xludf.DUMMYFUNCTION("""COMPUTED_VALUE"""),"FABIOLA")</f>
        <v>FABIOLA</v>
      </c>
      <c r="T19" s="3">
        <f>IFERROR(__xludf.DUMMYFUNCTION("""COMPUTED_VALUE"""),45682.0)</f>
        <v>45682</v>
      </c>
      <c r="U19" s="1" t="str">
        <f>IFERROR(__xludf.DUMMYFUNCTION("""COMPUTED_VALUE"""),"Pago Link")</f>
        <v>Pago Link</v>
      </c>
      <c r="V19" s="1" t="str">
        <f>IFERROR(__xludf.DUMMYFUNCTION("""COMPUTED_VALUE"""),"PAGO FRACCIONADO")</f>
        <v>PAGO FRACCIONADO</v>
      </c>
      <c r="W19" s="4">
        <f>IFERROR(__xludf.DUMMYFUNCTION("""COMPUTED_VALUE"""),0.0)</f>
        <v>0</v>
      </c>
      <c r="X19" s="1" t="str">
        <f>IFERROR(__xludf.DUMMYFUNCTION("""COMPUTED_VALUE"""),"30/01/2025")</f>
        <v>30/01/2025</v>
      </c>
      <c r="Y19" s="2">
        <f>IFERROR(__xludf.DUMMYFUNCTION("""COMPUTED_VALUE"""),45687.0)</f>
        <v>45687</v>
      </c>
      <c r="Z19" s="1" t="str">
        <f>IFERROR(__xludf.DUMMYFUNCTION("""COMPUTED_VALUE"""),"PAGO COMPLETO")</f>
        <v>PAGO COMPLETO</v>
      </c>
      <c r="AA19" s="1" t="str">
        <f>IFERROR(__xludf.DUMMYFUNCTION("""COMPUTED_VALUE"""),"1")</f>
        <v>1</v>
      </c>
      <c r="AB19" s="1"/>
      <c r="AC19" s="4">
        <f>IFERROR(__xludf.DUMMYFUNCTION("""COMPUTED_VALUE"""),0.0)</f>
        <v>0</v>
      </c>
      <c r="AD19" s="4">
        <f>IFERROR(__xludf.DUMMYFUNCTION("""COMPUTED_VALUE"""),0.0)</f>
        <v>0</v>
      </c>
      <c r="AE19" s="4">
        <f>IFERROR(__xludf.DUMMYFUNCTION("""COMPUTED_VALUE"""),1600.0)</f>
        <v>1600</v>
      </c>
      <c r="AF19" s="4">
        <f>IFERROR(__xludf.DUMMYFUNCTION("""COMPUTED_VALUE"""),1600.0)</f>
        <v>1600</v>
      </c>
      <c r="AG19" s="1">
        <f>IFERROR(__xludf.DUMMYFUNCTION("""COMPUTED_VALUE"""),0.0)</f>
        <v>0</v>
      </c>
      <c r="AH19" s="1">
        <f>IFERROR(__xludf.DUMMYFUNCTION("""COMPUTED_VALUE"""),0.0)</f>
        <v>0</v>
      </c>
      <c r="AI19" s="1">
        <f>IFERROR(__xludf.DUMMYFUNCTION("""COMPUTED_VALUE"""),1.0)</f>
        <v>1</v>
      </c>
      <c r="AJ19" s="1">
        <f>IFERROR(__xludf.DUMMYFUNCTION("""COMPUTED_VALUE"""),0.0)</f>
        <v>0</v>
      </c>
      <c r="AK19" s="1"/>
      <c r="AL19" s="1"/>
      <c r="AM19" s="1" t="str">
        <f>IFERROR(__xludf.DUMMYFUNCTION("""COMPUTED_VALUE"""),"Universidad Peruana De Ciencias Aplicadas(UPC)")</f>
        <v>Universidad Peruana De Ciencias Aplicadas(UPC)</v>
      </c>
      <c r="AN19" s="1" t="str">
        <f>IFERROR(__xludf.DUMMYFUNCTION("""COMPUTED_VALUE""")," -")</f>
        <v> -</v>
      </c>
      <c r="AO19" s="1">
        <f>IFERROR(__xludf.DUMMYFUNCTION("""COMPUTED_VALUE"""),2020.0)</f>
        <v>2020</v>
      </c>
      <c r="AP19" s="3">
        <f>IFERROR(__xludf.DUMMYFUNCTION("""COMPUTED_VALUE"""),45658.0)</f>
        <v>45658</v>
      </c>
      <c r="AQ19" s="2">
        <f>IFERROR(__xludf.DUMMYFUNCTION("""COMPUTED_VALUE"""),45684.0)</f>
        <v>45684</v>
      </c>
      <c r="AR19" s="2">
        <f>IFERROR(__xludf.DUMMYFUNCTION("""COMPUTED_VALUE"""),45682.0)</f>
        <v>45682</v>
      </c>
      <c r="AS19" s="2">
        <f>IFERROR(__xludf.DUMMYFUNCTION("""COMPUTED_VALUE"""),45658.0)</f>
        <v>45658</v>
      </c>
      <c r="AT19" s="2">
        <f>IFERROR(__xludf.DUMMYFUNCTION("""COMPUTED_VALUE"""),45656.0)</f>
        <v>45656</v>
      </c>
      <c r="AU19" s="1">
        <f>IFERROR(__xludf.DUMMYFUNCTION("""COMPUTED_VALUE"""),5.0)</f>
        <v>5</v>
      </c>
      <c r="AV19" s="1" t="str">
        <f>IFERROR(__xludf.DUMMYFUNCTION("""COMPUTED_VALUE"""),"DIGITAL")</f>
        <v>DIGITAL</v>
      </c>
      <c r="AW19" s="1" t="str">
        <f>IFERROR(__xludf.DUMMYFUNCTION("""COMPUTED_VALUE"""),"BIDIRECCIONAL")</f>
        <v>BIDIRECCIONAL</v>
      </c>
      <c r="AX19" s="1" t="str">
        <f>IFERROR(__xludf.DUMMYFUNCTION("""COMPUTED_VALUE"""),"ORGANICO")</f>
        <v>ORGANICO</v>
      </c>
      <c r="AY19" s="1">
        <f>IFERROR(__xludf.DUMMYFUNCTION("""COMPUTED_VALUE"""),1.0)</f>
        <v>1</v>
      </c>
      <c r="AZ19" s="1" t="str">
        <f>IFERROR(__xludf.DUMMYFUNCTION("""COMPUTED_VALUE"""),"Andrea Araujo Antara")</f>
        <v>Andrea Araujo Antara</v>
      </c>
      <c r="BA19" s="5">
        <f>IFERROR(__xludf.DUMMYFUNCTION("""COMPUTED_VALUE"""),1.0)</f>
        <v>1</v>
      </c>
      <c r="BB19" s="6">
        <f>IFERROR(__xludf.DUMMYFUNCTION("""COMPUTED_VALUE"""),1600.0)</f>
        <v>1600</v>
      </c>
      <c r="BC19" s="1"/>
      <c r="BD19" s="1" t="str">
        <f>IFERROR(__xludf.DUMMYFUNCTION("""COMPUTED_VALUE""")," -")</f>
        <v> -</v>
      </c>
      <c r="BE19" s="1">
        <f>IFERROR(__xludf.DUMMYFUNCTION("""COMPUTED_VALUE"""),1.0)</f>
        <v>1</v>
      </c>
      <c r="BF19" s="1">
        <f>IFERROR(__xludf.DUMMYFUNCTION("""COMPUTED_VALUE"""),0.0)</f>
        <v>0</v>
      </c>
      <c r="BG19" s="1"/>
      <c r="BH19" s="1" t="str">
        <f>IFERROR(__xludf.DUMMYFUNCTION("""COMPUTED_VALUE"""),"No aplica")</f>
        <v>No aplica</v>
      </c>
      <c r="BI19" s="1">
        <f>IFERROR(__xludf.DUMMYFUNCTION("""COMPUTED_VALUE"""),1.0)</f>
        <v>1</v>
      </c>
      <c r="BJ19" s="1" t="str">
        <f>IFERROR(__xludf.DUMMYFUNCTION("""COMPUTED_VALUE"""),"TRASLADO")</f>
        <v>TRASLADO</v>
      </c>
    </row>
    <row r="20">
      <c r="A20" s="1">
        <f>IFERROR(__xludf.DUMMYFUNCTION("""COMPUTED_VALUE"""),19.0)</f>
        <v>19</v>
      </c>
      <c r="B20" s="1">
        <f>IFERROR(__xludf.DUMMYFUNCTION("""COMPUTED_VALUE"""),5066292.0)</f>
        <v>5066292</v>
      </c>
      <c r="C20" s="1" t="str">
        <f>IFERROR(__xludf.DUMMYFUNCTION("""COMPUTED_VALUE"""),"0000418447")</f>
        <v>0000418447</v>
      </c>
      <c r="D20" s="1" t="str">
        <f>IFERROR(__xludf.DUMMYFUNCTION("""COMPUTED_VALUE"""),"HENRY OMAR")</f>
        <v>HENRY OMAR</v>
      </c>
      <c r="E20" s="2" t="str">
        <f>IFERROR(__xludf.DUMMYFUNCTION("""COMPUTED_VALUE"""),"ZAPATA MARTINEZ")</f>
        <v>ZAPATA MARTINEZ</v>
      </c>
      <c r="F20" s="1">
        <f>IFERROR(__xludf.DUMMYFUNCTION("""COMPUTED_VALUE"""),7.2914954E7)</f>
        <v>72914954</v>
      </c>
      <c r="G20" s="1">
        <f>IFERROR(__xludf.DUMMYFUNCTION("""COMPUTED_VALUE"""),9.85133794E8)</f>
        <v>985133794</v>
      </c>
      <c r="H20" s="1" t="str">
        <f>IFERROR(__xludf.DUMMYFUNCTION("""COMPUTED_VALUE"""),"Henryzapatam22@gmail.com")</f>
        <v>Henryzapatam22@gmail.com</v>
      </c>
      <c r="I20" s="1" t="str">
        <f>IFERROR(__xludf.DUMMYFUNCTION("""COMPUTED_VALUE"""),"Administración y Negocios Internacionales")</f>
        <v>Administración y Negocios Internacionales</v>
      </c>
      <c r="J20" s="1" t="str">
        <f>IFERROR(__xludf.DUMMYFUNCTION("""COMPUTED_VALUE"""),"Negocios")</f>
        <v>Negocios</v>
      </c>
      <c r="K20" s="1" t="str">
        <f>IFERROR(__xludf.DUMMYFUNCTION("""COMPUTED_VALUE"""),"Nueva")</f>
        <v>Nueva</v>
      </c>
      <c r="L20" s="1" t="str">
        <f>IFERROR(__xludf.DUMMYFUNCTION("""COMPUTED_VALUE"""),"Admisión Ordinaria")</f>
        <v>Admisión Ordinaria</v>
      </c>
      <c r="M20" s="1" t="str">
        <f>IFERROR(__xludf.DUMMYFUNCTION("""COMPUTED_VALUE"""),"Semi-presencial")</f>
        <v>Semi-presencial</v>
      </c>
      <c r="N20" s="1" t="str">
        <f>IFERROR(__xludf.DUMMYFUNCTION("""COMPUTED_VALUE"""),"Diurno")</f>
        <v>Diurno</v>
      </c>
      <c r="O20" s="1" t="str">
        <f>IFERROR(__xludf.DUMMYFUNCTION("""COMPUTED_VALUE"""),"NUEVO")</f>
        <v>NUEVO</v>
      </c>
      <c r="P20" s="1" t="str">
        <f>IFERROR(__xludf.DUMMYFUNCTION("""COMPUTED_VALUE"""),"BECA")</f>
        <v>BECA</v>
      </c>
      <c r="Q20" s="1" t="str">
        <f>IFERROR(__xludf.DUMMYFUNCTION("""COMPUTED_VALUE"""),"BECA RECUPERO")</f>
        <v>BECA RECUPERO</v>
      </c>
      <c r="R20" s="1" t="str">
        <f>IFERROR(__xludf.DUMMYFUNCTION("""COMPUTED_VALUE"""),"PALANCA 500")</f>
        <v>PALANCA 500</v>
      </c>
      <c r="S20" s="1" t="str">
        <f>IFERROR(__xludf.DUMMYFUNCTION("""COMPUTED_VALUE"""),"RODRIGO")</f>
        <v>RODRIGO</v>
      </c>
      <c r="T20" s="3">
        <f>IFERROR(__xludf.DUMMYFUNCTION("""COMPUTED_VALUE"""),45724.0)</f>
        <v>45724</v>
      </c>
      <c r="U20" s="1" t="str">
        <f>IFERROR(__xludf.DUMMYFUNCTION("""COMPUTED_VALUE"""),"CARGO")</f>
        <v>CARGO</v>
      </c>
      <c r="V20" s="1" t="str">
        <f>IFERROR(__xludf.DUMMYFUNCTION("""COMPUTED_VALUE"""),"PAGO COMPLETO")</f>
        <v>PAGO COMPLETO</v>
      </c>
      <c r="W20" s="4">
        <f>IFERROR(__xludf.DUMMYFUNCTION("""COMPUTED_VALUE"""),0.0)</f>
        <v>0</v>
      </c>
      <c r="X20" s="1" t="str">
        <f>IFERROR(__xludf.DUMMYFUNCTION("""COMPUTED_VALUE"""),"-")</f>
        <v>-</v>
      </c>
      <c r="Y20" s="2">
        <f>IFERROR(__xludf.DUMMYFUNCTION("""COMPUTED_VALUE"""),45724.0)</f>
        <v>45724</v>
      </c>
      <c r="Z20" s="1" t="str">
        <f>IFERROR(__xludf.DUMMYFUNCTION("""COMPUTED_VALUE"""),"PAGO COMPLETO")</f>
        <v>PAGO COMPLETO</v>
      </c>
      <c r="AA20" s="1" t="str">
        <f>IFERROR(__xludf.DUMMYFUNCTION("""COMPUTED_VALUE"""),"0")</f>
        <v>0</v>
      </c>
      <c r="AB20" s="1"/>
      <c r="AC20" s="4">
        <f>IFERROR(__xludf.DUMMYFUNCTION("""COMPUTED_VALUE"""),0.0)</f>
        <v>0</v>
      </c>
      <c r="AD20" s="4">
        <f>IFERROR(__xludf.DUMMYFUNCTION("""COMPUTED_VALUE"""),0.0)</f>
        <v>0</v>
      </c>
      <c r="AE20" s="4">
        <f>IFERROR(__xludf.DUMMYFUNCTION("""COMPUTED_VALUE"""),950.0)</f>
        <v>950</v>
      </c>
      <c r="AF20" s="4">
        <f>IFERROR(__xludf.DUMMYFUNCTION("""COMPUTED_VALUE"""),800.0)</f>
        <v>800</v>
      </c>
      <c r="AG20" s="1">
        <f>IFERROR(__xludf.DUMMYFUNCTION("""COMPUTED_VALUE"""),0.0)</f>
        <v>0</v>
      </c>
      <c r="AH20" s="1">
        <f>IFERROR(__xludf.DUMMYFUNCTION("""COMPUTED_VALUE"""),0.0)</f>
        <v>0</v>
      </c>
      <c r="AI20" s="1">
        <f>IFERROR(__xludf.DUMMYFUNCTION("""COMPUTED_VALUE"""),1.0)</f>
        <v>1</v>
      </c>
      <c r="AJ20" s="1">
        <f>IFERROR(__xludf.DUMMYFUNCTION("""COMPUTED_VALUE"""),355925.0)</f>
        <v>355925</v>
      </c>
      <c r="AK20" s="1" t="str">
        <f>IFERROR(__xludf.DUMMYFUNCTION("""COMPUTED_VALUE"""),"Más de 15 kms")</f>
        <v>Más de 15 kms</v>
      </c>
      <c r="AL20" s="1" t="str">
        <f>IFERROR(__xludf.DUMMYFUNCTION("""COMPUTED_VALUE"""),"01 Nacional")</f>
        <v>01 Nacional</v>
      </c>
      <c r="AM20" s="1" t="str">
        <f>IFERROR(__xludf.DUMMYFUNCTION("""COMPUTED_VALUE"""),"-")</f>
        <v>-</v>
      </c>
      <c r="AN20" s="1" t="str">
        <f>IFERROR(__xludf.DUMMYFUNCTION("""COMPUTED_VALUE""")," -")</f>
        <v> -</v>
      </c>
      <c r="AO20" s="1">
        <f>IFERROR(__xludf.DUMMYFUNCTION("""COMPUTED_VALUE"""),2021.0)</f>
        <v>2021</v>
      </c>
      <c r="AP20" s="3">
        <f>IFERROR(__xludf.DUMMYFUNCTION("""COMPUTED_VALUE"""),45717.0)</f>
        <v>45717</v>
      </c>
      <c r="AQ20" s="2">
        <f>IFERROR(__xludf.DUMMYFUNCTION("""COMPUTED_VALUE"""),45719.0)</f>
        <v>45719</v>
      </c>
      <c r="AR20" s="2">
        <f>IFERROR(__xludf.DUMMYFUNCTION("""COMPUTED_VALUE"""),45723.0)</f>
        <v>45723</v>
      </c>
      <c r="AS20" s="2">
        <f>IFERROR(__xludf.DUMMYFUNCTION("""COMPUTED_VALUE"""),45717.0)</f>
        <v>45717</v>
      </c>
      <c r="AT20" s="2">
        <f>IFERROR(__xludf.DUMMYFUNCTION("""COMPUTED_VALUE"""),45712.0)</f>
        <v>45712</v>
      </c>
      <c r="AU20" s="1">
        <f>IFERROR(__xludf.DUMMYFUNCTION("""COMPUTED_VALUE"""),1.0)</f>
        <v>1</v>
      </c>
      <c r="AV20" s="1" t="str">
        <f>IFERROR(__xludf.DUMMYFUNCTION("""COMPUTED_VALUE"""),"DIGITAL")</f>
        <v>DIGITAL</v>
      </c>
      <c r="AW20" s="1" t="str">
        <f>IFERROR(__xludf.DUMMYFUNCTION("""COMPUTED_VALUE"""),"BIDIRECCIONAL")</f>
        <v>BIDIRECCIONAL</v>
      </c>
      <c r="AX20" s="1" t="str">
        <f>IFERROR(__xludf.DUMMYFUNCTION("""COMPUTED_VALUE"""),"ORGANICO")</f>
        <v>ORGANICO</v>
      </c>
      <c r="AY20" s="1">
        <f>IFERROR(__xludf.DUMMYFUNCTION("""COMPUTED_VALUE"""),1.0)</f>
        <v>1</v>
      </c>
      <c r="AZ20" s="1" t="str">
        <f>IFERROR(__xludf.DUMMYFUNCTION("""COMPUTED_VALUE"""),"Andrea Araujo Antara")</f>
        <v>Andrea Araujo Antara</v>
      </c>
      <c r="BA20" s="5">
        <f>IFERROR(__xludf.DUMMYFUNCTION("""COMPUTED_VALUE"""),1.0)</f>
        <v>1</v>
      </c>
      <c r="BB20" s="6">
        <f>IFERROR(__xludf.DUMMYFUNCTION("""COMPUTED_VALUE"""),740.0)</f>
        <v>740</v>
      </c>
      <c r="BC20" s="1"/>
      <c r="BD20" s="1" t="str">
        <f>IFERROR(__xludf.DUMMYFUNCTION("""COMPUTED_VALUE""")," -")</f>
        <v> -</v>
      </c>
      <c r="BE20" s="1">
        <f>IFERROR(__xludf.DUMMYFUNCTION("""COMPUTED_VALUE"""),1.0)</f>
        <v>1</v>
      </c>
      <c r="BF20" s="1">
        <f>IFERROR(__xludf.DUMMYFUNCTION("""COMPUTED_VALUE"""),0.0)</f>
        <v>0</v>
      </c>
      <c r="BG20" s="1"/>
      <c r="BH20" s="1" t="str">
        <f>IFERROR(__xludf.DUMMYFUNCTION("""COMPUTED_VALUE"""),"No aplica")</f>
        <v>No aplica</v>
      </c>
      <c r="BI20" s="1">
        <f>IFERROR(__xludf.DUMMYFUNCTION("""COMPUTED_VALUE"""),0.0)</f>
        <v>0</v>
      </c>
      <c r="BJ20" s="1" t="str">
        <f>IFERROR(__xludf.DUMMYFUNCTION("""COMPUTED_VALUE"""),"NUEVO")</f>
        <v>NUEVO</v>
      </c>
    </row>
    <row r="21">
      <c r="A21" s="1">
        <f>IFERROR(__xludf.DUMMYFUNCTION("""COMPUTED_VALUE"""),20.0)</f>
        <v>20</v>
      </c>
      <c r="B21" s="1">
        <f>IFERROR(__xludf.DUMMYFUNCTION("""COMPUTED_VALUE"""),5088729.0)</f>
        <v>5088729</v>
      </c>
      <c r="C21" s="1" t="str">
        <f>IFERROR(__xludf.DUMMYFUNCTION("""COMPUTED_VALUE"""),"0000420119")</f>
        <v>0000420119</v>
      </c>
      <c r="D21" s="1" t="str">
        <f>IFERROR(__xludf.DUMMYFUNCTION("""COMPUTED_VALUE"""),"MAYRA ALEJANDRA")</f>
        <v>MAYRA ALEJANDRA</v>
      </c>
      <c r="E21" s="2" t="str">
        <f>IFERROR(__xludf.DUMMYFUNCTION("""COMPUTED_VALUE"""),"SARMIENTO CHUMPITAZ")</f>
        <v>SARMIENTO CHUMPITAZ</v>
      </c>
      <c r="F21" s="1">
        <f>IFERROR(__xludf.DUMMYFUNCTION("""COMPUTED_VALUE"""),7.6391956E7)</f>
        <v>76391956</v>
      </c>
      <c r="G21" s="1">
        <f>IFERROR(__xludf.DUMMYFUNCTION("""COMPUTED_VALUE"""),9.03414063E8)</f>
        <v>903414063</v>
      </c>
      <c r="H21" s="1" t="str">
        <f>IFERROR(__xludf.DUMMYFUNCTION("""COMPUTED_VALUE"""),"arianank.05@gmail.com")</f>
        <v>arianank.05@gmail.com</v>
      </c>
      <c r="I21" s="1" t="str">
        <f>IFERROR(__xludf.DUMMYFUNCTION("""COMPUTED_VALUE"""),"Arquitectura")</f>
        <v>Arquitectura</v>
      </c>
      <c r="J21" s="1" t="str">
        <f>IFERROR(__xludf.DUMMYFUNCTION("""COMPUTED_VALUE"""),"Arquitecturas")</f>
        <v>Arquitecturas</v>
      </c>
      <c r="K21" s="1" t="str">
        <f>IFERROR(__xludf.DUMMYFUNCTION("""COMPUTED_VALUE"""),"Antigua")</f>
        <v>Antigua</v>
      </c>
      <c r="L21" s="1" t="str">
        <f>IFERROR(__xludf.DUMMYFUNCTION("""COMPUTED_VALUE"""),"Admisión Ordinaria")</f>
        <v>Admisión Ordinaria</v>
      </c>
      <c r="M21" s="1" t="str">
        <f>IFERROR(__xludf.DUMMYFUNCTION("""COMPUTED_VALUE"""),"Semi-presencial")</f>
        <v>Semi-presencial</v>
      </c>
      <c r="N21" s="1" t="str">
        <f>IFERROR(__xludf.DUMMYFUNCTION("""COMPUTED_VALUE"""),"Diurno")</f>
        <v>Diurno</v>
      </c>
      <c r="O21" s="1" t="str">
        <f>IFERROR(__xludf.DUMMYFUNCTION("""COMPUTED_VALUE"""),"NUEVO")</f>
        <v>NUEVO</v>
      </c>
      <c r="P21" s="1" t="str">
        <f>IFERROR(__xludf.DUMMYFUNCTION("""COMPUTED_VALUE"""),"RECA")</f>
        <v>RECA</v>
      </c>
      <c r="Q21" s="1" t="str">
        <f>IFERROR(__xludf.DUMMYFUNCTION("""COMPUTED_VALUE"""),"RECATEGORIZACIÓN")</f>
        <v>RECATEGORIZACIÓN</v>
      </c>
      <c r="R21" s="1" t="str">
        <f>IFERROR(__xludf.DUMMYFUNCTION("""COMPUTED_VALUE"""),"PALANCA 500")</f>
        <v>PALANCA 500</v>
      </c>
      <c r="S21" s="1" t="str">
        <f>IFERROR(__xludf.DUMMYFUNCTION("""COMPUTED_VALUE"""),"RODRIGO")</f>
        <v>RODRIGO</v>
      </c>
      <c r="T21" s="3">
        <f>IFERROR(__xludf.DUMMYFUNCTION("""COMPUTED_VALUE"""),45734.0)</f>
        <v>45734</v>
      </c>
      <c r="U21" s="1" t="str">
        <f>IFERROR(__xludf.DUMMYFUNCTION("""COMPUTED_VALUE"""),"CARGO")</f>
        <v>CARGO</v>
      </c>
      <c r="V21" s="1" t="str">
        <f>IFERROR(__xludf.DUMMYFUNCTION("""COMPUTED_VALUE"""),"PAGO COMPLETO")</f>
        <v>PAGO COMPLETO</v>
      </c>
      <c r="W21" s="4">
        <f>IFERROR(__xludf.DUMMYFUNCTION("""COMPUTED_VALUE"""),0.0)</f>
        <v>0</v>
      </c>
      <c r="X21" s="1" t="str">
        <f>IFERROR(__xludf.DUMMYFUNCTION("""COMPUTED_VALUE"""),"-")</f>
        <v>-</v>
      </c>
      <c r="Y21" s="2">
        <f>IFERROR(__xludf.DUMMYFUNCTION("""COMPUTED_VALUE"""),45734.0)</f>
        <v>45734</v>
      </c>
      <c r="Z21" s="1" t="str">
        <f>IFERROR(__xludf.DUMMYFUNCTION("""COMPUTED_VALUE"""),"PAGO COMPLETO")</f>
        <v>PAGO COMPLETO</v>
      </c>
      <c r="AA21" s="1" t="str">
        <f>IFERROR(__xludf.DUMMYFUNCTION("""COMPUTED_VALUE"""),"0")</f>
        <v>0</v>
      </c>
      <c r="AB21" s="1"/>
      <c r="AC21" s="4">
        <f>IFERROR(__xludf.DUMMYFUNCTION("""COMPUTED_VALUE"""),125.0)</f>
        <v>125</v>
      </c>
      <c r="AD21" s="4">
        <f>IFERROR(__xludf.DUMMYFUNCTION("""COMPUTED_VALUE"""),237.5)</f>
        <v>237.5</v>
      </c>
      <c r="AE21" s="4">
        <f>IFERROR(__xludf.DUMMYFUNCTION("""COMPUTED_VALUE"""),1500.0)</f>
        <v>1500</v>
      </c>
      <c r="AF21" s="4">
        <f>IFERROR(__xludf.DUMMYFUNCTION("""COMPUTED_VALUE"""),1350.0)</f>
        <v>1350</v>
      </c>
      <c r="AG21" s="1">
        <f>IFERROR(__xludf.DUMMYFUNCTION("""COMPUTED_VALUE"""),0.0)</f>
        <v>0</v>
      </c>
      <c r="AH21" s="1">
        <f>IFERROR(__xludf.DUMMYFUNCTION("""COMPUTED_VALUE"""),0.0)</f>
        <v>0</v>
      </c>
      <c r="AI21" s="1">
        <f>IFERROR(__xludf.DUMMYFUNCTION("""COMPUTED_VALUE"""),1.0)</f>
        <v>1</v>
      </c>
      <c r="AJ21" s="1">
        <f>IFERROR(__xludf.DUMMYFUNCTION("""COMPUTED_VALUE"""),871061.0)</f>
        <v>871061</v>
      </c>
      <c r="AK21" s="1" t="str">
        <f>IFERROR(__xludf.DUMMYFUNCTION("""COMPUTED_VALUE"""),"10 kms a 15 kms")</f>
        <v>10 kms a 15 kms</v>
      </c>
      <c r="AL21" s="1" t="str">
        <f>IFERROR(__xludf.DUMMYFUNCTION("""COMPUTED_VALUE"""),"06 551 a 800")</f>
        <v>06 551 a 800</v>
      </c>
      <c r="AM21" s="1" t="str">
        <f>IFERROR(__xludf.DUMMYFUNCTION("""COMPUTED_VALUE"""),"-")</f>
        <v>-</v>
      </c>
      <c r="AN21" s="1" t="str">
        <f>IFERROR(__xludf.DUMMYFUNCTION("""COMPUTED_VALUE""")," -")</f>
        <v> -</v>
      </c>
      <c r="AO21" s="1">
        <f>IFERROR(__xludf.DUMMYFUNCTION("""COMPUTED_VALUE"""),2012.0)</f>
        <v>2012</v>
      </c>
      <c r="AP21" s="3">
        <f>IFERROR(__xludf.DUMMYFUNCTION("""COMPUTED_VALUE"""),45717.0)</f>
        <v>45717</v>
      </c>
      <c r="AQ21" s="2">
        <f>IFERROR(__xludf.DUMMYFUNCTION("""COMPUTED_VALUE"""),45733.0)</f>
        <v>45733</v>
      </c>
      <c r="AR21" s="2">
        <f>IFERROR(__xludf.DUMMYFUNCTION("""COMPUTED_VALUE"""),45734.0)</f>
        <v>45734</v>
      </c>
      <c r="AS21" s="2">
        <f>IFERROR(__xludf.DUMMYFUNCTION("""COMPUTED_VALUE"""),45717.0)</f>
        <v>45717</v>
      </c>
      <c r="AT21" s="2">
        <f>IFERROR(__xludf.DUMMYFUNCTION("""COMPUTED_VALUE"""),45712.0)</f>
        <v>45712</v>
      </c>
      <c r="AU21" s="1">
        <f>IFERROR(__xludf.DUMMYFUNCTION("""COMPUTED_VALUE"""),0.0)</f>
        <v>0</v>
      </c>
      <c r="AV21" s="1" t="str">
        <f>IFERROR(__xludf.DUMMYFUNCTION("""COMPUTED_VALUE"""),"DIGITAL")</f>
        <v>DIGITAL</v>
      </c>
      <c r="AW21" s="1" t="str">
        <f>IFERROR(__xludf.DUMMYFUNCTION("""COMPUTED_VALUE"""),"FORMULARIO")</f>
        <v>FORMULARIO</v>
      </c>
      <c r="AX21" s="1" t="str">
        <f>IFERROR(__xludf.DUMMYFUNCTION("""COMPUTED_VALUE"""),"ORGANICO")</f>
        <v>ORGANICO</v>
      </c>
      <c r="AY21" s="1">
        <f>IFERROR(__xludf.DUMMYFUNCTION("""COMPUTED_VALUE"""),1.0)</f>
        <v>1</v>
      </c>
      <c r="AZ21" s="1" t="str">
        <f>IFERROR(__xludf.DUMMYFUNCTION("""COMPUTED_VALUE"""),"Angelica Iparraguirre")</f>
        <v>Angelica Iparraguirre</v>
      </c>
      <c r="BA21" s="5">
        <f>IFERROR(__xludf.DUMMYFUNCTION("""COMPUTED_VALUE"""),1.0)</f>
        <v>1</v>
      </c>
      <c r="BB21" s="6">
        <f>IFERROR(__xludf.DUMMYFUNCTION("""COMPUTED_VALUE"""),1180.0)</f>
        <v>1180</v>
      </c>
      <c r="BC21" s="1"/>
      <c r="BD21" s="1" t="str">
        <f>IFERROR(__xludf.DUMMYFUNCTION("""COMPUTED_VALUE""")," -")</f>
        <v> -</v>
      </c>
      <c r="BE21" s="1">
        <f>IFERROR(__xludf.DUMMYFUNCTION("""COMPUTED_VALUE"""),1.0)</f>
        <v>1</v>
      </c>
      <c r="BF21" s="1">
        <f>IFERROR(__xludf.DUMMYFUNCTION("""COMPUTED_VALUE"""),0.0)</f>
        <v>0</v>
      </c>
      <c r="BG21" s="1"/>
      <c r="BH21" s="1" t="str">
        <f>IFERROR(__xludf.DUMMYFUNCTION("""COMPUTED_VALUE"""),"No aplica")</f>
        <v>No aplica</v>
      </c>
      <c r="BI21" s="1">
        <f>IFERROR(__xludf.DUMMYFUNCTION("""COMPUTED_VALUE"""),0.0)</f>
        <v>0</v>
      </c>
      <c r="BJ21" s="1" t="str">
        <f>IFERROR(__xludf.DUMMYFUNCTION("""COMPUTED_VALUE"""),"NUEVO")</f>
        <v>NUEVO</v>
      </c>
    </row>
    <row r="22">
      <c r="A22" s="1">
        <f>IFERROR(__xludf.DUMMYFUNCTION("""COMPUTED_VALUE"""),21.0)</f>
        <v>21</v>
      </c>
      <c r="B22" s="1">
        <f>IFERROR(__xludf.DUMMYFUNCTION("""COMPUTED_VALUE"""),2867387.0)</f>
        <v>2867387</v>
      </c>
      <c r="C22" s="1" t="str">
        <f>IFERROR(__xludf.DUMMYFUNCTION("""COMPUTED_VALUE"""),"0000135304")</f>
        <v>0000135304</v>
      </c>
      <c r="D22" s="1" t="str">
        <f>IFERROR(__xludf.DUMMYFUNCTION("""COMPUTED_VALUE"""),"SARUMY EDITH")</f>
        <v>SARUMY EDITH</v>
      </c>
      <c r="E22" s="2" t="str">
        <f>IFERROR(__xludf.DUMMYFUNCTION("""COMPUTED_VALUE"""),"RAMOS GONZALES")</f>
        <v>RAMOS GONZALES</v>
      </c>
      <c r="F22" s="1">
        <f>IFERROR(__xludf.DUMMYFUNCTION("""COMPUTED_VALUE"""),7.3031263E7)</f>
        <v>73031263</v>
      </c>
      <c r="G22" s="1">
        <f>IFERROR(__xludf.DUMMYFUNCTION("""COMPUTED_VALUE"""),9.12689351E8)</f>
        <v>912689351</v>
      </c>
      <c r="H22" s="1" t="str">
        <f>IFERROR(__xludf.DUMMYFUNCTION("""COMPUTED_VALUE"""),"ramosgsarumy@gmail.com")</f>
        <v>ramosgsarumy@gmail.com</v>
      </c>
      <c r="I22" s="1" t="str">
        <f>IFERROR(__xludf.DUMMYFUNCTION("""COMPUTED_VALUE"""),"Administración y Negocios Internacionales")</f>
        <v>Administración y Negocios Internacionales</v>
      </c>
      <c r="J22" s="1" t="str">
        <f>IFERROR(__xludf.DUMMYFUNCTION("""COMPUTED_VALUE"""),"Negocios")</f>
        <v>Negocios</v>
      </c>
      <c r="K22" s="1" t="str">
        <f>IFERROR(__xludf.DUMMYFUNCTION("""COMPUTED_VALUE"""),"Nueva")</f>
        <v>Nueva</v>
      </c>
      <c r="L22" s="1" t="str">
        <f>IFERROR(__xludf.DUMMYFUNCTION("""COMPUTED_VALUE"""),"Admisión Extraordinaria (Traslados)")</f>
        <v>Admisión Extraordinaria (Traslados)</v>
      </c>
      <c r="M22" s="1" t="str">
        <f>IFERROR(__xludf.DUMMYFUNCTION("""COMPUTED_VALUE"""),"Semi-presencial")</f>
        <v>Semi-presencial</v>
      </c>
      <c r="N22" s="1" t="str">
        <f>IFERROR(__xludf.DUMMYFUNCTION("""COMPUTED_VALUE"""),"Diurno")</f>
        <v>Diurno</v>
      </c>
      <c r="O22" s="1" t="str">
        <f>IFERROR(__xludf.DUMMYFUNCTION("""COMPUTED_VALUE"""),"TRASLADO CON CONVA")</f>
        <v>TRASLADO CON CONVA</v>
      </c>
      <c r="P22" s="1" t="str">
        <f>IFERROR(__xludf.DUMMYFUNCTION("""COMPUTED_VALUE"""),"ESCALA REGULAR")</f>
        <v>ESCALA REGULAR</v>
      </c>
      <c r="Q22" s="1" t="str">
        <f>IFERROR(__xludf.DUMMYFUNCTION("""COMPUTED_VALUE"""),"NINGUNO")</f>
        <v>NINGUNO</v>
      </c>
      <c r="R22" s="1" t="str">
        <f>IFERROR(__xludf.DUMMYFUNCTION("""COMPUTED_VALUE"""),"NINGUNO")</f>
        <v>NINGUNO</v>
      </c>
      <c r="S22" s="1" t="str">
        <f>IFERROR(__xludf.DUMMYFUNCTION("""COMPUTED_VALUE"""),"-")</f>
        <v>-</v>
      </c>
      <c r="T22" s="3">
        <f>IFERROR(__xludf.DUMMYFUNCTION("""COMPUTED_VALUE"""),45736.0)</f>
        <v>45736</v>
      </c>
      <c r="U22" s="1" t="str">
        <f>IFERROR(__xludf.DUMMYFUNCTION("""COMPUTED_VALUE"""),"CARGO")</f>
        <v>CARGO</v>
      </c>
      <c r="V22" s="1" t="str">
        <f>IFERROR(__xludf.DUMMYFUNCTION("""COMPUTED_VALUE"""),"PAGO FRACCIONADO")</f>
        <v>PAGO FRACCIONADO</v>
      </c>
      <c r="W22" s="4">
        <f>IFERROR(__xludf.DUMMYFUNCTION("""COMPUTED_VALUE"""),0.0)</f>
        <v>0</v>
      </c>
      <c r="X22" s="1" t="str">
        <f>IFERROR(__xludf.DUMMYFUNCTION("""COMPUTED_VALUE"""),"30/04/2025")</f>
        <v>30/04/2025</v>
      </c>
      <c r="Y22" s="2">
        <f>IFERROR(__xludf.DUMMYFUNCTION("""COMPUTED_VALUE"""),45782.0)</f>
        <v>45782</v>
      </c>
      <c r="Z22" s="1" t="str">
        <f>IFERROR(__xludf.DUMMYFUNCTION("""COMPUTED_VALUE"""),"PAGO COMPLETO")</f>
        <v>PAGO COMPLETO</v>
      </c>
      <c r="AA22" s="1"/>
      <c r="AB22" s="1"/>
      <c r="AC22" s="4">
        <f>IFERROR(__xludf.DUMMYFUNCTION("""COMPUTED_VALUE"""),0.0)</f>
        <v>0</v>
      </c>
      <c r="AD22" s="4">
        <f>IFERROR(__xludf.DUMMYFUNCTION("""COMPUTED_VALUE"""),0.0)</f>
        <v>0</v>
      </c>
      <c r="AE22" s="4">
        <f>IFERROR(__xludf.DUMMYFUNCTION("""COMPUTED_VALUE"""),750.0)</f>
        <v>750</v>
      </c>
      <c r="AF22" s="4">
        <f>IFERROR(__xludf.DUMMYFUNCTION("""COMPUTED_VALUE"""),750.0)</f>
        <v>750</v>
      </c>
      <c r="AG22" s="1">
        <f>IFERROR(__xludf.DUMMYFUNCTION("""COMPUTED_VALUE"""),0.0)</f>
        <v>0</v>
      </c>
      <c r="AH22" s="1">
        <f>IFERROR(__xludf.DUMMYFUNCTION("""COMPUTED_VALUE"""),0.0)</f>
        <v>0</v>
      </c>
      <c r="AI22" s="1">
        <f>IFERROR(__xludf.DUMMYFUNCTION("""COMPUTED_VALUE"""),0.0)</f>
        <v>0</v>
      </c>
      <c r="AJ22" s="1">
        <f>IFERROR(__xludf.DUMMYFUNCTION("""COMPUTED_VALUE"""),901355.0)</f>
        <v>901355</v>
      </c>
      <c r="AK22" s="1"/>
      <c r="AL22" s="1"/>
      <c r="AM22" s="1" t="str">
        <f>IFERROR(__xludf.DUMMYFUNCTION("""COMPUTED_VALUE"""),"Certus")</f>
        <v>Certus</v>
      </c>
      <c r="AN22" s="1" t="str">
        <f>IFERROR(__xludf.DUMMYFUNCTION("""COMPUTED_VALUE""")," ")</f>
        <v> </v>
      </c>
      <c r="AO22" s="1">
        <f>IFERROR(__xludf.DUMMYFUNCTION("""COMPUTED_VALUE"""),0.0)</f>
        <v>0</v>
      </c>
      <c r="AP22" s="3">
        <f>IFERROR(__xludf.DUMMYFUNCTION("""COMPUTED_VALUE"""),45717.0)</f>
        <v>45717</v>
      </c>
      <c r="AQ22" s="2">
        <f>IFERROR(__xludf.DUMMYFUNCTION("""COMPUTED_VALUE"""),45782.0)</f>
        <v>45782</v>
      </c>
      <c r="AR22" s="2">
        <f>IFERROR(__xludf.DUMMYFUNCTION("""COMPUTED_VALUE"""),45668.0)</f>
        <v>45668</v>
      </c>
      <c r="AS22" s="2">
        <f>IFERROR(__xludf.DUMMYFUNCTION("""COMPUTED_VALUE"""),45658.0)</f>
        <v>45658</v>
      </c>
      <c r="AT22" s="2">
        <f>IFERROR(__xludf.DUMMYFUNCTION("""COMPUTED_VALUE"""),45656.0)</f>
        <v>45656</v>
      </c>
      <c r="AU22" s="1">
        <f>IFERROR(__xludf.DUMMYFUNCTION("""COMPUTED_VALUE"""),114.0)</f>
        <v>114</v>
      </c>
      <c r="AV22" s="1" t="str">
        <f>IFERROR(__xludf.DUMMYFUNCTION("""COMPUTED_VALUE"""),"OUTBOUND")</f>
        <v>OUTBOUND</v>
      </c>
      <c r="AW22" s="1" t="str">
        <f>IFERROR(__xludf.DUMMYFUNCTION("""COMPUTED_VALUE"""),"OUTBOUND")</f>
        <v>OUTBOUND</v>
      </c>
      <c r="AX22" s="1" t="str">
        <f>IFERROR(__xludf.DUMMYFUNCTION("""COMPUTED_VALUE"""),"OUTBOUND")</f>
        <v>OUTBOUND</v>
      </c>
      <c r="AY22" s="1">
        <f>IFERROR(__xludf.DUMMYFUNCTION("""COMPUTED_VALUE"""),1.0)</f>
        <v>1</v>
      </c>
      <c r="AZ22" s="1" t="str">
        <f>IFERROR(__xludf.DUMMYFUNCTION("""COMPUTED_VALUE"""),"Andrea Crisanto")</f>
        <v>Andrea Crisanto</v>
      </c>
      <c r="BA22" s="5">
        <f>IFERROR(__xludf.DUMMYFUNCTION("""COMPUTED_VALUE"""),1.0)</f>
        <v>1</v>
      </c>
      <c r="BB22" s="6">
        <f>IFERROR(__xludf.DUMMYFUNCTION("""COMPUTED_VALUE"""),750.0)</f>
        <v>750</v>
      </c>
      <c r="BC22" s="1"/>
      <c r="BD22" s="1" t="str">
        <f>IFERROR(__xludf.DUMMYFUNCTION("""COMPUTED_VALUE""")," -")</f>
        <v> -</v>
      </c>
      <c r="BE22" s="1">
        <f>IFERROR(__xludf.DUMMYFUNCTION("""COMPUTED_VALUE"""),1.0)</f>
        <v>1</v>
      </c>
      <c r="BF22" s="1">
        <f>IFERROR(__xludf.DUMMYFUNCTION("""COMPUTED_VALUE"""),0.0)</f>
        <v>0</v>
      </c>
      <c r="BG22" s="1"/>
      <c r="BH22" s="1" t="str">
        <f>IFERROR(__xludf.DUMMYFUNCTION("""COMPUTED_VALUE"""),"No aplica")</f>
        <v>No aplica</v>
      </c>
      <c r="BI22" s="1">
        <f>IFERROR(__xludf.DUMMYFUNCTION("""COMPUTED_VALUE"""),1.0)</f>
        <v>1</v>
      </c>
      <c r="BJ22" s="1" t="str">
        <f>IFERROR(__xludf.DUMMYFUNCTION("""COMPUTED_VALUE"""),"TRASLADO")</f>
        <v>TRASLADO</v>
      </c>
    </row>
    <row r="23">
      <c r="A23" s="1">
        <f>IFERROR(__xludf.DUMMYFUNCTION("""COMPUTED_VALUE"""),22.0)</f>
        <v>22</v>
      </c>
      <c r="B23" s="1">
        <f>IFERROR(__xludf.DUMMYFUNCTION("""COMPUTED_VALUE"""),3070938.0)</f>
        <v>3070938</v>
      </c>
      <c r="C23" s="1" t="str">
        <f>IFERROR(__xludf.DUMMYFUNCTION("""COMPUTED_VALUE"""),"0000128078")</f>
        <v>0000128078</v>
      </c>
      <c r="D23" s="1" t="str">
        <f>IFERROR(__xludf.DUMMYFUNCTION("""COMPUTED_VALUE"""),"DIEGO DAVID")</f>
        <v>DIEGO DAVID</v>
      </c>
      <c r="E23" s="2" t="str">
        <f>IFERROR(__xludf.DUMMYFUNCTION("""COMPUTED_VALUE"""),"ZELADA SALDAÑA")</f>
        <v>ZELADA SALDAÑA</v>
      </c>
      <c r="F23" s="1">
        <f>IFERROR(__xludf.DUMMYFUNCTION("""COMPUTED_VALUE"""),7.0489969E7)</f>
        <v>70489969</v>
      </c>
      <c r="G23" s="1">
        <f>IFERROR(__xludf.DUMMYFUNCTION("""COMPUTED_VALUE"""),9.62916005E8)</f>
        <v>962916005</v>
      </c>
      <c r="H23" s="1" t="str">
        <f>IFERROR(__xludf.DUMMYFUNCTION("""COMPUTED_VALUE"""),"zdiegodavid4@gmail.com")</f>
        <v>zdiegodavid4@gmail.com</v>
      </c>
      <c r="I23" s="1" t="str">
        <f>IFERROR(__xludf.DUMMYFUNCTION("""COMPUTED_VALUE"""),"Negocios Internacionales e Innovación")</f>
        <v>Negocios Internacionales e Innovación</v>
      </c>
      <c r="J23" s="1" t="str">
        <f>IFERROR(__xludf.DUMMYFUNCTION("""COMPUTED_VALUE"""),"Negocios")</f>
        <v>Negocios</v>
      </c>
      <c r="K23" s="1" t="str">
        <f>IFERROR(__xludf.DUMMYFUNCTION("""COMPUTED_VALUE"""),"Nueva")</f>
        <v>Nueva</v>
      </c>
      <c r="L23" s="1" t="str">
        <f>IFERROR(__xludf.DUMMYFUNCTION("""COMPUTED_VALUE"""),"Admisión Extraordinaria (Traslados)")</f>
        <v>Admisión Extraordinaria (Traslados)</v>
      </c>
      <c r="M23" s="1" t="str">
        <f>IFERROR(__xludf.DUMMYFUNCTION("""COMPUTED_VALUE"""),"Semi-presencial")</f>
        <v>Semi-presencial</v>
      </c>
      <c r="N23" s="1" t="str">
        <f>IFERROR(__xludf.DUMMYFUNCTION("""COMPUTED_VALUE"""),"Diurno")</f>
        <v>Diurno</v>
      </c>
      <c r="O23" s="1" t="str">
        <f>IFERROR(__xludf.DUMMYFUNCTION("""COMPUTED_VALUE"""),"TRASLADO CON CONVA")</f>
        <v>TRASLADO CON CONVA</v>
      </c>
      <c r="P23" s="1" t="str">
        <f>IFERROR(__xludf.DUMMYFUNCTION("""COMPUTED_VALUE"""),"ESCALA REGULAR")</f>
        <v>ESCALA REGULAR</v>
      </c>
      <c r="Q23" s="1" t="str">
        <f>IFERROR(__xludf.DUMMYFUNCTION("""COMPUTED_VALUE"""),"NINGUNO")</f>
        <v>NINGUNO</v>
      </c>
      <c r="R23" s="1" t="str">
        <f>IFERROR(__xludf.DUMMYFUNCTION("""COMPUTED_VALUE"""),"NINGUNO")</f>
        <v>NINGUNO</v>
      </c>
      <c r="S23" s="1" t="str">
        <f>IFERROR(__xludf.DUMMYFUNCTION("""COMPUTED_VALUE"""),"-")</f>
        <v>-</v>
      </c>
      <c r="T23" s="3">
        <f>IFERROR(__xludf.DUMMYFUNCTION("""COMPUTED_VALUE"""),45738.0)</f>
        <v>45738</v>
      </c>
      <c r="U23" s="1" t="str">
        <f>IFERROR(__xludf.DUMMYFUNCTION("""COMPUTED_VALUE"""),"Pago Link")</f>
        <v>Pago Link</v>
      </c>
      <c r="V23" s="1" t="str">
        <f>IFERROR(__xludf.DUMMYFUNCTION("""COMPUTED_VALUE"""),"PAGO FRACCIONADO")</f>
        <v>PAGO FRACCIONADO</v>
      </c>
      <c r="W23" s="4">
        <f>IFERROR(__xludf.DUMMYFUNCTION("""COMPUTED_VALUE"""),0.0)</f>
        <v>0</v>
      </c>
      <c r="X23" s="1" t="str">
        <f>IFERROR(__xludf.DUMMYFUNCTION("""COMPUTED_VALUE"""),"31/05/2025")</f>
        <v>31/05/2025</v>
      </c>
      <c r="Y23" s="2">
        <f>IFERROR(__xludf.DUMMYFUNCTION("""COMPUTED_VALUE"""),45807.0)</f>
        <v>45807</v>
      </c>
      <c r="Z23" s="1" t="str">
        <f>IFERROR(__xludf.DUMMYFUNCTION("""COMPUTED_VALUE"""),"PAGO COMPLETO")</f>
        <v>PAGO COMPLETO</v>
      </c>
      <c r="AA23" s="1"/>
      <c r="AB23" s="1"/>
      <c r="AC23" s="4">
        <f>IFERROR(__xludf.DUMMYFUNCTION("""COMPUTED_VALUE"""),0.0)</f>
        <v>0</v>
      </c>
      <c r="AD23" s="4">
        <f>IFERROR(__xludf.DUMMYFUNCTION("""COMPUTED_VALUE"""),0.0)</f>
        <v>0</v>
      </c>
      <c r="AE23" s="4">
        <f>IFERROR(__xludf.DUMMYFUNCTION("""COMPUTED_VALUE"""),750.0)</f>
        <v>750</v>
      </c>
      <c r="AF23" s="4">
        <f>IFERROR(__xludf.DUMMYFUNCTION("""COMPUTED_VALUE"""),750.0)</f>
        <v>750</v>
      </c>
      <c r="AG23" s="1">
        <f>IFERROR(__xludf.DUMMYFUNCTION("""COMPUTED_VALUE"""),0.0)</f>
        <v>0</v>
      </c>
      <c r="AH23" s="1">
        <f>IFERROR(__xludf.DUMMYFUNCTION("""COMPUTED_VALUE"""),0.0)</f>
        <v>0</v>
      </c>
      <c r="AI23" s="1">
        <f>IFERROR(__xludf.DUMMYFUNCTION("""COMPUTED_VALUE"""),0.0)</f>
        <v>0</v>
      </c>
      <c r="AJ23" s="1">
        <f>IFERROR(__xludf.DUMMYFUNCTION("""COMPUTED_VALUE"""),869248.0)</f>
        <v>869248</v>
      </c>
      <c r="AK23" s="1" t="str">
        <f>IFERROR(__xludf.DUMMYFUNCTION("""COMPUTED_VALUE"""),"Más de 15 kms")</f>
        <v>Más de 15 kms</v>
      </c>
      <c r="AL23" s="1" t="str">
        <f>IFERROR(__xludf.DUMMYFUNCTION("""COMPUTED_VALUE"""),"01 Nacional")</f>
        <v>01 Nacional</v>
      </c>
      <c r="AM23" s="1" t="str">
        <f>IFERROR(__xludf.DUMMYFUNCTION("""COMPUTED_VALUE"""),"Certus")</f>
        <v>Certus</v>
      </c>
      <c r="AN23" s="1" t="str">
        <f>IFERROR(__xludf.DUMMYFUNCTION("""COMPUTED_VALUE""")," ")</f>
        <v> </v>
      </c>
      <c r="AO23" s="1">
        <f>IFERROR(__xludf.DUMMYFUNCTION("""COMPUTED_VALUE"""),2020.0)</f>
        <v>2020</v>
      </c>
      <c r="AP23" s="3">
        <f>IFERROR(__xludf.DUMMYFUNCTION("""COMPUTED_VALUE"""),45717.0)</f>
        <v>45717</v>
      </c>
      <c r="AQ23" s="2">
        <f>IFERROR(__xludf.DUMMYFUNCTION("""COMPUTED_VALUE"""),45803.0)</f>
        <v>45803</v>
      </c>
      <c r="AR23" s="2">
        <f>IFERROR(__xludf.DUMMYFUNCTION("""COMPUTED_VALUE"""),45668.0)</f>
        <v>45668</v>
      </c>
      <c r="AS23" s="2">
        <f>IFERROR(__xludf.DUMMYFUNCTION("""COMPUTED_VALUE"""),45658.0)</f>
        <v>45658</v>
      </c>
      <c r="AT23" s="2">
        <f>IFERROR(__xludf.DUMMYFUNCTION("""COMPUTED_VALUE"""),45656.0)</f>
        <v>45656</v>
      </c>
      <c r="AU23" s="1">
        <f>IFERROR(__xludf.DUMMYFUNCTION("""COMPUTED_VALUE"""),139.0)</f>
        <v>139</v>
      </c>
      <c r="AV23" s="1" t="str">
        <f>IFERROR(__xludf.DUMMYFUNCTION("""COMPUTED_VALUE"""),"OUTBOUND")</f>
        <v>OUTBOUND</v>
      </c>
      <c r="AW23" s="1" t="str">
        <f>IFERROR(__xludf.DUMMYFUNCTION("""COMPUTED_VALUE"""),"OUTBOUND")</f>
        <v>OUTBOUND</v>
      </c>
      <c r="AX23" s="1" t="str">
        <f>IFERROR(__xludf.DUMMYFUNCTION("""COMPUTED_VALUE"""),"OUTBOUND")</f>
        <v>OUTBOUND</v>
      </c>
      <c r="AY23" s="1">
        <f>IFERROR(__xludf.DUMMYFUNCTION("""COMPUTED_VALUE"""),1.0)</f>
        <v>1</v>
      </c>
      <c r="AZ23" s="1" t="str">
        <f>IFERROR(__xludf.DUMMYFUNCTION("""COMPUTED_VALUE"""),"Andrea Crisanto")</f>
        <v>Andrea Crisanto</v>
      </c>
      <c r="BA23" s="5">
        <f>IFERROR(__xludf.DUMMYFUNCTION("""COMPUTED_VALUE"""),1.0)</f>
        <v>1</v>
      </c>
      <c r="BB23" s="6">
        <f>IFERROR(__xludf.DUMMYFUNCTION("""COMPUTED_VALUE"""),750.0)</f>
        <v>750</v>
      </c>
      <c r="BC23" s="1"/>
      <c r="BD23" s="1" t="str">
        <f>IFERROR(__xludf.DUMMYFUNCTION("""COMPUTED_VALUE""")," -")</f>
        <v> -</v>
      </c>
      <c r="BE23" s="1">
        <f>IFERROR(__xludf.DUMMYFUNCTION("""COMPUTED_VALUE"""),1.0)</f>
        <v>1</v>
      </c>
      <c r="BF23" s="1">
        <f>IFERROR(__xludf.DUMMYFUNCTION("""COMPUTED_VALUE"""),0.0)</f>
        <v>0</v>
      </c>
      <c r="BG23" s="1"/>
      <c r="BH23" s="1" t="str">
        <f>IFERROR(__xludf.DUMMYFUNCTION("""COMPUTED_VALUE"""),"No aplica")</f>
        <v>No aplica</v>
      </c>
      <c r="BI23" s="1">
        <f>IFERROR(__xludf.DUMMYFUNCTION("""COMPUTED_VALUE"""),1.0)</f>
        <v>1</v>
      </c>
      <c r="BJ23" s="1" t="str">
        <f>IFERROR(__xludf.DUMMYFUNCTION("""COMPUTED_VALUE"""),"TRASLADO")</f>
        <v>TRASLADO</v>
      </c>
    </row>
    <row r="24">
      <c r="A24" s="1">
        <f>IFERROR(__xludf.DUMMYFUNCTION("""COMPUTED_VALUE"""),23.0)</f>
        <v>23</v>
      </c>
      <c r="B24" s="1">
        <f>IFERROR(__xludf.DUMMYFUNCTION("""COMPUTED_VALUE"""),1035059.0)</f>
        <v>1035059</v>
      </c>
      <c r="C24" s="1" t="str">
        <f>IFERROR(__xludf.DUMMYFUNCTION("""COMPUTED_VALUE"""),"0000026969")</f>
        <v>0000026969</v>
      </c>
      <c r="D24" s="1" t="str">
        <f>IFERROR(__xludf.DUMMYFUNCTION("""COMPUTED_VALUE"""),"DANNA FRESSIA VERONICA")</f>
        <v>DANNA FRESSIA VERONICA</v>
      </c>
      <c r="E24" s="2" t="str">
        <f>IFERROR(__xludf.DUMMYFUNCTION("""COMPUTED_VALUE"""),"ETCHEBARNE VALDIVIA")</f>
        <v>ETCHEBARNE VALDIVIA</v>
      </c>
      <c r="F24" s="1">
        <f>IFERROR(__xludf.DUMMYFUNCTION("""COMPUTED_VALUE"""),7.0263987E7)</f>
        <v>70263987</v>
      </c>
      <c r="G24" s="1">
        <f>IFERROR(__xludf.DUMMYFUNCTION("""COMPUTED_VALUE"""),9.80532041E8)</f>
        <v>980532041</v>
      </c>
      <c r="H24" s="1" t="str">
        <f>IFERROR(__xludf.DUMMYFUNCTION("""COMPUTED_VALUE"""),"fressia.d.v@gmail.com")</f>
        <v>fressia.d.v@gmail.com</v>
      </c>
      <c r="I24" s="1" t="str">
        <f>IFERROR(__xludf.DUMMYFUNCTION("""COMPUTED_VALUE"""),"Diseño Gráfico Publicitario")</f>
        <v>Diseño Gráfico Publicitario</v>
      </c>
      <c r="J24" s="1" t="str">
        <f>IFERROR(__xludf.DUMMYFUNCTION("""COMPUTED_VALUE"""),"Diseño")</f>
        <v>Diseño</v>
      </c>
      <c r="K24" s="1" t="str">
        <f>IFERROR(__xludf.DUMMYFUNCTION("""COMPUTED_VALUE"""),"Antigua")</f>
        <v>Antigua</v>
      </c>
      <c r="L24" s="1" t="str">
        <f>IFERROR(__xludf.DUMMYFUNCTION("""COMPUTED_VALUE"""),"Admisión Extraordinaria (Traslados)")</f>
        <v>Admisión Extraordinaria (Traslados)</v>
      </c>
      <c r="M24" s="1" t="str">
        <f>IFERROR(__xludf.DUMMYFUNCTION("""COMPUTED_VALUE"""),"Semi-presencial")</f>
        <v>Semi-presencial</v>
      </c>
      <c r="N24" s="1" t="str">
        <f>IFERROR(__xludf.DUMMYFUNCTION("""COMPUTED_VALUE"""),"Diurno")</f>
        <v>Diurno</v>
      </c>
      <c r="O24" s="1" t="str">
        <f>IFERROR(__xludf.DUMMYFUNCTION("""COMPUTED_VALUE"""),"TRASLADO CON CONVA")</f>
        <v>TRASLADO CON CONVA</v>
      </c>
      <c r="P24" s="1" t="str">
        <f>IFERROR(__xludf.DUMMYFUNCTION("""COMPUTED_VALUE"""),"RECA")</f>
        <v>RECA</v>
      </c>
      <c r="Q24" s="1" t="str">
        <f>IFERROR(__xludf.DUMMYFUNCTION("""COMPUTED_VALUE"""),"RECATEGORIZACIÓN")</f>
        <v>RECATEGORIZACIÓN</v>
      </c>
      <c r="R24" s="1" t="str">
        <f>IFERROR(__xludf.DUMMYFUNCTION("""COMPUTED_VALUE"""),"Reconocemos tu primera boleta")</f>
        <v>Reconocemos tu primera boleta</v>
      </c>
      <c r="S24" s="1" t="str">
        <f>IFERROR(__xludf.DUMMYFUNCTION("""COMPUTED_VALUE"""),"FABIOLA")</f>
        <v>FABIOLA</v>
      </c>
      <c r="T24" s="3">
        <f>IFERROR(__xludf.DUMMYFUNCTION("""COMPUTED_VALUE"""),45741.0)</f>
        <v>45741</v>
      </c>
      <c r="U24" s="1" t="str">
        <f>IFERROR(__xludf.DUMMYFUNCTION("""COMPUTED_VALUE"""),"POS")</f>
        <v>POS</v>
      </c>
      <c r="V24" s="1" t="str">
        <f>IFERROR(__xludf.DUMMYFUNCTION("""COMPUTED_VALUE"""),"PAGO COMPLETO")</f>
        <v>PAGO COMPLETO</v>
      </c>
      <c r="W24" s="4">
        <f>IFERROR(__xludf.DUMMYFUNCTION("""COMPUTED_VALUE"""),0.0)</f>
        <v>0</v>
      </c>
      <c r="X24" s="1" t="str">
        <f>IFERROR(__xludf.DUMMYFUNCTION("""COMPUTED_VALUE"""),"-")</f>
        <v>-</v>
      </c>
      <c r="Y24" s="2">
        <f>IFERROR(__xludf.DUMMYFUNCTION("""COMPUTED_VALUE"""),45741.0)</f>
        <v>45741</v>
      </c>
      <c r="Z24" s="1" t="str">
        <f>IFERROR(__xludf.DUMMYFUNCTION("""COMPUTED_VALUE"""),"PAGO COMPLETO")</f>
        <v>PAGO COMPLETO</v>
      </c>
      <c r="AA24" s="1" t="str">
        <f>IFERROR(__xludf.DUMMYFUNCTION("""COMPUTED_VALUE"""),"1")</f>
        <v>1</v>
      </c>
      <c r="AB24" s="1"/>
      <c r="AC24" s="4">
        <f>IFERROR(__xludf.DUMMYFUNCTION("""COMPUTED_VALUE"""),100.0)</f>
        <v>100</v>
      </c>
      <c r="AD24" s="4">
        <f>IFERROR(__xludf.DUMMYFUNCTION("""COMPUTED_VALUE"""),250.0)</f>
        <v>250</v>
      </c>
      <c r="AE24" s="4">
        <f>IFERROR(__xludf.DUMMYFUNCTION("""COMPUTED_VALUE"""),1050.0)</f>
        <v>1050</v>
      </c>
      <c r="AF24" s="4">
        <f>IFERROR(__xludf.DUMMYFUNCTION("""COMPUTED_VALUE"""),1050.0)</f>
        <v>1050</v>
      </c>
      <c r="AG24" s="1">
        <f>IFERROR(__xludf.DUMMYFUNCTION("""COMPUTED_VALUE"""),0.0)</f>
        <v>0</v>
      </c>
      <c r="AH24" s="1">
        <f>IFERROR(__xludf.DUMMYFUNCTION("""COMPUTED_VALUE"""),0.0)</f>
        <v>0</v>
      </c>
      <c r="AI24" s="1">
        <f>IFERROR(__xludf.DUMMYFUNCTION("""COMPUTED_VALUE"""),1.0)</f>
        <v>1</v>
      </c>
      <c r="AJ24" s="1">
        <f>IFERROR(__xludf.DUMMYFUNCTION("""COMPUTED_VALUE"""),1673045.0)</f>
        <v>1673045</v>
      </c>
      <c r="AK24" s="1" t="str">
        <f>IFERROR(__xludf.DUMMYFUNCTION("""COMPUTED_VALUE"""),"Más de 15 kms")</f>
        <v>Más de 15 kms</v>
      </c>
      <c r="AL24" s="1" t="str">
        <f>IFERROR(__xludf.DUMMYFUNCTION("""COMPUTED_VALUE"""),"05 301 a 550")</f>
        <v>05 301 a 550</v>
      </c>
      <c r="AM24" s="1" t="str">
        <f>IFERROR(__xludf.DUMMYFUNCTION("""COMPUTED_VALUE"""),"Instituto de Educación Superior Tecnológico Privado Toulouse Lautrec")</f>
        <v>Instituto de Educación Superior Tecnológico Privado Toulouse Lautrec</v>
      </c>
      <c r="AN24" s="1" t="str">
        <f>IFERROR(__xludf.DUMMYFUNCTION("""COMPUTED_VALUE""")," -")</f>
        <v> -</v>
      </c>
      <c r="AO24" s="1">
        <f>IFERROR(__xludf.DUMMYFUNCTION("""COMPUTED_VALUE"""),2022.0)</f>
        <v>2022</v>
      </c>
      <c r="AP24" s="3">
        <f>IFERROR(__xludf.DUMMYFUNCTION("""COMPUTED_VALUE"""),45717.0)</f>
        <v>45717</v>
      </c>
      <c r="AQ24" s="2">
        <f>IFERROR(__xludf.DUMMYFUNCTION("""COMPUTED_VALUE"""),45740.0)</f>
        <v>45740</v>
      </c>
      <c r="AR24" s="2">
        <f>IFERROR(__xludf.DUMMYFUNCTION("""COMPUTED_VALUE"""),45741.0)</f>
        <v>45741</v>
      </c>
      <c r="AS24" s="2">
        <f>IFERROR(__xludf.DUMMYFUNCTION("""COMPUTED_VALUE"""),45717.0)</f>
        <v>45717</v>
      </c>
      <c r="AT24" s="2">
        <f>IFERROR(__xludf.DUMMYFUNCTION("""COMPUTED_VALUE"""),45712.0)</f>
        <v>45712</v>
      </c>
      <c r="AU24" s="1">
        <f>IFERROR(__xludf.DUMMYFUNCTION("""COMPUTED_VALUE"""),0.0)</f>
        <v>0</v>
      </c>
      <c r="AV24" s="1" t="str">
        <f>IFERROR(__xludf.DUMMYFUNCTION("""COMPUTED_VALUE"""),"OUTBOUND")</f>
        <v>OUTBOUND</v>
      </c>
      <c r="AW24" s="1" t="str">
        <f>IFERROR(__xludf.DUMMYFUNCTION("""COMPUTED_VALUE"""),"OUTBOUND")</f>
        <v>OUTBOUND</v>
      </c>
      <c r="AX24" s="1" t="str">
        <f>IFERROR(__xludf.DUMMYFUNCTION("""COMPUTED_VALUE"""),"OUTBOUND")</f>
        <v>OUTBOUND</v>
      </c>
      <c r="AY24" s="1">
        <f>IFERROR(__xludf.DUMMYFUNCTION("""COMPUTED_VALUE"""),1.0)</f>
        <v>1</v>
      </c>
      <c r="AZ24" s="1" t="str">
        <f>IFERROR(__xludf.DUMMYFUNCTION("""COMPUTED_VALUE"""),"Cinthia Mariella Orosco")</f>
        <v>Cinthia Mariella Orosco</v>
      </c>
      <c r="BA24" s="5">
        <f>IFERROR(__xludf.DUMMYFUNCTION("""COMPUTED_VALUE"""),1.0)</f>
        <v>1</v>
      </c>
      <c r="BB24" s="6">
        <f>IFERROR(__xludf.DUMMYFUNCTION("""COMPUTED_VALUE"""),840.0)</f>
        <v>840</v>
      </c>
      <c r="BC24" s="1"/>
      <c r="BD24" s="1" t="str">
        <f>IFERROR(__xludf.DUMMYFUNCTION("""COMPUTED_VALUE""")," -")</f>
        <v> -</v>
      </c>
      <c r="BE24" s="1">
        <f>IFERROR(__xludf.DUMMYFUNCTION("""COMPUTED_VALUE"""),1.0)</f>
        <v>1</v>
      </c>
      <c r="BF24" s="1">
        <f>IFERROR(__xludf.DUMMYFUNCTION("""COMPUTED_VALUE"""),0.0)</f>
        <v>0</v>
      </c>
      <c r="BG24" s="1"/>
      <c r="BH24" s="1" t="str">
        <f>IFERROR(__xludf.DUMMYFUNCTION("""COMPUTED_VALUE"""),"No aplica")</f>
        <v>No aplica</v>
      </c>
      <c r="BI24" s="1">
        <f>IFERROR(__xludf.DUMMYFUNCTION("""COMPUTED_VALUE"""),0.0)</f>
        <v>0</v>
      </c>
      <c r="BJ24" s="1" t="str">
        <f>IFERROR(__xludf.DUMMYFUNCTION("""COMPUTED_VALUE"""),"TRASLADO")</f>
        <v>TRASLADO</v>
      </c>
    </row>
    <row r="25">
      <c r="A25" s="1">
        <f>IFERROR(__xludf.DUMMYFUNCTION("""COMPUTED_VALUE"""),24.0)</f>
        <v>24</v>
      </c>
      <c r="B25" s="1">
        <f>IFERROR(__xludf.DUMMYFUNCTION("""COMPUTED_VALUE"""),4787280.0)</f>
        <v>4787280</v>
      </c>
      <c r="C25" s="1" t="str">
        <f>IFERROR(__xludf.DUMMYFUNCTION("""COMPUTED_VALUE"""),"0000422155")</f>
        <v>0000422155</v>
      </c>
      <c r="D25" s="1" t="str">
        <f>IFERROR(__xludf.DUMMYFUNCTION("""COMPUTED_VALUE"""),"VALENTINA")</f>
        <v>VALENTINA</v>
      </c>
      <c r="E25" s="2" t="str">
        <f>IFERROR(__xludf.DUMMYFUNCTION("""COMPUTED_VALUE"""),"BARQUERO CARRILLO")</f>
        <v>BARQUERO CARRILLO</v>
      </c>
      <c r="F25" s="1">
        <f>IFERROR(__xludf.DUMMYFUNCTION("""COMPUTED_VALUE"""),7.0527617E7)</f>
        <v>70527617</v>
      </c>
      <c r="G25" s="1">
        <f>IFERROR(__xludf.DUMMYFUNCTION("""COMPUTED_VALUE"""),9.7683553E8)</f>
        <v>976835530</v>
      </c>
      <c r="H25" s="1" t="str">
        <f>IFERROR(__xludf.DUMMYFUNCTION("""COMPUTED_VALUE"""),"valebarq.21@gmail.com")</f>
        <v>valebarq.21@gmail.com</v>
      </c>
      <c r="I25" s="1" t="str">
        <f>IFERROR(__xludf.DUMMYFUNCTION("""COMPUTED_VALUE"""),"Administración y Marketing")</f>
        <v>Administración y Marketing</v>
      </c>
      <c r="J25" s="1" t="str">
        <f>IFERROR(__xludf.DUMMYFUNCTION("""COMPUTED_VALUE"""),"Negocios")</f>
        <v>Negocios</v>
      </c>
      <c r="K25" s="1" t="str">
        <f>IFERROR(__xludf.DUMMYFUNCTION("""COMPUTED_VALUE"""),"Nueva")</f>
        <v>Nueva</v>
      </c>
      <c r="L25" s="1" t="str">
        <f>IFERROR(__xludf.DUMMYFUNCTION("""COMPUTED_VALUE"""),"Admisión Ordinaria")</f>
        <v>Admisión Ordinaria</v>
      </c>
      <c r="M25" s="1" t="str">
        <f>IFERROR(__xludf.DUMMYFUNCTION("""COMPUTED_VALUE"""),"Semi-presencial")</f>
        <v>Semi-presencial</v>
      </c>
      <c r="N25" s="1" t="str">
        <f>IFERROR(__xludf.DUMMYFUNCTION("""COMPUTED_VALUE"""),"Diurno")</f>
        <v>Diurno</v>
      </c>
      <c r="O25" s="1" t="str">
        <f>IFERROR(__xludf.DUMMYFUNCTION("""COMPUTED_VALUE"""),"NUEVO")</f>
        <v>NUEVO</v>
      </c>
      <c r="P25" s="1" t="str">
        <f>IFERROR(__xludf.DUMMYFUNCTION("""COMPUTED_VALUE"""),"ESCALA REGULAR")</f>
        <v>ESCALA REGULAR</v>
      </c>
      <c r="Q25" s="1" t="str">
        <f>IFERROR(__xludf.DUMMYFUNCTION("""COMPUTED_VALUE"""),"NINGUNO")</f>
        <v>NINGUNO</v>
      </c>
      <c r="R25" s="1" t="str">
        <f>IFERROR(__xludf.DUMMYFUNCTION("""COMPUTED_VALUE"""),"PALANCA 500")</f>
        <v>PALANCA 500</v>
      </c>
      <c r="S25" s="1" t="str">
        <f>IFERROR(__xludf.DUMMYFUNCTION("""COMPUTED_VALUE"""),"RODRIGO")</f>
        <v>RODRIGO</v>
      </c>
      <c r="T25" s="3">
        <f>IFERROR(__xludf.DUMMYFUNCTION("""COMPUTED_VALUE"""),45747.0)</f>
        <v>45747</v>
      </c>
      <c r="U25" s="1" t="str">
        <f>IFERROR(__xludf.DUMMYFUNCTION("""COMPUTED_VALUE"""),"CARGO")</f>
        <v>CARGO</v>
      </c>
      <c r="V25" s="1" t="str">
        <f>IFERROR(__xludf.DUMMYFUNCTION("""COMPUTED_VALUE"""),"PAGO COMPLETO")</f>
        <v>PAGO COMPLETO</v>
      </c>
      <c r="W25" s="4">
        <f>IFERROR(__xludf.DUMMYFUNCTION("""COMPUTED_VALUE"""),0.0)</f>
        <v>0</v>
      </c>
      <c r="X25" s="1" t="str">
        <f>IFERROR(__xludf.DUMMYFUNCTION("""COMPUTED_VALUE"""),"-")</f>
        <v>-</v>
      </c>
      <c r="Y25" s="2">
        <f>IFERROR(__xludf.DUMMYFUNCTION("""COMPUTED_VALUE"""),45747.0)</f>
        <v>45747</v>
      </c>
      <c r="Z25" s="1" t="str">
        <f>IFERROR(__xludf.DUMMYFUNCTION("""COMPUTED_VALUE"""),"PAGO COMPLETO")</f>
        <v>PAGO COMPLETO</v>
      </c>
      <c r="AA25" s="1"/>
      <c r="AB25" s="1"/>
      <c r="AC25" s="4">
        <f>IFERROR(__xludf.DUMMYFUNCTION("""COMPUTED_VALUE"""),125.0)</f>
        <v>125</v>
      </c>
      <c r="AD25" s="4">
        <f>IFERROR(__xludf.DUMMYFUNCTION("""COMPUTED_VALUE"""),237.5)</f>
        <v>237.5</v>
      </c>
      <c r="AE25" s="4">
        <f>IFERROR(__xludf.DUMMYFUNCTION("""COMPUTED_VALUE"""),1350.0)</f>
        <v>1350</v>
      </c>
      <c r="AF25" s="4">
        <f>IFERROR(__xludf.DUMMYFUNCTION("""COMPUTED_VALUE"""),1350.0)</f>
        <v>1350</v>
      </c>
      <c r="AG25" s="1">
        <f>IFERROR(__xludf.DUMMYFUNCTION("""COMPUTED_VALUE"""),0.0)</f>
        <v>0</v>
      </c>
      <c r="AH25" s="1">
        <f>IFERROR(__xludf.DUMMYFUNCTION("""COMPUTED_VALUE"""),0.0)</f>
        <v>0</v>
      </c>
      <c r="AI25" s="1">
        <f>IFERROR(__xludf.DUMMYFUNCTION("""COMPUTED_VALUE"""),0.0)</f>
        <v>0</v>
      </c>
      <c r="AJ25" s="1">
        <f>IFERROR(__xludf.DUMMYFUNCTION("""COMPUTED_VALUE"""),1734573.0)</f>
        <v>1734573</v>
      </c>
      <c r="AK25" s="1"/>
      <c r="AL25" s="1"/>
      <c r="AM25" s="1" t="str">
        <f>IFERROR(__xludf.DUMMYFUNCTION("""COMPUTED_VALUE"""),"-")</f>
        <v>-</v>
      </c>
      <c r="AN25" s="1" t="str">
        <f>IFERROR(__xludf.DUMMYFUNCTION("""COMPUTED_VALUE""")," -")</f>
        <v> -</v>
      </c>
      <c r="AO25" s="1">
        <f>IFERROR(__xludf.DUMMYFUNCTION("""COMPUTED_VALUE"""),2024.0)</f>
        <v>2024</v>
      </c>
      <c r="AP25" s="3">
        <f>IFERROR(__xludf.DUMMYFUNCTION("""COMPUTED_VALUE"""),45717.0)</f>
        <v>45717</v>
      </c>
      <c r="AQ25" s="2">
        <f>IFERROR(__xludf.DUMMYFUNCTION("""COMPUTED_VALUE"""),45747.0)</f>
        <v>45747</v>
      </c>
      <c r="AR25" s="2">
        <f>IFERROR(__xludf.DUMMYFUNCTION("""COMPUTED_VALUE"""),45601.0)</f>
        <v>45601</v>
      </c>
      <c r="AS25" s="2">
        <f>IFERROR(__xludf.DUMMYFUNCTION("""COMPUTED_VALUE"""),45597.0)</f>
        <v>45597</v>
      </c>
      <c r="AT25" s="2">
        <f>IFERROR(__xludf.DUMMYFUNCTION("""COMPUTED_VALUE"""),45593.0)</f>
        <v>45593</v>
      </c>
      <c r="AU25" s="1">
        <f>IFERROR(__xludf.DUMMYFUNCTION("""COMPUTED_VALUE"""),146.0)</f>
        <v>146</v>
      </c>
      <c r="AV25" s="1" t="str">
        <f>IFERROR(__xludf.DUMMYFUNCTION("""COMPUTED_VALUE"""),"OUTBOUND")</f>
        <v>OUTBOUND</v>
      </c>
      <c r="AW25" s="1" t="str">
        <f>IFERROR(__xludf.DUMMYFUNCTION("""COMPUTED_VALUE"""),"OUTBOUND")</f>
        <v>OUTBOUND</v>
      </c>
      <c r="AX25" s="1" t="str">
        <f>IFERROR(__xludf.DUMMYFUNCTION("""COMPUTED_VALUE"""),"OUTBOUND")</f>
        <v>OUTBOUND</v>
      </c>
      <c r="AY25" s="1">
        <f>IFERROR(__xludf.DUMMYFUNCTION("""COMPUTED_VALUE"""),1.0)</f>
        <v>1</v>
      </c>
      <c r="AZ25" s="1" t="str">
        <f>IFERROR(__xludf.DUMMYFUNCTION("""COMPUTED_VALUE"""),"Andrea Araujo Antara")</f>
        <v>Andrea Araujo Antara</v>
      </c>
      <c r="BA25" s="5">
        <f>IFERROR(__xludf.DUMMYFUNCTION("""COMPUTED_VALUE"""),1.0)</f>
        <v>1</v>
      </c>
      <c r="BB25" s="6">
        <f>IFERROR(__xludf.DUMMYFUNCTION("""COMPUTED_VALUE"""),1180.0)</f>
        <v>1180</v>
      </c>
      <c r="BC25" s="1">
        <f>IFERROR(__xludf.DUMMYFUNCTION("""COMPUTED_VALUE"""),0.0)</f>
        <v>0</v>
      </c>
      <c r="BD25" s="1" t="str">
        <f>IFERROR(__xludf.DUMMYFUNCTION("""COMPUTED_VALUE""")," -")</f>
        <v> -</v>
      </c>
      <c r="BE25" s="1">
        <f>IFERROR(__xludf.DUMMYFUNCTION("""COMPUTED_VALUE"""),1.0)</f>
        <v>1</v>
      </c>
      <c r="BF25" s="1">
        <f>IFERROR(__xludf.DUMMYFUNCTION("""COMPUTED_VALUE"""),0.0)</f>
        <v>0</v>
      </c>
      <c r="BG25" s="3">
        <f>IFERROR(__xludf.DUMMYFUNCTION("""COMPUTED_VALUE"""),45794.0)</f>
        <v>45794</v>
      </c>
      <c r="BH25" s="1"/>
      <c r="BI25" s="1">
        <f>IFERROR(__xludf.DUMMYFUNCTION("""COMPUTED_VALUE"""),0.0)</f>
        <v>0</v>
      </c>
      <c r="BJ25" s="1" t="str">
        <f>IFERROR(__xludf.DUMMYFUNCTION("""COMPUTED_VALUE"""),"NUEVO")</f>
        <v>NUEVO</v>
      </c>
    </row>
    <row r="26">
      <c r="A26" s="1">
        <f>IFERROR(__xludf.DUMMYFUNCTION("""COMPUTED_VALUE"""),25.0)</f>
        <v>25</v>
      </c>
      <c r="B26" s="1">
        <f>IFERROR(__xludf.DUMMYFUNCTION("""COMPUTED_VALUE"""),5113973.0)</f>
        <v>5113973</v>
      </c>
      <c r="C26" s="1" t="str">
        <f>IFERROR(__xludf.DUMMYFUNCTION("""COMPUTED_VALUE"""),"0000422438")</f>
        <v>0000422438</v>
      </c>
      <c r="D26" s="1" t="str">
        <f>IFERROR(__xludf.DUMMYFUNCTION("""COMPUTED_VALUE"""),"NAHOMI GABRIELA")</f>
        <v>NAHOMI GABRIELA</v>
      </c>
      <c r="E26" s="2" t="str">
        <f>IFERROR(__xludf.DUMMYFUNCTION("""COMPUTED_VALUE"""),"LAURO LA TORRE")</f>
        <v>LAURO LA TORRE</v>
      </c>
      <c r="F26" s="1">
        <f>IFERROR(__xludf.DUMMYFUNCTION("""COMPUTED_VALUE"""),7.5956739E7)</f>
        <v>75956739</v>
      </c>
      <c r="G26" s="1">
        <f>IFERROR(__xludf.DUMMYFUNCTION("""COMPUTED_VALUE"""),9.02808659E8)</f>
        <v>902808659</v>
      </c>
      <c r="H26" s="1" t="str">
        <f>IFERROR(__xludf.DUMMYFUNCTION("""COMPUTED_VALUE"""),"laurogabriela03@gmail.com")</f>
        <v>laurogabriela03@gmail.com</v>
      </c>
      <c r="I26" s="1" t="str">
        <f>IFERROR(__xludf.DUMMYFUNCTION("""COMPUTED_VALUE"""),"Comunicación")</f>
        <v>Comunicación</v>
      </c>
      <c r="J26" s="1" t="str">
        <f>IFERROR(__xludf.DUMMYFUNCTION("""COMPUTED_VALUE"""),"Comunicaciones")</f>
        <v>Comunicaciones</v>
      </c>
      <c r="K26" s="1" t="str">
        <f>IFERROR(__xludf.DUMMYFUNCTION("""COMPUTED_VALUE"""),"Antigua")</f>
        <v>Antigua</v>
      </c>
      <c r="L26" s="1" t="str">
        <f>IFERROR(__xludf.DUMMYFUNCTION("""COMPUTED_VALUE"""),"Admisión Extraordinaria (Traslados)")</f>
        <v>Admisión Extraordinaria (Traslados)</v>
      </c>
      <c r="M26" s="1" t="str">
        <f>IFERROR(__xludf.DUMMYFUNCTION("""COMPUTED_VALUE"""),"Semi-presencial")</f>
        <v>Semi-presencial</v>
      </c>
      <c r="N26" s="1" t="str">
        <f>IFERROR(__xludf.DUMMYFUNCTION("""COMPUTED_VALUE"""),"Diurno")</f>
        <v>Diurno</v>
      </c>
      <c r="O26" s="1" t="str">
        <f>IFERROR(__xludf.DUMMYFUNCTION("""COMPUTED_VALUE"""),"TRASLADO CON CONVA")</f>
        <v>TRASLADO CON CONVA</v>
      </c>
      <c r="P26" s="1" t="str">
        <f>IFERROR(__xludf.DUMMYFUNCTION("""COMPUTED_VALUE"""),"RECA")</f>
        <v>RECA</v>
      </c>
      <c r="Q26" s="1" t="str">
        <f>IFERROR(__xludf.DUMMYFUNCTION("""COMPUTED_VALUE"""),"RECATEGORIZACIÓN")</f>
        <v>RECATEGORIZACIÓN</v>
      </c>
      <c r="R26" s="1" t="str">
        <f>IFERROR(__xludf.DUMMYFUNCTION("""COMPUTED_VALUE"""),"NINGUNO")</f>
        <v>NINGUNO</v>
      </c>
      <c r="S26" s="1" t="str">
        <f>IFERROR(__xludf.DUMMYFUNCTION("""COMPUTED_VALUE"""),"RODRIGO")</f>
        <v>RODRIGO</v>
      </c>
      <c r="T26" s="3">
        <f>IFERROR(__xludf.DUMMYFUNCTION("""COMPUTED_VALUE"""),45752.0)</f>
        <v>45752</v>
      </c>
      <c r="U26" s="1" t="str">
        <f>IFERROR(__xludf.DUMMYFUNCTION("""COMPUTED_VALUE"""),"CARGO")</f>
        <v>CARGO</v>
      </c>
      <c r="V26" s="1" t="str">
        <f>IFERROR(__xludf.DUMMYFUNCTION("""COMPUTED_VALUE"""),"PAGO COMPLETO")</f>
        <v>PAGO COMPLETO</v>
      </c>
      <c r="W26" s="4">
        <f>IFERROR(__xludf.DUMMYFUNCTION("""COMPUTED_VALUE"""),0.0)</f>
        <v>0</v>
      </c>
      <c r="X26" s="1" t="str">
        <f>IFERROR(__xludf.DUMMYFUNCTION("""COMPUTED_VALUE"""),"-")</f>
        <v>-</v>
      </c>
      <c r="Y26" s="2">
        <f>IFERROR(__xludf.DUMMYFUNCTION("""COMPUTED_VALUE"""),45752.0)</f>
        <v>45752</v>
      </c>
      <c r="Z26" s="1" t="str">
        <f>IFERROR(__xludf.DUMMYFUNCTION("""COMPUTED_VALUE"""),"PAGO COMPLETO")</f>
        <v>PAGO COMPLETO</v>
      </c>
      <c r="AA26" s="1"/>
      <c r="AB26" s="1"/>
      <c r="AC26" s="4">
        <f>IFERROR(__xludf.DUMMYFUNCTION("""COMPUTED_VALUE"""),0.0)</f>
        <v>0</v>
      </c>
      <c r="AD26" s="4">
        <f>IFERROR(__xludf.DUMMYFUNCTION("""COMPUTED_VALUE"""),0.0)</f>
        <v>0</v>
      </c>
      <c r="AE26" s="4">
        <f>IFERROR(__xludf.DUMMYFUNCTION("""COMPUTED_VALUE"""),1650.0)</f>
        <v>1650</v>
      </c>
      <c r="AF26" s="4">
        <f>IFERROR(__xludf.DUMMYFUNCTION("""COMPUTED_VALUE"""),1650.0)</f>
        <v>1650</v>
      </c>
      <c r="AG26" s="1">
        <f>IFERROR(__xludf.DUMMYFUNCTION("""COMPUTED_VALUE"""),0.0)</f>
        <v>0</v>
      </c>
      <c r="AH26" s="1">
        <f>IFERROR(__xludf.DUMMYFUNCTION("""COMPUTED_VALUE"""),0.0)</f>
        <v>0</v>
      </c>
      <c r="AI26" s="1">
        <f>IFERROR(__xludf.DUMMYFUNCTION("""COMPUTED_VALUE"""),0.0)</f>
        <v>0</v>
      </c>
      <c r="AJ26" s="1">
        <f>IFERROR(__xludf.DUMMYFUNCTION("""COMPUTED_VALUE"""),337303.0)</f>
        <v>337303</v>
      </c>
      <c r="AK26" s="1" t="str">
        <f>IFERROR(__xludf.DUMMYFUNCTION("""COMPUTED_VALUE"""),"10 kms a 15 kms")</f>
        <v>10 kms a 15 kms</v>
      </c>
      <c r="AL26" s="1" t="str">
        <f>IFERROR(__xludf.DUMMYFUNCTION("""COMPUTED_VALUE"""),"05 301 a 550")</f>
        <v>05 301 a 550</v>
      </c>
      <c r="AM26" s="1" t="str">
        <f>IFERROR(__xludf.DUMMYFUNCTION("""COMPUTED_VALUE"""),"Universidad Peruana De Ciencias Aplicadas(UPC)")</f>
        <v>Universidad Peruana De Ciencias Aplicadas(UPC)</v>
      </c>
      <c r="AN26" s="1" t="str">
        <f>IFERROR(__xludf.DUMMYFUNCTION("""COMPUTED_VALUE""")," ")</f>
        <v> </v>
      </c>
      <c r="AO26" s="1">
        <f>IFERROR(__xludf.DUMMYFUNCTION("""COMPUTED_VALUE"""),2019.0)</f>
        <v>2019</v>
      </c>
      <c r="AP26" s="3">
        <f>IFERROR(__xludf.DUMMYFUNCTION("""COMPUTED_VALUE"""),45748.0)</f>
        <v>45748</v>
      </c>
      <c r="AQ26" s="2">
        <f>IFERROR(__xludf.DUMMYFUNCTION("""COMPUTED_VALUE"""),45747.0)</f>
        <v>45747</v>
      </c>
      <c r="AR26" s="2">
        <f>IFERROR(__xludf.DUMMYFUNCTION("""COMPUTED_VALUE"""),45749.0)</f>
        <v>45749</v>
      </c>
      <c r="AS26" s="2">
        <f>IFERROR(__xludf.DUMMYFUNCTION("""COMPUTED_VALUE"""),45748.0)</f>
        <v>45748</v>
      </c>
      <c r="AT26" s="2">
        <f>IFERROR(__xludf.DUMMYFUNCTION("""COMPUTED_VALUE"""),45747.0)</f>
        <v>45747</v>
      </c>
      <c r="AU26" s="1">
        <f>IFERROR(__xludf.DUMMYFUNCTION("""COMPUTED_VALUE"""),3.0)</f>
        <v>3</v>
      </c>
      <c r="AV26" s="1" t="str">
        <f>IFERROR(__xludf.DUMMYFUNCTION("""COMPUTED_VALUE"""),"OUTBOUND")</f>
        <v>OUTBOUND</v>
      </c>
      <c r="AW26" s="1" t="str">
        <f>IFERROR(__xludf.DUMMYFUNCTION("""COMPUTED_VALUE"""),"OUTBOUND")</f>
        <v>OUTBOUND</v>
      </c>
      <c r="AX26" s="1" t="str">
        <f>IFERROR(__xludf.DUMMYFUNCTION("""COMPUTED_VALUE"""),"OUTBOUND")</f>
        <v>OUTBOUND</v>
      </c>
      <c r="AY26" s="1">
        <f>IFERROR(__xludf.DUMMYFUNCTION("""COMPUTED_VALUE"""),1.0)</f>
        <v>1</v>
      </c>
      <c r="AZ26" s="1" t="str">
        <f>IFERROR(__xludf.DUMMYFUNCTION("""COMPUTED_VALUE"""),"Rosa Ugarte")</f>
        <v>Rosa Ugarte</v>
      </c>
      <c r="BA26" s="5">
        <f>IFERROR(__xludf.DUMMYFUNCTION("""COMPUTED_VALUE"""),1.0)</f>
        <v>1</v>
      </c>
      <c r="BB26" s="6">
        <f>IFERROR(__xludf.DUMMYFUNCTION("""COMPUTED_VALUE"""),1650.0)</f>
        <v>1650</v>
      </c>
      <c r="BC26" s="1"/>
      <c r="BD26" s="1" t="str">
        <f>IFERROR(__xludf.DUMMYFUNCTION("""COMPUTED_VALUE""")," -")</f>
        <v> -</v>
      </c>
      <c r="BE26" s="1">
        <f>IFERROR(__xludf.DUMMYFUNCTION("""COMPUTED_VALUE"""),1.0)</f>
        <v>1</v>
      </c>
      <c r="BF26" s="1">
        <f>IFERROR(__xludf.DUMMYFUNCTION("""COMPUTED_VALUE"""),0.0)</f>
        <v>0</v>
      </c>
      <c r="BG26" s="1"/>
      <c r="BH26" s="1" t="str">
        <f>IFERROR(__xludf.DUMMYFUNCTION("""COMPUTED_VALUE"""),"No aplica")</f>
        <v>No aplica</v>
      </c>
      <c r="BI26" s="1">
        <f>IFERROR(__xludf.DUMMYFUNCTION("""COMPUTED_VALUE"""),1.0)</f>
        <v>1</v>
      </c>
      <c r="BJ26" s="1" t="str">
        <f>IFERROR(__xludf.DUMMYFUNCTION("""COMPUTED_VALUE"""),"TRASLADO")</f>
        <v>TRASLADO</v>
      </c>
    </row>
    <row r="27">
      <c r="A27" s="1">
        <f>IFERROR(__xludf.DUMMYFUNCTION("""COMPUTED_VALUE"""),26.0)</f>
        <v>26</v>
      </c>
      <c r="B27" s="1">
        <f>IFERROR(__xludf.DUMMYFUNCTION("""COMPUTED_VALUE"""),2784648.0)</f>
        <v>2784648</v>
      </c>
      <c r="C27" s="1" t="str">
        <f>IFERROR(__xludf.DUMMYFUNCTION("""COMPUTED_VALUE"""),"0000422663")</f>
        <v>0000422663</v>
      </c>
      <c r="D27" s="1" t="str">
        <f>IFERROR(__xludf.DUMMYFUNCTION("""COMPUTED_VALUE"""),"ANGELA VANESSA")</f>
        <v>ANGELA VANESSA</v>
      </c>
      <c r="E27" s="2" t="str">
        <f>IFERROR(__xludf.DUMMYFUNCTION("""COMPUTED_VALUE"""),"ESPINOZA MARIN")</f>
        <v>ESPINOZA MARIN</v>
      </c>
      <c r="F27" s="1">
        <f>IFERROR(__xludf.DUMMYFUNCTION("""COMPUTED_VALUE"""),4.9094672E7)</f>
        <v>49094672</v>
      </c>
      <c r="G27" s="1">
        <f>IFERROR(__xludf.DUMMYFUNCTION("""COMPUTED_VALUE"""),9.94896575E8)</f>
        <v>994896575</v>
      </c>
      <c r="H27" s="1" t="str">
        <f>IFERROR(__xludf.DUMMYFUNCTION("""COMPUTED_VALUE"""),"Espinoza.angela31490855@gmail.com")</f>
        <v>Espinoza.angela31490855@gmail.com</v>
      </c>
      <c r="I27" s="1" t="str">
        <f>IFERROR(__xludf.DUMMYFUNCTION("""COMPUTED_VALUE"""),"Psicología")</f>
        <v>Psicología</v>
      </c>
      <c r="J27" s="1" t="str">
        <f>IFERROR(__xludf.DUMMYFUNCTION("""COMPUTED_VALUE"""),"Psicología")</f>
        <v>Psicología</v>
      </c>
      <c r="K27" s="1" t="str">
        <f>IFERROR(__xludf.DUMMYFUNCTION("""COMPUTED_VALUE"""),"Nueva")</f>
        <v>Nueva</v>
      </c>
      <c r="L27" s="1" t="str">
        <f>IFERROR(__xludf.DUMMYFUNCTION("""COMPUTED_VALUE"""),"Admisión Ordinaria")</f>
        <v>Admisión Ordinaria</v>
      </c>
      <c r="M27" s="1" t="str">
        <f>IFERROR(__xludf.DUMMYFUNCTION("""COMPUTED_VALUE"""),"Presencial")</f>
        <v>Presencial</v>
      </c>
      <c r="N27" s="1" t="str">
        <f>IFERROR(__xludf.DUMMYFUNCTION("""COMPUTED_VALUE"""),"Diurno")</f>
        <v>Diurno</v>
      </c>
      <c r="O27" s="1" t="str">
        <f>IFERROR(__xludf.DUMMYFUNCTION("""COMPUTED_VALUE"""),"NUEVO")</f>
        <v>NUEVO</v>
      </c>
      <c r="P27" s="1" t="str">
        <f>IFERROR(__xludf.DUMMYFUNCTION("""COMPUTED_VALUE"""),"RECA")</f>
        <v>RECA</v>
      </c>
      <c r="Q27" s="1" t="str">
        <f>IFERROR(__xludf.DUMMYFUNCTION("""COMPUTED_VALUE"""),"RECATEGORIZACIÓN")</f>
        <v>RECATEGORIZACIÓN</v>
      </c>
      <c r="R27" s="1" t="str">
        <f>IFERROR(__xludf.DUMMYFUNCTION("""COMPUTED_VALUE"""),"PALANCA 500")</f>
        <v>PALANCA 500</v>
      </c>
      <c r="S27" s="1" t="str">
        <f>IFERROR(__xludf.DUMMYFUNCTION("""COMPUTED_VALUE"""),"-")</f>
        <v>-</v>
      </c>
      <c r="T27" s="3">
        <f>IFERROR(__xludf.DUMMYFUNCTION("""COMPUTED_VALUE"""),45752.0)</f>
        <v>45752</v>
      </c>
      <c r="U27" s="1" t="str">
        <f>IFERROR(__xludf.DUMMYFUNCTION("""COMPUTED_VALUE"""),"Pago Link")</f>
        <v>Pago Link</v>
      </c>
      <c r="V27" s="1" t="str">
        <f>IFERROR(__xludf.DUMMYFUNCTION("""COMPUTED_VALUE"""),"PAGO COMPLETO")</f>
        <v>PAGO COMPLETO</v>
      </c>
      <c r="W27" s="4">
        <f>IFERROR(__xludf.DUMMYFUNCTION("""COMPUTED_VALUE"""),0.0)</f>
        <v>0</v>
      </c>
      <c r="X27" s="1" t="str">
        <f>IFERROR(__xludf.DUMMYFUNCTION("""COMPUTED_VALUE"""),"-")</f>
        <v>-</v>
      </c>
      <c r="Y27" s="2">
        <f>IFERROR(__xludf.DUMMYFUNCTION("""COMPUTED_VALUE"""),45752.0)</f>
        <v>45752</v>
      </c>
      <c r="Z27" s="1" t="str">
        <f>IFERROR(__xludf.DUMMYFUNCTION("""COMPUTED_VALUE"""),"PAGO COMPLETO")</f>
        <v>PAGO COMPLETO</v>
      </c>
      <c r="AA27" s="1"/>
      <c r="AB27" s="1"/>
      <c r="AC27" s="4">
        <f>IFERROR(__xludf.DUMMYFUNCTION("""COMPUTED_VALUE"""),100.0)</f>
        <v>100</v>
      </c>
      <c r="AD27" s="4">
        <f>IFERROR(__xludf.DUMMYFUNCTION("""COMPUTED_VALUE"""),237.5)</f>
        <v>237.5</v>
      </c>
      <c r="AE27" s="4">
        <f>IFERROR(__xludf.DUMMYFUNCTION("""COMPUTED_VALUE"""),1100.0)</f>
        <v>1100</v>
      </c>
      <c r="AF27" s="4">
        <f>IFERROR(__xludf.DUMMYFUNCTION("""COMPUTED_VALUE"""),1100.0)</f>
        <v>1100</v>
      </c>
      <c r="AG27" s="1">
        <f>IFERROR(__xludf.DUMMYFUNCTION("""COMPUTED_VALUE"""),0.0)</f>
        <v>0</v>
      </c>
      <c r="AH27" s="1">
        <f>IFERROR(__xludf.DUMMYFUNCTION("""COMPUTED_VALUE"""),0.0)</f>
        <v>0</v>
      </c>
      <c r="AI27" s="1">
        <f>IFERROR(__xludf.DUMMYFUNCTION("""COMPUTED_VALUE"""),0.0)</f>
        <v>0</v>
      </c>
      <c r="AJ27" s="1">
        <f>IFERROR(__xludf.DUMMYFUNCTION("""COMPUTED_VALUE"""),0.0)</f>
        <v>0</v>
      </c>
      <c r="AK27" s="1"/>
      <c r="AL27" s="1"/>
      <c r="AM27" s="1" t="str">
        <f>IFERROR(__xludf.DUMMYFUNCTION("""COMPUTED_VALUE"""),"-")</f>
        <v>-</v>
      </c>
      <c r="AN27" s="1" t="str">
        <f>IFERROR(__xludf.DUMMYFUNCTION("""COMPUTED_VALUE""")," -")</f>
        <v> -</v>
      </c>
      <c r="AO27" s="1">
        <f>IFERROR(__xludf.DUMMYFUNCTION("""COMPUTED_VALUE"""),2024.0)</f>
        <v>2024</v>
      </c>
      <c r="AP27" s="3">
        <f>IFERROR(__xludf.DUMMYFUNCTION("""COMPUTED_VALUE"""),45748.0)</f>
        <v>45748</v>
      </c>
      <c r="AQ27" s="2">
        <f>IFERROR(__xludf.DUMMYFUNCTION("""COMPUTED_VALUE"""),45747.0)</f>
        <v>45747</v>
      </c>
      <c r="AR27" s="2">
        <f>IFERROR(__xludf.DUMMYFUNCTION("""COMPUTED_VALUE"""),45752.0)</f>
        <v>45752</v>
      </c>
      <c r="AS27" s="2">
        <f>IFERROR(__xludf.DUMMYFUNCTION("""COMPUTED_VALUE"""),45748.0)</f>
        <v>45748</v>
      </c>
      <c r="AT27" s="2">
        <f>IFERROR(__xludf.DUMMYFUNCTION("""COMPUTED_VALUE"""),45747.0)</f>
        <v>45747</v>
      </c>
      <c r="AU27" s="1">
        <f>IFERROR(__xludf.DUMMYFUNCTION("""COMPUTED_VALUE"""),0.0)</f>
        <v>0</v>
      </c>
      <c r="AV27" s="1" t="str">
        <f>IFERROR(__xludf.DUMMYFUNCTION("""COMPUTED_VALUE"""),"DIGITAL")</f>
        <v>DIGITAL</v>
      </c>
      <c r="AW27" s="1" t="str">
        <f>IFERROR(__xludf.DUMMYFUNCTION("""COMPUTED_VALUE"""),"BIDIRECCIONAL")</f>
        <v>BIDIRECCIONAL</v>
      </c>
      <c r="AX27" s="1" t="str">
        <f>IFERROR(__xludf.DUMMYFUNCTION("""COMPUTED_VALUE"""),"ORGANICO")</f>
        <v>ORGANICO</v>
      </c>
      <c r="AY27" s="1">
        <f>IFERROR(__xludf.DUMMYFUNCTION("""COMPUTED_VALUE"""),1.0)</f>
        <v>1</v>
      </c>
      <c r="AZ27" s="1" t="str">
        <f>IFERROR(__xludf.DUMMYFUNCTION("""COMPUTED_VALUE"""),"Daniel Zapata")</f>
        <v>Daniel Zapata</v>
      </c>
      <c r="BA27" s="5">
        <f>IFERROR(__xludf.DUMMYFUNCTION("""COMPUTED_VALUE"""),1.0)</f>
        <v>1</v>
      </c>
      <c r="BB27" s="6">
        <f>IFERROR(__xludf.DUMMYFUNCTION("""COMPUTED_VALUE"""),980.0)</f>
        <v>980</v>
      </c>
      <c r="BC27" s="1">
        <f>IFERROR(__xludf.DUMMYFUNCTION("""COMPUTED_VALUE"""),1.0)</f>
        <v>1</v>
      </c>
      <c r="BD27" s="1" t="str">
        <f>IFERROR(__xludf.DUMMYFUNCTION("""COMPUTED_VALUE"""),"Matemáticas")</f>
        <v>Matemáticas</v>
      </c>
      <c r="BE27" s="1">
        <f>IFERROR(__xludf.DUMMYFUNCTION("""COMPUTED_VALUE"""),1.0)</f>
        <v>1</v>
      </c>
      <c r="BF27" s="1">
        <f>IFERROR(__xludf.DUMMYFUNCTION("""COMPUTED_VALUE"""),1.0)</f>
        <v>1</v>
      </c>
      <c r="BG27" s="3">
        <f>IFERROR(__xludf.DUMMYFUNCTION("""COMPUTED_VALUE"""),45794.0)</f>
        <v>45794</v>
      </c>
      <c r="BH27" s="1" t="str">
        <f>IFERROR(__xludf.DUMMYFUNCTION("""COMPUTED_VALUE"""),"17/05/2025")</f>
        <v>17/05/2025</v>
      </c>
      <c r="BI27" s="1">
        <f>IFERROR(__xludf.DUMMYFUNCTION("""COMPUTED_VALUE"""),0.0)</f>
        <v>0</v>
      </c>
      <c r="BJ27" s="1" t="str">
        <f>IFERROR(__xludf.DUMMYFUNCTION("""COMPUTED_VALUE"""),"NUEVO")</f>
        <v>NUEVO</v>
      </c>
    </row>
    <row r="28">
      <c r="A28" s="1">
        <f>IFERROR(__xludf.DUMMYFUNCTION("""COMPUTED_VALUE"""),27.0)</f>
        <v>27</v>
      </c>
      <c r="B28" s="1">
        <f>IFERROR(__xludf.DUMMYFUNCTION("""COMPUTED_VALUE"""),3105624.0)</f>
        <v>3105624</v>
      </c>
      <c r="C28" s="1" t="str">
        <f>IFERROR(__xludf.DUMMYFUNCTION("""COMPUTED_VALUE"""),"0000422883")</f>
        <v>0000422883</v>
      </c>
      <c r="D28" s="1" t="str">
        <f>IFERROR(__xludf.DUMMYFUNCTION("""COMPUTED_VALUE"""),"PIERINA JENNIFER ")</f>
        <v>PIERINA JENNIFER </v>
      </c>
      <c r="E28" s="2" t="str">
        <f>IFERROR(__xludf.DUMMYFUNCTION("""COMPUTED_VALUE"""),"PORTA RODRIGUEZ")</f>
        <v>PORTA RODRIGUEZ</v>
      </c>
      <c r="F28" s="1">
        <f>IFERROR(__xludf.DUMMYFUNCTION("""COMPUTED_VALUE"""),7.5186167E7)</f>
        <v>75186167</v>
      </c>
      <c r="G28" s="1">
        <f>IFERROR(__xludf.DUMMYFUNCTION("""COMPUTED_VALUE"""),9.21437578E8)</f>
        <v>921437578</v>
      </c>
      <c r="H28" s="1" t="str">
        <f>IFERROR(__xludf.DUMMYFUNCTION("""COMPUTED_VALUE"""),"rapidashtv37@gmail.com")</f>
        <v>rapidashtv37@gmail.com</v>
      </c>
      <c r="I28" s="1" t="str">
        <f>IFERROR(__xludf.DUMMYFUNCTION("""COMPUTED_VALUE"""),"Comunicación Audiovisual y Cine")</f>
        <v>Comunicación Audiovisual y Cine</v>
      </c>
      <c r="J28" s="1" t="str">
        <f>IFERROR(__xludf.DUMMYFUNCTION("""COMPUTED_VALUE"""),"Comunicaciones")</f>
        <v>Comunicaciones</v>
      </c>
      <c r="K28" s="1" t="str">
        <f>IFERROR(__xludf.DUMMYFUNCTION("""COMPUTED_VALUE"""),"Antigua")</f>
        <v>Antigua</v>
      </c>
      <c r="L28" s="1" t="str">
        <f>IFERROR(__xludf.DUMMYFUNCTION("""COMPUTED_VALUE"""),"Admisión Ordinaria")</f>
        <v>Admisión Ordinaria</v>
      </c>
      <c r="M28" s="1" t="str">
        <f>IFERROR(__xludf.DUMMYFUNCTION("""COMPUTED_VALUE"""),"Semi-presencial")</f>
        <v>Semi-presencial</v>
      </c>
      <c r="N28" s="1" t="str">
        <f>IFERROR(__xludf.DUMMYFUNCTION("""COMPUTED_VALUE"""),"Diurno")</f>
        <v>Diurno</v>
      </c>
      <c r="O28" s="1" t="str">
        <f>IFERROR(__xludf.DUMMYFUNCTION("""COMPUTED_VALUE"""),"NUEVO")</f>
        <v>NUEVO</v>
      </c>
      <c r="P28" s="1" t="str">
        <f>IFERROR(__xludf.DUMMYFUNCTION("""COMPUTED_VALUE"""),"BECA")</f>
        <v>BECA</v>
      </c>
      <c r="Q28" s="1" t="str">
        <f>IFERROR(__xludf.DUMMYFUNCTION("""COMPUTED_VALUE"""),"BECA CARRERAS CORE")</f>
        <v>BECA CARRERAS CORE</v>
      </c>
      <c r="R28" s="1" t="str">
        <f>IFERROR(__xludf.DUMMYFUNCTION("""COMPUTED_VALUE"""),"NINGUNO")</f>
        <v>NINGUNO</v>
      </c>
      <c r="S28" s="1" t="str">
        <f>IFERROR(__xludf.DUMMYFUNCTION("""COMPUTED_VALUE"""),"RODRIGO")</f>
        <v>RODRIGO</v>
      </c>
      <c r="T28" s="3">
        <f>IFERROR(__xludf.DUMMYFUNCTION("""COMPUTED_VALUE"""),45757.0)</f>
        <v>45757</v>
      </c>
      <c r="U28" s="1" t="str">
        <f>IFERROR(__xludf.DUMMYFUNCTION("""COMPUTED_VALUE"""),"CARGO")</f>
        <v>CARGO</v>
      </c>
      <c r="V28" s="1" t="str">
        <f>IFERROR(__xludf.DUMMYFUNCTION("""COMPUTED_VALUE"""),"PAGO FRACCIONADO")</f>
        <v>PAGO FRACCIONADO</v>
      </c>
      <c r="W28" s="4">
        <f>IFERROR(__xludf.DUMMYFUNCTION("""COMPUTED_VALUE"""),0.0)</f>
        <v>0</v>
      </c>
      <c r="X28" s="1" t="str">
        <f>IFERROR(__xludf.DUMMYFUNCTION("""COMPUTED_VALUE"""),"15/04/2025")</f>
        <v>15/04/2025</v>
      </c>
      <c r="Y28" s="2">
        <f>IFERROR(__xludf.DUMMYFUNCTION("""COMPUTED_VALUE"""),45762.0)</f>
        <v>45762</v>
      </c>
      <c r="Z28" s="1" t="str">
        <f>IFERROR(__xludf.DUMMYFUNCTION("""COMPUTED_VALUE"""),"PAGO COMPLETO")</f>
        <v>PAGO COMPLETO</v>
      </c>
      <c r="AA28" s="1"/>
      <c r="AB28" s="1"/>
      <c r="AC28" s="4">
        <f>IFERROR(__xludf.DUMMYFUNCTION("""COMPUTED_VALUE"""),250.0)</f>
        <v>250</v>
      </c>
      <c r="AD28" s="4">
        <f>IFERROR(__xludf.DUMMYFUNCTION("""COMPUTED_VALUE"""),475.0)</f>
        <v>475</v>
      </c>
      <c r="AE28" s="4">
        <f>IFERROR(__xludf.DUMMYFUNCTION("""COMPUTED_VALUE"""),1200.0)</f>
        <v>1200</v>
      </c>
      <c r="AF28" s="4">
        <f>IFERROR(__xludf.DUMMYFUNCTION("""COMPUTED_VALUE"""),1050.0)</f>
        <v>1050</v>
      </c>
      <c r="AG28" s="1">
        <f>IFERROR(__xludf.DUMMYFUNCTION("""COMPUTED_VALUE"""),0.0)</f>
        <v>0</v>
      </c>
      <c r="AH28" s="1">
        <f>IFERROR(__xludf.DUMMYFUNCTION("""COMPUTED_VALUE"""),0.0)</f>
        <v>0</v>
      </c>
      <c r="AI28" s="1">
        <f>IFERROR(__xludf.DUMMYFUNCTION("""COMPUTED_VALUE"""),0.0)</f>
        <v>0</v>
      </c>
      <c r="AJ28" s="1">
        <f>IFERROR(__xludf.DUMMYFUNCTION("""COMPUTED_VALUE"""),1074301.0)</f>
        <v>1074301</v>
      </c>
      <c r="AK28" s="1" t="str">
        <f>IFERROR(__xludf.DUMMYFUNCTION("""COMPUTED_VALUE"""),"10 kms a 15 kms")</f>
        <v>10 kms a 15 kms</v>
      </c>
      <c r="AL28" s="1" t="str">
        <f>IFERROR(__xludf.DUMMYFUNCTION("""COMPUTED_VALUE"""),"01 Nacional")</f>
        <v>01 Nacional</v>
      </c>
      <c r="AM28" s="1" t="str">
        <f>IFERROR(__xludf.DUMMYFUNCTION("""COMPUTED_VALUE"""),"-")</f>
        <v>-</v>
      </c>
      <c r="AN28" s="1" t="str">
        <f>IFERROR(__xludf.DUMMYFUNCTION("""COMPUTED_VALUE""")," -")</f>
        <v> -</v>
      </c>
      <c r="AO28" s="1">
        <f>IFERROR(__xludf.DUMMYFUNCTION("""COMPUTED_VALUE"""),2021.0)</f>
        <v>2021</v>
      </c>
      <c r="AP28" s="3">
        <f>IFERROR(__xludf.DUMMYFUNCTION("""COMPUTED_VALUE"""),45748.0)</f>
        <v>45748</v>
      </c>
      <c r="AQ28" s="2">
        <f>IFERROR(__xludf.DUMMYFUNCTION("""COMPUTED_VALUE"""),45761.0)</f>
        <v>45761</v>
      </c>
      <c r="AR28" s="2">
        <f>IFERROR(__xludf.DUMMYFUNCTION("""COMPUTED_VALUE"""),45754.0)</f>
        <v>45754</v>
      </c>
      <c r="AS28" s="2">
        <f>IFERROR(__xludf.DUMMYFUNCTION("""COMPUTED_VALUE"""),45748.0)</f>
        <v>45748</v>
      </c>
      <c r="AT28" s="2">
        <f>IFERROR(__xludf.DUMMYFUNCTION("""COMPUTED_VALUE"""),45747.0)</f>
        <v>45747</v>
      </c>
      <c r="AU28" s="1">
        <f>IFERROR(__xludf.DUMMYFUNCTION("""COMPUTED_VALUE"""),8.0)</f>
        <v>8</v>
      </c>
      <c r="AV28" s="1" t="str">
        <f>IFERROR(__xludf.DUMMYFUNCTION("""COMPUTED_VALUE"""),"DIGITAL")</f>
        <v>DIGITAL</v>
      </c>
      <c r="AW28" s="1" t="str">
        <f>IFERROR(__xludf.DUMMYFUNCTION("""COMPUTED_VALUE"""),"BIDIRECCIONAL")</f>
        <v>BIDIRECCIONAL</v>
      </c>
      <c r="AX28" s="1" t="str">
        <f>IFERROR(__xludf.DUMMYFUNCTION("""COMPUTED_VALUE"""),"ORGANICO")</f>
        <v>ORGANICO</v>
      </c>
      <c r="AY28" s="1">
        <f>IFERROR(__xludf.DUMMYFUNCTION("""COMPUTED_VALUE"""),1.0)</f>
        <v>1</v>
      </c>
      <c r="AZ28" s="1" t="str">
        <f>IFERROR(__xludf.DUMMYFUNCTION("""COMPUTED_VALUE"""),"Rosa Ugarte")</f>
        <v>Rosa Ugarte</v>
      </c>
      <c r="BA28" s="5">
        <f>IFERROR(__xludf.DUMMYFUNCTION("""COMPUTED_VALUE"""),1.0)</f>
        <v>1</v>
      </c>
      <c r="BB28" s="6">
        <f>IFERROR(__xludf.DUMMYFUNCTION("""COMPUTED_VALUE"""),1050.0)</f>
        <v>1050</v>
      </c>
      <c r="BC28" s="1">
        <f>IFERROR(__xludf.DUMMYFUNCTION("""COMPUTED_VALUE"""),1.0)</f>
        <v>1</v>
      </c>
      <c r="BD28" s="1" t="str">
        <f>IFERROR(__xludf.DUMMYFUNCTION("""COMPUTED_VALUE"""),"Matemáticas y Redacción")</f>
        <v>Matemáticas y Redacción</v>
      </c>
      <c r="BE28" s="1">
        <f>IFERROR(__xludf.DUMMYFUNCTION("""COMPUTED_VALUE"""),1.0)</f>
        <v>1</v>
      </c>
      <c r="BF28" s="1">
        <f>IFERROR(__xludf.DUMMYFUNCTION("""COMPUTED_VALUE"""),1.0)</f>
        <v>1</v>
      </c>
      <c r="BG28" s="3">
        <f>IFERROR(__xludf.DUMMYFUNCTION("""COMPUTED_VALUE"""),45794.0)</f>
        <v>45794</v>
      </c>
      <c r="BH28" s="1" t="str">
        <f>IFERROR(__xludf.DUMMYFUNCTION("""COMPUTED_VALUE"""),"07/06/2025")</f>
        <v>07/06/2025</v>
      </c>
      <c r="BI28" s="1">
        <f>IFERROR(__xludf.DUMMYFUNCTION("""COMPUTED_VALUE"""),0.0)</f>
        <v>0</v>
      </c>
      <c r="BJ28" s="1" t="str">
        <f>IFERROR(__xludf.DUMMYFUNCTION("""COMPUTED_VALUE"""),"NUEVO")</f>
        <v>NUEVO</v>
      </c>
    </row>
    <row r="29">
      <c r="A29" s="1">
        <f>IFERROR(__xludf.DUMMYFUNCTION("""COMPUTED_VALUE"""),28.0)</f>
        <v>28</v>
      </c>
      <c r="B29" s="1">
        <f>IFERROR(__xludf.DUMMYFUNCTION("""COMPUTED_VALUE"""),5134424.0)</f>
        <v>5134424</v>
      </c>
      <c r="C29" s="1" t="str">
        <f>IFERROR(__xludf.DUMMYFUNCTION("""COMPUTED_VALUE"""),"0000422933")</f>
        <v>0000422933</v>
      </c>
      <c r="D29" s="1" t="str">
        <f>IFERROR(__xludf.DUMMYFUNCTION("""COMPUTED_VALUE"""),"KIMEE LUCIANA")</f>
        <v>KIMEE LUCIANA</v>
      </c>
      <c r="E29" s="2" t="str">
        <f>IFERROR(__xludf.DUMMYFUNCTION("""COMPUTED_VALUE"""),"CALMET LAVY")</f>
        <v>CALMET LAVY</v>
      </c>
      <c r="F29" s="1">
        <f>IFERROR(__xludf.DUMMYFUNCTION("""COMPUTED_VALUE"""),6.1042423E7)</f>
        <v>61042423</v>
      </c>
      <c r="G29" s="1">
        <f>IFERROR(__xludf.DUMMYFUNCTION("""COMPUTED_VALUE"""),9.82288834E8)</f>
        <v>982288834</v>
      </c>
      <c r="H29" s="1" t="str">
        <f>IFERROR(__xludf.DUMMYFUNCTION("""COMPUTED_VALUE"""),"calmetluciana1@gmail.com")</f>
        <v>calmetluciana1@gmail.com</v>
      </c>
      <c r="I29" s="1" t="str">
        <f>IFERROR(__xludf.DUMMYFUNCTION("""COMPUTED_VALUE"""),"Comunicación Audiovisual y Cine")</f>
        <v>Comunicación Audiovisual y Cine</v>
      </c>
      <c r="J29" s="1" t="str">
        <f>IFERROR(__xludf.DUMMYFUNCTION("""COMPUTED_VALUE"""),"Comunicaciones")</f>
        <v>Comunicaciones</v>
      </c>
      <c r="K29" s="1" t="str">
        <f>IFERROR(__xludf.DUMMYFUNCTION("""COMPUTED_VALUE"""),"Antigua")</f>
        <v>Antigua</v>
      </c>
      <c r="L29" s="1" t="str">
        <f>IFERROR(__xludf.DUMMYFUNCTION("""COMPUTED_VALUE"""),"Admisión de Alto Rendimiento")</f>
        <v>Admisión de Alto Rendimiento</v>
      </c>
      <c r="M29" s="1" t="str">
        <f>IFERROR(__xludf.DUMMYFUNCTION("""COMPUTED_VALUE"""),"Semi-presencial")</f>
        <v>Semi-presencial</v>
      </c>
      <c r="N29" s="1" t="str">
        <f>IFERROR(__xludf.DUMMYFUNCTION("""COMPUTED_VALUE"""),"Diurno")</f>
        <v>Diurno</v>
      </c>
      <c r="O29" s="1" t="str">
        <f>IFERROR(__xludf.DUMMYFUNCTION("""COMPUTED_VALUE"""),"NUEVO")</f>
        <v>NUEVO</v>
      </c>
      <c r="P29" s="1" t="str">
        <f>IFERROR(__xludf.DUMMYFUNCTION("""COMPUTED_VALUE"""),"BECA")</f>
        <v>BECA</v>
      </c>
      <c r="Q29" s="1" t="str">
        <f>IFERROR(__xludf.DUMMYFUNCTION("""COMPUTED_VALUE"""),"BECA CARRERAS CORE")</f>
        <v>BECA CARRERAS CORE</v>
      </c>
      <c r="R29" s="1" t="str">
        <f>IFERROR(__xludf.DUMMYFUNCTION("""COMPUTED_VALUE"""),"Visita Guiada")</f>
        <v>Visita Guiada</v>
      </c>
      <c r="S29" s="1" t="str">
        <f>IFERROR(__xludf.DUMMYFUNCTION("""COMPUTED_VALUE"""),"FABIOLA")</f>
        <v>FABIOLA</v>
      </c>
      <c r="T29" s="3">
        <f>IFERROR(__xludf.DUMMYFUNCTION("""COMPUTED_VALUE"""),45757.0)</f>
        <v>45757</v>
      </c>
      <c r="U29" s="1" t="str">
        <f>IFERROR(__xludf.DUMMYFUNCTION("""COMPUTED_VALUE"""),"POS")</f>
        <v>POS</v>
      </c>
      <c r="V29" s="1" t="str">
        <f>IFERROR(__xludf.DUMMYFUNCTION("""COMPUTED_VALUE"""),"PAGO FRACCIONADO")</f>
        <v>PAGO FRACCIONADO</v>
      </c>
      <c r="W29" s="4">
        <f>IFERROR(__xludf.DUMMYFUNCTION("""COMPUTED_VALUE"""),0.0)</f>
        <v>0</v>
      </c>
      <c r="X29" s="1" t="str">
        <f>IFERROR(__xludf.DUMMYFUNCTION("""COMPUTED_VALUE"""),"26/04/2025")</f>
        <v>26/04/2025</v>
      </c>
      <c r="Y29" s="2">
        <f>IFERROR(__xludf.DUMMYFUNCTION("""COMPUTED_VALUE"""),45771.0)</f>
        <v>45771</v>
      </c>
      <c r="Z29" s="1" t="str">
        <f>IFERROR(__xludf.DUMMYFUNCTION("""COMPUTED_VALUE"""),"PAGO COMPLETO")</f>
        <v>PAGO COMPLETO</v>
      </c>
      <c r="AA29" s="1"/>
      <c r="AB29" s="1"/>
      <c r="AC29" s="4">
        <f>IFERROR(__xludf.DUMMYFUNCTION("""COMPUTED_VALUE"""),200.0)</f>
        <v>200</v>
      </c>
      <c r="AD29" s="4">
        <f>IFERROR(__xludf.DUMMYFUNCTION("""COMPUTED_VALUE"""),475.0)</f>
        <v>475</v>
      </c>
      <c r="AE29" s="4">
        <f>IFERROR(__xludf.DUMMYFUNCTION("""COMPUTED_VALUE"""),1200.0)</f>
        <v>1200</v>
      </c>
      <c r="AF29" s="4">
        <f>IFERROR(__xludf.DUMMYFUNCTION("""COMPUTED_VALUE"""),1050.0)</f>
        <v>1050</v>
      </c>
      <c r="AG29" s="1">
        <f>IFERROR(__xludf.DUMMYFUNCTION("""COMPUTED_VALUE"""),0.0)</f>
        <v>0</v>
      </c>
      <c r="AH29" s="1">
        <f>IFERROR(__xludf.DUMMYFUNCTION("""COMPUTED_VALUE"""),0.0)</f>
        <v>0</v>
      </c>
      <c r="AI29" s="1">
        <f>IFERROR(__xludf.DUMMYFUNCTION("""COMPUTED_VALUE"""),0.0)</f>
        <v>0</v>
      </c>
      <c r="AJ29" s="1">
        <f>IFERROR(__xludf.DUMMYFUNCTION("""COMPUTED_VALUE"""),340364.0)</f>
        <v>340364</v>
      </c>
      <c r="AK29" s="1" t="str">
        <f>IFERROR(__xludf.DUMMYFUNCTION("""COMPUTED_VALUE"""),"10 kms a 15 kms")</f>
        <v>10 kms a 15 kms</v>
      </c>
      <c r="AL29" s="1" t="str">
        <f>IFERROR(__xludf.DUMMYFUNCTION("""COMPUTED_VALUE"""),"01 Nacional")</f>
        <v>01 Nacional</v>
      </c>
      <c r="AM29" s="1" t="str">
        <f>IFERROR(__xludf.DUMMYFUNCTION("""COMPUTED_VALUE"""),"-")</f>
        <v>-</v>
      </c>
      <c r="AN29" s="1" t="str">
        <f>IFERROR(__xludf.DUMMYFUNCTION("""COMPUTED_VALUE""")," -")</f>
        <v> -</v>
      </c>
      <c r="AO29" s="1">
        <f>IFERROR(__xludf.DUMMYFUNCTION("""COMPUTED_VALUE"""),2024.0)</f>
        <v>2024</v>
      </c>
      <c r="AP29" s="3">
        <f>IFERROR(__xludf.DUMMYFUNCTION("""COMPUTED_VALUE"""),45748.0)</f>
        <v>45748</v>
      </c>
      <c r="AQ29" s="2">
        <f>IFERROR(__xludf.DUMMYFUNCTION("""COMPUTED_VALUE"""),45768.0)</f>
        <v>45768</v>
      </c>
      <c r="AR29" s="2">
        <f>IFERROR(__xludf.DUMMYFUNCTION("""COMPUTED_VALUE"""),45755.0)</f>
        <v>45755</v>
      </c>
      <c r="AS29" s="2">
        <f>IFERROR(__xludf.DUMMYFUNCTION("""COMPUTED_VALUE"""),45748.0)</f>
        <v>45748</v>
      </c>
      <c r="AT29" s="2">
        <f>IFERROR(__xludf.DUMMYFUNCTION("""COMPUTED_VALUE"""),45747.0)</f>
        <v>45747</v>
      </c>
      <c r="AU29" s="1">
        <f>IFERROR(__xludf.DUMMYFUNCTION("""COMPUTED_VALUE"""),16.0)</f>
        <v>16</v>
      </c>
      <c r="AV29" s="1" t="str">
        <f>IFERROR(__xludf.DUMMYFUNCTION("""COMPUTED_VALUE"""),"DIGITAL")</f>
        <v>DIGITAL</v>
      </c>
      <c r="AW29" s="1" t="str">
        <f>IFERROR(__xludf.DUMMYFUNCTION("""COMPUTED_VALUE"""),"BIDIRECCIONAL")</f>
        <v>BIDIRECCIONAL</v>
      </c>
      <c r="AX29" s="1" t="str">
        <f>IFERROR(__xludf.DUMMYFUNCTION("""COMPUTED_VALUE"""),"ORGANICO")</f>
        <v>ORGANICO</v>
      </c>
      <c r="AY29" s="1">
        <f>IFERROR(__xludf.DUMMYFUNCTION("""COMPUTED_VALUE"""),1.0)</f>
        <v>1</v>
      </c>
      <c r="AZ29" s="1" t="str">
        <f>IFERROR(__xludf.DUMMYFUNCTION("""COMPUTED_VALUE"""),"Angelica Iparraguirre")</f>
        <v>Angelica Iparraguirre</v>
      </c>
      <c r="BA29" s="5">
        <f>IFERROR(__xludf.DUMMYFUNCTION("""COMPUTED_VALUE"""),1.0)</f>
        <v>1</v>
      </c>
      <c r="BB29" s="6">
        <f>IFERROR(__xludf.DUMMYFUNCTION("""COMPUTED_VALUE"""),1030.0)</f>
        <v>1030</v>
      </c>
      <c r="BC29" s="1">
        <f>IFERROR(__xludf.DUMMYFUNCTION("""COMPUTED_VALUE"""),1.0)</f>
        <v>1</v>
      </c>
      <c r="BD29" s="1" t="str">
        <f>IFERROR(__xludf.DUMMYFUNCTION("""COMPUTED_VALUE"""),"Matemáticas y Redacción")</f>
        <v>Matemáticas y Redacción</v>
      </c>
      <c r="BE29" s="1">
        <f>IFERROR(__xludf.DUMMYFUNCTION("""COMPUTED_VALUE"""),1.0)</f>
        <v>1</v>
      </c>
      <c r="BF29" s="1">
        <f>IFERROR(__xludf.DUMMYFUNCTION("""COMPUTED_VALUE"""),1.0)</f>
        <v>1</v>
      </c>
      <c r="BG29" s="3">
        <f>IFERROR(__xludf.DUMMYFUNCTION("""COMPUTED_VALUE"""),45794.0)</f>
        <v>45794</v>
      </c>
      <c r="BH29" s="1" t="str">
        <f>IFERROR(__xludf.DUMMYFUNCTION("""COMPUTED_VALUE"""),"17/05/2025")</f>
        <v>17/05/2025</v>
      </c>
      <c r="BI29" s="1">
        <f>IFERROR(__xludf.DUMMYFUNCTION("""COMPUTED_VALUE"""),0.0)</f>
        <v>0</v>
      </c>
      <c r="BJ29" s="1" t="str">
        <f>IFERROR(__xludf.DUMMYFUNCTION("""COMPUTED_VALUE"""),"NUEVO")</f>
        <v>NUEVO</v>
      </c>
    </row>
    <row r="30">
      <c r="A30" s="1">
        <f>IFERROR(__xludf.DUMMYFUNCTION("""COMPUTED_VALUE"""),29.0)</f>
        <v>29</v>
      </c>
      <c r="B30" s="1">
        <f>IFERROR(__xludf.DUMMYFUNCTION("""COMPUTED_VALUE"""),5133441.0)</f>
        <v>5133441</v>
      </c>
      <c r="C30" s="1" t="str">
        <f>IFERROR(__xludf.DUMMYFUNCTION("""COMPUTED_VALUE"""),"0000422909")</f>
        <v>0000422909</v>
      </c>
      <c r="D30" s="1" t="str">
        <f>IFERROR(__xludf.DUMMYFUNCTION("""COMPUTED_VALUE"""),"KIARA ANTUANET")</f>
        <v>KIARA ANTUANET</v>
      </c>
      <c r="E30" s="2" t="str">
        <f>IFERROR(__xludf.DUMMYFUNCTION("""COMPUTED_VALUE"""),"FIGUEROA RAMOS")</f>
        <v>FIGUEROA RAMOS</v>
      </c>
      <c r="F30" s="1">
        <f>IFERROR(__xludf.DUMMYFUNCTION("""COMPUTED_VALUE"""),7.4151782E7)</f>
        <v>74151782</v>
      </c>
      <c r="G30" s="1">
        <f>IFERROR(__xludf.DUMMYFUNCTION("""COMPUTED_VALUE"""),9.3630007E8)</f>
        <v>936300070</v>
      </c>
      <c r="H30" s="1" t="str">
        <f>IFERROR(__xludf.DUMMYFUNCTION("""COMPUTED_VALUE"""),"antuanetkiara@gmail.com")</f>
        <v>antuanetkiara@gmail.com</v>
      </c>
      <c r="I30" s="1" t="str">
        <f>IFERROR(__xludf.DUMMYFUNCTION("""COMPUTED_VALUE"""),"Comunicación Audiovisual y Cine")</f>
        <v>Comunicación Audiovisual y Cine</v>
      </c>
      <c r="J30" s="1" t="str">
        <f>IFERROR(__xludf.DUMMYFUNCTION("""COMPUTED_VALUE"""),"Comunicaciones")</f>
        <v>Comunicaciones</v>
      </c>
      <c r="K30" s="1" t="str">
        <f>IFERROR(__xludf.DUMMYFUNCTION("""COMPUTED_VALUE"""),"Antigua")</f>
        <v>Antigua</v>
      </c>
      <c r="L30" s="1" t="str">
        <f>IFERROR(__xludf.DUMMYFUNCTION("""COMPUTED_VALUE"""),"Admisión Ordinaria")</f>
        <v>Admisión Ordinaria</v>
      </c>
      <c r="M30" s="1" t="str">
        <f>IFERROR(__xludf.DUMMYFUNCTION("""COMPUTED_VALUE"""),"Semi-presencial")</f>
        <v>Semi-presencial</v>
      </c>
      <c r="N30" s="1" t="str">
        <f>IFERROR(__xludf.DUMMYFUNCTION("""COMPUTED_VALUE"""),"Diurno")</f>
        <v>Diurno</v>
      </c>
      <c r="O30" s="1" t="str">
        <f>IFERROR(__xludf.DUMMYFUNCTION("""COMPUTED_VALUE"""),"NUEVO")</f>
        <v>NUEVO</v>
      </c>
      <c r="P30" s="1" t="str">
        <f>IFERROR(__xludf.DUMMYFUNCTION("""COMPUTED_VALUE"""),"BECA")</f>
        <v>BECA</v>
      </c>
      <c r="Q30" s="1" t="str">
        <f>IFERROR(__xludf.DUMMYFUNCTION("""COMPUTED_VALUE"""),"BECA CARRERAS CORE")</f>
        <v>BECA CARRERAS CORE</v>
      </c>
      <c r="R30" s="1" t="str">
        <f>IFERROR(__xludf.DUMMYFUNCTION("""COMPUTED_VALUE"""),"NINGUNO")</f>
        <v>NINGUNO</v>
      </c>
      <c r="S30" s="1" t="str">
        <f>IFERROR(__xludf.DUMMYFUNCTION("""COMPUTED_VALUE"""),"FABIOLA")</f>
        <v>FABIOLA</v>
      </c>
      <c r="T30" s="3">
        <f>IFERROR(__xludf.DUMMYFUNCTION("""COMPUTED_VALUE"""),45758.0)</f>
        <v>45758</v>
      </c>
      <c r="U30" s="1" t="str">
        <f>IFERROR(__xludf.DUMMYFUNCTION("""COMPUTED_VALUE"""),"Pago Link")</f>
        <v>Pago Link</v>
      </c>
      <c r="V30" s="1" t="str">
        <f>IFERROR(__xludf.DUMMYFUNCTION("""COMPUTED_VALUE"""),"PAGO FRACCIONADO")</f>
        <v>PAGO FRACCIONADO</v>
      </c>
      <c r="W30" s="4">
        <f>IFERROR(__xludf.DUMMYFUNCTION("""COMPUTED_VALUE"""),0.0)</f>
        <v>0</v>
      </c>
      <c r="X30" s="1" t="str">
        <f>IFERROR(__xludf.DUMMYFUNCTION("""COMPUTED_VALUE"""),"11/04/2025")</f>
        <v>11/04/2025</v>
      </c>
      <c r="Y30" s="2">
        <f>IFERROR(__xludf.DUMMYFUNCTION("""COMPUTED_VALUE"""),45762.0)</f>
        <v>45762</v>
      </c>
      <c r="Z30" s="1" t="str">
        <f>IFERROR(__xludf.DUMMYFUNCTION("""COMPUTED_VALUE"""),"PAGO COMPLETO")</f>
        <v>PAGO COMPLETO</v>
      </c>
      <c r="AA30" s="1"/>
      <c r="AB30" s="1"/>
      <c r="AC30" s="4">
        <f>IFERROR(__xludf.DUMMYFUNCTION("""COMPUTED_VALUE"""),250.0)</f>
        <v>250</v>
      </c>
      <c r="AD30" s="4">
        <f>IFERROR(__xludf.DUMMYFUNCTION("""COMPUTED_VALUE"""),475.0)</f>
        <v>475</v>
      </c>
      <c r="AE30" s="4">
        <f>IFERROR(__xludf.DUMMYFUNCTION("""COMPUTED_VALUE"""),1200.0)</f>
        <v>1200</v>
      </c>
      <c r="AF30" s="4">
        <f>IFERROR(__xludf.DUMMYFUNCTION("""COMPUTED_VALUE"""),1050.0)</f>
        <v>1050</v>
      </c>
      <c r="AG30" s="1">
        <f>IFERROR(__xludf.DUMMYFUNCTION("""COMPUTED_VALUE"""),0.0)</f>
        <v>0</v>
      </c>
      <c r="AH30" s="1">
        <f>IFERROR(__xludf.DUMMYFUNCTION("""COMPUTED_VALUE"""),0.0)</f>
        <v>0</v>
      </c>
      <c r="AI30" s="1">
        <f>IFERROR(__xludf.DUMMYFUNCTION("""COMPUTED_VALUE"""),0.0)</f>
        <v>0</v>
      </c>
      <c r="AJ30" s="1">
        <f>IFERROR(__xludf.DUMMYFUNCTION("""COMPUTED_VALUE"""),665489.0)</f>
        <v>665489</v>
      </c>
      <c r="AK30" s="1" t="str">
        <f>IFERROR(__xludf.DUMMYFUNCTION("""COMPUTED_VALUE"""),"Más de 15 kms")</f>
        <v>Más de 15 kms</v>
      </c>
      <c r="AL30" s="1" t="str">
        <f>IFERROR(__xludf.DUMMYFUNCTION("""COMPUTED_VALUE"""),"01 Nacional")</f>
        <v>01 Nacional</v>
      </c>
      <c r="AM30" s="1" t="str">
        <f>IFERROR(__xludf.DUMMYFUNCTION("""COMPUTED_VALUE"""),"-")</f>
        <v>-</v>
      </c>
      <c r="AN30" s="1" t="str">
        <f>IFERROR(__xludf.DUMMYFUNCTION("""COMPUTED_VALUE""")," -")</f>
        <v> -</v>
      </c>
      <c r="AO30" s="1">
        <f>IFERROR(__xludf.DUMMYFUNCTION("""COMPUTED_VALUE"""),2021.0)</f>
        <v>2021</v>
      </c>
      <c r="AP30" s="3">
        <f>IFERROR(__xludf.DUMMYFUNCTION("""COMPUTED_VALUE"""),45748.0)</f>
        <v>45748</v>
      </c>
      <c r="AQ30" s="2">
        <f>IFERROR(__xludf.DUMMYFUNCTION("""COMPUTED_VALUE"""),45761.0)</f>
        <v>45761</v>
      </c>
      <c r="AR30" s="2">
        <f>IFERROR(__xludf.DUMMYFUNCTION("""COMPUTED_VALUE"""),45754.0)</f>
        <v>45754</v>
      </c>
      <c r="AS30" s="2">
        <f>IFERROR(__xludf.DUMMYFUNCTION("""COMPUTED_VALUE"""),45748.0)</f>
        <v>45748</v>
      </c>
      <c r="AT30" s="2">
        <f>IFERROR(__xludf.DUMMYFUNCTION("""COMPUTED_VALUE"""),45747.0)</f>
        <v>45747</v>
      </c>
      <c r="AU30" s="1">
        <f>IFERROR(__xludf.DUMMYFUNCTION("""COMPUTED_VALUE"""),8.0)</f>
        <v>8</v>
      </c>
      <c r="AV30" s="1" t="str">
        <f>IFERROR(__xludf.DUMMYFUNCTION("""COMPUTED_VALUE"""),"DIGITAL")</f>
        <v>DIGITAL</v>
      </c>
      <c r="AW30" s="1" t="str">
        <f>IFERROR(__xludf.DUMMYFUNCTION("""COMPUTED_VALUE"""),"BIDIRECCIONAL")</f>
        <v>BIDIRECCIONAL</v>
      </c>
      <c r="AX30" s="1" t="str">
        <f>IFERROR(__xludf.DUMMYFUNCTION("""COMPUTED_VALUE"""),"ORGANICO")</f>
        <v>ORGANICO</v>
      </c>
      <c r="AY30" s="1">
        <f>IFERROR(__xludf.DUMMYFUNCTION("""COMPUTED_VALUE"""),1.0)</f>
        <v>1</v>
      </c>
      <c r="AZ30" s="1" t="str">
        <f>IFERROR(__xludf.DUMMYFUNCTION("""COMPUTED_VALUE"""),"Sergio Valderrama Rodriguez")</f>
        <v>Sergio Valderrama Rodriguez</v>
      </c>
      <c r="BA30" s="5">
        <f>IFERROR(__xludf.DUMMYFUNCTION("""COMPUTED_VALUE"""),1.0)</f>
        <v>1</v>
      </c>
      <c r="BB30" s="6">
        <f>IFERROR(__xludf.DUMMYFUNCTION("""COMPUTED_VALUE"""),1050.0)</f>
        <v>1050</v>
      </c>
      <c r="BC30" s="1">
        <f>IFERROR(__xludf.DUMMYFUNCTION("""COMPUTED_VALUE"""),0.0)</f>
        <v>0</v>
      </c>
      <c r="BD30" s="1" t="str">
        <f>IFERROR(__xludf.DUMMYFUNCTION("""COMPUTED_VALUE""")," -")</f>
        <v> -</v>
      </c>
      <c r="BE30" s="1">
        <f>IFERROR(__xludf.DUMMYFUNCTION("""COMPUTED_VALUE"""),1.0)</f>
        <v>1</v>
      </c>
      <c r="BF30" s="1">
        <f>IFERROR(__xludf.DUMMYFUNCTION("""COMPUTED_VALUE"""),0.0)</f>
        <v>0</v>
      </c>
      <c r="BG30" s="3">
        <f>IFERROR(__xludf.DUMMYFUNCTION("""COMPUTED_VALUE"""),45794.0)</f>
        <v>45794</v>
      </c>
      <c r="BH30" s="1"/>
      <c r="BI30" s="1">
        <f>IFERROR(__xludf.DUMMYFUNCTION("""COMPUTED_VALUE"""),0.0)</f>
        <v>0</v>
      </c>
      <c r="BJ30" s="1" t="str">
        <f>IFERROR(__xludf.DUMMYFUNCTION("""COMPUTED_VALUE"""),"NUEVO")</f>
        <v>NUEVO</v>
      </c>
    </row>
    <row r="31">
      <c r="A31" s="1">
        <f>IFERROR(__xludf.DUMMYFUNCTION("""COMPUTED_VALUE"""),30.0)</f>
        <v>30</v>
      </c>
      <c r="B31" s="1">
        <f>IFERROR(__xludf.DUMMYFUNCTION("""COMPUTED_VALUE"""),5111081.0)</f>
        <v>5111081</v>
      </c>
      <c r="C31" s="1" t="str">
        <f>IFERROR(__xludf.DUMMYFUNCTION("""COMPUTED_VALUE"""),"0000423118")</f>
        <v>0000423118</v>
      </c>
      <c r="D31" s="1" t="str">
        <f>IFERROR(__xludf.DUMMYFUNCTION("""COMPUTED_VALUE"""),"ANGEL FABIAN")</f>
        <v>ANGEL FABIAN</v>
      </c>
      <c r="E31" s="2" t="str">
        <f>IFERROR(__xludf.DUMMYFUNCTION("""COMPUTED_VALUE"""),"RAFAEL DAVIRAN")</f>
        <v>RAFAEL DAVIRAN</v>
      </c>
      <c r="F31" s="1">
        <f>IFERROR(__xludf.DUMMYFUNCTION("""COMPUTED_VALUE"""),7.5142433E7)</f>
        <v>75142433</v>
      </c>
      <c r="G31" s="1">
        <f>IFERROR(__xludf.DUMMYFUNCTION("""COMPUTED_VALUE"""),9.51721377E8)</f>
        <v>951721377</v>
      </c>
      <c r="H31" s="1" t="str">
        <f>IFERROR(__xludf.DUMMYFUNCTION("""COMPUTED_VALUE"""),"rafaeldaviran16@gmail.com")</f>
        <v>rafaeldaviran16@gmail.com</v>
      </c>
      <c r="I31" s="1" t="str">
        <f>IFERROR(__xludf.DUMMYFUNCTION("""COMPUTED_VALUE"""),"Comunicación Audiovisual y Cine")</f>
        <v>Comunicación Audiovisual y Cine</v>
      </c>
      <c r="J31" s="1" t="str">
        <f>IFERROR(__xludf.DUMMYFUNCTION("""COMPUTED_VALUE"""),"Comunicaciones")</f>
        <v>Comunicaciones</v>
      </c>
      <c r="K31" s="1" t="str">
        <f>IFERROR(__xludf.DUMMYFUNCTION("""COMPUTED_VALUE"""),"Antigua")</f>
        <v>Antigua</v>
      </c>
      <c r="L31" s="1" t="str">
        <f>IFERROR(__xludf.DUMMYFUNCTION("""COMPUTED_VALUE"""),"Admisión Extraordinaria (Traslados)")</f>
        <v>Admisión Extraordinaria (Traslados)</v>
      </c>
      <c r="M31" s="1" t="str">
        <f>IFERROR(__xludf.DUMMYFUNCTION("""COMPUTED_VALUE"""),"Semi-presencial")</f>
        <v>Semi-presencial</v>
      </c>
      <c r="N31" s="1" t="str">
        <f>IFERROR(__xludf.DUMMYFUNCTION("""COMPUTED_VALUE"""),"Diurno")</f>
        <v>Diurno</v>
      </c>
      <c r="O31" s="1" t="str">
        <f>IFERROR(__xludf.DUMMYFUNCTION("""COMPUTED_VALUE"""),"TRASLADO CON CONVA")</f>
        <v>TRASLADO CON CONVA</v>
      </c>
      <c r="P31" s="1" t="str">
        <f>IFERROR(__xludf.DUMMYFUNCTION("""COMPUTED_VALUE"""),"RECA")</f>
        <v>RECA</v>
      </c>
      <c r="Q31" s="1" t="str">
        <f>IFERROR(__xludf.DUMMYFUNCTION("""COMPUTED_VALUE"""),"RECATEGORIZACIÓN")</f>
        <v>RECATEGORIZACIÓN</v>
      </c>
      <c r="R31" s="1" t="str">
        <f>IFERROR(__xludf.DUMMYFUNCTION("""COMPUTED_VALUE"""),"NINGUNO")</f>
        <v>NINGUNO</v>
      </c>
      <c r="S31" s="1" t="str">
        <f>IFERROR(__xludf.DUMMYFUNCTION("""COMPUTED_VALUE"""),"FABIOLA")</f>
        <v>FABIOLA</v>
      </c>
      <c r="T31" s="3">
        <f>IFERROR(__xludf.DUMMYFUNCTION("""COMPUTED_VALUE"""),45759.0)</f>
        <v>45759</v>
      </c>
      <c r="U31" s="1" t="str">
        <f>IFERROR(__xludf.DUMMYFUNCTION("""COMPUTED_VALUE"""),"POS")</f>
        <v>POS</v>
      </c>
      <c r="V31" s="1" t="str">
        <f>IFERROR(__xludf.DUMMYFUNCTION("""COMPUTED_VALUE"""),"PAGO FRACCIONADO")</f>
        <v>PAGO FRACCIONADO</v>
      </c>
      <c r="W31" s="4">
        <f>IFERROR(__xludf.DUMMYFUNCTION("""COMPUTED_VALUE"""),0.0)</f>
        <v>0</v>
      </c>
      <c r="X31" s="1" t="str">
        <f>IFERROR(__xludf.DUMMYFUNCTION("""COMPUTED_VALUE"""),"26/04/2025")</f>
        <v>26/04/2025</v>
      </c>
      <c r="Y31" s="2">
        <f>IFERROR(__xludf.DUMMYFUNCTION("""COMPUTED_VALUE"""),45773.0)</f>
        <v>45773</v>
      </c>
      <c r="Z31" s="1" t="str">
        <f>IFERROR(__xludf.DUMMYFUNCTION("""COMPUTED_VALUE"""),"PAGO COMPLETO")</f>
        <v>PAGO COMPLETO</v>
      </c>
      <c r="AA31" s="1"/>
      <c r="AB31" s="1"/>
      <c r="AC31" s="4">
        <f>IFERROR(__xludf.DUMMYFUNCTION("""COMPUTED_VALUE"""),0.0)</f>
        <v>0</v>
      </c>
      <c r="AD31" s="4">
        <f>IFERROR(__xludf.DUMMYFUNCTION("""COMPUTED_VALUE"""),0.0)</f>
        <v>0</v>
      </c>
      <c r="AE31" s="4">
        <f>IFERROR(__xludf.DUMMYFUNCTION("""COMPUTED_VALUE"""),750.0)</f>
        <v>750</v>
      </c>
      <c r="AF31" s="4">
        <f>IFERROR(__xludf.DUMMYFUNCTION("""COMPUTED_VALUE"""),750.0)</f>
        <v>750</v>
      </c>
      <c r="AG31" s="1">
        <f>IFERROR(__xludf.DUMMYFUNCTION("""COMPUTED_VALUE"""),0.0)</f>
        <v>0</v>
      </c>
      <c r="AH31" s="1">
        <f>IFERROR(__xludf.DUMMYFUNCTION("""COMPUTED_VALUE"""),0.0)</f>
        <v>0</v>
      </c>
      <c r="AI31" s="1">
        <f>IFERROR(__xludf.DUMMYFUNCTION("""COMPUTED_VALUE"""),0.0)</f>
        <v>0</v>
      </c>
      <c r="AJ31" s="1">
        <f>IFERROR(__xludf.DUMMYFUNCTION("""COMPUTED_VALUE"""),1525575.0)</f>
        <v>1525575</v>
      </c>
      <c r="AK31" s="1" t="str">
        <f>IFERROR(__xludf.DUMMYFUNCTION("""COMPUTED_VALUE"""),"10 kms a 15 kms")</f>
        <v>10 kms a 15 kms</v>
      </c>
      <c r="AL31" s="1" t="str">
        <f>IFERROR(__xludf.DUMMYFUNCTION("""COMPUTED_VALUE"""),"04 200 a 300")</f>
        <v>04 200 a 300</v>
      </c>
      <c r="AM31" s="1" t="str">
        <f>IFERROR(__xludf.DUMMYFUNCTION("""COMPUTED_VALUE"""),"Universidad Jaime Bausate y Meza")</f>
        <v>Universidad Jaime Bausate y Meza</v>
      </c>
      <c r="AN31" s="1" t="str">
        <f>IFERROR(__xludf.DUMMYFUNCTION("""COMPUTED_VALUE""")," ")</f>
        <v> </v>
      </c>
      <c r="AO31" s="1">
        <f>IFERROR(__xludf.DUMMYFUNCTION("""COMPUTED_VALUE"""),2021.0)</f>
        <v>2021</v>
      </c>
      <c r="AP31" s="3">
        <f>IFERROR(__xludf.DUMMYFUNCTION("""COMPUTED_VALUE"""),45748.0)</f>
        <v>45748</v>
      </c>
      <c r="AQ31" s="2">
        <f>IFERROR(__xludf.DUMMYFUNCTION("""COMPUTED_VALUE"""),45768.0)</f>
        <v>45768</v>
      </c>
      <c r="AR31" s="2">
        <f>IFERROR(__xludf.DUMMYFUNCTION("""COMPUTED_VALUE"""),45757.0)</f>
        <v>45757</v>
      </c>
      <c r="AS31" s="2">
        <f>IFERROR(__xludf.DUMMYFUNCTION("""COMPUTED_VALUE"""),45748.0)</f>
        <v>45748</v>
      </c>
      <c r="AT31" s="2">
        <f>IFERROR(__xludf.DUMMYFUNCTION("""COMPUTED_VALUE"""),45747.0)</f>
        <v>45747</v>
      </c>
      <c r="AU31" s="1">
        <f>IFERROR(__xludf.DUMMYFUNCTION("""COMPUTED_VALUE"""),16.0)</f>
        <v>16</v>
      </c>
      <c r="AV31" s="1" t="str">
        <f>IFERROR(__xludf.DUMMYFUNCTION("""COMPUTED_VALUE"""),"DIGITAL")</f>
        <v>DIGITAL</v>
      </c>
      <c r="AW31" s="1" t="str">
        <f>IFERROR(__xludf.DUMMYFUNCTION("""COMPUTED_VALUE"""),"BIDIRECCIONAL")</f>
        <v>BIDIRECCIONAL</v>
      </c>
      <c r="AX31" s="1" t="str">
        <f>IFERROR(__xludf.DUMMYFUNCTION("""COMPUTED_VALUE"""),"ORGANICO")</f>
        <v>ORGANICO</v>
      </c>
      <c r="AY31" s="1">
        <f>IFERROR(__xludf.DUMMYFUNCTION("""COMPUTED_VALUE"""),1.0)</f>
        <v>1</v>
      </c>
      <c r="AZ31" s="1" t="str">
        <f>IFERROR(__xludf.DUMMYFUNCTION("""COMPUTED_VALUE"""),"Angelica Iparraguirre")</f>
        <v>Angelica Iparraguirre</v>
      </c>
      <c r="BA31" s="5">
        <f>IFERROR(__xludf.DUMMYFUNCTION("""COMPUTED_VALUE"""),1.0)</f>
        <v>1</v>
      </c>
      <c r="BB31" s="6">
        <f>IFERROR(__xludf.DUMMYFUNCTION("""COMPUTED_VALUE"""),750.0)</f>
        <v>750</v>
      </c>
      <c r="BC31" s="1"/>
      <c r="BD31" s="1" t="str">
        <f>IFERROR(__xludf.DUMMYFUNCTION("""COMPUTED_VALUE""")," -")</f>
        <v> -</v>
      </c>
      <c r="BE31" s="1">
        <f>IFERROR(__xludf.DUMMYFUNCTION("""COMPUTED_VALUE"""),1.0)</f>
        <v>1</v>
      </c>
      <c r="BF31" s="1">
        <f>IFERROR(__xludf.DUMMYFUNCTION("""COMPUTED_VALUE"""),0.0)</f>
        <v>0</v>
      </c>
      <c r="BG31" s="1"/>
      <c r="BH31" s="1" t="str">
        <f>IFERROR(__xludf.DUMMYFUNCTION("""COMPUTED_VALUE"""),"No aplica")</f>
        <v>No aplica</v>
      </c>
      <c r="BI31" s="1">
        <f>IFERROR(__xludf.DUMMYFUNCTION("""COMPUTED_VALUE"""),1.0)</f>
        <v>1</v>
      </c>
      <c r="BJ31" s="1" t="str">
        <f>IFERROR(__xludf.DUMMYFUNCTION("""COMPUTED_VALUE"""),"TRASLADO")</f>
        <v>TRASLADO</v>
      </c>
    </row>
    <row r="32">
      <c r="A32" s="1">
        <f>IFERROR(__xludf.DUMMYFUNCTION("""COMPUTED_VALUE"""),31.0)</f>
        <v>31</v>
      </c>
      <c r="B32" s="1">
        <f>IFERROR(__xludf.DUMMYFUNCTION("""COMPUTED_VALUE"""),5136994.0)</f>
        <v>5136994</v>
      </c>
      <c r="C32" s="1" t="str">
        <f>IFERROR(__xludf.DUMMYFUNCTION("""COMPUTED_VALUE"""),"0000423151")</f>
        <v>0000423151</v>
      </c>
      <c r="D32" s="1" t="str">
        <f>IFERROR(__xludf.DUMMYFUNCTION("""COMPUTED_VALUE"""),"RIHANNA NINELL")</f>
        <v>RIHANNA NINELL</v>
      </c>
      <c r="E32" s="2" t="str">
        <f>IFERROR(__xludf.DUMMYFUNCTION("""COMPUTED_VALUE"""),"BERRIOS RISCO")</f>
        <v>BERRIOS RISCO</v>
      </c>
      <c r="F32" s="1">
        <f>IFERROR(__xludf.DUMMYFUNCTION("""COMPUTED_VALUE"""),6.1421896E7)</f>
        <v>61421896</v>
      </c>
      <c r="G32" s="1">
        <f>IFERROR(__xludf.DUMMYFUNCTION("""COMPUTED_VALUE"""),9.06059033E8)</f>
        <v>906059033</v>
      </c>
      <c r="H32" s="1" t="str">
        <f>IFERROR(__xludf.DUMMYFUNCTION("""COMPUTED_VALUE"""),"rihannaberrisco@gmail.com")</f>
        <v>rihannaberrisco@gmail.com</v>
      </c>
      <c r="I32" s="1" t="str">
        <f>IFERROR(__xludf.DUMMYFUNCTION("""COMPUTED_VALUE"""),"Comunicación Audiovisual y Cine")</f>
        <v>Comunicación Audiovisual y Cine</v>
      </c>
      <c r="J32" s="1" t="str">
        <f>IFERROR(__xludf.DUMMYFUNCTION("""COMPUTED_VALUE"""),"Comunicaciones")</f>
        <v>Comunicaciones</v>
      </c>
      <c r="K32" s="1" t="str">
        <f>IFERROR(__xludf.DUMMYFUNCTION("""COMPUTED_VALUE"""),"Antigua")</f>
        <v>Antigua</v>
      </c>
      <c r="L32" s="1" t="str">
        <f>IFERROR(__xludf.DUMMYFUNCTION("""COMPUTED_VALUE"""),"Admisión de Alto Rendimiento")</f>
        <v>Admisión de Alto Rendimiento</v>
      </c>
      <c r="M32" s="1" t="str">
        <f>IFERROR(__xludf.DUMMYFUNCTION("""COMPUTED_VALUE"""),"Semi-presencial")</f>
        <v>Semi-presencial</v>
      </c>
      <c r="N32" s="1" t="str">
        <f>IFERROR(__xludf.DUMMYFUNCTION("""COMPUTED_VALUE"""),"Diurno")</f>
        <v>Diurno</v>
      </c>
      <c r="O32" s="1" t="str">
        <f>IFERROR(__xludf.DUMMYFUNCTION("""COMPUTED_VALUE"""),"NUEVO")</f>
        <v>NUEVO</v>
      </c>
      <c r="P32" s="1" t="str">
        <f>IFERROR(__xludf.DUMMYFUNCTION("""COMPUTED_VALUE"""),"BECA")</f>
        <v>BECA</v>
      </c>
      <c r="Q32" s="1" t="str">
        <f>IFERROR(__xludf.DUMMYFUNCTION("""COMPUTED_VALUE"""),"BECA CARRERAS CORE")</f>
        <v>BECA CARRERAS CORE</v>
      </c>
      <c r="R32" s="1" t="str">
        <f>IFERROR(__xludf.DUMMYFUNCTION("""COMPUTED_VALUE"""),"NINGUNO")</f>
        <v>NINGUNO</v>
      </c>
      <c r="S32" s="1" t="str">
        <f>IFERROR(__xludf.DUMMYFUNCTION("""COMPUTED_VALUE"""),"FABIOLA")</f>
        <v>FABIOLA</v>
      </c>
      <c r="T32" s="3">
        <f>IFERROR(__xludf.DUMMYFUNCTION("""COMPUTED_VALUE"""),45759.0)</f>
        <v>45759</v>
      </c>
      <c r="U32" s="1" t="str">
        <f>IFERROR(__xludf.DUMMYFUNCTION("""COMPUTED_VALUE"""),"POS")</f>
        <v>POS</v>
      </c>
      <c r="V32" s="1" t="str">
        <f>IFERROR(__xludf.DUMMYFUNCTION("""COMPUTED_VALUE"""),"PAGO FRACCIONADO")</f>
        <v>PAGO FRACCIONADO</v>
      </c>
      <c r="W32" s="4">
        <f>IFERROR(__xludf.DUMMYFUNCTION("""COMPUTED_VALUE"""),0.0)</f>
        <v>0</v>
      </c>
      <c r="X32" s="1" t="str">
        <f>IFERROR(__xludf.DUMMYFUNCTION("""COMPUTED_VALUE"""),"26/04/2025")</f>
        <v>26/04/2025</v>
      </c>
      <c r="Y32" s="2">
        <f>IFERROR(__xludf.DUMMYFUNCTION("""COMPUTED_VALUE"""),45776.0)</f>
        <v>45776</v>
      </c>
      <c r="Z32" s="1" t="str">
        <f>IFERROR(__xludf.DUMMYFUNCTION("""COMPUTED_VALUE"""),"PAGO COMPLETO")</f>
        <v>PAGO COMPLETO</v>
      </c>
      <c r="AA32" s="1"/>
      <c r="AB32" s="1"/>
      <c r="AC32" s="4">
        <f>IFERROR(__xludf.DUMMYFUNCTION("""COMPUTED_VALUE"""),40.0)</f>
        <v>40</v>
      </c>
      <c r="AD32" s="4">
        <f>IFERROR(__xludf.DUMMYFUNCTION("""COMPUTED_VALUE"""),95.0)</f>
        <v>95</v>
      </c>
      <c r="AE32" s="4">
        <f>IFERROR(__xludf.DUMMYFUNCTION("""COMPUTED_VALUE"""),1200.0)</f>
        <v>1200</v>
      </c>
      <c r="AF32" s="4">
        <f>IFERROR(__xludf.DUMMYFUNCTION("""COMPUTED_VALUE"""),1050.0)</f>
        <v>1050</v>
      </c>
      <c r="AG32" s="1">
        <f>IFERROR(__xludf.DUMMYFUNCTION("""COMPUTED_VALUE"""),0.0)</f>
        <v>0</v>
      </c>
      <c r="AH32" s="1">
        <f>IFERROR(__xludf.DUMMYFUNCTION("""COMPUTED_VALUE"""),0.0)</f>
        <v>0</v>
      </c>
      <c r="AI32" s="1">
        <f>IFERROR(__xludf.DUMMYFUNCTION("""COMPUTED_VALUE"""),0.0)</f>
        <v>0</v>
      </c>
      <c r="AJ32" s="1">
        <f>IFERROR(__xludf.DUMMYFUNCTION("""COMPUTED_VALUE"""),340364.0)</f>
        <v>340364</v>
      </c>
      <c r="AK32" s="1" t="str">
        <f>IFERROR(__xludf.DUMMYFUNCTION("""COMPUTED_VALUE"""),"10 kms a 15 kms")</f>
        <v>10 kms a 15 kms</v>
      </c>
      <c r="AL32" s="1" t="str">
        <f>IFERROR(__xludf.DUMMYFUNCTION("""COMPUTED_VALUE"""),"01 Nacional")</f>
        <v>01 Nacional</v>
      </c>
      <c r="AM32" s="1" t="str">
        <f>IFERROR(__xludf.DUMMYFUNCTION("""COMPUTED_VALUE"""),"-")</f>
        <v>-</v>
      </c>
      <c r="AN32" s="1" t="str">
        <f>IFERROR(__xludf.DUMMYFUNCTION("""COMPUTED_VALUE""")," -")</f>
        <v> -</v>
      </c>
      <c r="AO32" s="1">
        <f>IFERROR(__xludf.DUMMYFUNCTION("""COMPUTED_VALUE"""),2024.0)</f>
        <v>2024</v>
      </c>
      <c r="AP32" s="3">
        <f>IFERROR(__xludf.DUMMYFUNCTION("""COMPUTED_VALUE"""),45748.0)</f>
        <v>45748</v>
      </c>
      <c r="AQ32" s="2">
        <f>IFERROR(__xludf.DUMMYFUNCTION("""COMPUTED_VALUE"""),45775.0)</f>
        <v>45775</v>
      </c>
      <c r="AR32" s="2">
        <f>IFERROR(__xludf.DUMMYFUNCTION("""COMPUTED_VALUE"""),45756.0)</f>
        <v>45756</v>
      </c>
      <c r="AS32" s="2">
        <f>IFERROR(__xludf.DUMMYFUNCTION("""COMPUTED_VALUE"""),45748.0)</f>
        <v>45748</v>
      </c>
      <c r="AT32" s="2">
        <f>IFERROR(__xludf.DUMMYFUNCTION("""COMPUTED_VALUE"""),45747.0)</f>
        <v>45747</v>
      </c>
      <c r="AU32" s="1">
        <f>IFERROR(__xludf.DUMMYFUNCTION("""COMPUTED_VALUE"""),20.0)</f>
        <v>20</v>
      </c>
      <c r="AV32" s="1" t="str">
        <f>IFERROR(__xludf.DUMMYFUNCTION("""COMPUTED_VALUE"""),"OUTBOUND")</f>
        <v>OUTBOUND</v>
      </c>
      <c r="AW32" s="1" t="str">
        <f>IFERROR(__xludf.DUMMYFUNCTION("""COMPUTED_VALUE"""),"OUTBOUND")</f>
        <v>OUTBOUND</v>
      </c>
      <c r="AX32" s="1" t="str">
        <f>IFERROR(__xludf.DUMMYFUNCTION("""COMPUTED_VALUE"""),"OUTBOUND")</f>
        <v>OUTBOUND</v>
      </c>
      <c r="AY32" s="1">
        <f>IFERROR(__xludf.DUMMYFUNCTION("""COMPUTED_VALUE"""),1.0)</f>
        <v>1</v>
      </c>
      <c r="AZ32" s="1" t="str">
        <f>IFERROR(__xludf.DUMMYFUNCTION("""COMPUTED_VALUE"""),"Angelica Iparraguirre")</f>
        <v>Angelica Iparraguirre</v>
      </c>
      <c r="BA32" s="5">
        <f>IFERROR(__xludf.DUMMYFUNCTION("""COMPUTED_VALUE"""),1.0)</f>
        <v>1</v>
      </c>
      <c r="BB32" s="6">
        <f>IFERROR(__xludf.DUMMYFUNCTION("""COMPUTED_VALUE"""),1050.0)</f>
        <v>1050</v>
      </c>
      <c r="BC32" s="1">
        <f>IFERROR(__xludf.DUMMYFUNCTION("""COMPUTED_VALUE"""),1.0)</f>
        <v>1</v>
      </c>
      <c r="BD32" s="1" t="str">
        <f>IFERROR(__xludf.DUMMYFUNCTION("""COMPUTED_VALUE"""),"Matemáticas y Redacción")</f>
        <v>Matemáticas y Redacción</v>
      </c>
      <c r="BE32" s="1">
        <f>IFERROR(__xludf.DUMMYFUNCTION("""COMPUTED_VALUE"""),1.0)</f>
        <v>1</v>
      </c>
      <c r="BF32" s="1">
        <f>IFERROR(__xludf.DUMMYFUNCTION("""COMPUTED_VALUE"""),1.0)</f>
        <v>1</v>
      </c>
      <c r="BG32" s="3">
        <f>IFERROR(__xludf.DUMMYFUNCTION("""COMPUTED_VALUE"""),45794.0)</f>
        <v>45794</v>
      </c>
      <c r="BH32" s="1" t="str">
        <f>IFERROR(__xludf.DUMMYFUNCTION("""COMPUTED_VALUE"""),"17/05/2025")</f>
        <v>17/05/2025</v>
      </c>
      <c r="BI32" s="1">
        <f>IFERROR(__xludf.DUMMYFUNCTION("""COMPUTED_VALUE"""),0.0)</f>
        <v>0</v>
      </c>
      <c r="BJ32" s="1" t="str">
        <f>IFERROR(__xludf.DUMMYFUNCTION("""COMPUTED_VALUE"""),"NUEVO")</f>
        <v>NUEVO</v>
      </c>
    </row>
    <row r="33">
      <c r="A33" s="1">
        <f>IFERROR(__xludf.DUMMYFUNCTION("""COMPUTED_VALUE"""),32.0)</f>
        <v>32</v>
      </c>
      <c r="B33" s="1">
        <f>IFERROR(__xludf.DUMMYFUNCTION("""COMPUTED_VALUE"""),1246786.0)</f>
        <v>1246786</v>
      </c>
      <c r="C33" s="1" t="str">
        <f>IFERROR(__xludf.DUMMYFUNCTION("""COMPUTED_VALUE"""),"0000423244")</f>
        <v>0000423244</v>
      </c>
      <c r="D33" s="1" t="str">
        <f>IFERROR(__xludf.DUMMYFUNCTION("""COMPUTED_VALUE"""),"ANYELINA GINET")</f>
        <v>ANYELINA GINET</v>
      </c>
      <c r="E33" s="2" t="str">
        <f>IFERROR(__xludf.DUMMYFUNCTION("""COMPUTED_VALUE"""),"RONDINEL PAREDES")</f>
        <v>RONDINEL PAREDES</v>
      </c>
      <c r="F33" s="1">
        <f>IFERROR(__xludf.DUMMYFUNCTION("""COMPUTED_VALUE"""),7.5496987E7)</f>
        <v>75496987</v>
      </c>
      <c r="G33" s="1">
        <f>IFERROR(__xludf.DUMMYFUNCTION("""COMPUTED_VALUE"""),9.81504207E8)</f>
        <v>981504207</v>
      </c>
      <c r="H33" s="1" t="str">
        <f>IFERROR(__xludf.DUMMYFUNCTION("""COMPUTED_VALUE"""),"anyelina.rondinel.paredes@gmail.com")</f>
        <v>anyelina.rondinel.paredes@gmail.com</v>
      </c>
      <c r="I33" s="1" t="str">
        <f>IFERROR(__xludf.DUMMYFUNCTION("""COMPUTED_VALUE"""),"Comunicación Audiovisual y Cine")</f>
        <v>Comunicación Audiovisual y Cine</v>
      </c>
      <c r="J33" s="1" t="str">
        <f>IFERROR(__xludf.DUMMYFUNCTION("""COMPUTED_VALUE"""),"Comunicaciones")</f>
        <v>Comunicaciones</v>
      </c>
      <c r="K33" s="1" t="str">
        <f>IFERROR(__xludf.DUMMYFUNCTION("""COMPUTED_VALUE"""),"Antigua")</f>
        <v>Antigua</v>
      </c>
      <c r="L33" s="1" t="str">
        <f>IFERROR(__xludf.DUMMYFUNCTION("""COMPUTED_VALUE"""),"Admisión Ordinaria")</f>
        <v>Admisión Ordinaria</v>
      </c>
      <c r="M33" s="1" t="str">
        <f>IFERROR(__xludf.DUMMYFUNCTION("""COMPUTED_VALUE"""),"Semi-presencial")</f>
        <v>Semi-presencial</v>
      </c>
      <c r="N33" s="1" t="str">
        <f>IFERROR(__xludf.DUMMYFUNCTION("""COMPUTED_VALUE"""),"Diurno")</f>
        <v>Diurno</v>
      </c>
      <c r="O33" s="1" t="str">
        <f>IFERROR(__xludf.DUMMYFUNCTION("""COMPUTED_VALUE"""),"NUEVO")</f>
        <v>NUEVO</v>
      </c>
      <c r="P33" s="1" t="str">
        <f>IFERROR(__xludf.DUMMYFUNCTION("""COMPUTED_VALUE"""),"BECA")</f>
        <v>BECA</v>
      </c>
      <c r="Q33" s="1" t="str">
        <f>IFERROR(__xludf.DUMMYFUNCTION("""COMPUTED_VALUE"""),"BECA CARRERAS CORE")</f>
        <v>BECA CARRERAS CORE</v>
      </c>
      <c r="R33" s="1" t="str">
        <f>IFERROR(__xludf.DUMMYFUNCTION("""COMPUTED_VALUE"""),"NINGUNO")</f>
        <v>NINGUNO</v>
      </c>
      <c r="S33" s="1" t="str">
        <f>IFERROR(__xludf.DUMMYFUNCTION("""COMPUTED_VALUE"""),"RODRIGO")</f>
        <v>RODRIGO</v>
      </c>
      <c r="T33" s="3">
        <f>IFERROR(__xludf.DUMMYFUNCTION("""COMPUTED_VALUE"""),45761.0)</f>
        <v>45761</v>
      </c>
      <c r="U33" s="1" t="str">
        <f>IFERROR(__xludf.DUMMYFUNCTION("""COMPUTED_VALUE"""),"CARGO")</f>
        <v>CARGO</v>
      </c>
      <c r="V33" s="1" t="str">
        <f>IFERROR(__xludf.DUMMYFUNCTION("""COMPUTED_VALUE"""),"PAGO COMPLETO")</f>
        <v>PAGO COMPLETO</v>
      </c>
      <c r="W33" s="4">
        <f>IFERROR(__xludf.DUMMYFUNCTION("""COMPUTED_VALUE"""),0.0)</f>
        <v>0</v>
      </c>
      <c r="X33" s="1" t="str">
        <f>IFERROR(__xludf.DUMMYFUNCTION("""COMPUTED_VALUE"""),"-")</f>
        <v>-</v>
      </c>
      <c r="Y33" s="2">
        <f>IFERROR(__xludf.DUMMYFUNCTION("""COMPUTED_VALUE"""),45761.0)</f>
        <v>45761</v>
      </c>
      <c r="Z33" s="1" t="str">
        <f>IFERROR(__xludf.DUMMYFUNCTION("""COMPUTED_VALUE"""),"PAGO COMPLETO")</f>
        <v>PAGO COMPLETO</v>
      </c>
      <c r="AA33" s="1"/>
      <c r="AB33" s="1"/>
      <c r="AC33" s="4">
        <f>IFERROR(__xludf.DUMMYFUNCTION("""COMPUTED_VALUE"""),50.0)</f>
        <v>50</v>
      </c>
      <c r="AD33" s="4">
        <f>IFERROR(__xludf.DUMMYFUNCTION("""COMPUTED_VALUE"""),95.0)</f>
        <v>95</v>
      </c>
      <c r="AE33" s="4">
        <f>IFERROR(__xludf.DUMMYFUNCTION("""COMPUTED_VALUE"""),1050.0)</f>
        <v>1050</v>
      </c>
      <c r="AF33" s="4">
        <f>IFERROR(__xludf.DUMMYFUNCTION("""COMPUTED_VALUE"""),950.0)</f>
        <v>950</v>
      </c>
      <c r="AG33" s="1">
        <f>IFERROR(__xludf.DUMMYFUNCTION("""COMPUTED_VALUE"""),0.0)</f>
        <v>0</v>
      </c>
      <c r="AH33" s="1">
        <f>IFERROR(__xludf.DUMMYFUNCTION("""COMPUTED_VALUE"""),0.0)</f>
        <v>0</v>
      </c>
      <c r="AI33" s="1">
        <f>IFERROR(__xludf.DUMMYFUNCTION("""COMPUTED_VALUE"""),0.0)</f>
        <v>0</v>
      </c>
      <c r="AJ33" s="1">
        <f>IFERROR(__xludf.DUMMYFUNCTION("""COMPUTED_VALUE"""),1311521.0)</f>
        <v>1311521</v>
      </c>
      <c r="AK33" s="1" t="str">
        <f>IFERROR(__xludf.DUMMYFUNCTION("""COMPUTED_VALUE"""),"5kms a 10 kms")</f>
        <v>5kms a 10 kms</v>
      </c>
      <c r="AL33" s="1" t="str">
        <f>IFERROR(__xludf.DUMMYFUNCTION("""COMPUTED_VALUE"""),"05 301 a 550")</f>
        <v>05 301 a 550</v>
      </c>
      <c r="AM33" s="1" t="str">
        <f>IFERROR(__xludf.DUMMYFUNCTION("""COMPUTED_VALUE"""),"-")</f>
        <v>-</v>
      </c>
      <c r="AN33" s="1" t="str">
        <f>IFERROR(__xludf.DUMMYFUNCTION("""COMPUTED_VALUE""")," -")</f>
        <v> -</v>
      </c>
      <c r="AO33" s="1">
        <f>IFERROR(__xludf.DUMMYFUNCTION("""COMPUTED_VALUE"""),2021.0)</f>
        <v>2021</v>
      </c>
      <c r="AP33" s="3">
        <f>IFERROR(__xludf.DUMMYFUNCTION("""COMPUTED_VALUE"""),45748.0)</f>
        <v>45748</v>
      </c>
      <c r="AQ33" s="2">
        <f>IFERROR(__xludf.DUMMYFUNCTION("""COMPUTED_VALUE"""),45761.0)</f>
        <v>45761</v>
      </c>
      <c r="AR33" s="2">
        <f>IFERROR(__xludf.DUMMYFUNCTION("""COMPUTED_VALUE"""),45752.0)</f>
        <v>45752</v>
      </c>
      <c r="AS33" s="2">
        <f>IFERROR(__xludf.DUMMYFUNCTION("""COMPUTED_VALUE"""),45748.0)</f>
        <v>45748</v>
      </c>
      <c r="AT33" s="2">
        <f>IFERROR(__xludf.DUMMYFUNCTION("""COMPUTED_VALUE"""),45747.0)</f>
        <v>45747</v>
      </c>
      <c r="AU33" s="1">
        <f>IFERROR(__xludf.DUMMYFUNCTION("""COMPUTED_VALUE"""),9.0)</f>
        <v>9</v>
      </c>
      <c r="AV33" s="1" t="str">
        <f>IFERROR(__xludf.DUMMYFUNCTION("""COMPUTED_VALUE"""),"OUTBOUND")</f>
        <v>OUTBOUND</v>
      </c>
      <c r="AW33" s="1" t="str">
        <f>IFERROR(__xludf.DUMMYFUNCTION("""COMPUTED_VALUE"""),"OUTBOUND")</f>
        <v>OUTBOUND</v>
      </c>
      <c r="AX33" s="1" t="str">
        <f>IFERROR(__xludf.DUMMYFUNCTION("""COMPUTED_VALUE"""),"OUTBOUND")</f>
        <v>OUTBOUND</v>
      </c>
      <c r="AY33" s="1">
        <f>IFERROR(__xludf.DUMMYFUNCTION("""COMPUTED_VALUE"""),1.0)</f>
        <v>1</v>
      </c>
      <c r="AZ33" s="1" t="str">
        <f>IFERROR(__xludf.DUMMYFUNCTION("""COMPUTED_VALUE"""),"Sergio Valderrama Rodriguez")</f>
        <v>Sergio Valderrama Rodriguez</v>
      </c>
      <c r="BA33" s="5">
        <f>IFERROR(__xludf.DUMMYFUNCTION("""COMPUTED_VALUE"""),1.0)</f>
        <v>1</v>
      </c>
      <c r="BB33" s="6">
        <f>IFERROR(__xludf.DUMMYFUNCTION("""COMPUTED_VALUE"""),950.0)</f>
        <v>950</v>
      </c>
      <c r="BC33" s="1">
        <f>IFERROR(__xludf.DUMMYFUNCTION("""COMPUTED_VALUE"""),1.0)</f>
        <v>1</v>
      </c>
      <c r="BD33" s="1" t="str">
        <f>IFERROR(__xludf.DUMMYFUNCTION("""COMPUTED_VALUE"""),"Ninguno")</f>
        <v>Ninguno</v>
      </c>
      <c r="BE33" s="1">
        <f>IFERROR(__xludf.DUMMYFUNCTION("""COMPUTED_VALUE"""),1.0)</f>
        <v>1</v>
      </c>
      <c r="BF33" s="1">
        <f>IFERROR(__xludf.DUMMYFUNCTION("""COMPUTED_VALUE"""),1.0)</f>
        <v>1</v>
      </c>
      <c r="BG33" s="3">
        <f>IFERROR(__xludf.DUMMYFUNCTION("""COMPUTED_VALUE"""),45794.0)</f>
        <v>45794</v>
      </c>
      <c r="BH33" s="1" t="str">
        <f>IFERROR(__xludf.DUMMYFUNCTION("""COMPUTED_VALUE"""),"17/05/2025")</f>
        <v>17/05/2025</v>
      </c>
      <c r="BI33" s="1">
        <f>IFERROR(__xludf.DUMMYFUNCTION("""COMPUTED_VALUE"""),0.0)</f>
        <v>0</v>
      </c>
      <c r="BJ33" s="1" t="str">
        <f>IFERROR(__xludf.DUMMYFUNCTION("""COMPUTED_VALUE"""),"NUEVO")</f>
        <v>NUEVO</v>
      </c>
    </row>
    <row r="34">
      <c r="A34" s="1">
        <f>IFERROR(__xludf.DUMMYFUNCTION("""COMPUTED_VALUE"""),33.0)</f>
        <v>33</v>
      </c>
      <c r="B34" s="1">
        <f>IFERROR(__xludf.DUMMYFUNCTION("""COMPUTED_VALUE"""),5135865.0)</f>
        <v>5135865</v>
      </c>
      <c r="C34" s="1" t="str">
        <f>IFERROR(__xludf.DUMMYFUNCTION("""COMPUTED_VALUE"""),"0000422998")</f>
        <v>0000422998</v>
      </c>
      <c r="D34" s="1" t="str">
        <f>IFERROR(__xludf.DUMMYFUNCTION("""COMPUTED_VALUE"""),"ARACELY NAOMY")</f>
        <v>ARACELY NAOMY</v>
      </c>
      <c r="E34" s="2" t="str">
        <f>IFERROR(__xludf.DUMMYFUNCTION("""COMPUTED_VALUE"""),"TAPIA ILDEFONSO")</f>
        <v>TAPIA ILDEFONSO</v>
      </c>
      <c r="F34" s="1">
        <f>IFERROR(__xludf.DUMMYFUNCTION("""COMPUTED_VALUE"""),6.0861326E7)</f>
        <v>60861326</v>
      </c>
      <c r="G34" s="1">
        <f>IFERROR(__xludf.DUMMYFUNCTION("""COMPUTED_VALUE"""),9.32004432E8)</f>
        <v>932004432</v>
      </c>
      <c r="H34" s="1" t="str">
        <f>IFERROR(__xludf.DUMMYFUNCTION("""COMPUTED_VALUE"""),"ym518062cero@gmail.com")</f>
        <v>ym518062cero@gmail.com</v>
      </c>
      <c r="I34" s="1" t="str">
        <f>IFERROR(__xludf.DUMMYFUNCTION("""COMPUTED_VALUE"""),"Diseño Gráfico Publicitario")</f>
        <v>Diseño Gráfico Publicitario</v>
      </c>
      <c r="J34" s="1" t="str">
        <f>IFERROR(__xludf.DUMMYFUNCTION("""COMPUTED_VALUE"""),"Diseño")</f>
        <v>Diseño</v>
      </c>
      <c r="K34" s="1" t="str">
        <f>IFERROR(__xludf.DUMMYFUNCTION("""COMPUTED_VALUE"""),"Antigua")</f>
        <v>Antigua</v>
      </c>
      <c r="L34" s="1" t="str">
        <f>IFERROR(__xludf.DUMMYFUNCTION("""COMPUTED_VALUE"""),"Admisión de Alto Rendimiento")</f>
        <v>Admisión de Alto Rendimiento</v>
      </c>
      <c r="M34" s="1" t="str">
        <f>IFERROR(__xludf.DUMMYFUNCTION("""COMPUTED_VALUE"""),"Semi-presencial")</f>
        <v>Semi-presencial</v>
      </c>
      <c r="N34" s="1" t="str">
        <f>IFERROR(__xludf.DUMMYFUNCTION("""COMPUTED_VALUE"""),"Diurno")</f>
        <v>Diurno</v>
      </c>
      <c r="O34" s="1" t="str">
        <f>IFERROR(__xludf.DUMMYFUNCTION("""COMPUTED_VALUE"""),"NUEVO")</f>
        <v>NUEVO</v>
      </c>
      <c r="P34" s="1" t="str">
        <f>IFERROR(__xludf.DUMMYFUNCTION("""COMPUTED_VALUE"""),"BECA")</f>
        <v>BECA</v>
      </c>
      <c r="Q34" s="1" t="str">
        <f>IFERROR(__xludf.DUMMYFUNCTION("""COMPUTED_VALUE"""),"BECA CARRERAS CORE")</f>
        <v>BECA CARRERAS CORE</v>
      </c>
      <c r="R34" s="1" t="str">
        <f>IFERROR(__xludf.DUMMYFUNCTION("""COMPUTED_VALUE"""),"NINGUNO")</f>
        <v>NINGUNO</v>
      </c>
      <c r="S34" s="1" t="str">
        <f>IFERROR(__xludf.DUMMYFUNCTION("""COMPUTED_VALUE"""),"FABIOLA")</f>
        <v>FABIOLA</v>
      </c>
      <c r="T34" s="3">
        <f>IFERROR(__xludf.DUMMYFUNCTION("""COMPUTED_VALUE"""),45763.0)</f>
        <v>45763</v>
      </c>
      <c r="U34" s="1" t="str">
        <f>IFERROR(__xludf.DUMMYFUNCTION("""COMPUTED_VALUE"""),"CARGO")</f>
        <v>CARGO</v>
      </c>
      <c r="V34" s="1" t="str">
        <f>IFERROR(__xludf.DUMMYFUNCTION("""COMPUTED_VALUE"""),"PAGO COMPLETO")</f>
        <v>PAGO COMPLETO</v>
      </c>
      <c r="W34" s="4">
        <f>IFERROR(__xludf.DUMMYFUNCTION("""COMPUTED_VALUE"""),0.0)</f>
        <v>0</v>
      </c>
      <c r="X34" s="1" t="str">
        <f>IFERROR(__xludf.DUMMYFUNCTION("""COMPUTED_VALUE"""),"-")</f>
        <v>-</v>
      </c>
      <c r="Y34" s="2">
        <f>IFERROR(__xludf.DUMMYFUNCTION("""COMPUTED_VALUE"""),45763.0)</f>
        <v>45763</v>
      </c>
      <c r="Z34" s="1" t="str">
        <f>IFERROR(__xludf.DUMMYFUNCTION("""COMPUTED_VALUE"""),"PAGO COMPLETO")</f>
        <v>PAGO COMPLETO</v>
      </c>
      <c r="AA34" s="1"/>
      <c r="AB34" s="1"/>
      <c r="AC34" s="4">
        <f>IFERROR(__xludf.DUMMYFUNCTION("""COMPUTED_VALUE"""),40.0)</f>
        <v>40</v>
      </c>
      <c r="AD34" s="4">
        <f>IFERROR(__xludf.DUMMYFUNCTION("""COMPUTED_VALUE"""),95.0)</f>
        <v>95</v>
      </c>
      <c r="AE34" s="4">
        <f>IFERROR(__xludf.DUMMYFUNCTION("""COMPUTED_VALUE"""),1100.0)</f>
        <v>1100</v>
      </c>
      <c r="AF34" s="4">
        <f>IFERROR(__xludf.DUMMYFUNCTION("""COMPUTED_VALUE"""),950.0)</f>
        <v>950</v>
      </c>
      <c r="AG34" s="1">
        <f>IFERROR(__xludf.DUMMYFUNCTION("""COMPUTED_VALUE"""),0.0)</f>
        <v>0</v>
      </c>
      <c r="AH34" s="1">
        <f>IFERROR(__xludf.DUMMYFUNCTION("""COMPUTED_VALUE"""),0.0)</f>
        <v>0</v>
      </c>
      <c r="AI34" s="1">
        <f>IFERROR(__xludf.DUMMYFUNCTION("""COMPUTED_VALUE"""),0.0)</f>
        <v>0</v>
      </c>
      <c r="AJ34" s="1">
        <f>IFERROR(__xludf.DUMMYFUNCTION("""COMPUTED_VALUE"""),1064989.0)</f>
        <v>1064989</v>
      </c>
      <c r="AK34" s="1" t="str">
        <f>IFERROR(__xludf.DUMMYFUNCTION("""COMPUTED_VALUE"""),"5kms a 10 kms")</f>
        <v>5kms a 10 kms</v>
      </c>
      <c r="AL34" s="1" t="str">
        <f>IFERROR(__xludf.DUMMYFUNCTION("""COMPUTED_VALUE"""),"01 Nacional")</f>
        <v>01 Nacional</v>
      </c>
      <c r="AM34" s="1" t="str">
        <f>IFERROR(__xludf.DUMMYFUNCTION("""COMPUTED_VALUE"""),"-")</f>
        <v>-</v>
      </c>
      <c r="AN34" s="1" t="str">
        <f>IFERROR(__xludf.DUMMYFUNCTION("""COMPUTED_VALUE""")," -")</f>
        <v> -</v>
      </c>
      <c r="AO34" s="1">
        <f>IFERROR(__xludf.DUMMYFUNCTION("""COMPUTED_VALUE"""),2023.0)</f>
        <v>2023</v>
      </c>
      <c r="AP34" s="3">
        <f>IFERROR(__xludf.DUMMYFUNCTION("""COMPUTED_VALUE"""),45748.0)</f>
        <v>45748</v>
      </c>
      <c r="AQ34" s="2">
        <f>IFERROR(__xludf.DUMMYFUNCTION("""COMPUTED_VALUE"""),45747.0)</f>
        <v>45747</v>
      </c>
      <c r="AR34" s="2">
        <f>IFERROR(__xludf.DUMMYFUNCTION("""COMPUTED_VALUE"""),45753.0)</f>
        <v>45753</v>
      </c>
      <c r="AS34" s="2">
        <f>IFERROR(__xludf.DUMMYFUNCTION("""COMPUTED_VALUE"""),45748.0)</f>
        <v>45748</v>
      </c>
      <c r="AT34" s="2">
        <f>IFERROR(__xludf.DUMMYFUNCTION("""COMPUTED_VALUE"""),45747.0)</f>
        <v>45747</v>
      </c>
      <c r="AU34" s="1">
        <f>IFERROR(__xludf.DUMMYFUNCTION("""COMPUTED_VALUE"""),10.0)</f>
        <v>10</v>
      </c>
      <c r="AV34" s="1" t="str">
        <f>IFERROR(__xludf.DUMMYFUNCTION("""COMPUTED_VALUE"""),"DIGITAL")</f>
        <v>DIGITAL</v>
      </c>
      <c r="AW34" s="1" t="str">
        <f>IFERROR(__xludf.DUMMYFUNCTION("""COMPUTED_VALUE"""),"FORMULARIO")</f>
        <v>FORMULARIO</v>
      </c>
      <c r="AX34" s="1" t="str">
        <f>IFERROR(__xludf.DUMMYFUNCTION("""COMPUTED_VALUE"""),"SEARCH MARCA")</f>
        <v>SEARCH MARCA</v>
      </c>
      <c r="AY34" s="1">
        <f>IFERROR(__xludf.DUMMYFUNCTION("""COMPUTED_VALUE"""),1.0)</f>
        <v>1</v>
      </c>
      <c r="AZ34" s="1" t="str">
        <f>IFERROR(__xludf.DUMMYFUNCTION("""COMPUTED_VALUE"""),"Sergio Valderrama Rodriguez")</f>
        <v>Sergio Valderrama Rodriguez</v>
      </c>
      <c r="BA34" s="5">
        <f>IFERROR(__xludf.DUMMYFUNCTION("""COMPUTED_VALUE"""),1.0)</f>
        <v>1</v>
      </c>
      <c r="BB34" s="6">
        <f>IFERROR(__xludf.DUMMYFUNCTION("""COMPUTED_VALUE"""),950.0)</f>
        <v>950</v>
      </c>
      <c r="BC34" s="1">
        <f>IFERROR(__xludf.DUMMYFUNCTION("""COMPUTED_VALUE"""),1.0)</f>
        <v>1</v>
      </c>
      <c r="BD34" s="1" t="str">
        <f>IFERROR(__xludf.DUMMYFUNCTION("""COMPUTED_VALUE"""),"Matemáticas y Redacción")</f>
        <v>Matemáticas y Redacción</v>
      </c>
      <c r="BE34" s="1">
        <f>IFERROR(__xludf.DUMMYFUNCTION("""COMPUTED_VALUE"""),1.0)</f>
        <v>1</v>
      </c>
      <c r="BF34" s="1">
        <f>IFERROR(__xludf.DUMMYFUNCTION("""COMPUTED_VALUE"""),1.0)</f>
        <v>1</v>
      </c>
      <c r="BG34" s="3">
        <f>IFERROR(__xludf.DUMMYFUNCTION("""COMPUTED_VALUE"""),45820.0)</f>
        <v>45820</v>
      </c>
      <c r="BH34" s="1" t="str">
        <f>IFERROR(__xludf.DUMMYFUNCTION("""COMPUTED_VALUE"""),"12/06/2025")</f>
        <v>12/06/2025</v>
      </c>
      <c r="BI34" s="1">
        <f>IFERROR(__xludf.DUMMYFUNCTION("""COMPUTED_VALUE"""),0.0)</f>
        <v>0</v>
      </c>
      <c r="BJ34" s="1" t="str">
        <f>IFERROR(__xludf.DUMMYFUNCTION("""COMPUTED_VALUE"""),"NUEVO")</f>
        <v>NUEVO</v>
      </c>
    </row>
    <row r="35">
      <c r="A35" s="1">
        <f>IFERROR(__xludf.DUMMYFUNCTION("""COMPUTED_VALUE"""),34.0)</f>
        <v>34</v>
      </c>
      <c r="B35" s="1">
        <f>IFERROR(__xludf.DUMMYFUNCTION("""COMPUTED_VALUE"""),5157935.0)</f>
        <v>5157935</v>
      </c>
      <c r="C35" s="1" t="str">
        <f>IFERROR(__xludf.DUMMYFUNCTION("""COMPUTED_VALUE"""),"0000423809")</f>
        <v>0000423809</v>
      </c>
      <c r="D35" s="1" t="str">
        <f>IFERROR(__xludf.DUMMYFUNCTION("""COMPUTED_VALUE"""),"THALIA ")</f>
        <v>THALIA </v>
      </c>
      <c r="E35" s="2" t="str">
        <f>IFERROR(__xludf.DUMMYFUNCTION("""COMPUTED_VALUE"""),"ARANZABAL DIAZ")</f>
        <v>ARANZABAL DIAZ</v>
      </c>
      <c r="F35" s="1">
        <f>IFERROR(__xludf.DUMMYFUNCTION("""COMPUTED_VALUE"""),7.432235E7)</f>
        <v>74322350</v>
      </c>
      <c r="G35" s="1">
        <f>IFERROR(__xludf.DUMMYFUNCTION("""COMPUTED_VALUE"""),9.03272874E8)</f>
        <v>903272874</v>
      </c>
      <c r="H35" s="1" t="str">
        <f>IFERROR(__xludf.DUMMYFUNCTION("""COMPUTED_VALUE"""),"thaliaaranzabaldiaz@gmail.com")</f>
        <v>thaliaaranzabaldiaz@gmail.com</v>
      </c>
      <c r="I35" s="1" t="str">
        <f>IFERROR(__xludf.DUMMYFUNCTION("""COMPUTED_VALUE"""),"Psicología")</f>
        <v>Psicología</v>
      </c>
      <c r="J35" s="1" t="str">
        <f>IFERROR(__xludf.DUMMYFUNCTION("""COMPUTED_VALUE"""),"Psicología")</f>
        <v>Psicología</v>
      </c>
      <c r="K35" s="1" t="str">
        <f>IFERROR(__xludf.DUMMYFUNCTION("""COMPUTED_VALUE"""),"Nueva")</f>
        <v>Nueva</v>
      </c>
      <c r="L35" s="1" t="str">
        <f>IFERROR(__xludf.DUMMYFUNCTION("""COMPUTED_VALUE"""),"Admisión Ordinaria")</f>
        <v>Admisión Ordinaria</v>
      </c>
      <c r="M35" s="1" t="str">
        <f>IFERROR(__xludf.DUMMYFUNCTION("""COMPUTED_VALUE"""),"Virtual")</f>
        <v>Virtual</v>
      </c>
      <c r="N35" s="1" t="str">
        <f>IFERROR(__xludf.DUMMYFUNCTION("""COMPUTED_VALUE"""),"Nocturno - A distancia")</f>
        <v>Nocturno - A distancia</v>
      </c>
      <c r="O35" s="1" t="str">
        <f>IFERROR(__xludf.DUMMYFUNCTION("""COMPUTED_VALUE"""),"NUEVO")</f>
        <v>NUEVO</v>
      </c>
      <c r="P35" s="1" t="str">
        <f>IFERROR(__xludf.DUMMYFUNCTION("""COMPUTED_VALUE"""),"ESCALA REGULAR")</f>
        <v>ESCALA REGULAR</v>
      </c>
      <c r="Q35" s="1" t="str">
        <f>IFERROR(__xludf.DUMMYFUNCTION("""COMPUTED_VALUE"""),"NINGUNO")</f>
        <v>NINGUNO</v>
      </c>
      <c r="R35" s="1" t="str">
        <f>IFERROR(__xludf.DUMMYFUNCTION("""COMPUTED_VALUE"""),"NINGUNO")</f>
        <v>NINGUNO</v>
      </c>
      <c r="S35" s="1" t="str">
        <f>IFERROR(__xludf.DUMMYFUNCTION("""COMPUTED_VALUE"""),"RODRIGO")</f>
        <v>RODRIGO</v>
      </c>
      <c r="T35" s="3">
        <f>IFERROR(__xludf.DUMMYFUNCTION("""COMPUTED_VALUE"""),45769.0)</f>
        <v>45769</v>
      </c>
      <c r="U35" s="1" t="str">
        <f>IFERROR(__xludf.DUMMYFUNCTION("""COMPUTED_VALUE"""),"CARGO")</f>
        <v>CARGO</v>
      </c>
      <c r="V35" s="1" t="str">
        <f>IFERROR(__xludf.DUMMYFUNCTION("""COMPUTED_VALUE"""),"PAGO COMPLETO")</f>
        <v>PAGO COMPLETO</v>
      </c>
      <c r="W35" s="4">
        <f>IFERROR(__xludf.DUMMYFUNCTION("""COMPUTED_VALUE"""),0.0)</f>
        <v>0</v>
      </c>
      <c r="X35" s="1" t="str">
        <f>IFERROR(__xludf.DUMMYFUNCTION("""COMPUTED_VALUE"""),"-")</f>
        <v>-</v>
      </c>
      <c r="Y35" s="2">
        <f>IFERROR(__xludf.DUMMYFUNCTION("""COMPUTED_VALUE"""),45769.0)</f>
        <v>45769</v>
      </c>
      <c r="Z35" s="1" t="str">
        <f>IFERROR(__xludf.DUMMYFUNCTION("""COMPUTED_VALUE"""),"PAGO COMPLETO")</f>
        <v>PAGO COMPLETO</v>
      </c>
      <c r="AA35" s="1"/>
      <c r="AB35" s="1"/>
      <c r="AC35" s="4">
        <f>IFERROR(__xludf.DUMMYFUNCTION("""COMPUTED_VALUE"""),0.0)</f>
        <v>0</v>
      </c>
      <c r="AD35" s="4">
        <f>IFERROR(__xludf.DUMMYFUNCTION("""COMPUTED_VALUE"""),0.0)</f>
        <v>0</v>
      </c>
      <c r="AE35" s="4">
        <f>IFERROR(__xludf.DUMMYFUNCTION("""COMPUTED_VALUE"""),750.0)</f>
        <v>750</v>
      </c>
      <c r="AF35" s="4">
        <f>IFERROR(__xludf.DUMMYFUNCTION("""COMPUTED_VALUE"""),750.0)</f>
        <v>750</v>
      </c>
      <c r="AG35" s="1">
        <f>IFERROR(__xludf.DUMMYFUNCTION("""COMPUTED_VALUE"""),0.0)</f>
        <v>0</v>
      </c>
      <c r="AH35" s="1">
        <f>IFERROR(__xludf.DUMMYFUNCTION("""COMPUTED_VALUE"""),0.0)</f>
        <v>0</v>
      </c>
      <c r="AI35" s="1">
        <f>IFERROR(__xludf.DUMMYFUNCTION("""COMPUTED_VALUE"""),0.0)</f>
        <v>0</v>
      </c>
      <c r="AJ35" s="1">
        <f>IFERROR(__xludf.DUMMYFUNCTION("""COMPUTED_VALUE"""),1765593.0)</f>
        <v>1765593</v>
      </c>
      <c r="AK35" s="1" t="str">
        <f>IFERROR(__xludf.DUMMYFUNCTION("""COMPUTED_VALUE"""),"Más de 15 kms")</f>
        <v>Más de 15 kms</v>
      </c>
      <c r="AL35" s="1" t="str">
        <f>IFERROR(__xludf.DUMMYFUNCTION("""COMPUTED_VALUE"""),"01 Nacional")</f>
        <v>01 Nacional</v>
      </c>
      <c r="AM35" s="1" t="str">
        <f>IFERROR(__xludf.DUMMYFUNCTION("""COMPUTED_VALUE"""),"-")</f>
        <v>-</v>
      </c>
      <c r="AN35" s="1" t="str">
        <f>IFERROR(__xludf.DUMMYFUNCTION("""COMPUTED_VALUE""")," -")</f>
        <v> -</v>
      </c>
      <c r="AO35" s="1">
        <f>IFERROR(__xludf.DUMMYFUNCTION("""COMPUTED_VALUE"""),2021.0)</f>
        <v>2021</v>
      </c>
      <c r="AP35" s="3">
        <f>IFERROR(__xludf.DUMMYFUNCTION("""COMPUTED_VALUE"""),45748.0)</f>
        <v>45748</v>
      </c>
      <c r="AQ35" s="2">
        <f>IFERROR(__xludf.DUMMYFUNCTION("""COMPUTED_VALUE"""),45747.0)</f>
        <v>45747</v>
      </c>
      <c r="AR35" s="2">
        <f>IFERROR(__xludf.DUMMYFUNCTION("""COMPUTED_VALUE"""),45768.0)</f>
        <v>45768</v>
      </c>
      <c r="AS35" s="2">
        <f>IFERROR(__xludf.DUMMYFUNCTION("""COMPUTED_VALUE"""),45748.0)</f>
        <v>45748</v>
      </c>
      <c r="AT35" s="2">
        <f>IFERROR(__xludf.DUMMYFUNCTION("""COMPUTED_VALUE"""),45747.0)</f>
        <v>45747</v>
      </c>
      <c r="AU35" s="1">
        <f>IFERROR(__xludf.DUMMYFUNCTION("""COMPUTED_VALUE"""),1.0)</f>
        <v>1</v>
      </c>
      <c r="AV35" s="1" t="str">
        <f>IFERROR(__xludf.DUMMYFUNCTION("""COMPUTED_VALUE"""),"TRADICIONAL")</f>
        <v>TRADICIONAL</v>
      </c>
      <c r="AW35" s="1" t="str">
        <f>IFERROR(__xludf.DUMMYFUNCTION("""COMPUTED_VALUE"""),"EVENTOS")</f>
        <v>EVENTOS</v>
      </c>
      <c r="AX35" s="1" t="str">
        <f>IFERROR(__xludf.DUMMYFUNCTION("""COMPUTED_VALUE"""),"EVENTOS")</f>
        <v>EVENTOS</v>
      </c>
      <c r="AY35" s="1">
        <f>IFERROR(__xludf.DUMMYFUNCTION("""COMPUTED_VALUE"""),1.0)</f>
        <v>1</v>
      </c>
      <c r="AZ35" s="1" t="str">
        <f>IFERROR(__xludf.DUMMYFUNCTION("""COMPUTED_VALUE"""),"Andrea Araujo Antara")</f>
        <v>Andrea Araujo Antara</v>
      </c>
      <c r="BA35" s="5">
        <f>IFERROR(__xludf.DUMMYFUNCTION("""COMPUTED_VALUE"""),1.0)</f>
        <v>1</v>
      </c>
      <c r="BB35" s="6">
        <f>IFERROR(__xludf.DUMMYFUNCTION("""COMPUTED_VALUE"""),750.0)</f>
        <v>750</v>
      </c>
      <c r="BC35" s="1">
        <f>IFERROR(__xludf.DUMMYFUNCTION("""COMPUTED_VALUE"""),1.0)</f>
        <v>1</v>
      </c>
      <c r="BD35" s="1" t="str">
        <f>IFERROR(__xludf.DUMMYFUNCTION("""COMPUTED_VALUE"""),"Matemáticas y Redacción")</f>
        <v>Matemáticas y Redacción</v>
      </c>
      <c r="BE35" s="1">
        <f>IFERROR(__xludf.DUMMYFUNCTION("""COMPUTED_VALUE"""),1.0)</f>
        <v>1</v>
      </c>
      <c r="BF35" s="1">
        <f>IFERROR(__xludf.DUMMYFUNCTION("""COMPUTED_VALUE"""),0.0)</f>
        <v>0</v>
      </c>
      <c r="BG35" s="3">
        <f>IFERROR(__xludf.DUMMYFUNCTION("""COMPUTED_VALUE"""),45794.0)</f>
        <v>45794</v>
      </c>
      <c r="BH35" s="1" t="str">
        <f>IFERROR(__xludf.DUMMYFUNCTION("""COMPUTED_VALUE"""),"07/06/2025")</f>
        <v>07/06/2025</v>
      </c>
      <c r="BI35" s="1">
        <f>IFERROR(__xludf.DUMMYFUNCTION("""COMPUTED_VALUE"""),0.0)</f>
        <v>0</v>
      </c>
      <c r="BJ35" s="1" t="str">
        <f>IFERROR(__xludf.DUMMYFUNCTION("""COMPUTED_VALUE"""),"NUEVO")</f>
        <v>NUEVO</v>
      </c>
    </row>
    <row r="36">
      <c r="A36" s="1">
        <f>IFERROR(__xludf.DUMMYFUNCTION("""COMPUTED_VALUE"""),35.0)</f>
        <v>35</v>
      </c>
      <c r="B36" s="1">
        <f>IFERROR(__xludf.DUMMYFUNCTION("""COMPUTED_VALUE"""),2321450.0)</f>
        <v>2321450</v>
      </c>
      <c r="C36" s="1" t="str">
        <f>IFERROR(__xludf.DUMMYFUNCTION("""COMPUTED_VALUE"""),"0000087750")</f>
        <v>0000087750</v>
      </c>
      <c r="D36" s="1" t="str">
        <f>IFERROR(__xludf.DUMMYFUNCTION("""COMPUTED_VALUE"""),"JENNIFER ALESSANDRA ")</f>
        <v>JENNIFER ALESSANDRA </v>
      </c>
      <c r="E36" s="2" t="str">
        <f>IFERROR(__xludf.DUMMYFUNCTION("""COMPUTED_VALUE"""),"ARCE PATAZCA")</f>
        <v>ARCE PATAZCA</v>
      </c>
      <c r="F36" s="1">
        <f>IFERROR(__xludf.DUMMYFUNCTION("""COMPUTED_VALUE"""),6.2605217E7)</f>
        <v>62605217</v>
      </c>
      <c r="G36" s="1">
        <f>IFERROR(__xludf.DUMMYFUNCTION("""COMPUTED_VALUE"""),9.33760851E8)</f>
        <v>933760851</v>
      </c>
      <c r="H36" s="1" t="str">
        <f>IFERROR(__xludf.DUMMYFUNCTION("""COMPUTED_VALUE"""),"jennifer.mahomie98@gmail.com")</f>
        <v>jennifer.mahomie98@gmail.com</v>
      </c>
      <c r="I36" s="1" t="str">
        <f>IFERROR(__xludf.DUMMYFUNCTION("""COMPUTED_VALUE"""),"Administración y Marketing")</f>
        <v>Administración y Marketing</v>
      </c>
      <c r="J36" s="1" t="str">
        <f>IFERROR(__xludf.DUMMYFUNCTION("""COMPUTED_VALUE"""),"Negocios")</f>
        <v>Negocios</v>
      </c>
      <c r="K36" s="1" t="str">
        <f>IFERROR(__xludf.DUMMYFUNCTION("""COMPUTED_VALUE"""),"Nueva")</f>
        <v>Nueva</v>
      </c>
      <c r="L36" s="1" t="str">
        <f>IFERROR(__xludf.DUMMYFUNCTION("""COMPUTED_VALUE"""),"Admisión Ordinaria")</f>
        <v>Admisión Ordinaria</v>
      </c>
      <c r="M36" s="1" t="str">
        <f>IFERROR(__xludf.DUMMYFUNCTION("""COMPUTED_VALUE"""),"Virtual")</f>
        <v>Virtual</v>
      </c>
      <c r="N36" s="1" t="str">
        <f>IFERROR(__xludf.DUMMYFUNCTION("""COMPUTED_VALUE"""),"Nocturno - A distancia")</f>
        <v>Nocturno - A distancia</v>
      </c>
      <c r="O36" s="1" t="str">
        <f>IFERROR(__xludf.DUMMYFUNCTION("""COMPUTED_VALUE"""),"NUEVO")</f>
        <v>NUEVO</v>
      </c>
      <c r="P36" s="1" t="str">
        <f>IFERROR(__xludf.DUMMYFUNCTION("""COMPUTED_VALUE"""),"ESCALA REGULAR")</f>
        <v>ESCALA REGULAR</v>
      </c>
      <c r="Q36" s="1" t="str">
        <f>IFERROR(__xludf.DUMMYFUNCTION("""COMPUTED_VALUE"""),"NINGUNO")</f>
        <v>NINGUNO</v>
      </c>
      <c r="R36" s="1" t="str">
        <f>IFERROR(__xludf.DUMMYFUNCTION("""COMPUTED_VALUE"""),"NINGUNO")</f>
        <v>NINGUNO</v>
      </c>
      <c r="S36" s="1" t="str">
        <f>IFERROR(__xludf.DUMMYFUNCTION("""COMPUTED_VALUE"""),"RODRIGO")</f>
        <v>RODRIGO</v>
      </c>
      <c r="T36" s="3">
        <f>IFERROR(__xludf.DUMMYFUNCTION("""COMPUTED_VALUE"""),45769.0)</f>
        <v>45769</v>
      </c>
      <c r="U36" s="1" t="str">
        <f>IFERROR(__xludf.DUMMYFUNCTION("""COMPUTED_VALUE"""),"Pago Link")</f>
        <v>Pago Link</v>
      </c>
      <c r="V36" s="1" t="str">
        <f>IFERROR(__xludf.DUMMYFUNCTION("""COMPUTED_VALUE"""),"PAGO COMPLETO")</f>
        <v>PAGO COMPLETO</v>
      </c>
      <c r="W36" s="4">
        <f>IFERROR(__xludf.DUMMYFUNCTION("""COMPUTED_VALUE"""),0.0)</f>
        <v>0</v>
      </c>
      <c r="X36" s="1" t="str">
        <f>IFERROR(__xludf.DUMMYFUNCTION("""COMPUTED_VALUE"""),"-")</f>
        <v>-</v>
      </c>
      <c r="Y36" s="2">
        <f>IFERROR(__xludf.DUMMYFUNCTION("""COMPUTED_VALUE"""),45769.0)</f>
        <v>45769</v>
      </c>
      <c r="Z36" s="1" t="str">
        <f>IFERROR(__xludf.DUMMYFUNCTION("""COMPUTED_VALUE"""),"PAGO COMPLETO")</f>
        <v>PAGO COMPLETO</v>
      </c>
      <c r="AA36" s="1"/>
      <c r="AB36" s="1"/>
      <c r="AC36" s="4">
        <f>IFERROR(__xludf.DUMMYFUNCTION("""COMPUTED_VALUE"""),0.0)</f>
        <v>0</v>
      </c>
      <c r="AD36" s="4">
        <f>IFERROR(__xludf.DUMMYFUNCTION("""COMPUTED_VALUE"""),0.0)</f>
        <v>0</v>
      </c>
      <c r="AE36" s="4">
        <f>IFERROR(__xludf.DUMMYFUNCTION("""COMPUTED_VALUE"""),750.0)</f>
        <v>750</v>
      </c>
      <c r="AF36" s="4">
        <f>IFERROR(__xludf.DUMMYFUNCTION("""COMPUTED_VALUE"""),750.0)</f>
        <v>750</v>
      </c>
      <c r="AG36" s="1">
        <f>IFERROR(__xludf.DUMMYFUNCTION("""COMPUTED_VALUE"""),0.0)</f>
        <v>0</v>
      </c>
      <c r="AH36" s="1">
        <f>IFERROR(__xludf.DUMMYFUNCTION("""COMPUTED_VALUE"""),0.0)</f>
        <v>0</v>
      </c>
      <c r="AI36" s="1">
        <f>IFERROR(__xludf.DUMMYFUNCTION("""COMPUTED_VALUE"""),0.0)</f>
        <v>0</v>
      </c>
      <c r="AJ36" s="1">
        <f>IFERROR(__xludf.DUMMYFUNCTION("""COMPUTED_VALUE"""),1098326.0)</f>
        <v>1098326</v>
      </c>
      <c r="AK36" s="1"/>
      <c r="AL36" s="1"/>
      <c r="AM36" s="1" t="str">
        <f>IFERROR(__xludf.DUMMYFUNCTION("""COMPUTED_VALUE"""),"-")</f>
        <v>-</v>
      </c>
      <c r="AN36" s="1" t="str">
        <f>IFERROR(__xludf.DUMMYFUNCTION("""COMPUTED_VALUE""")," -")</f>
        <v> -</v>
      </c>
      <c r="AO36" s="1">
        <f>IFERROR(__xludf.DUMMYFUNCTION("""COMPUTED_VALUE"""),2019.0)</f>
        <v>2019</v>
      </c>
      <c r="AP36" s="3">
        <f>IFERROR(__xludf.DUMMYFUNCTION("""COMPUTED_VALUE"""),45748.0)</f>
        <v>45748</v>
      </c>
      <c r="AQ36" s="2">
        <f>IFERROR(__xludf.DUMMYFUNCTION("""COMPUTED_VALUE"""),45747.0)</f>
        <v>45747</v>
      </c>
      <c r="AR36" s="2">
        <f>IFERROR(__xludf.DUMMYFUNCTION("""COMPUTED_VALUE"""),45768.0)</f>
        <v>45768</v>
      </c>
      <c r="AS36" s="2">
        <f>IFERROR(__xludf.DUMMYFUNCTION("""COMPUTED_VALUE"""),45748.0)</f>
        <v>45748</v>
      </c>
      <c r="AT36" s="2">
        <f>IFERROR(__xludf.DUMMYFUNCTION("""COMPUTED_VALUE"""),45747.0)</f>
        <v>45747</v>
      </c>
      <c r="AU36" s="1">
        <f>IFERROR(__xludf.DUMMYFUNCTION("""COMPUTED_VALUE"""),1.0)</f>
        <v>1</v>
      </c>
      <c r="AV36" s="1" t="str">
        <f>IFERROR(__xludf.DUMMYFUNCTION("""COMPUTED_VALUE"""),"DIGITAL")</f>
        <v>DIGITAL</v>
      </c>
      <c r="AW36" s="1" t="str">
        <f>IFERROR(__xludf.DUMMYFUNCTION("""COMPUTED_VALUE"""),"FORMULARIO")</f>
        <v>FORMULARIO</v>
      </c>
      <c r="AX36" s="1" t="str">
        <f>IFERROR(__xludf.DUMMYFUNCTION("""COMPUTED_VALUE"""),"SEARCH CARRERA")</f>
        <v>SEARCH CARRERA</v>
      </c>
      <c r="AY36" s="1">
        <f>IFERROR(__xludf.DUMMYFUNCTION("""COMPUTED_VALUE"""),1.0)</f>
        <v>1</v>
      </c>
      <c r="AZ36" s="1" t="str">
        <f>IFERROR(__xludf.DUMMYFUNCTION("""COMPUTED_VALUE"""),"Andrea Araujo Antara")</f>
        <v>Andrea Araujo Antara</v>
      </c>
      <c r="BA36" s="5">
        <f>IFERROR(__xludf.DUMMYFUNCTION("""COMPUTED_VALUE"""),1.0)</f>
        <v>1</v>
      </c>
      <c r="BB36" s="6">
        <f>IFERROR(__xludf.DUMMYFUNCTION("""COMPUTED_VALUE"""),750.0)</f>
        <v>750</v>
      </c>
      <c r="BC36" s="1">
        <f>IFERROR(__xludf.DUMMYFUNCTION("""COMPUTED_VALUE"""),1.0)</f>
        <v>1</v>
      </c>
      <c r="BD36" s="1" t="str">
        <f>IFERROR(__xludf.DUMMYFUNCTION("""COMPUTED_VALUE"""),"Matemáticas y Redacción")</f>
        <v>Matemáticas y Redacción</v>
      </c>
      <c r="BE36" s="1">
        <f>IFERROR(__xludf.DUMMYFUNCTION("""COMPUTED_VALUE"""),1.0)</f>
        <v>1</v>
      </c>
      <c r="BF36" s="1">
        <f>IFERROR(__xludf.DUMMYFUNCTION("""COMPUTED_VALUE"""),0.0)</f>
        <v>0</v>
      </c>
      <c r="BG36" s="3">
        <f>IFERROR(__xludf.DUMMYFUNCTION("""COMPUTED_VALUE"""),45794.0)</f>
        <v>45794</v>
      </c>
      <c r="BH36" s="1" t="str">
        <f>IFERROR(__xludf.DUMMYFUNCTION("""COMPUTED_VALUE"""),"17/05/2025")</f>
        <v>17/05/2025</v>
      </c>
      <c r="BI36" s="1">
        <f>IFERROR(__xludf.DUMMYFUNCTION("""COMPUTED_VALUE"""),0.0)</f>
        <v>0</v>
      </c>
      <c r="BJ36" s="1" t="str">
        <f>IFERROR(__xludf.DUMMYFUNCTION("""COMPUTED_VALUE"""),"NUEVO")</f>
        <v>NUEVO</v>
      </c>
    </row>
    <row r="37">
      <c r="A37" s="1">
        <f>IFERROR(__xludf.DUMMYFUNCTION("""COMPUTED_VALUE"""),36.0)</f>
        <v>36</v>
      </c>
      <c r="B37" s="1">
        <f>IFERROR(__xludf.DUMMYFUNCTION("""COMPUTED_VALUE"""),1000197.0)</f>
        <v>1000197</v>
      </c>
      <c r="C37" s="1" t="str">
        <f>IFERROR(__xludf.DUMMYFUNCTION("""COMPUTED_VALUE"""),"0000423905")</f>
        <v>0000423905</v>
      </c>
      <c r="D37" s="1" t="str">
        <f>IFERROR(__xludf.DUMMYFUNCTION("""COMPUTED_VALUE"""),"JHUMY ANN")</f>
        <v>JHUMY ANN</v>
      </c>
      <c r="E37" s="2" t="str">
        <f>IFERROR(__xludf.DUMMYFUNCTION("""COMPUTED_VALUE"""),"ESPINO SOTO")</f>
        <v>ESPINO SOTO</v>
      </c>
      <c r="F37" s="1">
        <f>IFERROR(__xludf.DUMMYFUNCTION("""COMPUTED_VALUE"""),7.136436E7)</f>
        <v>71364360</v>
      </c>
      <c r="G37" s="1">
        <f>IFERROR(__xludf.DUMMYFUNCTION("""COMPUTED_VALUE"""),9.69220527E8)</f>
        <v>969220527</v>
      </c>
      <c r="H37" s="1" t="str">
        <f>IFERROR(__xludf.DUMMYFUNCTION("""COMPUTED_VALUE"""),"jhumy132@gmail.com")</f>
        <v>jhumy132@gmail.com</v>
      </c>
      <c r="I37" s="1" t="str">
        <f>IFERROR(__xludf.DUMMYFUNCTION("""COMPUTED_VALUE"""),"Comunicación y Publicidad Transmedia")</f>
        <v>Comunicación y Publicidad Transmedia</v>
      </c>
      <c r="J37" s="1" t="str">
        <f>IFERROR(__xludf.DUMMYFUNCTION("""COMPUTED_VALUE"""),"Comunicaciones")</f>
        <v>Comunicaciones</v>
      </c>
      <c r="K37" s="1" t="str">
        <f>IFERROR(__xludf.DUMMYFUNCTION("""COMPUTED_VALUE"""),"Antigua")</f>
        <v>Antigua</v>
      </c>
      <c r="L37" s="1" t="str">
        <f>IFERROR(__xludf.DUMMYFUNCTION("""COMPUTED_VALUE"""),"Admisión de Alto Rendimiento")</f>
        <v>Admisión de Alto Rendimiento</v>
      </c>
      <c r="M37" s="1" t="str">
        <f>IFERROR(__xludf.DUMMYFUNCTION("""COMPUTED_VALUE"""),"Semi-presencial")</f>
        <v>Semi-presencial</v>
      </c>
      <c r="N37" s="1" t="str">
        <f>IFERROR(__xludf.DUMMYFUNCTION("""COMPUTED_VALUE"""),"Diurno")</f>
        <v>Diurno</v>
      </c>
      <c r="O37" s="1" t="str">
        <f>IFERROR(__xludf.DUMMYFUNCTION("""COMPUTED_VALUE"""),"NUEVO")</f>
        <v>NUEVO</v>
      </c>
      <c r="P37" s="1" t="str">
        <f>IFERROR(__xludf.DUMMYFUNCTION("""COMPUTED_VALUE"""),"BECA")</f>
        <v>BECA</v>
      </c>
      <c r="Q37" s="1" t="str">
        <f>IFERROR(__xludf.DUMMYFUNCTION("""COMPUTED_VALUE"""),"BECA RECUPERO")</f>
        <v>BECA RECUPERO</v>
      </c>
      <c r="R37" s="1" t="str">
        <f>IFERROR(__xludf.DUMMYFUNCTION("""COMPUTED_VALUE"""),"NINGUNO")</f>
        <v>NINGUNO</v>
      </c>
      <c r="S37" s="1" t="str">
        <f>IFERROR(__xludf.DUMMYFUNCTION("""COMPUTED_VALUE"""),"RODRIGO")</f>
        <v>RODRIGO</v>
      </c>
      <c r="T37" s="3">
        <f>IFERROR(__xludf.DUMMYFUNCTION("""COMPUTED_VALUE"""),45769.0)</f>
        <v>45769</v>
      </c>
      <c r="U37" s="1" t="str">
        <f>IFERROR(__xludf.DUMMYFUNCTION("""COMPUTED_VALUE"""),"Pago Link")</f>
        <v>Pago Link</v>
      </c>
      <c r="V37" s="1" t="str">
        <f>IFERROR(__xludf.DUMMYFUNCTION("""COMPUTED_VALUE"""),"PAGO FRACCIONADO")</f>
        <v>PAGO FRACCIONADO</v>
      </c>
      <c r="W37" s="4">
        <f>IFERROR(__xludf.DUMMYFUNCTION("""COMPUTED_VALUE"""),0.0)</f>
        <v>0</v>
      </c>
      <c r="X37" s="1" t="str">
        <f>IFERROR(__xludf.DUMMYFUNCTION("""COMPUTED_VALUE"""),"30/04/2025")</f>
        <v>30/04/2025</v>
      </c>
      <c r="Y37" s="2">
        <f>IFERROR(__xludf.DUMMYFUNCTION("""COMPUTED_VALUE"""),45777.0)</f>
        <v>45777</v>
      </c>
      <c r="Z37" s="1" t="str">
        <f>IFERROR(__xludf.DUMMYFUNCTION("""COMPUTED_VALUE"""),"PAGO COMPLETO")</f>
        <v>PAGO COMPLETO</v>
      </c>
      <c r="AA37" s="1"/>
      <c r="AB37" s="1"/>
      <c r="AC37" s="4">
        <f>IFERROR(__xludf.DUMMYFUNCTION("""COMPUTED_VALUE"""),0.0)</f>
        <v>0</v>
      </c>
      <c r="AD37" s="4">
        <f>IFERROR(__xludf.DUMMYFUNCTION("""COMPUTED_VALUE"""),0.0)</f>
        <v>0</v>
      </c>
      <c r="AE37" s="4">
        <f>IFERROR(__xludf.DUMMYFUNCTION("""COMPUTED_VALUE"""),950.0)</f>
        <v>950</v>
      </c>
      <c r="AF37" s="4">
        <f>IFERROR(__xludf.DUMMYFUNCTION("""COMPUTED_VALUE"""),800.0)</f>
        <v>800</v>
      </c>
      <c r="AG37" s="1">
        <f>IFERROR(__xludf.DUMMYFUNCTION("""COMPUTED_VALUE"""),0.0)</f>
        <v>0</v>
      </c>
      <c r="AH37" s="1">
        <f>IFERROR(__xludf.DUMMYFUNCTION("""COMPUTED_VALUE"""),0.0)</f>
        <v>0</v>
      </c>
      <c r="AI37" s="1">
        <f>IFERROR(__xludf.DUMMYFUNCTION("""COMPUTED_VALUE"""),0.0)</f>
        <v>0</v>
      </c>
      <c r="AJ37" s="1">
        <f>IFERROR(__xludf.DUMMYFUNCTION("""COMPUTED_VALUE"""),1607498.0)</f>
        <v>1607498</v>
      </c>
      <c r="AK37" s="1" t="str">
        <f>IFERROR(__xludf.DUMMYFUNCTION("""COMPUTED_VALUE"""),"Más de 15 kms")</f>
        <v>Más de 15 kms</v>
      </c>
      <c r="AL37" s="1" t="str">
        <f>IFERROR(__xludf.DUMMYFUNCTION("""COMPUTED_VALUE"""),"04 200 a 300")</f>
        <v>04 200 a 300</v>
      </c>
      <c r="AM37" s="1" t="str">
        <f>IFERROR(__xludf.DUMMYFUNCTION("""COMPUTED_VALUE"""),"-")</f>
        <v>-</v>
      </c>
      <c r="AN37" s="1" t="str">
        <f>IFERROR(__xludf.DUMMYFUNCTION("""COMPUTED_VALUE""")," -")</f>
        <v> -</v>
      </c>
      <c r="AO37" s="1">
        <f>IFERROR(__xludf.DUMMYFUNCTION("""COMPUTED_VALUE"""),2024.0)</f>
        <v>2024</v>
      </c>
      <c r="AP37" s="3">
        <f>IFERROR(__xludf.DUMMYFUNCTION("""COMPUTED_VALUE"""),45748.0)</f>
        <v>45748</v>
      </c>
      <c r="AQ37" s="2">
        <f>IFERROR(__xludf.DUMMYFUNCTION("""COMPUTED_VALUE"""),45747.0)</f>
        <v>45747</v>
      </c>
      <c r="AR37" s="2">
        <f>IFERROR(__xludf.DUMMYFUNCTION("""COMPUTED_VALUE"""),45756.0)</f>
        <v>45756</v>
      </c>
      <c r="AS37" s="2">
        <f>IFERROR(__xludf.DUMMYFUNCTION("""COMPUTED_VALUE"""),45748.0)</f>
        <v>45748</v>
      </c>
      <c r="AT37" s="2">
        <f>IFERROR(__xludf.DUMMYFUNCTION("""COMPUTED_VALUE"""),45747.0)</f>
        <v>45747</v>
      </c>
      <c r="AU37" s="1">
        <f>IFERROR(__xludf.DUMMYFUNCTION("""COMPUTED_VALUE"""),21.0)</f>
        <v>21</v>
      </c>
      <c r="AV37" s="1" t="str">
        <f>IFERROR(__xludf.DUMMYFUNCTION("""COMPUTED_VALUE"""),"DIGITAL")</f>
        <v>DIGITAL</v>
      </c>
      <c r="AW37" s="1" t="str">
        <f>IFERROR(__xludf.DUMMYFUNCTION("""COMPUTED_VALUE"""),"BIDIRECCIONAL")</f>
        <v>BIDIRECCIONAL</v>
      </c>
      <c r="AX37" s="1" t="str">
        <f>IFERROR(__xludf.DUMMYFUNCTION("""COMPUTED_VALUE"""),"ORGANICO")</f>
        <v>ORGANICO</v>
      </c>
      <c r="AY37" s="1">
        <f>IFERROR(__xludf.DUMMYFUNCTION("""COMPUTED_VALUE"""),1.0)</f>
        <v>1</v>
      </c>
      <c r="AZ37" s="1" t="str">
        <f>IFERROR(__xludf.DUMMYFUNCTION("""COMPUTED_VALUE"""),"Andrea Crisanto")</f>
        <v>Andrea Crisanto</v>
      </c>
      <c r="BA37" s="5">
        <f>IFERROR(__xludf.DUMMYFUNCTION("""COMPUTED_VALUE"""),1.0)</f>
        <v>1</v>
      </c>
      <c r="BB37" s="6">
        <f>IFERROR(__xludf.DUMMYFUNCTION("""COMPUTED_VALUE"""),800.0)</f>
        <v>800</v>
      </c>
      <c r="BC37" s="1">
        <f>IFERROR(__xludf.DUMMYFUNCTION("""COMPUTED_VALUE"""),1.0)</f>
        <v>1</v>
      </c>
      <c r="BD37" s="1" t="str">
        <f>IFERROR(__xludf.DUMMYFUNCTION("""COMPUTED_VALUE"""),"Ninguno")</f>
        <v>Ninguno</v>
      </c>
      <c r="BE37" s="1">
        <f>IFERROR(__xludf.DUMMYFUNCTION("""COMPUTED_VALUE"""),1.0)</f>
        <v>1</v>
      </c>
      <c r="BF37" s="1">
        <f>IFERROR(__xludf.DUMMYFUNCTION("""COMPUTED_VALUE"""),1.0)</f>
        <v>1</v>
      </c>
      <c r="BG37" s="3">
        <f>IFERROR(__xludf.DUMMYFUNCTION("""COMPUTED_VALUE"""),45794.0)</f>
        <v>45794</v>
      </c>
      <c r="BH37" s="1" t="str">
        <f>IFERROR(__xludf.DUMMYFUNCTION("""COMPUTED_VALUE"""),"17/05/2025")</f>
        <v>17/05/2025</v>
      </c>
      <c r="BI37" s="1">
        <f>IFERROR(__xludf.DUMMYFUNCTION("""COMPUTED_VALUE"""),0.0)</f>
        <v>0</v>
      </c>
      <c r="BJ37" s="1" t="str">
        <f>IFERROR(__xludf.DUMMYFUNCTION("""COMPUTED_VALUE"""),"NUEVO")</f>
        <v>NUEVO</v>
      </c>
    </row>
    <row r="38">
      <c r="A38" s="1">
        <f>IFERROR(__xludf.DUMMYFUNCTION("""COMPUTED_VALUE"""),37.0)</f>
        <v>37</v>
      </c>
      <c r="B38" s="1">
        <f>IFERROR(__xludf.DUMMYFUNCTION("""COMPUTED_VALUE"""),1069056.0)</f>
        <v>1069056</v>
      </c>
      <c r="C38" s="1" t="str">
        <f>IFERROR(__xludf.DUMMYFUNCTION("""COMPUTED_VALUE"""),"0000063860")</f>
        <v>0000063860</v>
      </c>
      <c r="D38" s="1" t="str">
        <f>IFERROR(__xludf.DUMMYFUNCTION("""COMPUTED_VALUE"""),"FRANCIS LIZETT ")</f>
        <v>FRANCIS LIZETT </v>
      </c>
      <c r="E38" s="2" t="str">
        <f>IFERROR(__xludf.DUMMYFUNCTION("""COMPUTED_VALUE"""),"VICENTE VILLAFUERTE")</f>
        <v>VICENTE VILLAFUERTE</v>
      </c>
      <c r="F38" s="1">
        <f>IFERROR(__xludf.DUMMYFUNCTION("""COMPUTED_VALUE"""),7.2941655E7)</f>
        <v>72941655</v>
      </c>
      <c r="G38" s="1">
        <f>IFERROR(__xludf.DUMMYFUNCTION("""COMPUTED_VALUE"""),9.90962657E8)</f>
        <v>990962657</v>
      </c>
      <c r="H38" s="1" t="str">
        <f>IFERROR(__xludf.DUMMYFUNCTION("""COMPUTED_VALUE"""),"francislizzeth15@gmail.com")</f>
        <v>francislizzeth15@gmail.com</v>
      </c>
      <c r="I38" s="1" t="str">
        <f>IFERROR(__xludf.DUMMYFUNCTION("""COMPUTED_VALUE"""),"Diseño Gráfico Publicitario")</f>
        <v>Diseño Gráfico Publicitario</v>
      </c>
      <c r="J38" s="1" t="str">
        <f>IFERROR(__xludf.DUMMYFUNCTION("""COMPUTED_VALUE"""),"Diseño")</f>
        <v>Diseño</v>
      </c>
      <c r="K38" s="1" t="str">
        <f>IFERROR(__xludf.DUMMYFUNCTION("""COMPUTED_VALUE"""),"Antigua")</f>
        <v>Antigua</v>
      </c>
      <c r="L38" s="1" t="str">
        <f>IFERROR(__xludf.DUMMYFUNCTION("""COMPUTED_VALUE"""),"Admisión Extraordinaria (Traslados)")</f>
        <v>Admisión Extraordinaria (Traslados)</v>
      </c>
      <c r="M38" s="1" t="str">
        <f>IFERROR(__xludf.DUMMYFUNCTION("""COMPUTED_VALUE"""),"Semi-presencial")</f>
        <v>Semi-presencial</v>
      </c>
      <c r="N38" s="1" t="str">
        <f>IFERROR(__xludf.DUMMYFUNCTION("""COMPUTED_VALUE"""),"Diurno")</f>
        <v>Diurno</v>
      </c>
      <c r="O38" s="1" t="str">
        <f>IFERROR(__xludf.DUMMYFUNCTION("""COMPUTED_VALUE"""),"TRASLADO CON CONVA")</f>
        <v>TRASLADO CON CONVA</v>
      </c>
      <c r="P38" s="1" t="str">
        <f>IFERROR(__xludf.DUMMYFUNCTION("""COMPUTED_VALUE"""),"ESCALA REGULAR")</f>
        <v>ESCALA REGULAR</v>
      </c>
      <c r="Q38" s="1" t="str">
        <f>IFERROR(__xludf.DUMMYFUNCTION("""COMPUTED_VALUE"""),"NINGUNO")</f>
        <v>NINGUNO</v>
      </c>
      <c r="R38" s="1" t="str">
        <f>IFERROR(__xludf.DUMMYFUNCTION("""COMPUTED_VALUE"""),"NINGUNO")</f>
        <v>NINGUNO</v>
      </c>
      <c r="S38" s="1" t="str">
        <f>IFERROR(__xludf.DUMMYFUNCTION("""COMPUTED_VALUE"""),"RODRIGO")</f>
        <v>RODRIGO</v>
      </c>
      <c r="T38" s="3">
        <f>IFERROR(__xludf.DUMMYFUNCTION("""COMPUTED_VALUE"""),45771.0)</f>
        <v>45771</v>
      </c>
      <c r="U38" s="1" t="str">
        <f>IFERROR(__xludf.DUMMYFUNCTION("""COMPUTED_VALUE"""),"CARGO")</f>
        <v>CARGO</v>
      </c>
      <c r="V38" s="1" t="str">
        <f>IFERROR(__xludf.DUMMYFUNCTION("""COMPUTED_VALUE"""),"PAGO COMPLETO")</f>
        <v>PAGO COMPLETO</v>
      </c>
      <c r="W38" s="4">
        <f>IFERROR(__xludf.DUMMYFUNCTION("""COMPUTED_VALUE"""),0.0)</f>
        <v>0</v>
      </c>
      <c r="X38" s="1" t="str">
        <f>IFERROR(__xludf.DUMMYFUNCTION("""COMPUTED_VALUE"""),"-")</f>
        <v>-</v>
      </c>
      <c r="Y38" s="2">
        <f>IFERROR(__xludf.DUMMYFUNCTION("""COMPUTED_VALUE"""),45771.0)</f>
        <v>45771</v>
      </c>
      <c r="Z38" s="1" t="str">
        <f>IFERROR(__xludf.DUMMYFUNCTION("""COMPUTED_VALUE"""),"PAGO COMPLETO")</f>
        <v>PAGO COMPLETO</v>
      </c>
      <c r="AA38" s="1"/>
      <c r="AB38" s="1"/>
      <c r="AC38" s="4">
        <f>IFERROR(__xludf.DUMMYFUNCTION("""COMPUTED_VALUE"""),0.0)</f>
        <v>0</v>
      </c>
      <c r="AD38" s="4">
        <f>IFERROR(__xludf.DUMMYFUNCTION("""COMPUTED_VALUE"""),0.0)</f>
        <v>0</v>
      </c>
      <c r="AE38" s="4">
        <f>IFERROR(__xludf.DUMMYFUNCTION("""COMPUTED_VALUE"""),850.0)</f>
        <v>850</v>
      </c>
      <c r="AF38" s="4">
        <f>IFERROR(__xludf.DUMMYFUNCTION("""COMPUTED_VALUE"""),850.0)</f>
        <v>850</v>
      </c>
      <c r="AG38" s="1">
        <f>IFERROR(__xludf.DUMMYFUNCTION("""COMPUTED_VALUE"""),0.0)</f>
        <v>0</v>
      </c>
      <c r="AH38" s="1">
        <f>IFERROR(__xludf.DUMMYFUNCTION("""COMPUTED_VALUE"""),0.0)</f>
        <v>0</v>
      </c>
      <c r="AI38" s="1">
        <f>IFERROR(__xludf.DUMMYFUNCTION("""COMPUTED_VALUE"""),0.0)</f>
        <v>0</v>
      </c>
      <c r="AJ38" s="1">
        <f>IFERROR(__xludf.DUMMYFUNCTION("""COMPUTED_VALUE"""),874271.0)</f>
        <v>874271</v>
      </c>
      <c r="AK38" s="1" t="str">
        <f>IFERROR(__xludf.DUMMYFUNCTION("""COMPUTED_VALUE"""),"10 kms a 15 kms")</f>
        <v>10 kms a 15 kms</v>
      </c>
      <c r="AL38" s="1" t="str">
        <f>IFERROR(__xludf.DUMMYFUNCTION("""COMPUTED_VALUE"""),"04 200 a 300")</f>
        <v>04 200 a 300</v>
      </c>
      <c r="AM38" s="1" t="str">
        <f>IFERROR(__xludf.DUMMYFUNCTION("""COMPUTED_VALUE"""),"Cibertec")</f>
        <v>Cibertec</v>
      </c>
      <c r="AN38" s="1" t="str">
        <f>IFERROR(__xludf.DUMMYFUNCTION("""COMPUTED_VALUE""")," ")</f>
        <v> </v>
      </c>
      <c r="AO38" s="1">
        <f>IFERROR(__xludf.DUMMYFUNCTION("""COMPUTED_VALUE"""),2019.0)</f>
        <v>2019</v>
      </c>
      <c r="AP38" s="3">
        <f>IFERROR(__xludf.DUMMYFUNCTION("""COMPUTED_VALUE"""),45748.0)</f>
        <v>45748</v>
      </c>
      <c r="AQ38" s="2">
        <f>IFERROR(__xludf.DUMMYFUNCTION("""COMPUTED_VALUE"""),45747.0)</f>
        <v>45747</v>
      </c>
      <c r="AR38" s="2">
        <f>IFERROR(__xludf.DUMMYFUNCTION("""COMPUTED_VALUE"""),45769.0)</f>
        <v>45769</v>
      </c>
      <c r="AS38" s="2">
        <f>IFERROR(__xludf.DUMMYFUNCTION("""COMPUTED_VALUE"""),45748.0)</f>
        <v>45748</v>
      </c>
      <c r="AT38" s="2">
        <f>IFERROR(__xludf.DUMMYFUNCTION("""COMPUTED_VALUE"""),45747.0)</f>
        <v>45747</v>
      </c>
      <c r="AU38" s="1">
        <f>IFERROR(__xludf.DUMMYFUNCTION("""COMPUTED_VALUE"""),2.0)</f>
        <v>2</v>
      </c>
      <c r="AV38" s="1" t="str">
        <f>IFERROR(__xludf.DUMMYFUNCTION("""COMPUTED_VALUE"""),"DIGITAL")</f>
        <v>DIGITAL</v>
      </c>
      <c r="AW38" s="1" t="str">
        <f>IFERROR(__xludf.DUMMYFUNCTION("""COMPUTED_VALUE"""),"BIDIRECCIONAL")</f>
        <v>BIDIRECCIONAL</v>
      </c>
      <c r="AX38" s="1" t="str">
        <f>IFERROR(__xludf.DUMMYFUNCTION("""COMPUTED_VALUE"""),"ORGANICO")</f>
        <v>ORGANICO</v>
      </c>
      <c r="AY38" s="1">
        <f>IFERROR(__xludf.DUMMYFUNCTION("""COMPUTED_VALUE"""),1.0)</f>
        <v>1</v>
      </c>
      <c r="AZ38" s="1" t="str">
        <f>IFERROR(__xludf.DUMMYFUNCTION("""COMPUTED_VALUE"""),"Andrea Araujo Antara")</f>
        <v>Andrea Araujo Antara</v>
      </c>
      <c r="BA38" s="5">
        <f>IFERROR(__xludf.DUMMYFUNCTION("""COMPUTED_VALUE"""),1.0)</f>
        <v>1</v>
      </c>
      <c r="BB38" s="6">
        <f>IFERROR(__xludf.DUMMYFUNCTION("""COMPUTED_VALUE"""),850.0)</f>
        <v>850</v>
      </c>
      <c r="BC38" s="1"/>
      <c r="BD38" s="1" t="str">
        <f>IFERROR(__xludf.DUMMYFUNCTION("""COMPUTED_VALUE""")," -")</f>
        <v> -</v>
      </c>
      <c r="BE38" s="1">
        <f>IFERROR(__xludf.DUMMYFUNCTION("""COMPUTED_VALUE"""),1.0)</f>
        <v>1</v>
      </c>
      <c r="BF38" s="1">
        <f>IFERROR(__xludf.DUMMYFUNCTION("""COMPUTED_VALUE"""),0.0)</f>
        <v>0</v>
      </c>
      <c r="BG38" s="1"/>
      <c r="BH38" s="1" t="str">
        <f>IFERROR(__xludf.DUMMYFUNCTION("""COMPUTED_VALUE"""),"No aplica")</f>
        <v>No aplica</v>
      </c>
      <c r="BI38" s="1">
        <f>IFERROR(__xludf.DUMMYFUNCTION("""COMPUTED_VALUE"""),1.0)</f>
        <v>1</v>
      </c>
      <c r="BJ38" s="1" t="str">
        <f>IFERROR(__xludf.DUMMYFUNCTION("""COMPUTED_VALUE"""),"TRASLADO")</f>
        <v>TRASLADO</v>
      </c>
    </row>
    <row r="39">
      <c r="A39" s="1">
        <f>IFERROR(__xludf.DUMMYFUNCTION("""COMPUTED_VALUE"""),38.0)</f>
        <v>38</v>
      </c>
      <c r="B39" s="1">
        <f>IFERROR(__xludf.DUMMYFUNCTION("""COMPUTED_VALUE"""),5159739.0)</f>
        <v>5159739</v>
      </c>
      <c r="C39" s="1" t="str">
        <f>IFERROR(__xludf.DUMMYFUNCTION("""COMPUTED_VALUE"""),"0000424087")</f>
        <v>0000424087</v>
      </c>
      <c r="D39" s="1" t="str">
        <f>IFERROR(__xludf.DUMMYFUNCTION("""COMPUTED_VALUE"""),"ARIEL DAVID ")</f>
        <v>ARIEL DAVID </v>
      </c>
      <c r="E39" s="2" t="str">
        <f>IFERROR(__xludf.DUMMYFUNCTION("""COMPUTED_VALUE"""),"HUARHUACHI QUISPE")</f>
        <v>HUARHUACHI QUISPE</v>
      </c>
      <c r="F39" s="1">
        <f>IFERROR(__xludf.DUMMYFUNCTION("""COMPUTED_VALUE"""),7.0528925E7)</f>
        <v>70528925</v>
      </c>
      <c r="G39" s="1">
        <f>IFERROR(__xludf.DUMMYFUNCTION("""COMPUTED_VALUE"""),9.17820092E8)</f>
        <v>917820092</v>
      </c>
      <c r="H39" s="1" t="str">
        <f>IFERROR(__xludf.DUMMYFUNCTION("""COMPUTED_VALUE"""),"David30.ariel09@gmail.com")</f>
        <v>David30.ariel09@gmail.com</v>
      </c>
      <c r="I39" s="1" t="str">
        <f>IFERROR(__xludf.DUMMYFUNCTION("""COMPUTED_VALUE"""),"Diseño Gráfico Publicitario")</f>
        <v>Diseño Gráfico Publicitario</v>
      </c>
      <c r="J39" s="1" t="str">
        <f>IFERROR(__xludf.DUMMYFUNCTION("""COMPUTED_VALUE"""),"Diseño")</f>
        <v>Diseño</v>
      </c>
      <c r="K39" s="1" t="str">
        <f>IFERROR(__xludf.DUMMYFUNCTION("""COMPUTED_VALUE"""),"Antigua")</f>
        <v>Antigua</v>
      </c>
      <c r="L39" s="1" t="str">
        <f>IFERROR(__xludf.DUMMYFUNCTION("""COMPUTED_VALUE"""),"Admisión Ordinaria")</f>
        <v>Admisión Ordinaria</v>
      </c>
      <c r="M39" s="1" t="str">
        <f>IFERROR(__xludf.DUMMYFUNCTION("""COMPUTED_VALUE"""),"Semi-presencial")</f>
        <v>Semi-presencial</v>
      </c>
      <c r="N39" s="1" t="str">
        <f>IFERROR(__xludf.DUMMYFUNCTION("""COMPUTED_VALUE"""),"Diurno")</f>
        <v>Diurno</v>
      </c>
      <c r="O39" s="1" t="str">
        <f>IFERROR(__xludf.DUMMYFUNCTION("""COMPUTED_VALUE"""),"NUEVO")</f>
        <v>NUEVO</v>
      </c>
      <c r="P39" s="1" t="str">
        <f>IFERROR(__xludf.DUMMYFUNCTION("""COMPUTED_VALUE"""),"BECA")</f>
        <v>BECA</v>
      </c>
      <c r="Q39" s="1" t="str">
        <f>IFERROR(__xludf.DUMMYFUNCTION("""COMPUTED_VALUE"""),"BECA CARRERAS CORE")</f>
        <v>BECA CARRERAS CORE</v>
      </c>
      <c r="R39" s="1" t="str">
        <f>IFERROR(__xludf.DUMMYFUNCTION("""COMPUTED_VALUE"""),"NINGUNO")</f>
        <v>NINGUNO</v>
      </c>
      <c r="S39" s="1" t="str">
        <f>IFERROR(__xludf.DUMMYFUNCTION("""COMPUTED_VALUE"""),"RODRIGO")</f>
        <v>RODRIGO</v>
      </c>
      <c r="T39" s="3">
        <f>IFERROR(__xludf.DUMMYFUNCTION("""COMPUTED_VALUE"""),45771.0)</f>
        <v>45771</v>
      </c>
      <c r="U39" s="1" t="str">
        <f>IFERROR(__xludf.DUMMYFUNCTION("""COMPUTED_VALUE"""),"CARGO")</f>
        <v>CARGO</v>
      </c>
      <c r="V39" s="1" t="str">
        <f>IFERROR(__xludf.DUMMYFUNCTION("""COMPUTED_VALUE"""),"PAGO COMPLETO")</f>
        <v>PAGO COMPLETO</v>
      </c>
      <c r="W39" s="4">
        <f>IFERROR(__xludf.DUMMYFUNCTION("""COMPUTED_VALUE"""),0.0)</f>
        <v>0</v>
      </c>
      <c r="X39" s="1" t="str">
        <f>IFERROR(__xludf.DUMMYFUNCTION("""COMPUTED_VALUE"""),"-")</f>
        <v>-</v>
      </c>
      <c r="Y39" s="2">
        <f>IFERROR(__xludf.DUMMYFUNCTION("""COMPUTED_VALUE"""),45771.0)</f>
        <v>45771</v>
      </c>
      <c r="Z39" s="1" t="str">
        <f>IFERROR(__xludf.DUMMYFUNCTION("""COMPUTED_VALUE"""),"PAGO COMPLETO")</f>
        <v>PAGO COMPLETO</v>
      </c>
      <c r="AA39" s="1"/>
      <c r="AB39" s="1"/>
      <c r="AC39" s="4">
        <f>IFERROR(__xludf.DUMMYFUNCTION("""COMPUTED_VALUE"""),50.0)</f>
        <v>50</v>
      </c>
      <c r="AD39" s="4">
        <f>IFERROR(__xludf.DUMMYFUNCTION("""COMPUTED_VALUE"""),95.0)</f>
        <v>95</v>
      </c>
      <c r="AE39" s="4">
        <f>IFERROR(__xludf.DUMMYFUNCTION("""COMPUTED_VALUE"""),1100.0)</f>
        <v>1100</v>
      </c>
      <c r="AF39" s="4">
        <f>IFERROR(__xludf.DUMMYFUNCTION("""COMPUTED_VALUE"""),950.0)</f>
        <v>950</v>
      </c>
      <c r="AG39" s="1">
        <f>IFERROR(__xludf.DUMMYFUNCTION("""COMPUTED_VALUE"""),0.0)</f>
        <v>0</v>
      </c>
      <c r="AH39" s="1">
        <f>IFERROR(__xludf.DUMMYFUNCTION("""COMPUTED_VALUE"""),0.0)</f>
        <v>0</v>
      </c>
      <c r="AI39" s="1">
        <f>IFERROR(__xludf.DUMMYFUNCTION("""COMPUTED_VALUE"""),0.0)</f>
        <v>0</v>
      </c>
      <c r="AJ39" s="1">
        <f>IFERROR(__xludf.DUMMYFUNCTION("""COMPUTED_VALUE"""),1066588.0)</f>
        <v>1066588</v>
      </c>
      <c r="AK39" s="1" t="str">
        <f>IFERROR(__xludf.DUMMYFUNCTION("""COMPUTED_VALUE"""),"5kms a 10 kms")</f>
        <v>5kms a 10 kms</v>
      </c>
      <c r="AL39" s="1" t="str">
        <f>IFERROR(__xludf.DUMMYFUNCTION("""COMPUTED_VALUE"""),"05 301 a 550")</f>
        <v>05 301 a 550</v>
      </c>
      <c r="AM39" s="1" t="str">
        <f>IFERROR(__xludf.DUMMYFUNCTION("""COMPUTED_VALUE"""),"-")</f>
        <v>-</v>
      </c>
      <c r="AN39" s="1" t="str">
        <f>IFERROR(__xludf.DUMMYFUNCTION("""COMPUTED_VALUE""")," -")</f>
        <v> -</v>
      </c>
      <c r="AO39" s="1">
        <f>IFERROR(__xludf.DUMMYFUNCTION("""COMPUTED_VALUE"""),2024.0)</f>
        <v>2024</v>
      </c>
      <c r="AP39" s="3">
        <f>IFERROR(__xludf.DUMMYFUNCTION("""COMPUTED_VALUE"""),45748.0)</f>
        <v>45748</v>
      </c>
      <c r="AQ39" s="2">
        <f>IFERROR(__xludf.DUMMYFUNCTION("""COMPUTED_VALUE"""),45747.0)</f>
        <v>45747</v>
      </c>
      <c r="AR39" s="2">
        <f>IFERROR(__xludf.DUMMYFUNCTION("""COMPUTED_VALUE"""),45768.0)</f>
        <v>45768</v>
      </c>
      <c r="AS39" s="2">
        <f>IFERROR(__xludf.DUMMYFUNCTION("""COMPUTED_VALUE"""),45748.0)</f>
        <v>45748</v>
      </c>
      <c r="AT39" s="2">
        <f>IFERROR(__xludf.DUMMYFUNCTION("""COMPUTED_VALUE"""),45747.0)</f>
        <v>45747</v>
      </c>
      <c r="AU39" s="1">
        <f>IFERROR(__xludf.DUMMYFUNCTION("""COMPUTED_VALUE"""),3.0)</f>
        <v>3</v>
      </c>
      <c r="AV39" s="1" t="str">
        <f>IFERROR(__xludf.DUMMYFUNCTION("""COMPUTED_VALUE"""),"DIGITAL")</f>
        <v>DIGITAL</v>
      </c>
      <c r="AW39" s="1" t="str">
        <f>IFERROR(__xludf.DUMMYFUNCTION("""COMPUTED_VALUE"""),"FORMULARIO")</f>
        <v>FORMULARIO</v>
      </c>
      <c r="AX39" s="1" t="str">
        <f>IFERROR(__xludf.DUMMYFUNCTION("""COMPUTED_VALUE"""),"SEARCH MARCA")</f>
        <v>SEARCH MARCA</v>
      </c>
      <c r="AY39" s="1">
        <f>IFERROR(__xludf.DUMMYFUNCTION("""COMPUTED_VALUE"""),1.0)</f>
        <v>1</v>
      </c>
      <c r="AZ39" s="1" t="str">
        <f>IFERROR(__xludf.DUMMYFUNCTION("""COMPUTED_VALUE"""),"Andrea Araujo Antara")</f>
        <v>Andrea Araujo Antara</v>
      </c>
      <c r="BA39" s="5">
        <f>IFERROR(__xludf.DUMMYFUNCTION("""COMPUTED_VALUE"""),1.0)</f>
        <v>1</v>
      </c>
      <c r="BB39" s="6">
        <f>IFERROR(__xludf.DUMMYFUNCTION("""COMPUTED_VALUE"""),950.0)</f>
        <v>950</v>
      </c>
      <c r="BC39" s="1">
        <f>IFERROR(__xludf.DUMMYFUNCTION("""COMPUTED_VALUE"""),1.0)</f>
        <v>1</v>
      </c>
      <c r="BD39" s="1" t="str">
        <f>IFERROR(__xludf.DUMMYFUNCTION("""COMPUTED_VALUE"""),"Matemáticas y Redacción")</f>
        <v>Matemáticas y Redacción</v>
      </c>
      <c r="BE39" s="1">
        <f>IFERROR(__xludf.DUMMYFUNCTION("""COMPUTED_VALUE"""),1.0)</f>
        <v>1</v>
      </c>
      <c r="BF39" s="1">
        <f>IFERROR(__xludf.DUMMYFUNCTION("""COMPUTED_VALUE"""),1.0)</f>
        <v>1</v>
      </c>
      <c r="BG39" s="3">
        <f>IFERROR(__xludf.DUMMYFUNCTION("""COMPUTED_VALUE"""),45794.0)</f>
        <v>45794</v>
      </c>
      <c r="BH39" s="1" t="str">
        <f>IFERROR(__xludf.DUMMYFUNCTION("""COMPUTED_VALUE"""),"17/05/2025")</f>
        <v>17/05/2025</v>
      </c>
      <c r="BI39" s="1">
        <f>IFERROR(__xludf.DUMMYFUNCTION("""COMPUTED_VALUE"""),0.0)</f>
        <v>0</v>
      </c>
      <c r="BJ39" s="1" t="str">
        <f>IFERROR(__xludf.DUMMYFUNCTION("""COMPUTED_VALUE"""),"NUEVO")</f>
        <v>NUEVO</v>
      </c>
    </row>
    <row r="40">
      <c r="A40" s="1">
        <f>IFERROR(__xludf.DUMMYFUNCTION("""COMPUTED_VALUE"""),39.0)</f>
        <v>39</v>
      </c>
      <c r="B40" s="1">
        <f>IFERROR(__xludf.DUMMYFUNCTION("""COMPUTED_VALUE"""),5160201.0)</f>
        <v>5160201</v>
      </c>
      <c r="C40" s="1" t="str">
        <f>IFERROR(__xludf.DUMMYFUNCTION("""COMPUTED_VALUE"""),"0000424041")</f>
        <v>0000424041</v>
      </c>
      <c r="D40" s="1" t="str">
        <f>IFERROR(__xludf.DUMMYFUNCTION("""COMPUTED_VALUE"""),"VALERY ALMENDRA")</f>
        <v>VALERY ALMENDRA</v>
      </c>
      <c r="E40" s="2" t="str">
        <f>IFERROR(__xludf.DUMMYFUNCTION("""COMPUTED_VALUE"""),"GARCIA CASTILLO")</f>
        <v>GARCIA CASTILLO</v>
      </c>
      <c r="F40" s="1">
        <f>IFERROR(__xludf.DUMMYFUNCTION("""COMPUTED_VALUE"""),7.0696462E7)</f>
        <v>70696462</v>
      </c>
      <c r="G40" s="1">
        <f>IFERROR(__xludf.DUMMYFUNCTION("""COMPUTED_VALUE"""),9.9711941E8)</f>
        <v>997119410</v>
      </c>
      <c r="H40" s="1" t="str">
        <f>IFERROR(__xludf.DUMMYFUNCTION("""COMPUTED_VALUE"""),"vg6685103@gmail.com")</f>
        <v>vg6685103@gmail.com</v>
      </c>
      <c r="I40" s="1" t="str">
        <f>IFERROR(__xludf.DUMMYFUNCTION("""COMPUTED_VALUE"""),"Comunicación y Publicidad Transmedia")</f>
        <v>Comunicación y Publicidad Transmedia</v>
      </c>
      <c r="J40" s="1" t="str">
        <f>IFERROR(__xludf.DUMMYFUNCTION("""COMPUTED_VALUE"""),"Comunicaciones")</f>
        <v>Comunicaciones</v>
      </c>
      <c r="K40" s="1" t="str">
        <f>IFERROR(__xludf.DUMMYFUNCTION("""COMPUTED_VALUE"""),"Antigua")</f>
        <v>Antigua</v>
      </c>
      <c r="L40" s="1" t="str">
        <f>IFERROR(__xludf.DUMMYFUNCTION("""COMPUTED_VALUE"""),"Admisión de Alto Rendimiento")</f>
        <v>Admisión de Alto Rendimiento</v>
      </c>
      <c r="M40" s="1" t="str">
        <f>IFERROR(__xludf.DUMMYFUNCTION("""COMPUTED_VALUE"""),"Semi-presencial")</f>
        <v>Semi-presencial</v>
      </c>
      <c r="N40" s="1" t="str">
        <f>IFERROR(__xludf.DUMMYFUNCTION("""COMPUTED_VALUE"""),"Diurno")</f>
        <v>Diurno</v>
      </c>
      <c r="O40" s="1" t="str">
        <f>IFERROR(__xludf.DUMMYFUNCTION("""COMPUTED_VALUE"""),"NUEVO")</f>
        <v>NUEVO</v>
      </c>
      <c r="P40" s="1" t="str">
        <f>IFERROR(__xludf.DUMMYFUNCTION("""COMPUTED_VALUE"""),"BECA")</f>
        <v>BECA</v>
      </c>
      <c r="Q40" s="1" t="str">
        <f>IFERROR(__xludf.DUMMYFUNCTION("""COMPUTED_VALUE"""),"BECA RECUPERO")</f>
        <v>BECA RECUPERO</v>
      </c>
      <c r="R40" s="1" t="str">
        <f>IFERROR(__xludf.DUMMYFUNCTION("""COMPUTED_VALUE"""),"NINGUNO")</f>
        <v>NINGUNO</v>
      </c>
      <c r="S40" s="1" t="str">
        <f>IFERROR(__xludf.DUMMYFUNCTION("""COMPUTED_VALUE"""),"RODRIGO")</f>
        <v>RODRIGO</v>
      </c>
      <c r="T40" s="3">
        <f>IFERROR(__xludf.DUMMYFUNCTION("""COMPUTED_VALUE"""),45771.0)</f>
        <v>45771</v>
      </c>
      <c r="U40" s="1" t="str">
        <f>IFERROR(__xludf.DUMMYFUNCTION("""COMPUTED_VALUE"""),"CARGO")</f>
        <v>CARGO</v>
      </c>
      <c r="V40" s="1" t="str">
        <f>IFERROR(__xludf.DUMMYFUNCTION("""COMPUTED_VALUE"""),"PAGO COMPLETO")</f>
        <v>PAGO COMPLETO</v>
      </c>
      <c r="W40" s="4">
        <f>IFERROR(__xludf.DUMMYFUNCTION("""COMPUTED_VALUE"""),0.0)</f>
        <v>0</v>
      </c>
      <c r="X40" s="1" t="str">
        <f>IFERROR(__xludf.DUMMYFUNCTION("""COMPUTED_VALUE"""),"-")</f>
        <v>-</v>
      </c>
      <c r="Y40" s="2">
        <f>IFERROR(__xludf.DUMMYFUNCTION("""COMPUTED_VALUE"""),45771.0)</f>
        <v>45771</v>
      </c>
      <c r="Z40" s="1" t="str">
        <f>IFERROR(__xludf.DUMMYFUNCTION("""COMPUTED_VALUE"""),"PAGO COMPLETO")</f>
        <v>PAGO COMPLETO</v>
      </c>
      <c r="AA40" s="1"/>
      <c r="AB40" s="1"/>
      <c r="AC40" s="4">
        <f>IFERROR(__xludf.DUMMYFUNCTION("""COMPUTED_VALUE"""),0.0)</f>
        <v>0</v>
      </c>
      <c r="AD40" s="4">
        <f>IFERROR(__xludf.DUMMYFUNCTION("""COMPUTED_VALUE"""),0.0)</f>
        <v>0</v>
      </c>
      <c r="AE40" s="4">
        <f>IFERROR(__xludf.DUMMYFUNCTION("""COMPUTED_VALUE"""),950.0)</f>
        <v>950</v>
      </c>
      <c r="AF40" s="4">
        <f>IFERROR(__xludf.DUMMYFUNCTION("""COMPUTED_VALUE"""),800.0)</f>
        <v>800</v>
      </c>
      <c r="AG40" s="1">
        <f>IFERROR(__xludf.DUMMYFUNCTION("""COMPUTED_VALUE"""),0.0)</f>
        <v>0</v>
      </c>
      <c r="AH40" s="1">
        <f>IFERROR(__xludf.DUMMYFUNCTION("""COMPUTED_VALUE"""),0.0)</f>
        <v>0</v>
      </c>
      <c r="AI40" s="1">
        <f>IFERROR(__xludf.DUMMYFUNCTION("""COMPUTED_VALUE"""),0.0)</f>
        <v>0</v>
      </c>
      <c r="AJ40" s="1">
        <f>IFERROR(__xludf.DUMMYFUNCTION("""COMPUTED_VALUE"""),1663590.0)</f>
        <v>1663590</v>
      </c>
      <c r="AK40" s="1" t="str">
        <f>IFERROR(__xludf.DUMMYFUNCTION("""COMPUTED_VALUE"""),"Más de 15 kms")</f>
        <v>Más de 15 kms</v>
      </c>
      <c r="AL40" s="1" t="str">
        <f>IFERROR(__xludf.DUMMYFUNCTION("""COMPUTED_VALUE"""),"05 301 a 550")</f>
        <v>05 301 a 550</v>
      </c>
      <c r="AM40" s="1" t="str">
        <f>IFERROR(__xludf.DUMMYFUNCTION("""COMPUTED_VALUE"""),"-")</f>
        <v>-</v>
      </c>
      <c r="AN40" s="1" t="str">
        <f>IFERROR(__xludf.DUMMYFUNCTION("""COMPUTED_VALUE""")," -")</f>
        <v> -</v>
      </c>
      <c r="AO40" s="1">
        <f>IFERROR(__xludf.DUMMYFUNCTION("""COMPUTED_VALUE"""),0.0)</f>
        <v>0</v>
      </c>
      <c r="AP40" s="3">
        <f>IFERROR(__xludf.DUMMYFUNCTION("""COMPUTED_VALUE"""),45748.0)</f>
        <v>45748</v>
      </c>
      <c r="AQ40" s="2">
        <f>IFERROR(__xludf.DUMMYFUNCTION("""COMPUTED_VALUE"""),45747.0)</f>
        <v>45747</v>
      </c>
      <c r="AR40" s="2">
        <f>IFERROR(__xludf.DUMMYFUNCTION("""COMPUTED_VALUE"""),45769.0)</f>
        <v>45769</v>
      </c>
      <c r="AS40" s="2">
        <f>IFERROR(__xludf.DUMMYFUNCTION("""COMPUTED_VALUE"""),45748.0)</f>
        <v>45748</v>
      </c>
      <c r="AT40" s="2">
        <f>IFERROR(__xludf.DUMMYFUNCTION("""COMPUTED_VALUE"""),45747.0)</f>
        <v>45747</v>
      </c>
      <c r="AU40" s="1">
        <f>IFERROR(__xludf.DUMMYFUNCTION("""COMPUTED_VALUE"""),2.0)</f>
        <v>2</v>
      </c>
      <c r="AV40" s="1" t="str">
        <f>IFERROR(__xludf.DUMMYFUNCTION("""COMPUTED_VALUE"""),"DIGITAL")</f>
        <v>DIGITAL</v>
      </c>
      <c r="AW40" s="1" t="str">
        <f>IFERROR(__xludf.DUMMYFUNCTION("""COMPUTED_VALUE"""),"BIDIRECCIONAL")</f>
        <v>BIDIRECCIONAL</v>
      </c>
      <c r="AX40" s="1" t="str">
        <f>IFERROR(__xludf.DUMMYFUNCTION("""COMPUTED_VALUE"""),"SEARCH MARCA")</f>
        <v>SEARCH MARCA</v>
      </c>
      <c r="AY40" s="1">
        <f>IFERROR(__xludf.DUMMYFUNCTION("""COMPUTED_VALUE"""),1.0)</f>
        <v>1</v>
      </c>
      <c r="AZ40" s="1" t="str">
        <f>IFERROR(__xludf.DUMMYFUNCTION("""COMPUTED_VALUE"""),"Andrea Crisanto")</f>
        <v>Andrea Crisanto</v>
      </c>
      <c r="BA40" s="5">
        <f>IFERROR(__xludf.DUMMYFUNCTION("""COMPUTED_VALUE"""),1.0)</f>
        <v>1</v>
      </c>
      <c r="BB40" s="6">
        <f>IFERROR(__xludf.DUMMYFUNCTION("""COMPUTED_VALUE"""),800.0)</f>
        <v>800</v>
      </c>
      <c r="BC40" s="1">
        <f>IFERROR(__xludf.DUMMYFUNCTION("""COMPUTED_VALUE"""),1.0)</f>
        <v>1</v>
      </c>
      <c r="BD40" s="1" t="str">
        <f>IFERROR(__xludf.DUMMYFUNCTION("""COMPUTED_VALUE"""),"Redacción")</f>
        <v>Redacción</v>
      </c>
      <c r="BE40" s="1">
        <f>IFERROR(__xludf.DUMMYFUNCTION("""COMPUTED_VALUE"""),1.0)</f>
        <v>1</v>
      </c>
      <c r="BF40" s="1">
        <f>IFERROR(__xludf.DUMMYFUNCTION("""COMPUTED_VALUE"""),1.0)</f>
        <v>1</v>
      </c>
      <c r="BG40" s="3">
        <f>IFERROR(__xludf.DUMMYFUNCTION("""COMPUTED_VALUE"""),45794.0)</f>
        <v>45794</v>
      </c>
      <c r="BH40" s="1" t="str">
        <f>IFERROR(__xludf.DUMMYFUNCTION("""COMPUTED_VALUE"""),"17/05/2025")</f>
        <v>17/05/2025</v>
      </c>
      <c r="BI40" s="1">
        <f>IFERROR(__xludf.DUMMYFUNCTION("""COMPUTED_VALUE"""),0.0)</f>
        <v>0</v>
      </c>
      <c r="BJ40" s="1" t="str">
        <f>IFERROR(__xludf.DUMMYFUNCTION("""COMPUTED_VALUE"""),"NUEVO")</f>
        <v>NUEVO</v>
      </c>
    </row>
    <row r="41">
      <c r="A41" s="1">
        <f>IFERROR(__xludf.DUMMYFUNCTION("""COMPUTED_VALUE"""),40.0)</f>
        <v>40</v>
      </c>
      <c r="B41" s="1">
        <f>IFERROR(__xludf.DUMMYFUNCTION("""COMPUTED_VALUE"""),5159712.0)</f>
        <v>5159712</v>
      </c>
      <c r="C41" s="1" t="str">
        <f>IFERROR(__xludf.DUMMYFUNCTION("""COMPUTED_VALUE"""),"0000424126")</f>
        <v>0000424126</v>
      </c>
      <c r="D41" s="1" t="str">
        <f>IFERROR(__xludf.DUMMYFUNCTION("""COMPUTED_VALUE"""),"ERICK CHRISTIAN")</f>
        <v>ERICK CHRISTIAN</v>
      </c>
      <c r="E41" s="2" t="str">
        <f>IFERROR(__xludf.DUMMYFUNCTION("""COMPUTED_VALUE"""),"QUISPE YARASCA")</f>
        <v>QUISPE YARASCA</v>
      </c>
      <c r="F41" s="1">
        <f>IFERROR(__xludf.DUMMYFUNCTION("""COMPUTED_VALUE"""),7.0637758E7)</f>
        <v>70637758</v>
      </c>
      <c r="G41" s="1">
        <f>IFERROR(__xludf.DUMMYFUNCTION("""COMPUTED_VALUE"""),9.67959743E8)</f>
        <v>967959743</v>
      </c>
      <c r="H41" s="1" t="str">
        <f>IFERROR(__xludf.DUMMYFUNCTION("""COMPUTED_VALUE"""),"Erickquispe0325@gmail.com")</f>
        <v>Erickquispe0325@gmail.com</v>
      </c>
      <c r="I41" s="1" t="str">
        <f>IFERROR(__xludf.DUMMYFUNCTION("""COMPUTED_VALUE"""),"Administración y Marketing")</f>
        <v>Administración y Marketing</v>
      </c>
      <c r="J41" s="1" t="str">
        <f>IFERROR(__xludf.DUMMYFUNCTION("""COMPUTED_VALUE"""),"Negocios")</f>
        <v>Negocios</v>
      </c>
      <c r="K41" s="1" t="str">
        <f>IFERROR(__xludf.DUMMYFUNCTION("""COMPUTED_VALUE"""),"Nueva")</f>
        <v>Nueva</v>
      </c>
      <c r="L41" s="1" t="str">
        <f>IFERROR(__xludf.DUMMYFUNCTION("""COMPUTED_VALUE"""),"Admisión Ordinaria")</f>
        <v>Admisión Ordinaria</v>
      </c>
      <c r="M41" s="1" t="str">
        <f>IFERROR(__xludf.DUMMYFUNCTION("""COMPUTED_VALUE"""),"Semi-presencial")</f>
        <v>Semi-presencial</v>
      </c>
      <c r="N41" s="1" t="str">
        <f>IFERROR(__xludf.DUMMYFUNCTION("""COMPUTED_VALUE"""),"Diurno")</f>
        <v>Diurno</v>
      </c>
      <c r="O41" s="1" t="str">
        <f>IFERROR(__xludf.DUMMYFUNCTION("""COMPUTED_VALUE"""),"NUEVO")</f>
        <v>NUEVO</v>
      </c>
      <c r="P41" s="1" t="str">
        <f>IFERROR(__xludf.DUMMYFUNCTION("""COMPUTED_VALUE"""),"BECA")</f>
        <v>BECA</v>
      </c>
      <c r="Q41" s="1" t="str">
        <f>IFERROR(__xludf.DUMMYFUNCTION("""COMPUTED_VALUE"""),"BECA CARRERAS NUEVAS")</f>
        <v>BECA CARRERAS NUEVAS</v>
      </c>
      <c r="R41" s="1" t="str">
        <f>IFERROR(__xludf.DUMMYFUNCTION("""COMPUTED_VALUE"""),"NINGUNO")</f>
        <v>NINGUNO</v>
      </c>
      <c r="S41" s="1" t="str">
        <f>IFERROR(__xludf.DUMMYFUNCTION("""COMPUTED_VALUE"""),"RODRIGO")</f>
        <v>RODRIGO</v>
      </c>
      <c r="T41" s="3">
        <f>IFERROR(__xludf.DUMMYFUNCTION("""COMPUTED_VALUE"""),45771.0)</f>
        <v>45771</v>
      </c>
      <c r="U41" s="1" t="str">
        <f>IFERROR(__xludf.DUMMYFUNCTION("""COMPUTED_VALUE"""),"CARGO")</f>
        <v>CARGO</v>
      </c>
      <c r="V41" s="1" t="str">
        <f>IFERROR(__xludf.DUMMYFUNCTION("""COMPUTED_VALUE"""),"PAGO COMPLETO")</f>
        <v>PAGO COMPLETO</v>
      </c>
      <c r="W41" s="4">
        <f>IFERROR(__xludf.DUMMYFUNCTION("""COMPUTED_VALUE"""),0.0)</f>
        <v>0</v>
      </c>
      <c r="X41" s="1" t="str">
        <f>IFERROR(__xludf.DUMMYFUNCTION("""COMPUTED_VALUE"""),"-")</f>
        <v>-</v>
      </c>
      <c r="Y41" s="2">
        <f>IFERROR(__xludf.DUMMYFUNCTION("""COMPUTED_VALUE"""),45771.0)</f>
        <v>45771</v>
      </c>
      <c r="Z41" s="1" t="str">
        <f>IFERROR(__xludf.DUMMYFUNCTION("""COMPUTED_VALUE"""),"PAGO COMPLETO")</f>
        <v>PAGO COMPLETO</v>
      </c>
      <c r="AA41" s="1"/>
      <c r="AB41" s="1"/>
      <c r="AC41" s="4">
        <f>IFERROR(__xludf.DUMMYFUNCTION("""COMPUTED_VALUE"""),50.0)</f>
        <v>50</v>
      </c>
      <c r="AD41" s="4">
        <f>IFERROR(__xludf.DUMMYFUNCTION("""COMPUTED_VALUE"""),95.0)</f>
        <v>95</v>
      </c>
      <c r="AE41" s="4">
        <f>IFERROR(__xludf.DUMMYFUNCTION("""COMPUTED_VALUE"""),1100.0)</f>
        <v>1100</v>
      </c>
      <c r="AF41" s="4">
        <f>IFERROR(__xludf.DUMMYFUNCTION("""COMPUTED_VALUE"""),950.0)</f>
        <v>950</v>
      </c>
      <c r="AG41" s="1">
        <f>IFERROR(__xludf.DUMMYFUNCTION("""COMPUTED_VALUE"""),0.0)</f>
        <v>0</v>
      </c>
      <c r="AH41" s="1">
        <f>IFERROR(__xludf.DUMMYFUNCTION("""COMPUTED_VALUE"""),0.0)</f>
        <v>0</v>
      </c>
      <c r="AI41" s="1">
        <f>IFERROR(__xludf.DUMMYFUNCTION("""COMPUTED_VALUE"""),0.0)</f>
        <v>0</v>
      </c>
      <c r="AJ41" s="1">
        <f>IFERROR(__xludf.DUMMYFUNCTION("""COMPUTED_VALUE"""),692434.0)</f>
        <v>692434</v>
      </c>
      <c r="AK41" s="1" t="str">
        <f>IFERROR(__xludf.DUMMYFUNCTION("""COMPUTED_VALUE"""),"Menos de 5 kms")</f>
        <v>Menos de 5 kms</v>
      </c>
      <c r="AL41" s="1" t="str">
        <f>IFERROR(__xludf.DUMMYFUNCTION("""COMPUTED_VALUE"""),"01 Nacional")</f>
        <v>01 Nacional</v>
      </c>
      <c r="AM41" s="1" t="str">
        <f>IFERROR(__xludf.DUMMYFUNCTION("""COMPUTED_VALUE"""),"-")</f>
        <v>-</v>
      </c>
      <c r="AN41" s="1" t="str">
        <f>IFERROR(__xludf.DUMMYFUNCTION("""COMPUTED_VALUE""")," -")</f>
        <v> -</v>
      </c>
      <c r="AO41" s="1">
        <f>IFERROR(__xludf.DUMMYFUNCTION("""COMPUTED_VALUE"""),2024.0)</f>
        <v>2024</v>
      </c>
      <c r="AP41" s="3">
        <f>IFERROR(__xludf.DUMMYFUNCTION("""COMPUTED_VALUE"""),45748.0)</f>
        <v>45748</v>
      </c>
      <c r="AQ41" s="2">
        <f>IFERROR(__xludf.DUMMYFUNCTION("""COMPUTED_VALUE"""),45747.0)</f>
        <v>45747</v>
      </c>
      <c r="AR41" s="2">
        <f>IFERROR(__xludf.DUMMYFUNCTION("""COMPUTED_VALUE"""),45768.0)</f>
        <v>45768</v>
      </c>
      <c r="AS41" s="2">
        <f>IFERROR(__xludf.DUMMYFUNCTION("""COMPUTED_VALUE"""),45748.0)</f>
        <v>45748</v>
      </c>
      <c r="AT41" s="2">
        <f>IFERROR(__xludf.DUMMYFUNCTION("""COMPUTED_VALUE"""),45747.0)</f>
        <v>45747</v>
      </c>
      <c r="AU41" s="1">
        <f>IFERROR(__xludf.DUMMYFUNCTION("""COMPUTED_VALUE"""),3.0)</f>
        <v>3</v>
      </c>
      <c r="AV41" s="1" t="str">
        <f>IFERROR(__xludf.DUMMYFUNCTION("""COMPUTED_VALUE"""),"DIGITAL")</f>
        <v>DIGITAL</v>
      </c>
      <c r="AW41" s="1" t="str">
        <f>IFERROR(__xludf.DUMMYFUNCTION("""COMPUTED_VALUE"""),"FORMULARIO")</f>
        <v>FORMULARIO</v>
      </c>
      <c r="AX41" s="1" t="str">
        <f>IFERROR(__xludf.DUMMYFUNCTION("""COMPUTED_VALUE"""),"ORGANICO")</f>
        <v>ORGANICO</v>
      </c>
      <c r="AY41" s="1">
        <f>IFERROR(__xludf.DUMMYFUNCTION("""COMPUTED_VALUE"""),1.0)</f>
        <v>1</v>
      </c>
      <c r="AZ41" s="1" t="str">
        <f>IFERROR(__xludf.DUMMYFUNCTION("""COMPUTED_VALUE"""),"Andrea Araujo Antara")</f>
        <v>Andrea Araujo Antara</v>
      </c>
      <c r="BA41" s="5">
        <f>IFERROR(__xludf.DUMMYFUNCTION("""COMPUTED_VALUE"""),1.0)</f>
        <v>1</v>
      </c>
      <c r="BB41" s="6">
        <f>IFERROR(__xludf.DUMMYFUNCTION("""COMPUTED_VALUE"""),950.0)</f>
        <v>950</v>
      </c>
      <c r="BC41" s="1">
        <f>IFERROR(__xludf.DUMMYFUNCTION("""COMPUTED_VALUE"""),1.0)</f>
        <v>1</v>
      </c>
      <c r="BD41" s="1" t="str">
        <f>IFERROR(__xludf.DUMMYFUNCTION("""COMPUTED_VALUE"""),"Redacción")</f>
        <v>Redacción</v>
      </c>
      <c r="BE41" s="1">
        <f>IFERROR(__xludf.DUMMYFUNCTION("""COMPUTED_VALUE"""),1.0)</f>
        <v>1</v>
      </c>
      <c r="BF41" s="1">
        <f>IFERROR(__xludf.DUMMYFUNCTION("""COMPUTED_VALUE"""),1.0)</f>
        <v>1</v>
      </c>
      <c r="BG41" s="3">
        <f>IFERROR(__xludf.DUMMYFUNCTION("""COMPUTED_VALUE"""),45794.0)</f>
        <v>45794</v>
      </c>
      <c r="BH41" s="1" t="str">
        <f>IFERROR(__xludf.DUMMYFUNCTION("""COMPUTED_VALUE"""),"17/05/2025")</f>
        <v>17/05/2025</v>
      </c>
      <c r="BI41" s="1">
        <f>IFERROR(__xludf.DUMMYFUNCTION("""COMPUTED_VALUE"""),0.0)</f>
        <v>0</v>
      </c>
      <c r="BJ41" s="1" t="str">
        <f>IFERROR(__xludf.DUMMYFUNCTION("""COMPUTED_VALUE"""),"NUEVO")</f>
        <v>NUEVO</v>
      </c>
    </row>
    <row r="42">
      <c r="A42" s="1">
        <f>IFERROR(__xludf.DUMMYFUNCTION("""COMPUTED_VALUE"""),41.0)</f>
        <v>41</v>
      </c>
      <c r="B42" s="1">
        <f>IFERROR(__xludf.DUMMYFUNCTION("""COMPUTED_VALUE"""),4590980.0)</f>
        <v>4590980</v>
      </c>
      <c r="C42" s="1" t="str">
        <f>IFERROR(__xludf.DUMMYFUNCTION("""COMPUTED_VALUE"""),"0000424171")</f>
        <v>0000424171</v>
      </c>
      <c r="D42" s="1" t="str">
        <f>IFERROR(__xludf.DUMMYFUNCTION("""COMPUTED_VALUE"""),"LUZ DANIELA")</f>
        <v>LUZ DANIELA</v>
      </c>
      <c r="E42" s="2" t="str">
        <f>IFERROR(__xludf.DUMMYFUNCTION("""COMPUTED_VALUE"""),"BALTAZAR BERROCAL")</f>
        <v>BALTAZAR BERROCAL</v>
      </c>
      <c r="F42" s="1">
        <f>IFERROR(__xludf.DUMMYFUNCTION("""COMPUTED_VALUE"""),7.0636665E7)</f>
        <v>70636665</v>
      </c>
      <c r="G42" s="1">
        <f>IFERROR(__xludf.DUMMYFUNCTION("""COMPUTED_VALUE"""),9.82079714E8)</f>
        <v>982079714</v>
      </c>
      <c r="H42" s="1" t="str">
        <f>IFERROR(__xludf.DUMMYFUNCTION("""COMPUTED_VALUE"""),"danielabaltazar518@gmail.com")</f>
        <v>danielabaltazar518@gmail.com</v>
      </c>
      <c r="I42" s="1" t="str">
        <f>IFERROR(__xludf.DUMMYFUNCTION("""COMPUTED_VALUE"""),"Comunicación Audiovisual y Cine")</f>
        <v>Comunicación Audiovisual y Cine</v>
      </c>
      <c r="J42" s="1" t="str">
        <f>IFERROR(__xludf.DUMMYFUNCTION("""COMPUTED_VALUE"""),"Comunicaciones")</f>
        <v>Comunicaciones</v>
      </c>
      <c r="K42" s="1" t="str">
        <f>IFERROR(__xludf.DUMMYFUNCTION("""COMPUTED_VALUE"""),"Antigua")</f>
        <v>Antigua</v>
      </c>
      <c r="L42" s="1" t="str">
        <f>IFERROR(__xludf.DUMMYFUNCTION("""COMPUTED_VALUE"""),"Admisión Extraordinaria (Traslados)")</f>
        <v>Admisión Extraordinaria (Traslados)</v>
      </c>
      <c r="M42" s="1" t="str">
        <f>IFERROR(__xludf.DUMMYFUNCTION("""COMPUTED_VALUE"""),"Semi-presencial")</f>
        <v>Semi-presencial</v>
      </c>
      <c r="N42" s="1" t="str">
        <f>IFERROR(__xludf.DUMMYFUNCTION("""COMPUTED_VALUE"""),"Diurno")</f>
        <v>Diurno</v>
      </c>
      <c r="O42" s="1" t="str">
        <f>IFERROR(__xludf.DUMMYFUNCTION("""COMPUTED_VALUE"""),"TRASLADO SIN CONVA")</f>
        <v>TRASLADO SIN CONVA</v>
      </c>
      <c r="P42" s="1" t="str">
        <f>IFERROR(__xludf.DUMMYFUNCTION("""COMPUTED_VALUE"""),"ESCALA REGULAR")</f>
        <v>ESCALA REGULAR</v>
      </c>
      <c r="Q42" s="1" t="str">
        <f>IFERROR(__xludf.DUMMYFUNCTION("""COMPUTED_VALUE"""),"NINGUNO")</f>
        <v>NINGUNO</v>
      </c>
      <c r="R42" s="1" t="str">
        <f>IFERROR(__xludf.DUMMYFUNCTION("""COMPUTED_VALUE"""),"NINGUNO")</f>
        <v>NINGUNO</v>
      </c>
      <c r="S42" s="1" t="str">
        <f>IFERROR(__xludf.DUMMYFUNCTION("""COMPUTED_VALUE"""),"FABIOLA")</f>
        <v>FABIOLA</v>
      </c>
      <c r="T42" s="3">
        <f>IFERROR(__xludf.DUMMYFUNCTION("""COMPUTED_VALUE"""),45772.0)</f>
        <v>45772</v>
      </c>
      <c r="U42" s="1" t="str">
        <f>IFERROR(__xludf.DUMMYFUNCTION("""COMPUTED_VALUE"""),"CARGO")</f>
        <v>CARGO</v>
      </c>
      <c r="V42" s="1" t="str">
        <f>IFERROR(__xludf.DUMMYFUNCTION("""COMPUTED_VALUE"""),"PAGO COMPLETO")</f>
        <v>PAGO COMPLETO</v>
      </c>
      <c r="W42" s="4">
        <f>IFERROR(__xludf.DUMMYFUNCTION("""COMPUTED_VALUE"""),0.0)</f>
        <v>0</v>
      </c>
      <c r="X42" s="1" t="str">
        <f>IFERROR(__xludf.DUMMYFUNCTION("""COMPUTED_VALUE"""),"-")</f>
        <v>-</v>
      </c>
      <c r="Y42" s="2">
        <f>IFERROR(__xludf.DUMMYFUNCTION("""COMPUTED_VALUE"""),45772.0)</f>
        <v>45772</v>
      </c>
      <c r="Z42" s="1" t="str">
        <f>IFERROR(__xludf.DUMMYFUNCTION("""COMPUTED_VALUE"""),"PAGO COMPLETO")</f>
        <v>PAGO COMPLETO</v>
      </c>
      <c r="AA42" s="1"/>
      <c r="AB42" s="1"/>
      <c r="AC42" s="4">
        <f>IFERROR(__xludf.DUMMYFUNCTION("""COMPUTED_VALUE"""),0.0)</f>
        <v>0</v>
      </c>
      <c r="AD42" s="4">
        <f>IFERROR(__xludf.DUMMYFUNCTION("""COMPUTED_VALUE"""),0.0)</f>
        <v>0</v>
      </c>
      <c r="AE42" s="4">
        <f>IFERROR(__xludf.DUMMYFUNCTION("""COMPUTED_VALUE"""),1050.0)</f>
        <v>1050</v>
      </c>
      <c r="AF42" s="4">
        <f>IFERROR(__xludf.DUMMYFUNCTION("""COMPUTED_VALUE"""),1050.0)</f>
        <v>1050</v>
      </c>
      <c r="AG42" s="1">
        <f>IFERROR(__xludf.DUMMYFUNCTION("""COMPUTED_VALUE"""),0.0)</f>
        <v>0</v>
      </c>
      <c r="AH42" s="1">
        <f>IFERROR(__xludf.DUMMYFUNCTION("""COMPUTED_VALUE"""),0.0)</f>
        <v>0</v>
      </c>
      <c r="AI42" s="1">
        <f>IFERROR(__xludf.DUMMYFUNCTION("""COMPUTED_VALUE"""),0.0)</f>
        <v>0</v>
      </c>
      <c r="AJ42" s="1">
        <f>IFERROR(__xludf.DUMMYFUNCTION("""COMPUTED_VALUE"""),1508845.0)</f>
        <v>1508845</v>
      </c>
      <c r="AK42" s="1" t="str">
        <f>IFERROR(__xludf.DUMMYFUNCTION("""COMPUTED_VALUE"""),"10 kms a 15 kms")</f>
        <v>10 kms a 15 kms</v>
      </c>
      <c r="AL42" s="1" t="str">
        <f>IFERROR(__xludf.DUMMYFUNCTION("""COMPUTED_VALUE"""),"05 301 a 550")</f>
        <v>05 301 a 550</v>
      </c>
      <c r="AM42" s="1" t="str">
        <f>IFERROR(__xludf.DUMMYFUNCTION("""COMPUTED_VALUE"""),"Universidad San Martin de Porres")</f>
        <v>Universidad San Martin de Porres</v>
      </c>
      <c r="AN42" s="1" t="str">
        <f>IFERROR(__xludf.DUMMYFUNCTION("""COMPUTED_VALUE""")," ")</f>
        <v> </v>
      </c>
      <c r="AO42" s="1">
        <f>IFERROR(__xludf.DUMMYFUNCTION("""COMPUTED_VALUE"""),2021.0)</f>
        <v>2021</v>
      </c>
      <c r="AP42" s="3">
        <f>IFERROR(__xludf.DUMMYFUNCTION("""COMPUTED_VALUE"""),45748.0)</f>
        <v>45748</v>
      </c>
      <c r="AQ42" s="2">
        <f>IFERROR(__xludf.DUMMYFUNCTION("""COMPUTED_VALUE"""),45747.0)</f>
        <v>45747</v>
      </c>
      <c r="AR42" s="2">
        <f>IFERROR(__xludf.DUMMYFUNCTION("""COMPUTED_VALUE"""),45766.0)</f>
        <v>45766</v>
      </c>
      <c r="AS42" s="2">
        <f>IFERROR(__xludf.DUMMYFUNCTION("""COMPUTED_VALUE"""),45748.0)</f>
        <v>45748</v>
      </c>
      <c r="AT42" s="2">
        <f>IFERROR(__xludf.DUMMYFUNCTION("""COMPUTED_VALUE"""),45747.0)</f>
        <v>45747</v>
      </c>
      <c r="AU42" s="1">
        <f>IFERROR(__xludf.DUMMYFUNCTION("""COMPUTED_VALUE"""),6.0)</f>
        <v>6</v>
      </c>
      <c r="AV42" s="1" t="str">
        <f>IFERROR(__xludf.DUMMYFUNCTION("""COMPUTED_VALUE"""),"DIGITAL")</f>
        <v>DIGITAL</v>
      </c>
      <c r="AW42" s="1" t="str">
        <f>IFERROR(__xludf.DUMMYFUNCTION("""COMPUTED_VALUE"""),"BIDIRECCIONAL")</f>
        <v>BIDIRECCIONAL</v>
      </c>
      <c r="AX42" s="1" t="str">
        <f>IFERROR(__xludf.DUMMYFUNCTION("""COMPUTED_VALUE"""),"SEARCH MARCA")</f>
        <v>SEARCH MARCA</v>
      </c>
      <c r="AY42" s="1">
        <f>IFERROR(__xludf.DUMMYFUNCTION("""COMPUTED_VALUE"""),1.0)</f>
        <v>1</v>
      </c>
      <c r="AZ42" s="1" t="str">
        <f>IFERROR(__xludf.DUMMYFUNCTION("""COMPUTED_VALUE"""),"Juan Manuel Rodríguez")</f>
        <v>Juan Manuel Rodríguez</v>
      </c>
      <c r="BA42" s="5">
        <f>IFERROR(__xludf.DUMMYFUNCTION("""COMPUTED_VALUE"""),1.0)</f>
        <v>1</v>
      </c>
      <c r="BB42" s="6">
        <f>IFERROR(__xludf.DUMMYFUNCTION("""COMPUTED_VALUE"""),1050.0)</f>
        <v>1050</v>
      </c>
      <c r="BC42" s="1">
        <f>IFERROR(__xludf.DUMMYFUNCTION("""COMPUTED_VALUE"""),1.0)</f>
        <v>1</v>
      </c>
      <c r="BD42" s="1" t="str">
        <f>IFERROR(__xludf.DUMMYFUNCTION("""COMPUTED_VALUE"""),"Matemáticas y Redacción")</f>
        <v>Matemáticas y Redacción</v>
      </c>
      <c r="BE42" s="1">
        <f>IFERROR(__xludf.DUMMYFUNCTION("""COMPUTED_VALUE"""),1.0)</f>
        <v>1</v>
      </c>
      <c r="BF42" s="1">
        <f>IFERROR(__xludf.DUMMYFUNCTION("""COMPUTED_VALUE"""),1.0)</f>
        <v>1</v>
      </c>
      <c r="BG42" s="3">
        <f>IFERROR(__xludf.DUMMYFUNCTION("""COMPUTED_VALUE"""),45794.0)</f>
        <v>45794</v>
      </c>
      <c r="BH42" s="1" t="str">
        <f>IFERROR(__xludf.DUMMYFUNCTION("""COMPUTED_VALUE"""),"17/05/2025")</f>
        <v>17/05/2025</v>
      </c>
      <c r="BI42" s="1">
        <f>IFERROR(__xludf.DUMMYFUNCTION("""COMPUTED_VALUE"""),0.0)</f>
        <v>0</v>
      </c>
      <c r="BJ42" s="1" t="str">
        <f>IFERROR(__xludf.DUMMYFUNCTION("""COMPUTED_VALUE"""),"NUEVO")</f>
        <v>NUEVO</v>
      </c>
    </row>
    <row r="43">
      <c r="A43" s="1">
        <f>IFERROR(__xludf.DUMMYFUNCTION("""COMPUTED_VALUE"""),42.0)</f>
        <v>42</v>
      </c>
      <c r="B43" s="1">
        <f>IFERROR(__xludf.DUMMYFUNCTION("""COMPUTED_VALUE"""),4915502.0)</f>
        <v>4915502</v>
      </c>
      <c r="C43" s="1" t="str">
        <f>IFERROR(__xludf.DUMMYFUNCTION("""COMPUTED_VALUE"""),"0000424353")</f>
        <v>0000424353</v>
      </c>
      <c r="D43" s="1" t="str">
        <f>IFERROR(__xludf.DUMMYFUNCTION("""COMPUTED_VALUE"""),"SEBASTIAN SANTIAGO ")</f>
        <v>SEBASTIAN SANTIAGO </v>
      </c>
      <c r="E43" s="2" t="str">
        <f>IFERROR(__xludf.DUMMYFUNCTION("""COMPUTED_VALUE"""),"LUJAN DE LA CRUZ")</f>
        <v>LUJAN DE LA CRUZ</v>
      </c>
      <c r="F43" s="1">
        <f>IFERROR(__xludf.DUMMYFUNCTION("""COMPUTED_VALUE"""),7.2159287E7)</f>
        <v>72159287</v>
      </c>
      <c r="G43" s="1">
        <f>IFERROR(__xludf.DUMMYFUNCTION("""COMPUTED_VALUE"""),9.92286053E8)</f>
        <v>992286053</v>
      </c>
      <c r="H43" s="1" t="str">
        <f>IFERROR(__xludf.DUMMYFUNCTION("""COMPUTED_VALUE"""),"slujandelacruz923@gmail.com")</f>
        <v>slujandelacruz923@gmail.com</v>
      </c>
      <c r="I43" s="1" t="str">
        <f>IFERROR(__xludf.DUMMYFUNCTION("""COMPUTED_VALUE"""),"Administración y Marketing")</f>
        <v>Administración y Marketing</v>
      </c>
      <c r="J43" s="1" t="str">
        <f>IFERROR(__xludf.DUMMYFUNCTION("""COMPUTED_VALUE"""),"Negocios")</f>
        <v>Negocios</v>
      </c>
      <c r="K43" s="1" t="str">
        <f>IFERROR(__xludf.DUMMYFUNCTION("""COMPUTED_VALUE"""),"Nueva")</f>
        <v>Nueva</v>
      </c>
      <c r="L43" s="1" t="str">
        <f>IFERROR(__xludf.DUMMYFUNCTION("""COMPUTED_VALUE"""),"Admisión Ordinaria")</f>
        <v>Admisión Ordinaria</v>
      </c>
      <c r="M43" s="1" t="str">
        <f>IFERROR(__xludf.DUMMYFUNCTION("""COMPUTED_VALUE"""),"Virtual")</f>
        <v>Virtual</v>
      </c>
      <c r="N43" s="1" t="str">
        <f>IFERROR(__xludf.DUMMYFUNCTION("""COMPUTED_VALUE"""),"Nocturno - A distancia")</f>
        <v>Nocturno - A distancia</v>
      </c>
      <c r="O43" s="1" t="str">
        <f>IFERROR(__xludf.DUMMYFUNCTION("""COMPUTED_VALUE"""),"NUEVO")</f>
        <v>NUEVO</v>
      </c>
      <c r="P43" s="1" t="str">
        <f>IFERROR(__xludf.DUMMYFUNCTION("""COMPUTED_VALUE"""),"ESCALA REGULAR")</f>
        <v>ESCALA REGULAR</v>
      </c>
      <c r="Q43" s="1" t="str">
        <f>IFERROR(__xludf.DUMMYFUNCTION("""COMPUTED_VALUE"""),"NINGUNO")</f>
        <v>NINGUNO</v>
      </c>
      <c r="R43" s="1" t="str">
        <f>IFERROR(__xludf.DUMMYFUNCTION("""COMPUTED_VALUE"""),"NINGUNO")</f>
        <v>NINGUNO</v>
      </c>
      <c r="S43" s="1" t="str">
        <f>IFERROR(__xludf.DUMMYFUNCTION("""COMPUTED_VALUE"""),"RODRIGO")</f>
        <v>RODRIGO</v>
      </c>
      <c r="T43" s="3">
        <f>IFERROR(__xludf.DUMMYFUNCTION("""COMPUTED_VALUE"""),45775.0)</f>
        <v>45775</v>
      </c>
      <c r="U43" s="1" t="str">
        <f>IFERROR(__xludf.DUMMYFUNCTION("""COMPUTED_VALUE"""),"CARGO")</f>
        <v>CARGO</v>
      </c>
      <c r="V43" s="1" t="str">
        <f>IFERROR(__xludf.DUMMYFUNCTION("""COMPUTED_VALUE"""),"PAGO COMPLETO")</f>
        <v>PAGO COMPLETO</v>
      </c>
      <c r="W43" s="4">
        <f>IFERROR(__xludf.DUMMYFUNCTION("""COMPUTED_VALUE"""),0.0)</f>
        <v>0</v>
      </c>
      <c r="X43" s="1" t="str">
        <f>IFERROR(__xludf.DUMMYFUNCTION("""COMPUTED_VALUE"""),"-")</f>
        <v>-</v>
      </c>
      <c r="Y43" s="2">
        <f>IFERROR(__xludf.DUMMYFUNCTION("""COMPUTED_VALUE"""),45775.0)</f>
        <v>45775</v>
      </c>
      <c r="Z43" s="1" t="str">
        <f>IFERROR(__xludf.DUMMYFUNCTION("""COMPUTED_VALUE"""),"PAGO COMPLETO")</f>
        <v>PAGO COMPLETO</v>
      </c>
      <c r="AA43" s="1"/>
      <c r="AB43" s="1"/>
      <c r="AC43" s="4">
        <f>IFERROR(__xludf.DUMMYFUNCTION("""COMPUTED_VALUE"""),0.0)</f>
        <v>0</v>
      </c>
      <c r="AD43" s="4">
        <f>IFERROR(__xludf.DUMMYFUNCTION("""COMPUTED_VALUE"""),0.0)</f>
        <v>0</v>
      </c>
      <c r="AE43" s="4">
        <f>IFERROR(__xludf.DUMMYFUNCTION("""COMPUTED_VALUE"""),750.0)</f>
        <v>750</v>
      </c>
      <c r="AF43" s="4">
        <f>IFERROR(__xludf.DUMMYFUNCTION("""COMPUTED_VALUE"""),750.0)</f>
        <v>750</v>
      </c>
      <c r="AG43" s="1">
        <f>IFERROR(__xludf.DUMMYFUNCTION("""COMPUTED_VALUE"""),0.0)</f>
        <v>0</v>
      </c>
      <c r="AH43" s="1">
        <f>IFERROR(__xludf.DUMMYFUNCTION("""COMPUTED_VALUE"""),0.0)</f>
        <v>0</v>
      </c>
      <c r="AI43" s="1">
        <f>IFERROR(__xludf.DUMMYFUNCTION("""COMPUTED_VALUE"""),0.0)</f>
        <v>0</v>
      </c>
      <c r="AJ43" s="1">
        <f>IFERROR(__xludf.DUMMYFUNCTION("""COMPUTED_VALUE"""),567768.0)</f>
        <v>567768</v>
      </c>
      <c r="AK43" s="1"/>
      <c r="AL43" s="1"/>
      <c r="AM43" s="1" t="str">
        <f>IFERROR(__xludf.DUMMYFUNCTION("""COMPUTED_VALUE"""),"-")</f>
        <v>-</v>
      </c>
      <c r="AN43" s="1" t="str">
        <f>IFERROR(__xludf.DUMMYFUNCTION("""COMPUTED_VALUE""")," -")</f>
        <v> -</v>
      </c>
      <c r="AO43" s="1">
        <f>IFERROR(__xludf.DUMMYFUNCTION("""COMPUTED_VALUE"""),2021.0)</f>
        <v>2021</v>
      </c>
      <c r="AP43" s="3">
        <f>IFERROR(__xludf.DUMMYFUNCTION("""COMPUTED_VALUE"""),45748.0)</f>
        <v>45748</v>
      </c>
      <c r="AQ43" s="2">
        <f>IFERROR(__xludf.DUMMYFUNCTION("""COMPUTED_VALUE"""),45747.0)</f>
        <v>45747</v>
      </c>
      <c r="AR43" s="2">
        <f>IFERROR(__xludf.DUMMYFUNCTION("""COMPUTED_VALUE"""),45770.0)</f>
        <v>45770</v>
      </c>
      <c r="AS43" s="2">
        <f>IFERROR(__xludf.DUMMYFUNCTION("""COMPUTED_VALUE"""),45748.0)</f>
        <v>45748</v>
      </c>
      <c r="AT43" s="2">
        <f>IFERROR(__xludf.DUMMYFUNCTION("""COMPUTED_VALUE"""),45747.0)</f>
        <v>45747</v>
      </c>
      <c r="AU43" s="1">
        <f>IFERROR(__xludf.DUMMYFUNCTION("""COMPUTED_VALUE"""),5.0)</f>
        <v>5</v>
      </c>
      <c r="AV43" s="1" t="str">
        <f>IFERROR(__xludf.DUMMYFUNCTION("""COMPUTED_VALUE"""),"OUTBOUND")</f>
        <v>OUTBOUND</v>
      </c>
      <c r="AW43" s="1" t="str">
        <f>IFERROR(__xludf.DUMMYFUNCTION("""COMPUTED_VALUE"""),"OUTBOUND")</f>
        <v>OUTBOUND</v>
      </c>
      <c r="AX43" s="1" t="str">
        <f>IFERROR(__xludf.DUMMYFUNCTION("""COMPUTED_VALUE"""),"OUTBOUND")</f>
        <v>OUTBOUND</v>
      </c>
      <c r="AY43" s="1">
        <f>IFERROR(__xludf.DUMMYFUNCTION("""COMPUTED_VALUE"""),1.0)</f>
        <v>1</v>
      </c>
      <c r="AZ43" s="1" t="str">
        <f>IFERROR(__xludf.DUMMYFUNCTION("""COMPUTED_VALUE"""),"Andrea Araujo Antara")</f>
        <v>Andrea Araujo Antara</v>
      </c>
      <c r="BA43" s="5">
        <f>IFERROR(__xludf.DUMMYFUNCTION("""COMPUTED_VALUE"""),1.0)</f>
        <v>1</v>
      </c>
      <c r="BB43" s="6">
        <f>IFERROR(__xludf.DUMMYFUNCTION("""COMPUTED_VALUE"""),750.0)</f>
        <v>750</v>
      </c>
      <c r="BC43" s="1">
        <f>IFERROR(__xludf.DUMMYFUNCTION("""COMPUTED_VALUE"""),1.0)</f>
        <v>1</v>
      </c>
      <c r="BD43" s="1" t="str">
        <f>IFERROR(__xludf.DUMMYFUNCTION("""COMPUTED_VALUE"""),"Redacción")</f>
        <v>Redacción</v>
      </c>
      <c r="BE43" s="1">
        <f>IFERROR(__xludf.DUMMYFUNCTION("""COMPUTED_VALUE"""),1.0)</f>
        <v>1</v>
      </c>
      <c r="BF43" s="1">
        <f>IFERROR(__xludf.DUMMYFUNCTION("""COMPUTED_VALUE"""),0.0)</f>
        <v>0</v>
      </c>
      <c r="BG43" s="3">
        <f>IFERROR(__xludf.DUMMYFUNCTION("""COMPUTED_VALUE"""),45794.0)</f>
        <v>45794</v>
      </c>
      <c r="BH43" s="1" t="str">
        <f>IFERROR(__xludf.DUMMYFUNCTION("""COMPUTED_VALUE"""),"17/05/2025")</f>
        <v>17/05/2025</v>
      </c>
      <c r="BI43" s="1">
        <f>IFERROR(__xludf.DUMMYFUNCTION("""COMPUTED_VALUE"""),0.0)</f>
        <v>0</v>
      </c>
      <c r="BJ43" s="1" t="str">
        <f>IFERROR(__xludf.DUMMYFUNCTION("""COMPUTED_VALUE"""),"NUEVO")</f>
        <v>NUEVO</v>
      </c>
    </row>
    <row r="44">
      <c r="A44" s="1">
        <f>IFERROR(__xludf.DUMMYFUNCTION("""COMPUTED_VALUE"""),43.0)</f>
        <v>43</v>
      </c>
      <c r="B44" s="1">
        <f>IFERROR(__xludf.DUMMYFUNCTION("""COMPUTED_VALUE"""),1281736.0)</f>
        <v>1281736</v>
      </c>
      <c r="C44" s="1" t="str">
        <f>IFERROR(__xludf.DUMMYFUNCTION("""COMPUTED_VALUE"""),"2020007669")</f>
        <v>2020007669</v>
      </c>
      <c r="D44" s="1" t="str">
        <f>IFERROR(__xludf.DUMMYFUNCTION("""COMPUTED_VALUE"""),"SAMANTA ")</f>
        <v>SAMANTA </v>
      </c>
      <c r="E44" s="2" t="str">
        <f>IFERROR(__xludf.DUMMYFUNCTION("""COMPUTED_VALUE"""),"ANGULO GOMEZ")</f>
        <v>ANGULO GOMEZ</v>
      </c>
      <c r="F44" s="1">
        <f>IFERROR(__xludf.DUMMYFUNCTION("""COMPUTED_VALUE"""),7.1116862E7)</f>
        <v>71116862</v>
      </c>
      <c r="G44" s="1">
        <f>IFERROR(__xludf.DUMMYFUNCTION("""COMPUTED_VALUE"""),9.46730625E8)</f>
        <v>946730625</v>
      </c>
      <c r="H44" s="1" t="str">
        <f>IFERROR(__xludf.DUMMYFUNCTION("""COMPUTED_VALUE"""),"samiangulogomez@gmail.com")</f>
        <v>samiangulogomez@gmail.com</v>
      </c>
      <c r="I44" s="1" t="str">
        <f>IFERROR(__xludf.DUMMYFUNCTION("""COMPUTED_VALUE"""),"Comunicación Audiovisual y Cine")</f>
        <v>Comunicación Audiovisual y Cine</v>
      </c>
      <c r="J44" s="1" t="str">
        <f>IFERROR(__xludf.DUMMYFUNCTION("""COMPUTED_VALUE"""),"Comunicaciones")</f>
        <v>Comunicaciones</v>
      </c>
      <c r="K44" s="1" t="str">
        <f>IFERROR(__xludf.DUMMYFUNCTION("""COMPUTED_VALUE"""),"Antigua")</f>
        <v>Antigua</v>
      </c>
      <c r="L44" s="1" t="str">
        <f>IFERROR(__xludf.DUMMYFUNCTION("""COMPUTED_VALUE"""),"Admisión Extraordinaria (Traslados)")</f>
        <v>Admisión Extraordinaria (Traslados)</v>
      </c>
      <c r="M44" s="1" t="str">
        <f>IFERROR(__xludf.DUMMYFUNCTION("""COMPUTED_VALUE"""),"Semi-presencial")</f>
        <v>Semi-presencial</v>
      </c>
      <c r="N44" s="1" t="str">
        <f>IFERROR(__xludf.DUMMYFUNCTION("""COMPUTED_VALUE"""),"Diurno")</f>
        <v>Diurno</v>
      </c>
      <c r="O44" s="1" t="str">
        <f>IFERROR(__xludf.DUMMYFUNCTION("""COMPUTED_VALUE"""),"TRASLADO SIN CONVA")</f>
        <v>TRASLADO SIN CONVA</v>
      </c>
      <c r="P44" s="1" t="str">
        <f>IFERROR(__xludf.DUMMYFUNCTION("""COMPUTED_VALUE"""),"RECA")</f>
        <v>RECA</v>
      </c>
      <c r="Q44" s="1" t="str">
        <f>IFERROR(__xludf.DUMMYFUNCTION("""COMPUTED_VALUE"""),"RECATEGORIZACIÓN")</f>
        <v>RECATEGORIZACIÓN</v>
      </c>
      <c r="R44" s="1" t="str">
        <f>IFERROR(__xludf.DUMMYFUNCTION("""COMPUTED_VALUE"""),"NINGUNO")</f>
        <v>NINGUNO</v>
      </c>
      <c r="S44" s="1" t="str">
        <f>IFERROR(__xludf.DUMMYFUNCTION("""COMPUTED_VALUE"""),"FABIOLA")</f>
        <v>FABIOLA</v>
      </c>
      <c r="T44" s="3">
        <f>IFERROR(__xludf.DUMMYFUNCTION("""COMPUTED_VALUE"""),45776.0)</f>
        <v>45776</v>
      </c>
      <c r="U44" s="1" t="str">
        <f>IFERROR(__xludf.DUMMYFUNCTION("""COMPUTED_VALUE"""),"CARGO")</f>
        <v>CARGO</v>
      </c>
      <c r="V44" s="1" t="str">
        <f>IFERROR(__xludf.DUMMYFUNCTION("""COMPUTED_VALUE"""),"PAGO COMPLETO")</f>
        <v>PAGO COMPLETO</v>
      </c>
      <c r="W44" s="4">
        <f>IFERROR(__xludf.DUMMYFUNCTION("""COMPUTED_VALUE"""),0.0)</f>
        <v>0</v>
      </c>
      <c r="X44" s="1" t="str">
        <f>IFERROR(__xludf.DUMMYFUNCTION("""COMPUTED_VALUE"""),"-")</f>
        <v>-</v>
      </c>
      <c r="Y44" s="2">
        <f>IFERROR(__xludf.DUMMYFUNCTION("""COMPUTED_VALUE"""),45776.0)</f>
        <v>45776</v>
      </c>
      <c r="Z44" s="1" t="str">
        <f>IFERROR(__xludf.DUMMYFUNCTION("""COMPUTED_VALUE"""),"PAGO COMPLETO")</f>
        <v>PAGO COMPLETO</v>
      </c>
      <c r="AA44" s="1"/>
      <c r="AB44" s="1"/>
      <c r="AC44" s="4">
        <f>IFERROR(__xludf.DUMMYFUNCTION("""COMPUTED_VALUE"""),0.0)</f>
        <v>0</v>
      </c>
      <c r="AD44" s="4">
        <f>IFERROR(__xludf.DUMMYFUNCTION("""COMPUTED_VALUE"""),0.0)</f>
        <v>0</v>
      </c>
      <c r="AE44" s="4">
        <f>IFERROR(__xludf.DUMMYFUNCTION("""COMPUTED_VALUE"""),1300.0)</f>
        <v>1300</v>
      </c>
      <c r="AF44" s="4">
        <f>IFERROR(__xludf.DUMMYFUNCTION("""COMPUTED_VALUE"""),1100.0)</f>
        <v>1100</v>
      </c>
      <c r="AG44" s="1">
        <f>IFERROR(__xludf.DUMMYFUNCTION("""COMPUTED_VALUE"""),0.0)</f>
        <v>0</v>
      </c>
      <c r="AH44" s="1">
        <f>IFERROR(__xludf.DUMMYFUNCTION("""COMPUTED_VALUE"""),0.0)</f>
        <v>0</v>
      </c>
      <c r="AI44" s="1">
        <f>IFERROR(__xludf.DUMMYFUNCTION("""COMPUTED_VALUE"""),0.0)</f>
        <v>0</v>
      </c>
      <c r="AJ44" s="1">
        <f>IFERROR(__xludf.DUMMYFUNCTION("""COMPUTED_VALUE"""),329300.0)</f>
        <v>329300</v>
      </c>
      <c r="AK44" s="1"/>
      <c r="AL44" s="1"/>
      <c r="AM44" s="1" t="str">
        <f>IFERROR(__xludf.DUMMYFUNCTION("""COMPUTED_VALUE"""),"Universidad Ricardo Palma")</f>
        <v>Universidad Ricardo Palma</v>
      </c>
      <c r="AN44" s="1" t="str">
        <f>IFERROR(__xludf.DUMMYFUNCTION("""COMPUTED_VALUE""")," ")</f>
        <v> </v>
      </c>
      <c r="AO44" s="1">
        <f>IFERROR(__xludf.DUMMYFUNCTION("""COMPUTED_VALUE"""),2021.0)</f>
        <v>2021</v>
      </c>
      <c r="AP44" s="3">
        <f>IFERROR(__xludf.DUMMYFUNCTION("""COMPUTED_VALUE"""),45748.0)</f>
        <v>45748</v>
      </c>
      <c r="AQ44" s="2">
        <f>IFERROR(__xludf.DUMMYFUNCTION("""COMPUTED_VALUE"""),45747.0)</f>
        <v>45747</v>
      </c>
      <c r="AR44" s="2">
        <f>IFERROR(__xludf.DUMMYFUNCTION("""COMPUTED_VALUE"""),45768.0)</f>
        <v>45768</v>
      </c>
      <c r="AS44" s="2">
        <f>IFERROR(__xludf.DUMMYFUNCTION("""COMPUTED_VALUE"""),45748.0)</f>
        <v>45748</v>
      </c>
      <c r="AT44" s="2">
        <f>IFERROR(__xludf.DUMMYFUNCTION("""COMPUTED_VALUE"""),45747.0)</f>
        <v>45747</v>
      </c>
      <c r="AU44" s="1">
        <f>IFERROR(__xludf.DUMMYFUNCTION("""COMPUTED_VALUE"""),8.0)</f>
        <v>8</v>
      </c>
      <c r="AV44" s="1" t="str">
        <f>IFERROR(__xludf.DUMMYFUNCTION("""COMPUTED_VALUE"""),"TRADICIONAL")</f>
        <v>TRADICIONAL</v>
      </c>
      <c r="AW44" s="1" t="str">
        <f>IFERROR(__xludf.DUMMYFUNCTION("""COMPUTED_VALUE"""),"EVENTOS")</f>
        <v>EVENTOS</v>
      </c>
      <c r="AX44" s="1" t="str">
        <f>IFERROR(__xludf.DUMMYFUNCTION("""COMPUTED_VALUE"""),"EVENTOS")</f>
        <v>EVENTOS</v>
      </c>
      <c r="AY44" s="1">
        <f>IFERROR(__xludf.DUMMYFUNCTION("""COMPUTED_VALUE"""),1.0)</f>
        <v>1</v>
      </c>
      <c r="AZ44" s="1" t="str">
        <f>IFERROR(__xludf.DUMMYFUNCTION("""COMPUTED_VALUE"""),"Juan Manuel Rodríguez")</f>
        <v>Juan Manuel Rodríguez</v>
      </c>
      <c r="BA44" s="5">
        <f>IFERROR(__xludf.DUMMYFUNCTION("""COMPUTED_VALUE"""),1.0)</f>
        <v>1</v>
      </c>
      <c r="BB44" s="6">
        <f>IFERROR(__xludf.DUMMYFUNCTION("""COMPUTED_VALUE"""),1100.0)</f>
        <v>1100</v>
      </c>
      <c r="BC44" s="1">
        <f>IFERROR(__xludf.DUMMYFUNCTION("""COMPUTED_VALUE"""),1.0)</f>
        <v>1</v>
      </c>
      <c r="BD44" s="1" t="str">
        <f>IFERROR(__xludf.DUMMYFUNCTION("""COMPUTED_VALUE"""),"Redacción")</f>
        <v>Redacción</v>
      </c>
      <c r="BE44" s="1">
        <f>IFERROR(__xludf.DUMMYFUNCTION("""COMPUTED_VALUE"""),1.0)</f>
        <v>1</v>
      </c>
      <c r="BF44" s="1">
        <f>IFERROR(__xludf.DUMMYFUNCTION("""COMPUTED_VALUE"""),0.0)</f>
        <v>0</v>
      </c>
      <c r="BG44" s="3">
        <f>IFERROR(__xludf.DUMMYFUNCTION("""COMPUTED_VALUE"""),45794.0)</f>
        <v>45794</v>
      </c>
      <c r="BH44" s="1" t="str">
        <f>IFERROR(__xludf.DUMMYFUNCTION("""COMPUTED_VALUE"""),"07/06/2025")</f>
        <v>07/06/2025</v>
      </c>
      <c r="BI44" s="1">
        <f>IFERROR(__xludf.DUMMYFUNCTION("""COMPUTED_VALUE"""),0.0)</f>
        <v>0</v>
      </c>
      <c r="BJ44" s="1" t="str">
        <f>IFERROR(__xludf.DUMMYFUNCTION("""COMPUTED_VALUE"""),"NUEVO")</f>
        <v>NUEVO</v>
      </c>
    </row>
    <row r="45">
      <c r="A45" s="1">
        <f>IFERROR(__xludf.DUMMYFUNCTION("""COMPUTED_VALUE"""),44.0)</f>
        <v>44</v>
      </c>
      <c r="B45" s="1">
        <f>IFERROR(__xludf.DUMMYFUNCTION("""COMPUTED_VALUE"""),1380537.0)</f>
        <v>1380537</v>
      </c>
      <c r="C45" s="1" t="str">
        <f>IFERROR(__xludf.DUMMYFUNCTION("""COMPUTED_VALUE"""),"0000053701")</f>
        <v>0000053701</v>
      </c>
      <c r="D45" s="1" t="str">
        <f>IFERROR(__xludf.DUMMYFUNCTION("""COMPUTED_VALUE"""),"SALVADOR")</f>
        <v>SALVADOR</v>
      </c>
      <c r="E45" s="2" t="str">
        <f>IFERROR(__xludf.DUMMYFUNCTION("""COMPUTED_VALUE"""),"OLIVO SARAVIA")</f>
        <v>OLIVO SARAVIA</v>
      </c>
      <c r="F45" s="1">
        <f>IFERROR(__xludf.DUMMYFUNCTION("""COMPUTED_VALUE"""),7.3326584E7)</f>
        <v>73326584</v>
      </c>
      <c r="G45" s="1">
        <f>IFERROR(__xludf.DUMMYFUNCTION("""COMPUTED_VALUE"""),9.35466741E8)</f>
        <v>935466741</v>
      </c>
      <c r="H45" s="1" t="str">
        <f>IFERROR(__xludf.DUMMYFUNCTION("""COMPUTED_VALUE"""),"salvador.olivo.sar@gmail.com")</f>
        <v>salvador.olivo.sar@gmail.com</v>
      </c>
      <c r="I45" s="1" t="str">
        <f>IFERROR(__xludf.DUMMYFUNCTION("""COMPUTED_VALUE"""),"Comunicación Audiovisual y Cine")</f>
        <v>Comunicación Audiovisual y Cine</v>
      </c>
      <c r="J45" s="1" t="str">
        <f>IFERROR(__xludf.DUMMYFUNCTION("""COMPUTED_VALUE"""),"Comunicaciones")</f>
        <v>Comunicaciones</v>
      </c>
      <c r="K45" s="1" t="str">
        <f>IFERROR(__xludf.DUMMYFUNCTION("""COMPUTED_VALUE"""),"Antigua")</f>
        <v>Antigua</v>
      </c>
      <c r="L45" s="1" t="str">
        <f>IFERROR(__xludf.DUMMYFUNCTION("""COMPUTED_VALUE"""),"Admisión Ordinaria")</f>
        <v>Admisión Ordinaria</v>
      </c>
      <c r="M45" s="1" t="str">
        <f>IFERROR(__xludf.DUMMYFUNCTION("""COMPUTED_VALUE"""),"Semi-presencial")</f>
        <v>Semi-presencial</v>
      </c>
      <c r="N45" s="1" t="str">
        <f>IFERROR(__xludf.DUMMYFUNCTION("""COMPUTED_VALUE"""),"Diurno")</f>
        <v>Diurno</v>
      </c>
      <c r="O45" s="1" t="str">
        <f>IFERROR(__xludf.DUMMYFUNCTION("""COMPUTED_VALUE"""),"NUEVO")</f>
        <v>NUEVO</v>
      </c>
      <c r="P45" s="1" t="str">
        <f>IFERROR(__xludf.DUMMYFUNCTION("""COMPUTED_VALUE"""),"BECA")</f>
        <v>BECA</v>
      </c>
      <c r="Q45" s="1" t="str">
        <f>IFERROR(__xludf.DUMMYFUNCTION("""COMPUTED_VALUE"""),"BECA CARRERAS CORE")</f>
        <v>BECA CARRERAS CORE</v>
      </c>
      <c r="R45" s="1" t="str">
        <f>IFERROR(__xludf.DUMMYFUNCTION("""COMPUTED_VALUE"""),"NINGUNO")</f>
        <v>NINGUNO</v>
      </c>
      <c r="S45" s="1" t="str">
        <f>IFERROR(__xludf.DUMMYFUNCTION("""COMPUTED_VALUE"""),"FABIOLA")</f>
        <v>FABIOLA</v>
      </c>
      <c r="T45" s="3">
        <f>IFERROR(__xludf.DUMMYFUNCTION("""COMPUTED_VALUE"""),45776.0)</f>
        <v>45776</v>
      </c>
      <c r="U45" s="1" t="str">
        <f>IFERROR(__xludf.DUMMYFUNCTION("""COMPUTED_VALUE"""),"Pago Link")</f>
        <v>Pago Link</v>
      </c>
      <c r="V45" s="1" t="str">
        <f>IFERROR(__xludf.DUMMYFUNCTION("""COMPUTED_VALUE"""),"PAGO FRACCIONADO")</f>
        <v>PAGO FRACCIONADO</v>
      </c>
      <c r="W45" s="4">
        <f>IFERROR(__xludf.DUMMYFUNCTION("""COMPUTED_VALUE"""),0.0)</f>
        <v>0</v>
      </c>
      <c r="X45" s="1" t="str">
        <f>IFERROR(__xludf.DUMMYFUNCTION("""COMPUTED_VALUE"""),"14/05/2025")</f>
        <v>14/05/2025</v>
      </c>
      <c r="Y45" s="2">
        <f>IFERROR(__xludf.DUMMYFUNCTION("""COMPUTED_VALUE"""),45791.0)</f>
        <v>45791</v>
      </c>
      <c r="Z45" s="1" t="str">
        <f>IFERROR(__xludf.DUMMYFUNCTION("""COMPUTED_VALUE"""),"PAGO COMPLETO")</f>
        <v>PAGO COMPLETO</v>
      </c>
      <c r="AA45" s="1"/>
      <c r="AB45" s="1"/>
      <c r="AC45" s="4">
        <f>IFERROR(__xludf.DUMMYFUNCTION("""COMPUTED_VALUE"""),0.0)</f>
        <v>0</v>
      </c>
      <c r="AD45" s="4">
        <f>IFERROR(__xludf.DUMMYFUNCTION("""COMPUTED_VALUE"""),0.0)</f>
        <v>0</v>
      </c>
      <c r="AE45" s="4">
        <f>IFERROR(__xludf.DUMMYFUNCTION("""COMPUTED_VALUE"""),1050.0)</f>
        <v>1050</v>
      </c>
      <c r="AF45" s="4">
        <f>IFERROR(__xludf.DUMMYFUNCTION("""COMPUTED_VALUE"""),950.0)</f>
        <v>950</v>
      </c>
      <c r="AG45" s="1">
        <f>IFERROR(__xludf.DUMMYFUNCTION("""COMPUTED_VALUE"""),0.0)</f>
        <v>0</v>
      </c>
      <c r="AH45" s="1">
        <f>IFERROR(__xludf.DUMMYFUNCTION("""COMPUTED_VALUE"""),0.0)</f>
        <v>0</v>
      </c>
      <c r="AI45" s="1">
        <f>IFERROR(__xludf.DUMMYFUNCTION("""COMPUTED_VALUE"""),0.0)</f>
        <v>0</v>
      </c>
      <c r="AJ45" s="1">
        <f>IFERROR(__xludf.DUMMYFUNCTION("""COMPUTED_VALUE"""),329557.0)</f>
        <v>329557</v>
      </c>
      <c r="AK45" s="1" t="str">
        <f>IFERROR(__xludf.DUMMYFUNCTION("""COMPUTED_VALUE"""),"10 kms a 15 kms")</f>
        <v>10 kms a 15 kms</v>
      </c>
      <c r="AL45" s="1" t="str">
        <f>IFERROR(__xludf.DUMMYFUNCTION("""COMPUTED_VALUE"""),"07 801 a 900")</f>
        <v>07 801 a 900</v>
      </c>
      <c r="AM45" s="1" t="str">
        <f>IFERROR(__xludf.DUMMYFUNCTION("""COMPUTED_VALUE"""),"-")</f>
        <v>-</v>
      </c>
      <c r="AN45" s="1" t="str">
        <f>IFERROR(__xludf.DUMMYFUNCTION("""COMPUTED_VALUE""")," -")</f>
        <v> -</v>
      </c>
      <c r="AO45" s="1">
        <f>IFERROR(__xludf.DUMMYFUNCTION("""COMPUTED_VALUE"""),2021.0)</f>
        <v>2021</v>
      </c>
      <c r="AP45" s="3">
        <f>IFERROR(__xludf.DUMMYFUNCTION("""COMPUTED_VALUE"""),45748.0)</f>
        <v>45748</v>
      </c>
      <c r="AQ45" s="2">
        <f>IFERROR(__xludf.DUMMYFUNCTION("""COMPUTED_VALUE"""),45747.0)</f>
        <v>45747</v>
      </c>
      <c r="AR45" s="2">
        <f>IFERROR(__xludf.DUMMYFUNCTION("""COMPUTED_VALUE"""),45754.0)</f>
        <v>45754</v>
      </c>
      <c r="AS45" s="2">
        <f>IFERROR(__xludf.DUMMYFUNCTION("""COMPUTED_VALUE"""),45748.0)</f>
        <v>45748</v>
      </c>
      <c r="AT45" s="2">
        <f>IFERROR(__xludf.DUMMYFUNCTION("""COMPUTED_VALUE"""),45747.0)</f>
        <v>45747</v>
      </c>
      <c r="AU45" s="1">
        <f>IFERROR(__xludf.DUMMYFUNCTION("""COMPUTED_VALUE"""),37.0)</f>
        <v>37</v>
      </c>
      <c r="AV45" s="1" t="str">
        <f>IFERROR(__xludf.DUMMYFUNCTION("""COMPUTED_VALUE"""),"OUTBOUND")</f>
        <v>OUTBOUND</v>
      </c>
      <c r="AW45" s="1" t="str">
        <f>IFERROR(__xludf.DUMMYFUNCTION("""COMPUTED_VALUE"""),"OUTBOUND")</f>
        <v>OUTBOUND</v>
      </c>
      <c r="AX45" s="1" t="str">
        <f>IFERROR(__xludf.DUMMYFUNCTION("""COMPUTED_VALUE"""),"OUTBOUND")</f>
        <v>OUTBOUND</v>
      </c>
      <c r="AY45" s="1">
        <f>IFERROR(__xludf.DUMMYFUNCTION("""COMPUTED_VALUE"""),1.0)</f>
        <v>1</v>
      </c>
      <c r="AZ45" s="1" t="str">
        <f>IFERROR(__xludf.DUMMYFUNCTION("""COMPUTED_VALUE"""),"Juan Manuel Rodríguez")</f>
        <v>Juan Manuel Rodríguez</v>
      </c>
      <c r="BA45" s="5">
        <f>IFERROR(__xludf.DUMMYFUNCTION("""COMPUTED_VALUE"""),1.0)</f>
        <v>1</v>
      </c>
      <c r="BB45" s="6">
        <f>IFERROR(__xludf.DUMMYFUNCTION("""COMPUTED_VALUE"""),950.0)</f>
        <v>950</v>
      </c>
      <c r="BC45" s="1">
        <f>IFERROR(__xludf.DUMMYFUNCTION("""COMPUTED_VALUE"""),1.0)</f>
        <v>1</v>
      </c>
      <c r="BD45" s="1" t="str">
        <f>IFERROR(__xludf.DUMMYFUNCTION("""COMPUTED_VALUE"""),"Matemáticas")</f>
        <v>Matemáticas</v>
      </c>
      <c r="BE45" s="1">
        <f>IFERROR(__xludf.DUMMYFUNCTION("""COMPUTED_VALUE"""),1.0)</f>
        <v>1</v>
      </c>
      <c r="BF45" s="1">
        <f>IFERROR(__xludf.DUMMYFUNCTION("""COMPUTED_VALUE"""),1.0)</f>
        <v>1</v>
      </c>
      <c r="BG45" s="3">
        <f>IFERROR(__xludf.DUMMYFUNCTION("""COMPUTED_VALUE"""),45820.0)</f>
        <v>45820</v>
      </c>
      <c r="BH45" s="1" t="str">
        <f>IFERROR(__xludf.DUMMYFUNCTION("""COMPUTED_VALUE"""),"12/06/2025")</f>
        <v>12/06/2025</v>
      </c>
      <c r="BI45" s="1">
        <f>IFERROR(__xludf.DUMMYFUNCTION("""COMPUTED_VALUE"""),0.0)</f>
        <v>0</v>
      </c>
      <c r="BJ45" s="1" t="str">
        <f>IFERROR(__xludf.DUMMYFUNCTION("""COMPUTED_VALUE"""),"NUEVO")</f>
        <v>NUEVO</v>
      </c>
    </row>
    <row r="46">
      <c r="A46" s="1">
        <f>IFERROR(__xludf.DUMMYFUNCTION("""COMPUTED_VALUE"""),45.0)</f>
        <v>45</v>
      </c>
      <c r="B46" s="1">
        <f>IFERROR(__xludf.DUMMYFUNCTION("""COMPUTED_VALUE"""),5134124.0)</f>
        <v>5134124</v>
      </c>
      <c r="C46" s="1" t="str">
        <f>IFERROR(__xludf.DUMMYFUNCTION("""COMPUTED_VALUE"""),"0000424515")</f>
        <v>0000424515</v>
      </c>
      <c r="D46" s="1" t="str">
        <f>IFERROR(__xludf.DUMMYFUNCTION("""COMPUTED_VALUE"""),"JOSEPT JOSIAS")</f>
        <v>JOSEPT JOSIAS</v>
      </c>
      <c r="E46" s="2" t="str">
        <f>IFERROR(__xludf.DUMMYFUNCTION("""COMPUTED_VALUE"""),"SILVA ESPINOZA")</f>
        <v>SILVA ESPINOZA</v>
      </c>
      <c r="F46" s="1">
        <f>IFERROR(__xludf.DUMMYFUNCTION("""COMPUTED_VALUE"""),6.1148599E7)</f>
        <v>61148599</v>
      </c>
      <c r="G46" s="1">
        <f>IFERROR(__xludf.DUMMYFUNCTION("""COMPUTED_VALUE"""),9.67458224E8)</f>
        <v>967458224</v>
      </c>
      <c r="H46" s="1" t="str">
        <f>IFERROR(__xludf.DUMMYFUNCTION("""COMPUTED_VALUE"""),"josiasespino86@gmail.com")</f>
        <v>josiasespino86@gmail.com</v>
      </c>
      <c r="I46" s="1" t="str">
        <f>IFERROR(__xludf.DUMMYFUNCTION("""COMPUTED_VALUE"""),"Diseño Gráfico Publicitario")</f>
        <v>Diseño Gráfico Publicitario</v>
      </c>
      <c r="J46" s="1" t="str">
        <f>IFERROR(__xludf.DUMMYFUNCTION("""COMPUTED_VALUE"""),"Diseño")</f>
        <v>Diseño</v>
      </c>
      <c r="K46" s="1" t="str">
        <f>IFERROR(__xludf.DUMMYFUNCTION("""COMPUTED_VALUE"""),"Antigua")</f>
        <v>Antigua</v>
      </c>
      <c r="L46" s="1" t="str">
        <f>IFERROR(__xludf.DUMMYFUNCTION("""COMPUTED_VALUE"""),"Admisión de Alto Rendimiento")</f>
        <v>Admisión de Alto Rendimiento</v>
      </c>
      <c r="M46" s="1" t="str">
        <f>IFERROR(__xludf.DUMMYFUNCTION("""COMPUTED_VALUE"""),"Semi-presencial")</f>
        <v>Semi-presencial</v>
      </c>
      <c r="N46" s="1" t="str">
        <f>IFERROR(__xludf.DUMMYFUNCTION("""COMPUTED_VALUE"""),"Diurno")</f>
        <v>Diurno</v>
      </c>
      <c r="O46" s="1" t="str">
        <f>IFERROR(__xludf.DUMMYFUNCTION("""COMPUTED_VALUE"""),"NUEVO")</f>
        <v>NUEVO</v>
      </c>
      <c r="P46" s="1" t="str">
        <f>IFERROR(__xludf.DUMMYFUNCTION("""COMPUTED_VALUE"""),"BECA")</f>
        <v>BECA</v>
      </c>
      <c r="Q46" s="1" t="str">
        <f>IFERROR(__xludf.DUMMYFUNCTION("""COMPUTED_VALUE"""),"BECA CARRERAS CORE")</f>
        <v>BECA CARRERAS CORE</v>
      </c>
      <c r="R46" s="1" t="str">
        <f>IFERROR(__xludf.DUMMYFUNCTION("""COMPUTED_VALUE"""),"NINGUNO")</f>
        <v>NINGUNO</v>
      </c>
      <c r="S46" s="1" t="str">
        <f>IFERROR(__xludf.DUMMYFUNCTION("""COMPUTED_VALUE"""),"FABIOLA")</f>
        <v>FABIOLA</v>
      </c>
      <c r="T46" s="3">
        <f>IFERROR(__xludf.DUMMYFUNCTION("""COMPUTED_VALUE"""),45777.0)</f>
        <v>45777</v>
      </c>
      <c r="U46" s="1" t="str">
        <f>IFERROR(__xludf.DUMMYFUNCTION("""COMPUTED_VALUE"""),"CARGO")</f>
        <v>CARGO</v>
      </c>
      <c r="V46" s="1" t="str">
        <f>IFERROR(__xludf.DUMMYFUNCTION("""COMPUTED_VALUE"""),"PAGO COMPLETO")</f>
        <v>PAGO COMPLETO</v>
      </c>
      <c r="W46" s="4">
        <f>IFERROR(__xludf.DUMMYFUNCTION("""COMPUTED_VALUE"""),0.0)</f>
        <v>0</v>
      </c>
      <c r="X46" s="1" t="str">
        <f>IFERROR(__xludf.DUMMYFUNCTION("""COMPUTED_VALUE"""),"-")</f>
        <v>-</v>
      </c>
      <c r="Y46" s="2">
        <f>IFERROR(__xludf.DUMMYFUNCTION("""COMPUTED_VALUE"""),45777.0)</f>
        <v>45777</v>
      </c>
      <c r="Z46" s="1" t="str">
        <f>IFERROR(__xludf.DUMMYFUNCTION("""COMPUTED_VALUE"""),"PAGO COMPLETO")</f>
        <v>PAGO COMPLETO</v>
      </c>
      <c r="AA46" s="1"/>
      <c r="AB46" s="1"/>
      <c r="AC46" s="4">
        <f>IFERROR(__xludf.DUMMYFUNCTION("""COMPUTED_VALUE"""),40.0)</f>
        <v>40</v>
      </c>
      <c r="AD46" s="4">
        <f>IFERROR(__xludf.DUMMYFUNCTION("""COMPUTED_VALUE"""),95.0)</f>
        <v>95</v>
      </c>
      <c r="AE46" s="4">
        <f>IFERROR(__xludf.DUMMYFUNCTION("""COMPUTED_VALUE"""),1100.0)</f>
        <v>1100</v>
      </c>
      <c r="AF46" s="4">
        <f>IFERROR(__xludf.DUMMYFUNCTION("""COMPUTED_VALUE"""),950.0)</f>
        <v>950</v>
      </c>
      <c r="AG46" s="1">
        <f>IFERROR(__xludf.DUMMYFUNCTION("""COMPUTED_VALUE"""),0.0)</f>
        <v>0</v>
      </c>
      <c r="AH46" s="1">
        <f>IFERROR(__xludf.DUMMYFUNCTION("""COMPUTED_VALUE"""),0.0)</f>
        <v>0</v>
      </c>
      <c r="AI46" s="1">
        <f>IFERROR(__xludf.DUMMYFUNCTION("""COMPUTED_VALUE"""),0.0)</f>
        <v>0</v>
      </c>
      <c r="AJ46" s="1">
        <f>IFERROR(__xludf.DUMMYFUNCTION("""COMPUTED_VALUE"""),728717.0)</f>
        <v>728717</v>
      </c>
      <c r="AK46" s="1" t="str">
        <f>IFERROR(__xludf.DUMMYFUNCTION("""COMPUTED_VALUE"""),"Menos de 5 kms")</f>
        <v>Menos de 5 kms</v>
      </c>
      <c r="AL46" s="1" t="str">
        <f>IFERROR(__xludf.DUMMYFUNCTION("""COMPUTED_VALUE"""),"01 Nacional")</f>
        <v>01 Nacional</v>
      </c>
      <c r="AM46" s="1" t="str">
        <f>IFERROR(__xludf.DUMMYFUNCTION("""COMPUTED_VALUE"""),"-")</f>
        <v>-</v>
      </c>
      <c r="AN46" s="1" t="str">
        <f>IFERROR(__xludf.DUMMYFUNCTION("""COMPUTED_VALUE""")," -")</f>
        <v> -</v>
      </c>
      <c r="AO46" s="1">
        <f>IFERROR(__xludf.DUMMYFUNCTION("""COMPUTED_VALUE"""),2024.0)</f>
        <v>2024</v>
      </c>
      <c r="AP46" s="3">
        <f>IFERROR(__xludf.DUMMYFUNCTION("""COMPUTED_VALUE"""),45748.0)</f>
        <v>45748</v>
      </c>
      <c r="AQ46" s="2">
        <f>IFERROR(__xludf.DUMMYFUNCTION("""COMPUTED_VALUE"""),45747.0)</f>
        <v>45747</v>
      </c>
      <c r="AR46" s="2">
        <f>IFERROR(__xludf.DUMMYFUNCTION("""COMPUTED_VALUE"""),45755.0)</f>
        <v>45755</v>
      </c>
      <c r="AS46" s="2">
        <f>IFERROR(__xludf.DUMMYFUNCTION("""COMPUTED_VALUE"""),45748.0)</f>
        <v>45748</v>
      </c>
      <c r="AT46" s="2">
        <f>IFERROR(__xludf.DUMMYFUNCTION("""COMPUTED_VALUE"""),45747.0)</f>
        <v>45747</v>
      </c>
      <c r="AU46" s="1">
        <f>IFERROR(__xludf.DUMMYFUNCTION("""COMPUTED_VALUE"""),22.0)</f>
        <v>22</v>
      </c>
      <c r="AV46" s="1" t="str">
        <f>IFERROR(__xludf.DUMMYFUNCTION("""COMPUTED_VALUE"""),"DIGITAL")</f>
        <v>DIGITAL</v>
      </c>
      <c r="AW46" s="1" t="str">
        <f>IFERROR(__xludf.DUMMYFUNCTION("""COMPUTED_VALUE"""),"BIDIRECCIONAL")</f>
        <v>BIDIRECCIONAL</v>
      </c>
      <c r="AX46" s="1" t="str">
        <f>IFERROR(__xludf.DUMMYFUNCTION("""COMPUTED_VALUE"""),"SEARCH CARRERA")</f>
        <v>SEARCH CARRERA</v>
      </c>
      <c r="AY46" s="1">
        <f>IFERROR(__xludf.DUMMYFUNCTION("""COMPUTED_VALUE"""),1.0)</f>
        <v>1</v>
      </c>
      <c r="AZ46" s="1" t="str">
        <f>IFERROR(__xludf.DUMMYFUNCTION("""COMPUTED_VALUE"""),"Juan Manuel Rodríguez")</f>
        <v>Juan Manuel Rodríguez</v>
      </c>
      <c r="BA46" s="5">
        <f>IFERROR(__xludf.DUMMYFUNCTION("""COMPUTED_VALUE"""),1.0)</f>
        <v>1</v>
      </c>
      <c r="BB46" s="6">
        <f>IFERROR(__xludf.DUMMYFUNCTION("""COMPUTED_VALUE"""),950.0)</f>
        <v>950</v>
      </c>
      <c r="BC46" s="1">
        <f>IFERROR(__xludf.DUMMYFUNCTION("""COMPUTED_VALUE"""),1.0)</f>
        <v>1</v>
      </c>
      <c r="BD46" s="1" t="str">
        <f>IFERROR(__xludf.DUMMYFUNCTION("""COMPUTED_VALUE"""),"Matemáticas y Redacción")</f>
        <v>Matemáticas y Redacción</v>
      </c>
      <c r="BE46" s="1">
        <f>IFERROR(__xludf.DUMMYFUNCTION("""COMPUTED_VALUE"""),1.0)</f>
        <v>1</v>
      </c>
      <c r="BF46" s="1">
        <f>IFERROR(__xludf.DUMMYFUNCTION("""COMPUTED_VALUE"""),1.0)</f>
        <v>1</v>
      </c>
      <c r="BG46" s="3">
        <f>IFERROR(__xludf.DUMMYFUNCTION("""COMPUTED_VALUE"""),45794.0)</f>
        <v>45794</v>
      </c>
      <c r="BH46" s="1" t="str">
        <f>IFERROR(__xludf.DUMMYFUNCTION("""COMPUTED_VALUE"""),"17/05/2025")</f>
        <v>17/05/2025</v>
      </c>
      <c r="BI46" s="1">
        <f>IFERROR(__xludf.DUMMYFUNCTION("""COMPUTED_VALUE"""),0.0)</f>
        <v>0</v>
      </c>
      <c r="BJ46" s="1" t="str">
        <f>IFERROR(__xludf.DUMMYFUNCTION("""COMPUTED_VALUE"""),"NUEVO")</f>
        <v>NUEVO</v>
      </c>
    </row>
    <row r="47">
      <c r="A47" s="1">
        <f>IFERROR(__xludf.DUMMYFUNCTION("""COMPUTED_VALUE"""),46.0)</f>
        <v>46</v>
      </c>
      <c r="B47" s="1">
        <f>IFERROR(__xludf.DUMMYFUNCTION("""COMPUTED_VALUE"""),5170161.0)</f>
        <v>5170161</v>
      </c>
      <c r="C47" s="1" t="str">
        <f>IFERROR(__xludf.DUMMYFUNCTION("""COMPUTED_VALUE"""),"0000424660")</f>
        <v>0000424660</v>
      </c>
      <c r="D47" s="1" t="str">
        <f>IFERROR(__xludf.DUMMYFUNCTION("""COMPUTED_VALUE"""),"ELIANA CAROLINA")</f>
        <v>ELIANA CAROLINA</v>
      </c>
      <c r="E47" s="2" t="str">
        <f>IFERROR(__xludf.DUMMYFUNCTION("""COMPUTED_VALUE"""),"LOAYZA ROJAS")</f>
        <v>LOAYZA ROJAS</v>
      </c>
      <c r="F47" s="1">
        <f>IFERROR(__xludf.DUMMYFUNCTION("""COMPUTED_VALUE"""),4.7344176E7)</f>
        <v>47344176</v>
      </c>
      <c r="G47" s="1">
        <f>IFERROR(__xludf.DUMMYFUNCTION("""COMPUTED_VALUE"""),9.97719746E8)</f>
        <v>997719746</v>
      </c>
      <c r="H47" s="1" t="str">
        <f>IFERROR(__xludf.DUMMYFUNCTION("""COMPUTED_VALUE"""),"cloayza64@gmail.com")</f>
        <v>cloayza64@gmail.com</v>
      </c>
      <c r="I47" s="1" t="str">
        <f>IFERROR(__xludf.DUMMYFUNCTION("""COMPUTED_VALUE"""),"Comunicación y Publicidad Transmedia")</f>
        <v>Comunicación y Publicidad Transmedia</v>
      </c>
      <c r="J47" s="1" t="str">
        <f>IFERROR(__xludf.DUMMYFUNCTION("""COMPUTED_VALUE"""),"Comunicaciones")</f>
        <v>Comunicaciones</v>
      </c>
      <c r="K47" s="1" t="str">
        <f>IFERROR(__xludf.DUMMYFUNCTION("""COMPUTED_VALUE"""),"Antigua")</f>
        <v>Antigua</v>
      </c>
      <c r="L47" s="1" t="str">
        <f>IFERROR(__xludf.DUMMYFUNCTION("""COMPUTED_VALUE"""),"Admisión Ordinaria")</f>
        <v>Admisión Ordinaria</v>
      </c>
      <c r="M47" s="1" t="str">
        <f>IFERROR(__xludf.DUMMYFUNCTION("""COMPUTED_VALUE"""),"Semi-presencial")</f>
        <v>Semi-presencial</v>
      </c>
      <c r="N47" s="1" t="str">
        <f>IFERROR(__xludf.DUMMYFUNCTION("""COMPUTED_VALUE"""),"Diurno")</f>
        <v>Diurno</v>
      </c>
      <c r="O47" s="1" t="str">
        <f>IFERROR(__xludf.DUMMYFUNCTION("""COMPUTED_VALUE"""),"NUEVO")</f>
        <v>NUEVO</v>
      </c>
      <c r="P47" s="1" t="str">
        <f>IFERROR(__xludf.DUMMYFUNCTION("""COMPUTED_VALUE"""),"BECA")</f>
        <v>BECA</v>
      </c>
      <c r="Q47" s="1" t="str">
        <f>IFERROR(__xludf.DUMMYFUNCTION("""COMPUTED_VALUE"""),"BECA CARRERAS CORE")</f>
        <v>BECA CARRERAS CORE</v>
      </c>
      <c r="R47" s="1" t="str">
        <f>IFERROR(__xludf.DUMMYFUNCTION("""COMPUTED_VALUE"""),"NINGUNO")</f>
        <v>NINGUNO</v>
      </c>
      <c r="S47" s="1" t="str">
        <f>IFERROR(__xludf.DUMMYFUNCTION("""COMPUTED_VALUE"""),"-")</f>
        <v>-</v>
      </c>
      <c r="T47" s="3">
        <f>IFERROR(__xludf.DUMMYFUNCTION("""COMPUTED_VALUE"""),45778.0)</f>
        <v>45778</v>
      </c>
      <c r="U47" s="1" t="str">
        <f>IFERROR(__xludf.DUMMYFUNCTION("""COMPUTED_VALUE"""),"Pago Link")</f>
        <v>Pago Link</v>
      </c>
      <c r="V47" s="1" t="str">
        <f>IFERROR(__xludf.DUMMYFUNCTION("""COMPUTED_VALUE"""),"PAGO COMPLETO")</f>
        <v>PAGO COMPLETO</v>
      </c>
      <c r="W47" s="4">
        <f>IFERROR(__xludf.DUMMYFUNCTION("""COMPUTED_VALUE"""),0.0)</f>
        <v>0</v>
      </c>
      <c r="X47" s="1" t="str">
        <f>IFERROR(__xludf.DUMMYFUNCTION("""COMPUTED_VALUE"""),"-")</f>
        <v>-</v>
      </c>
      <c r="Y47" s="2">
        <f>IFERROR(__xludf.DUMMYFUNCTION("""COMPUTED_VALUE"""),45778.0)</f>
        <v>45778</v>
      </c>
      <c r="Z47" s="1" t="str">
        <f>IFERROR(__xludf.DUMMYFUNCTION("""COMPUTED_VALUE"""),"PAGO COMPLETO")</f>
        <v>PAGO COMPLETO</v>
      </c>
      <c r="AA47" s="1"/>
      <c r="AB47" s="1"/>
      <c r="AC47" s="4">
        <f>IFERROR(__xludf.DUMMYFUNCTION("""COMPUTED_VALUE"""),50.0)</f>
        <v>50</v>
      </c>
      <c r="AD47" s="4">
        <f>IFERROR(__xludf.DUMMYFUNCTION("""COMPUTED_VALUE"""),95.0)</f>
        <v>95</v>
      </c>
      <c r="AE47" s="4">
        <f>IFERROR(__xludf.DUMMYFUNCTION("""COMPUTED_VALUE"""),1350.0)</f>
        <v>1350</v>
      </c>
      <c r="AF47" s="4">
        <f>IFERROR(__xludf.DUMMYFUNCTION("""COMPUTED_VALUE"""),1150.0)</f>
        <v>1150</v>
      </c>
      <c r="AG47" s="1">
        <f>IFERROR(__xludf.DUMMYFUNCTION("""COMPUTED_VALUE"""),0.0)</f>
        <v>0</v>
      </c>
      <c r="AH47" s="1">
        <f>IFERROR(__xludf.DUMMYFUNCTION("""COMPUTED_VALUE"""),0.0)</f>
        <v>0</v>
      </c>
      <c r="AI47" s="1">
        <f>IFERROR(__xludf.DUMMYFUNCTION("""COMPUTED_VALUE"""),0.0)</f>
        <v>0</v>
      </c>
      <c r="AJ47" s="1">
        <f>IFERROR(__xludf.DUMMYFUNCTION("""COMPUTED_VALUE"""),642892.0)</f>
        <v>642892</v>
      </c>
      <c r="AK47" s="1" t="str">
        <f>IFERROR(__xludf.DUMMYFUNCTION("""COMPUTED_VALUE"""),"Más de 15 kms")</f>
        <v>Más de 15 kms</v>
      </c>
      <c r="AL47" s="1" t="str">
        <f>IFERROR(__xludf.DUMMYFUNCTION("""COMPUTED_VALUE"""),"04 200 a 300")</f>
        <v>04 200 a 300</v>
      </c>
      <c r="AM47" s="1" t="str">
        <f>IFERROR(__xludf.DUMMYFUNCTION("""COMPUTED_VALUE"""),"-")</f>
        <v>-</v>
      </c>
      <c r="AN47" s="1" t="str">
        <f>IFERROR(__xludf.DUMMYFUNCTION("""COMPUTED_VALUE""")," -")</f>
        <v> -</v>
      </c>
      <c r="AO47" s="1">
        <f>IFERROR(__xludf.DUMMYFUNCTION("""COMPUTED_VALUE"""),2009.0)</f>
        <v>2009</v>
      </c>
      <c r="AP47" s="3">
        <f>IFERROR(__xludf.DUMMYFUNCTION("""COMPUTED_VALUE"""),45778.0)</f>
        <v>45778</v>
      </c>
      <c r="AQ47" s="2">
        <f>IFERROR(__xludf.DUMMYFUNCTION("""COMPUTED_VALUE"""),45775.0)</f>
        <v>45775</v>
      </c>
      <c r="AR47" s="2">
        <f>IFERROR(__xludf.DUMMYFUNCTION("""COMPUTED_VALUE"""),45774.0)</f>
        <v>45774</v>
      </c>
      <c r="AS47" s="2">
        <f>IFERROR(__xludf.DUMMYFUNCTION("""COMPUTED_VALUE"""),45748.0)</f>
        <v>45748</v>
      </c>
      <c r="AT47" s="2">
        <f>IFERROR(__xludf.DUMMYFUNCTION("""COMPUTED_VALUE"""),45747.0)</f>
        <v>45747</v>
      </c>
      <c r="AU47" s="1">
        <f>IFERROR(__xludf.DUMMYFUNCTION("""COMPUTED_VALUE"""),4.0)</f>
        <v>4</v>
      </c>
      <c r="AV47" s="1" t="str">
        <f>IFERROR(__xludf.DUMMYFUNCTION("""COMPUTED_VALUE"""),"DIGITAL")</f>
        <v>DIGITAL</v>
      </c>
      <c r="AW47" s="1" t="str">
        <f>IFERROR(__xludf.DUMMYFUNCTION("""COMPUTED_VALUE"""),"FORMULARIO")</f>
        <v>FORMULARIO</v>
      </c>
      <c r="AX47" s="1" t="str">
        <f>IFERROR(__xludf.DUMMYFUNCTION("""COMPUTED_VALUE"""),"ORGANICO")</f>
        <v>ORGANICO</v>
      </c>
      <c r="AY47" s="1">
        <f>IFERROR(__xludf.DUMMYFUNCTION("""COMPUTED_VALUE"""),1.0)</f>
        <v>1</v>
      </c>
      <c r="AZ47" s="1" t="str">
        <f>IFERROR(__xludf.DUMMYFUNCTION("""COMPUTED_VALUE"""),"Fiorella Lanegra")</f>
        <v>Fiorella Lanegra</v>
      </c>
      <c r="BA47" s="5">
        <f>IFERROR(__xludf.DUMMYFUNCTION("""COMPUTED_VALUE"""),1.0)</f>
        <v>1</v>
      </c>
      <c r="BB47" s="6">
        <f>IFERROR(__xludf.DUMMYFUNCTION("""COMPUTED_VALUE"""),1150.0)</f>
        <v>1150</v>
      </c>
      <c r="BC47" s="1">
        <f>IFERROR(__xludf.DUMMYFUNCTION("""COMPUTED_VALUE"""),0.0)</f>
        <v>0</v>
      </c>
      <c r="BD47" s="1" t="str">
        <f>IFERROR(__xludf.DUMMYFUNCTION("""COMPUTED_VALUE""")," -")</f>
        <v> -</v>
      </c>
      <c r="BE47" s="1">
        <f>IFERROR(__xludf.DUMMYFUNCTION("""COMPUTED_VALUE"""),1.0)</f>
        <v>1</v>
      </c>
      <c r="BF47" s="1">
        <f>IFERROR(__xludf.DUMMYFUNCTION("""COMPUTED_VALUE"""),0.0)</f>
        <v>0</v>
      </c>
      <c r="BG47" s="3">
        <f>IFERROR(__xludf.DUMMYFUNCTION("""COMPUTED_VALUE"""),45794.0)</f>
        <v>45794</v>
      </c>
      <c r="BH47" s="1"/>
      <c r="BI47" s="1">
        <f>IFERROR(__xludf.DUMMYFUNCTION("""COMPUTED_VALUE"""),0.0)</f>
        <v>0</v>
      </c>
      <c r="BJ47" s="1" t="str">
        <f>IFERROR(__xludf.DUMMYFUNCTION("""COMPUTED_VALUE"""),"NUEVO")</f>
        <v>NUEVO</v>
      </c>
    </row>
    <row r="48">
      <c r="A48" s="1">
        <f>IFERROR(__xludf.DUMMYFUNCTION("""COMPUTED_VALUE"""),47.0)</f>
        <v>47</v>
      </c>
      <c r="B48" s="1">
        <f>IFERROR(__xludf.DUMMYFUNCTION("""COMPUTED_VALUE"""),714286.0)</f>
        <v>714286</v>
      </c>
      <c r="C48" s="1" t="str">
        <f>IFERROR(__xludf.DUMMYFUNCTION("""COMPUTED_VALUE"""),"0000424806")</f>
        <v>0000424806</v>
      </c>
      <c r="D48" s="1" t="str">
        <f>IFERROR(__xludf.DUMMYFUNCTION("""COMPUTED_VALUE"""),"ANDREA CRISTINA ")</f>
        <v>ANDREA CRISTINA </v>
      </c>
      <c r="E48" s="2" t="str">
        <f>IFERROR(__xludf.DUMMYFUNCTION("""COMPUTED_VALUE"""),"CARDENAS BRAVO")</f>
        <v>CARDENAS BRAVO</v>
      </c>
      <c r="F48" s="1">
        <f>IFERROR(__xludf.DUMMYFUNCTION("""COMPUTED_VALUE"""),7.4716187E7)</f>
        <v>74716187</v>
      </c>
      <c r="G48" s="1">
        <f>IFERROR(__xludf.DUMMYFUNCTION("""COMPUTED_VALUE"""),9.57217169E8)</f>
        <v>957217169</v>
      </c>
      <c r="H48" s="1" t="str">
        <f>IFERROR(__xludf.DUMMYFUNCTION("""COMPUTED_VALUE"""),"andreacristinacb@gmail.com")</f>
        <v>andreacristinacb@gmail.com</v>
      </c>
      <c r="I48" s="1" t="str">
        <f>IFERROR(__xludf.DUMMYFUNCTION("""COMPUTED_VALUE"""),"Arquitectura de Interiores")</f>
        <v>Arquitectura de Interiores</v>
      </c>
      <c r="J48" s="1" t="str">
        <f>IFERROR(__xludf.DUMMYFUNCTION("""COMPUTED_VALUE"""),"Arquitecturas")</f>
        <v>Arquitecturas</v>
      </c>
      <c r="K48" s="1" t="str">
        <f>IFERROR(__xludf.DUMMYFUNCTION("""COMPUTED_VALUE"""),"Antigua")</f>
        <v>Antigua</v>
      </c>
      <c r="L48" s="1" t="str">
        <f>IFERROR(__xludf.DUMMYFUNCTION("""COMPUTED_VALUE"""),"Admisión Extraordinaria (Traslados)")</f>
        <v>Admisión Extraordinaria (Traslados)</v>
      </c>
      <c r="M48" s="1" t="str">
        <f>IFERROR(__xludf.DUMMYFUNCTION("""COMPUTED_VALUE"""),"Semi-presencial")</f>
        <v>Semi-presencial</v>
      </c>
      <c r="N48" s="1" t="str">
        <f>IFERROR(__xludf.DUMMYFUNCTION("""COMPUTED_VALUE"""),"Diurno")</f>
        <v>Diurno</v>
      </c>
      <c r="O48" s="1" t="str">
        <f>IFERROR(__xludf.DUMMYFUNCTION("""COMPUTED_VALUE"""),"TRASLADO CON CONVA")</f>
        <v>TRASLADO CON CONVA</v>
      </c>
      <c r="P48" s="1" t="str">
        <f>IFERROR(__xludf.DUMMYFUNCTION("""COMPUTED_VALUE"""),"RECA")</f>
        <v>RECA</v>
      </c>
      <c r="Q48" s="1" t="str">
        <f>IFERROR(__xludf.DUMMYFUNCTION("""COMPUTED_VALUE"""),"RECATEGORIZACIÓN")</f>
        <v>RECATEGORIZACIÓN</v>
      </c>
      <c r="R48" s="1" t="str">
        <f>IFERROR(__xludf.DUMMYFUNCTION("""COMPUTED_VALUE"""),"NINGUNO")</f>
        <v>NINGUNO</v>
      </c>
      <c r="S48" s="1" t="str">
        <f>IFERROR(__xludf.DUMMYFUNCTION("""COMPUTED_VALUE"""),"FABIOLA")</f>
        <v>FABIOLA</v>
      </c>
      <c r="T48" s="3">
        <f>IFERROR(__xludf.DUMMYFUNCTION("""COMPUTED_VALUE"""),45779.0)</f>
        <v>45779</v>
      </c>
      <c r="U48" s="1" t="str">
        <f>IFERROR(__xludf.DUMMYFUNCTION("""COMPUTED_VALUE"""),"CARGO")</f>
        <v>CARGO</v>
      </c>
      <c r="V48" s="1" t="str">
        <f>IFERROR(__xludf.DUMMYFUNCTION("""COMPUTED_VALUE"""),"PAGO COMPLETO")</f>
        <v>PAGO COMPLETO</v>
      </c>
      <c r="W48" s="4">
        <f>IFERROR(__xludf.DUMMYFUNCTION("""COMPUTED_VALUE"""),0.0)</f>
        <v>0</v>
      </c>
      <c r="X48" s="1" t="str">
        <f>IFERROR(__xludf.DUMMYFUNCTION("""COMPUTED_VALUE"""),"-")</f>
        <v>-</v>
      </c>
      <c r="Y48" s="2">
        <f>IFERROR(__xludf.DUMMYFUNCTION("""COMPUTED_VALUE"""),45779.0)</f>
        <v>45779</v>
      </c>
      <c r="Z48" s="1" t="str">
        <f>IFERROR(__xludf.DUMMYFUNCTION("""COMPUTED_VALUE"""),"PAGO COMPLETO")</f>
        <v>PAGO COMPLETO</v>
      </c>
      <c r="AA48" s="1"/>
      <c r="AB48" s="1"/>
      <c r="AC48" s="4">
        <f>IFERROR(__xludf.DUMMYFUNCTION("""COMPUTED_VALUE"""),0.0)</f>
        <v>0</v>
      </c>
      <c r="AD48" s="4">
        <f>IFERROR(__xludf.DUMMYFUNCTION("""COMPUTED_VALUE"""),0.0)</f>
        <v>0</v>
      </c>
      <c r="AE48" s="4">
        <f>IFERROR(__xludf.DUMMYFUNCTION("""COMPUTED_VALUE"""),850.0)</f>
        <v>850</v>
      </c>
      <c r="AF48" s="4">
        <f>IFERROR(__xludf.DUMMYFUNCTION("""COMPUTED_VALUE"""),850.0)</f>
        <v>850</v>
      </c>
      <c r="AG48" s="1">
        <f>IFERROR(__xludf.DUMMYFUNCTION("""COMPUTED_VALUE"""),0.0)</f>
        <v>0</v>
      </c>
      <c r="AH48" s="1">
        <f>IFERROR(__xludf.DUMMYFUNCTION("""COMPUTED_VALUE"""),0.0)</f>
        <v>0</v>
      </c>
      <c r="AI48" s="1">
        <f>IFERROR(__xludf.DUMMYFUNCTION("""COMPUTED_VALUE"""),0.0)</f>
        <v>0</v>
      </c>
      <c r="AJ48" s="1">
        <f>IFERROR(__xludf.DUMMYFUNCTION("""COMPUTED_VALUE"""),1507037.0)</f>
        <v>1507037</v>
      </c>
      <c r="AK48" s="1"/>
      <c r="AL48" s="1"/>
      <c r="AM48" s="1" t="str">
        <f>IFERROR(__xludf.DUMMYFUNCTION("""COMPUTED_VALUE"""),"IDAT")</f>
        <v>IDAT</v>
      </c>
      <c r="AN48" s="1" t="str">
        <f>IFERROR(__xludf.DUMMYFUNCTION("""COMPUTED_VALUE""")," ")</f>
        <v> </v>
      </c>
      <c r="AO48" s="1">
        <f>IFERROR(__xludf.DUMMYFUNCTION("""COMPUTED_VALUE"""),2019.0)</f>
        <v>2019</v>
      </c>
      <c r="AP48" s="3">
        <f>IFERROR(__xludf.DUMMYFUNCTION("""COMPUTED_VALUE"""),45778.0)</f>
        <v>45778</v>
      </c>
      <c r="AQ48" s="2">
        <f>IFERROR(__xludf.DUMMYFUNCTION("""COMPUTED_VALUE"""),45775.0)</f>
        <v>45775</v>
      </c>
      <c r="AR48" s="2">
        <f>IFERROR(__xludf.DUMMYFUNCTION("""COMPUTED_VALUE"""),45753.0)</f>
        <v>45753</v>
      </c>
      <c r="AS48" s="2">
        <f>IFERROR(__xludf.DUMMYFUNCTION("""COMPUTED_VALUE"""),45748.0)</f>
        <v>45748</v>
      </c>
      <c r="AT48" s="2">
        <f>IFERROR(__xludf.DUMMYFUNCTION("""COMPUTED_VALUE"""),45747.0)</f>
        <v>45747</v>
      </c>
      <c r="AU48" s="1">
        <f>IFERROR(__xludf.DUMMYFUNCTION("""COMPUTED_VALUE"""),26.0)</f>
        <v>26</v>
      </c>
      <c r="AV48" s="1" t="str">
        <f>IFERROR(__xludf.DUMMYFUNCTION("""COMPUTED_VALUE"""),"DIGITAL")</f>
        <v>DIGITAL</v>
      </c>
      <c r="AW48" s="1" t="str">
        <f>IFERROR(__xludf.DUMMYFUNCTION("""COMPUTED_VALUE"""),"FORMULARIO")</f>
        <v>FORMULARIO</v>
      </c>
      <c r="AX48" s="1" t="str">
        <f>IFERROR(__xludf.DUMMYFUNCTION("""COMPUTED_VALUE"""),"ORGANICO")</f>
        <v>ORGANICO</v>
      </c>
      <c r="AY48" s="1">
        <f>IFERROR(__xludf.DUMMYFUNCTION("""COMPUTED_VALUE"""),1.0)</f>
        <v>1</v>
      </c>
      <c r="AZ48" s="1" t="str">
        <f>IFERROR(__xludf.DUMMYFUNCTION("""COMPUTED_VALUE"""),"Cinthia Mariella Orosco")</f>
        <v>Cinthia Mariella Orosco</v>
      </c>
      <c r="BA48" s="5">
        <f>IFERROR(__xludf.DUMMYFUNCTION("""COMPUTED_VALUE"""),1.0)</f>
        <v>1</v>
      </c>
      <c r="BB48" s="6">
        <f>IFERROR(__xludf.DUMMYFUNCTION("""COMPUTED_VALUE"""),850.0)</f>
        <v>850</v>
      </c>
      <c r="BC48" s="1"/>
      <c r="BD48" s="1" t="str">
        <f>IFERROR(__xludf.DUMMYFUNCTION("""COMPUTED_VALUE""")," -")</f>
        <v> -</v>
      </c>
      <c r="BE48" s="1">
        <f>IFERROR(__xludf.DUMMYFUNCTION("""COMPUTED_VALUE"""),1.0)</f>
        <v>1</v>
      </c>
      <c r="BF48" s="1">
        <f>IFERROR(__xludf.DUMMYFUNCTION("""COMPUTED_VALUE"""),0.0)</f>
        <v>0</v>
      </c>
      <c r="BG48" s="1"/>
      <c r="BH48" s="1" t="str">
        <f>IFERROR(__xludf.DUMMYFUNCTION("""COMPUTED_VALUE"""),"No aplica")</f>
        <v>No aplica</v>
      </c>
      <c r="BI48" s="1">
        <f>IFERROR(__xludf.DUMMYFUNCTION("""COMPUTED_VALUE"""),1.0)</f>
        <v>1</v>
      </c>
      <c r="BJ48" s="1" t="str">
        <f>IFERROR(__xludf.DUMMYFUNCTION("""COMPUTED_VALUE"""),"TRASLADO")</f>
        <v>TRASLADO</v>
      </c>
    </row>
    <row r="49">
      <c r="A49" s="1">
        <f>IFERROR(__xludf.DUMMYFUNCTION("""COMPUTED_VALUE"""),48.0)</f>
        <v>48</v>
      </c>
      <c r="B49" s="1">
        <f>IFERROR(__xludf.DUMMYFUNCTION("""COMPUTED_VALUE"""),5179783.0)</f>
        <v>5179783</v>
      </c>
      <c r="C49" s="1" t="str">
        <f>IFERROR(__xludf.DUMMYFUNCTION("""COMPUTED_VALUE"""),"0000424818")</f>
        <v>0000424818</v>
      </c>
      <c r="D49" s="1" t="str">
        <f>IFERROR(__xludf.DUMMYFUNCTION("""COMPUTED_VALUE"""),"RODRIGO JAVIER")</f>
        <v>RODRIGO JAVIER</v>
      </c>
      <c r="E49" s="2" t="str">
        <f>IFERROR(__xludf.DUMMYFUNCTION("""COMPUTED_VALUE"""),"PAREDES CESPEDES")</f>
        <v>PAREDES CESPEDES</v>
      </c>
      <c r="F49" s="1">
        <f>IFERROR(__xludf.DUMMYFUNCTION("""COMPUTED_VALUE"""),7.2790656E7)</f>
        <v>72790656</v>
      </c>
      <c r="G49" s="1">
        <f>IFERROR(__xludf.DUMMYFUNCTION("""COMPUTED_VALUE"""),9.57999304E8)</f>
        <v>957999304</v>
      </c>
      <c r="H49" s="1" t="str">
        <f>IFERROR(__xludf.DUMMYFUNCTION("""COMPUTED_VALUE"""),"lipsal0201@gmail.com")</f>
        <v>lipsal0201@gmail.com</v>
      </c>
      <c r="I49" s="1" t="str">
        <f>IFERROR(__xludf.DUMMYFUNCTION("""COMPUTED_VALUE"""),"Comunicación Audiovisual y Cine")</f>
        <v>Comunicación Audiovisual y Cine</v>
      </c>
      <c r="J49" s="1" t="str">
        <f>IFERROR(__xludf.DUMMYFUNCTION("""COMPUTED_VALUE"""),"Comunicaciones")</f>
        <v>Comunicaciones</v>
      </c>
      <c r="K49" s="1" t="str">
        <f>IFERROR(__xludf.DUMMYFUNCTION("""COMPUTED_VALUE"""),"Antigua")</f>
        <v>Antigua</v>
      </c>
      <c r="L49" s="1" t="str">
        <f>IFERROR(__xludf.DUMMYFUNCTION("""COMPUTED_VALUE"""),"Admisión Extraordinaria (Traslados)")</f>
        <v>Admisión Extraordinaria (Traslados)</v>
      </c>
      <c r="M49" s="1" t="str">
        <f>IFERROR(__xludf.DUMMYFUNCTION("""COMPUTED_VALUE"""),"Semi-presencial")</f>
        <v>Semi-presencial</v>
      </c>
      <c r="N49" s="1" t="str">
        <f>IFERROR(__xludf.DUMMYFUNCTION("""COMPUTED_VALUE"""),"Diurno")</f>
        <v>Diurno</v>
      </c>
      <c r="O49" s="1" t="str">
        <f>IFERROR(__xludf.DUMMYFUNCTION("""COMPUTED_VALUE"""),"TRASLADO SIN CONVA")</f>
        <v>TRASLADO SIN CONVA</v>
      </c>
      <c r="P49" s="1" t="str">
        <f>IFERROR(__xludf.DUMMYFUNCTION("""COMPUTED_VALUE"""),"ESCALA REGULAR")</f>
        <v>ESCALA REGULAR</v>
      </c>
      <c r="Q49" s="1" t="str">
        <f>IFERROR(__xludf.DUMMYFUNCTION("""COMPUTED_VALUE"""),"NINGUNO")</f>
        <v>NINGUNO</v>
      </c>
      <c r="R49" s="1" t="str">
        <f>IFERROR(__xludf.DUMMYFUNCTION("""COMPUTED_VALUE"""),"NINGUNO")</f>
        <v>NINGUNO</v>
      </c>
      <c r="S49" s="1" t="str">
        <f>IFERROR(__xludf.DUMMYFUNCTION("""COMPUTED_VALUE"""),"FABIOLA")</f>
        <v>FABIOLA</v>
      </c>
      <c r="T49" s="3">
        <f>IFERROR(__xludf.DUMMYFUNCTION("""COMPUTED_VALUE"""),45779.0)</f>
        <v>45779</v>
      </c>
      <c r="U49" s="1" t="str">
        <f>IFERROR(__xludf.DUMMYFUNCTION("""COMPUTED_VALUE"""),"CARGO")</f>
        <v>CARGO</v>
      </c>
      <c r="V49" s="1" t="str">
        <f>IFERROR(__xludf.DUMMYFUNCTION("""COMPUTED_VALUE"""),"PAGO COMPLETO")</f>
        <v>PAGO COMPLETO</v>
      </c>
      <c r="W49" s="4">
        <f>IFERROR(__xludf.DUMMYFUNCTION("""COMPUTED_VALUE"""),0.0)</f>
        <v>0</v>
      </c>
      <c r="X49" s="1" t="str">
        <f>IFERROR(__xludf.DUMMYFUNCTION("""COMPUTED_VALUE"""),"-")</f>
        <v>-</v>
      </c>
      <c r="Y49" s="2">
        <f>IFERROR(__xludf.DUMMYFUNCTION("""COMPUTED_VALUE"""),45779.0)</f>
        <v>45779</v>
      </c>
      <c r="Z49" s="1" t="str">
        <f>IFERROR(__xludf.DUMMYFUNCTION("""COMPUTED_VALUE"""),"PAGO COMPLETO")</f>
        <v>PAGO COMPLETO</v>
      </c>
      <c r="AA49" s="1"/>
      <c r="AB49" s="1"/>
      <c r="AC49" s="4">
        <f>IFERROR(__xludf.DUMMYFUNCTION("""COMPUTED_VALUE"""),0.0)</f>
        <v>0</v>
      </c>
      <c r="AD49" s="4">
        <f>IFERROR(__xludf.DUMMYFUNCTION("""COMPUTED_VALUE"""),0.0)</f>
        <v>0</v>
      </c>
      <c r="AE49" s="4">
        <f>IFERROR(__xludf.DUMMYFUNCTION("""COMPUTED_VALUE"""),1050.0)</f>
        <v>1050</v>
      </c>
      <c r="AF49" s="4">
        <f>IFERROR(__xludf.DUMMYFUNCTION("""COMPUTED_VALUE"""),1050.0)</f>
        <v>1050</v>
      </c>
      <c r="AG49" s="1">
        <f>IFERROR(__xludf.DUMMYFUNCTION("""COMPUTED_VALUE"""),0.0)</f>
        <v>0</v>
      </c>
      <c r="AH49" s="1">
        <f>IFERROR(__xludf.DUMMYFUNCTION("""COMPUTED_VALUE"""),0.0)</f>
        <v>0</v>
      </c>
      <c r="AI49" s="1">
        <f>IFERROR(__xludf.DUMMYFUNCTION("""COMPUTED_VALUE"""),0.0)</f>
        <v>0</v>
      </c>
      <c r="AJ49" s="1">
        <f>IFERROR(__xludf.DUMMYFUNCTION("""COMPUTED_VALUE"""),1466614.0)</f>
        <v>1466614</v>
      </c>
      <c r="AK49" s="1" t="str">
        <f>IFERROR(__xludf.DUMMYFUNCTION("""COMPUTED_VALUE"""),"Más de 15 kms")</f>
        <v>Más de 15 kms</v>
      </c>
      <c r="AL49" s="1" t="str">
        <f>IFERROR(__xludf.DUMMYFUNCTION("""COMPUTED_VALUE"""),"05 301 a 550")</f>
        <v>05 301 a 550</v>
      </c>
      <c r="AM49" s="1" t="str">
        <f>IFERROR(__xludf.DUMMYFUNCTION("""COMPUTED_VALUE"""),"ISIL")</f>
        <v>ISIL</v>
      </c>
      <c r="AN49" s="1" t="str">
        <f>IFERROR(__xludf.DUMMYFUNCTION("""COMPUTED_VALUE""")," ")</f>
        <v> </v>
      </c>
      <c r="AO49" s="1">
        <f>IFERROR(__xludf.DUMMYFUNCTION("""COMPUTED_VALUE"""),2021.0)</f>
        <v>2021</v>
      </c>
      <c r="AP49" s="3">
        <f>IFERROR(__xludf.DUMMYFUNCTION("""COMPUTED_VALUE"""),45778.0)</f>
        <v>45778</v>
      </c>
      <c r="AQ49" s="2">
        <f>IFERROR(__xludf.DUMMYFUNCTION("""COMPUTED_VALUE"""),45775.0)</f>
        <v>45775</v>
      </c>
      <c r="AR49" s="2">
        <f>IFERROR(__xludf.DUMMYFUNCTION("""COMPUTED_VALUE"""),45779.0)</f>
        <v>45779</v>
      </c>
      <c r="AS49" s="2">
        <f>IFERROR(__xludf.DUMMYFUNCTION("""COMPUTED_VALUE"""),45778.0)</f>
        <v>45778</v>
      </c>
      <c r="AT49" s="2">
        <f>IFERROR(__xludf.DUMMYFUNCTION("""COMPUTED_VALUE"""),45775.0)</f>
        <v>45775</v>
      </c>
      <c r="AU49" s="1">
        <f>IFERROR(__xludf.DUMMYFUNCTION("""COMPUTED_VALUE"""),0.0)</f>
        <v>0</v>
      </c>
      <c r="AV49" s="1" t="str">
        <f>IFERROR(__xludf.DUMMYFUNCTION("""COMPUTED_VALUE"""),"DIGITAL")</f>
        <v>DIGITAL</v>
      </c>
      <c r="AW49" s="1" t="str">
        <f>IFERROR(__xludf.DUMMYFUNCTION("""COMPUTED_VALUE"""),"FORMULARIO")</f>
        <v>FORMULARIO</v>
      </c>
      <c r="AX49" s="1" t="str">
        <f>IFERROR(__xludf.DUMMYFUNCTION("""COMPUTED_VALUE"""),"SEARCH MARCA")</f>
        <v>SEARCH MARCA</v>
      </c>
      <c r="AY49" s="1">
        <f>IFERROR(__xludf.DUMMYFUNCTION("""COMPUTED_VALUE"""),1.0)</f>
        <v>1</v>
      </c>
      <c r="AZ49" s="1" t="str">
        <f>IFERROR(__xludf.DUMMYFUNCTION("""COMPUTED_VALUE"""),"Juan Manuel Rodríguez")</f>
        <v>Juan Manuel Rodríguez</v>
      </c>
      <c r="BA49" s="5">
        <f>IFERROR(__xludf.DUMMYFUNCTION("""COMPUTED_VALUE"""),1.0)</f>
        <v>1</v>
      </c>
      <c r="BB49" s="6">
        <f>IFERROR(__xludf.DUMMYFUNCTION("""COMPUTED_VALUE"""),1050.0)</f>
        <v>1050</v>
      </c>
      <c r="BC49" s="1">
        <f>IFERROR(__xludf.DUMMYFUNCTION("""COMPUTED_VALUE"""),0.0)</f>
        <v>0</v>
      </c>
      <c r="BD49" s="1" t="str">
        <f>IFERROR(__xludf.DUMMYFUNCTION("""COMPUTED_VALUE""")," -")</f>
        <v> -</v>
      </c>
      <c r="BE49" s="1">
        <f>IFERROR(__xludf.DUMMYFUNCTION("""COMPUTED_VALUE"""),1.0)</f>
        <v>1</v>
      </c>
      <c r="BF49" s="1">
        <f>IFERROR(__xludf.DUMMYFUNCTION("""COMPUTED_VALUE"""),0.0)</f>
        <v>0</v>
      </c>
      <c r="BG49" s="3">
        <f>IFERROR(__xludf.DUMMYFUNCTION("""COMPUTED_VALUE"""),45794.0)</f>
        <v>45794</v>
      </c>
      <c r="BH49" s="1"/>
      <c r="BI49" s="1">
        <f>IFERROR(__xludf.DUMMYFUNCTION("""COMPUTED_VALUE"""),0.0)</f>
        <v>0</v>
      </c>
      <c r="BJ49" s="1" t="str">
        <f>IFERROR(__xludf.DUMMYFUNCTION("""COMPUTED_VALUE"""),"NUEVO")</f>
        <v>NUEVO</v>
      </c>
    </row>
    <row r="50">
      <c r="A50" s="1">
        <f>IFERROR(__xludf.DUMMYFUNCTION("""COMPUTED_VALUE"""),49.0)</f>
        <v>49</v>
      </c>
      <c r="B50" s="1">
        <f>IFERROR(__xludf.DUMMYFUNCTION("""COMPUTED_VALUE"""),5183596.0)</f>
        <v>5183596</v>
      </c>
      <c r="C50" s="1" t="str">
        <f>IFERROR(__xludf.DUMMYFUNCTION("""COMPUTED_VALUE"""),"0000425001")</f>
        <v>0000425001</v>
      </c>
      <c r="D50" s="1" t="str">
        <f>IFERROR(__xludf.DUMMYFUNCTION("""COMPUTED_VALUE"""),"JOHANA YAMILLE")</f>
        <v>JOHANA YAMILLE</v>
      </c>
      <c r="E50" s="2" t="str">
        <f>IFERROR(__xludf.DUMMYFUNCTION("""COMPUTED_VALUE"""),"OLLERO VIDALON")</f>
        <v>OLLERO VIDALON</v>
      </c>
      <c r="F50" s="1">
        <f>IFERROR(__xludf.DUMMYFUNCTION("""COMPUTED_VALUE"""),7.3388134E7)</f>
        <v>73388134</v>
      </c>
      <c r="G50" s="1">
        <f>IFERROR(__xludf.DUMMYFUNCTION("""COMPUTED_VALUE"""),9.82876029E8)</f>
        <v>982876029</v>
      </c>
      <c r="H50" s="1" t="str">
        <f>IFERROR(__xludf.DUMMYFUNCTION("""COMPUTED_VALUE"""),"yamilleollerovidalon@gmail.com")</f>
        <v>yamilleollerovidalon@gmail.com</v>
      </c>
      <c r="I50" s="1" t="str">
        <f>IFERROR(__xludf.DUMMYFUNCTION("""COMPUTED_VALUE"""),"Arquitectura")</f>
        <v>Arquitectura</v>
      </c>
      <c r="J50" s="1" t="str">
        <f>IFERROR(__xludf.DUMMYFUNCTION("""COMPUTED_VALUE"""),"Arquitecturas")</f>
        <v>Arquitecturas</v>
      </c>
      <c r="K50" s="1" t="str">
        <f>IFERROR(__xludf.DUMMYFUNCTION("""COMPUTED_VALUE"""),"Antigua")</f>
        <v>Antigua</v>
      </c>
      <c r="L50" s="1" t="str">
        <f>IFERROR(__xludf.DUMMYFUNCTION("""COMPUTED_VALUE"""),"Admisión Ordinaria")</f>
        <v>Admisión Ordinaria</v>
      </c>
      <c r="M50" s="1" t="str">
        <f>IFERROR(__xludf.DUMMYFUNCTION("""COMPUTED_VALUE"""),"Semi-presencial")</f>
        <v>Semi-presencial</v>
      </c>
      <c r="N50" s="1" t="str">
        <f>IFERROR(__xludf.DUMMYFUNCTION("""COMPUTED_VALUE"""),"Diurno")</f>
        <v>Diurno</v>
      </c>
      <c r="O50" s="1" t="str">
        <f>IFERROR(__xludf.DUMMYFUNCTION("""COMPUTED_VALUE"""),"NUEVO")</f>
        <v>NUEVO</v>
      </c>
      <c r="P50" s="1" t="str">
        <f>IFERROR(__xludf.DUMMYFUNCTION("""COMPUTED_VALUE"""),"BECA")</f>
        <v>BECA</v>
      </c>
      <c r="Q50" s="1" t="str">
        <f>IFERROR(__xludf.DUMMYFUNCTION("""COMPUTED_VALUE"""),"BECA CARRERAS CORE")</f>
        <v>BECA CARRERAS CORE</v>
      </c>
      <c r="R50" s="1" t="str">
        <f>IFERROR(__xludf.DUMMYFUNCTION("""COMPUTED_VALUE"""),"NINGUNO")</f>
        <v>NINGUNO</v>
      </c>
      <c r="S50" s="1" t="str">
        <f>IFERROR(__xludf.DUMMYFUNCTION("""COMPUTED_VALUE"""),"FABIOLA")</f>
        <v>FABIOLA</v>
      </c>
      <c r="T50" s="3">
        <f>IFERROR(__xludf.DUMMYFUNCTION("""COMPUTED_VALUE"""),45784.0)</f>
        <v>45784</v>
      </c>
      <c r="U50" s="1" t="str">
        <f>IFERROR(__xludf.DUMMYFUNCTION("""COMPUTED_VALUE"""),"CARGO")</f>
        <v>CARGO</v>
      </c>
      <c r="V50" s="1" t="str">
        <f>IFERROR(__xludf.DUMMYFUNCTION("""COMPUTED_VALUE"""),"PAGO COMPLETO")</f>
        <v>PAGO COMPLETO</v>
      </c>
      <c r="W50" s="4">
        <f>IFERROR(__xludf.DUMMYFUNCTION("""COMPUTED_VALUE"""),0.0)</f>
        <v>0</v>
      </c>
      <c r="X50" s="1" t="str">
        <f>IFERROR(__xludf.DUMMYFUNCTION("""COMPUTED_VALUE"""),"-")</f>
        <v>-</v>
      </c>
      <c r="Y50" s="2">
        <f>IFERROR(__xludf.DUMMYFUNCTION("""COMPUTED_VALUE"""),45784.0)</f>
        <v>45784</v>
      </c>
      <c r="Z50" s="1" t="str">
        <f>IFERROR(__xludf.DUMMYFUNCTION("""COMPUTED_VALUE"""),"PAGO COMPLETO")</f>
        <v>PAGO COMPLETO</v>
      </c>
      <c r="AA50" s="1"/>
      <c r="AB50" s="1"/>
      <c r="AC50" s="4">
        <f>IFERROR(__xludf.DUMMYFUNCTION("""COMPUTED_VALUE"""),50.0)</f>
        <v>50</v>
      </c>
      <c r="AD50" s="4">
        <f>IFERROR(__xludf.DUMMYFUNCTION("""COMPUTED_VALUE"""),95.0)</f>
        <v>95</v>
      </c>
      <c r="AE50" s="4">
        <f>IFERROR(__xludf.DUMMYFUNCTION("""COMPUTED_VALUE"""),1500.0)</f>
        <v>1500</v>
      </c>
      <c r="AF50" s="4">
        <f>IFERROR(__xludf.DUMMYFUNCTION("""COMPUTED_VALUE"""),1250.0)</f>
        <v>1250</v>
      </c>
      <c r="AG50" s="1">
        <f>IFERROR(__xludf.DUMMYFUNCTION("""COMPUTED_VALUE"""),0.0)</f>
        <v>0</v>
      </c>
      <c r="AH50" s="1">
        <f>IFERROR(__xludf.DUMMYFUNCTION("""COMPUTED_VALUE"""),0.0)</f>
        <v>0</v>
      </c>
      <c r="AI50" s="1">
        <f>IFERROR(__xludf.DUMMYFUNCTION("""COMPUTED_VALUE"""),0.0)</f>
        <v>0</v>
      </c>
      <c r="AJ50" s="1">
        <f>IFERROR(__xludf.DUMMYFUNCTION("""COMPUTED_VALUE"""),449553.0)</f>
        <v>449553</v>
      </c>
      <c r="AK50" s="1" t="str">
        <f>IFERROR(__xludf.DUMMYFUNCTION("""COMPUTED_VALUE"""),"10 kms a 15 kms")</f>
        <v>10 kms a 15 kms</v>
      </c>
      <c r="AL50" s="1" t="str">
        <f>IFERROR(__xludf.DUMMYFUNCTION("""COMPUTED_VALUE"""),"06 551 a 800")</f>
        <v>06 551 a 800</v>
      </c>
      <c r="AM50" s="1" t="str">
        <f>IFERROR(__xludf.DUMMYFUNCTION("""COMPUTED_VALUE"""),"-")</f>
        <v>-</v>
      </c>
      <c r="AN50" s="1" t="str">
        <f>IFERROR(__xludf.DUMMYFUNCTION("""COMPUTED_VALUE""")," -")</f>
        <v> -</v>
      </c>
      <c r="AO50" s="1">
        <f>IFERROR(__xludf.DUMMYFUNCTION("""COMPUTED_VALUE"""),2021.0)</f>
        <v>2021</v>
      </c>
      <c r="AP50" s="3">
        <f>IFERROR(__xludf.DUMMYFUNCTION("""COMPUTED_VALUE"""),45778.0)</f>
        <v>45778</v>
      </c>
      <c r="AQ50" s="2">
        <f>IFERROR(__xludf.DUMMYFUNCTION("""COMPUTED_VALUE"""),45775.0)</f>
        <v>45775</v>
      </c>
      <c r="AR50" s="2">
        <f>IFERROR(__xludf.DUMMYFUNCTION("""COMPUTED_VALUE"""),45782.0)</f>
        <v>45782</v>
      </c>
      <c r="AS50" s="2">
        <f>IFERROR(__xludf.DUMMYFUNCTION("""COMPUTED_VALUE"""),45778.0)</f>
        <v>45778</v>
      </c>
      <c r="AT50" s="2">
        <f>IFERROR(__xludf.DUMMYFUNCTION("""COMPUTED_VALUE"""),45775.0)</f>
        <v>45775</v>
      </c>
      <c r="AU50" s="1">
        <f>IFERROR(__xludf.DUMMYFUNCTION("""COMPUTED_VALUE"""),2.0)</f>
        <v>2</v>
      </c>
      <c r="AV50" s="1" t="str">
        <f>IFERROR(__xludf.DUMMYFUNCTION("""COMPUTED_VALUE"""),"DIGITAL")</f>
        <v>DIGITAL</v>
      </c>
      <c r="AW50" s="1" t="str">
        <f>IFERROR(__xludf.DUMMYFUNCTION("""COMPUTED_VALUE"""),"BIDIRECCIONAL")</f>
        <v>BIDIRECCIONAL</v>
      </c>
      <c r="AX50" s="1" t="str">
        <f>IFERROR(__xludf.DUMMYFUNCTION("""COMPUTED_VALUE"""),"ORGANICO")</f>
        <v>ORGANICO</v>
      </c>
      <c r="AY50" s="1">
        <f>IFERROR(__xludf.DUMMYFUNCTION("""COMPUTED_VALUE"""),1.0)</f>
        <v>1</v>
      </c>
      <c r="AZ50" s="1" t="str">
        <f>IFERROR(__xludf.DUMMYFUNCTION("""COMPUTED_VALUE"""),"Juan Manuel Rodríguez")</f>
        <v>Juan Manuel Rodríguez</v>
      </c>
      <c r="BA50" s="5">
        <f>IFERROR(__xludf.DUMMYFUNCTION("""COMPUTED_VALUE"""),1.0)</f>
        <v>1</v>
      </c>
      <c r="BB50" s="6">
        <f>IFERROR(__xludf.DUMMYFUNCTION("""COMPUTED_VALUE"""),1250.0)</f>
        <v>1250</v>
      </c>
      <c r="BC50" s="1">
        <f>IFERROR(__xludf.DUMMYFUNCTION("""COMPUTED_VALUE"""),1.0)</f>
        <v>1</v>
      </c>
      <c r="BD50" s="1" t="str">
        <f>IFERROR(__xludf.DUMMYFUNCTION("""COMPUTED_VALUE"""),"Redacción")</f>
        <v>Redacción</v>
      </c>
      <c r="BE50" s="1">
        <f>IFERROR(__xludf.DUMMYFUNCTION("""COMPUTED_VALUE"""),1.0)</f>
        <v>1</v>
      </c>
      <c r="BF50" s="1">
        <f>IFERROR(__xludf.DUMMYFUNCTION("""COMPUTED_VALUE"""),1.0)</f>
        <v>1</v>
      </c>
      <c r="BG50" s="3">
        <f>IFERROR(__xludf.DUMMYFUNCTION("""COMPUTED_VALUE"""),45794.0)</f>
        <v>45794</v>
      </c>
      <c r="BH50" s="1" t="str">
        <f>IFERROR(__xludf.DUMMYFUNCTION("""COMPUTED_VALUE"""),"17/05/2025")</f>
        <v>17/05/2025</v>
      </c>
      <c r="BI50" s="1">
        <f>IFERROR(__xludf.DUMMYFUNCTION("""COMPUTED_VALUE"""),0.0)</f>
        <v>0</v>
      </c>
      <c r="BJ50" s="1" t="str">
        <f>IFERROR(__xludf.DUMMYFUNCTION("""COMPUTED_VALUE"""),"NUEVO")</f>
        <v>NUEVO</v>
      </c>
    </row>
    <row r="51">
      <c r="A51" s="1">
        <f>IFERROR(__xludf.DUMMYFUNCTION("""COMPUTED_VALUE"""),50.0)</f>
        <v>50</v>
      </c>
      <c r="B51" s="1">
        <f>IFERROR(__xludf.DUMMYFUNCTION("""COMPUTED_VALUE"""),1335936.0)</f>
        <v>1335936</v>
      </c>
      <c r="C51" s="1" t="str">
        <f>IFERROR(__xludf.DUMMYFUNCTION("""COMPUTED_VALUE"""),"0000425190")</f>
        <v>0000425190</v>
      </c>
      <c r="D51" s="1" t="str">
        <f>IFERROR(__xludf.DUMMYFUNCTION("""COMPUTED_VALUE"""),"JIMENA GIANINA ")</f>
        <v>JIMENA GIANINA </v>
      </c>
      <c r="E51" s="2" t="str">
        <f>IFERROR(__xludf.DUMMYFUNCTION("""COMPUTED_VALUE"""),"SALAZAR MEDINA")</f>
        <v>SALAZAR MEDINA</v>
      </c>
      <c r="F51" s="1">
        <f>IFERROR(__xludf.DUMMYFUNCTION("""COMPUTED_VALUE"""),7.3258118E7)</f>
        <v>73258118</v>
      </c>
      <c r="G51" s="1">
        <f>IFERROR(__xludf.DUMMYFUNCTION("""COMPUTED_VALUE"""),9.18522276E8)</f>
        <v>918522276</v>
      </c>
      <c r="H51" s="1" t="str">
        <f>IFERROR(__xludf.DUMMYFUNCTION("""COMPUTED_VALUE"""),"gianinasalazar1021@gmail.com")</f>
        <v>gianinasalazar1021@gmail.com</v>
      </c>
      <c r="I51" s="1" t="str">
        <f>IFERROR(__xludf.DUMMYFUNCTION("""COMPUTED_VALUE"""),"Comunicación")</f>
        <v>Comunicación</v>
      </c>
      <c r="J51" s="1" t="str">
        <f>IFERROR(__xludf.DUMMYFUNCTION("""COMPUTED_VALUE"""),"Comunicaciones")</f>
        <v>Comunicaciones</v>
      </c>
      <c r="K51" s="1" t="str">
        <f>IFERROR(__xludf.DUMMYFUNCTION("""COMPUTED_VALUE"""),"Antigua")</f>
        <v>Antigua</v>
      </c>
      <c r="L51" s="1" t="str">
        <f>IFERROR(__xludf.DUMMYFUNCTION("""COMPUTED_VALUE"""),"Admisión Ordinaria")</f>
        <v>Admisión Ordinaria</v>
      </c>
      <c r="M51" s="1" t="str">
        <f>IFERROR(__xludf.DUMMYFUNCTION("""COMPUTED_VALUE"""),"Semi-presencial")</f>
        <v>Semi-presencial</v>
      </c>
      <c r="N51" s="1" t="str">
        <f>IFERROR(__xludf.DUMMYFUNCTION("""COMPUTED_VALUE"""),"Diurno")</f>
        <v>Diurno</v>
      </c>
      <c r="O51" s="1" t="str">
        <f>IFERROR(__xludf.DUMMYFUNCTION("""COMPUTED_VALUE"""),"NUEVO")</f>
        <v>NUEVO</v>
      </c>
      <c r="P51" s="1" t="str">
        <f>IFERROR(__xludf.DUMMYFUNCTION("""COMPUTED_VALUE"""),"ESCALA REGULAR")</f>
        <v>ESCALA REGULAR</v>
      </c>
      <c r="Q51" s="1" t="str">
        <f>IFERROR(__xludf.DUMMYFUNCTION("""COMPUTED_VALUE"""),"NINGUNO")</f>
        <v>NINGUNO</v>
      </c>
      <c r="R51" s="1" t="str">
        <f>IFERROR(__xludf.DUMMYFUNCTION("""COMPUTED_VALUE"""),"NINGUNO")</f>
        <v>NINGUNO</v>
      </c>
      <c r="S51" s="1" t="str">
        <f>IFERROR(__xludf.DUMMYFUNCTION("""COMPUTED_VALUE"""),"RODRIGO")</f>
        <v>RODRIGO</v>
      </c>
      <c r="T51" s="3">
        <f>IFERROR(__xludf.DUMMYFUNCTION("""COMPUTED_VALUE"""),45784.0)</f>
        <v>45784</v>
      </c>
      <c r="U51" s="1" t="str">
        <f>IFERROR(__xludf.DUMMYFUNCTION("""COMPUTED_VALUE"""),"CARGO")</f>
        <v>CARGO</v>
      </c>
      <c r="V51" s="1" t="str">
        <f>IFERROR(__xludf.DUMMYFUNCTION("""COMPUTED_VALUE"""),"PAGO COMPLETO")</f>
        <v>PAGO COMPLETO</v>
      </c>
      <c r="W51" s="4">
        <f>IFERROR(__xludf.DUMMYFUNCTION("""COMPUTED_VALUE"""),0.0)</f>
        <v>0</v>
      </c>
      <c r="X51" s="1" t="str">
        <f>IFERROR(__xludf.DUMMYFUNCTION("""COMPUTED_VALUE"""),"-")</f>
        <v>-</v>
      </c>
      <c r="Y51" s="2">
        <f>IFERROR(__xludf.DUMMYFUNCTION("""COMPUTED_VALUE"""),45784.0)</f>
        <v>45784</v>
      </c>
      <c r="Z51" s="1" t="str">
        <f>IFERROR(__xludf.DUMMYFUNCTION("""COMPUTED_VALUE"""),"PAGO COMPLETO")</f>
        <v>PAGO COMPLETO</v>
      </c>
      <c r="AA51" s="1"/>
      <c r="AB51" s="1"/>
      <c r="AC51" s="4">
        <f>IFERROR(__xludf.DUMMYFUNCTION("""COMPUTED_VALUE"""),50.0)</f>
        <v>50</v>
      </c>
      <c r="AD51" s="4">
        <f>IFERROR(__xludf.DUMMYFUNCTION("""COMPUTED_VALUE"""),95.0)</f>
        <v>95</v>
      </c>
      <c r="AE51" s="4">
        <f>IFERROR(__xludf.DUMMYFUNCTION("""COMPUTED_VALUE"""),1200.0)</f>
        <v>1200</v>
      </c>
      <c r="AF51" s="4">
        <f>IFERROR(__xludf.DUMMYFUNCTION("""COMPUTED_VALUE"""),1200.0)</f>
        <v>1200</v>
      </c>
      <c r="AG51" s="1">
        <f>IFERROR(__xludf.DUMMYFUNCTION("""COMPUTED_VALUE"""),0.0)</f>
        <v>0</v>
      </c>
      <c r="AH51" s="1">
        <f>IFERROR(__xludf.DUMMYFUNCTION("""COMPUTED_VALUE"""),0.0)</f>
        <v>0</v>
      </c>
      <c r="AI51" s="1">
        <f>IFERROR(__xludf.DUMMYFUNCTION("""COMPUTED_VALUE"""),0.0)</f>
        <v>0</v>
      </c>
      <c r="AJ51" s="1">
        <f>IFERROR(__xludf.DUMMYFUNCTION("""COMPUTED_VALUE"""),692459.0)</f>
        <v>692459</v>
      </c>
      <c r="AK51" s="1" t="str">
        <f>IFERROR(__xludf.DUMMYFUNCTION("""COMPUTED_VALUE"""),"10 kms a 15 kms")</f>
        <v>10 kms a 15 kms</v>
      </c>
      <c r="AL51" s="1" t="str">
        <f>IFERROR(__xludf.DUMMYFUNCTION("""COMPUTED_VALUE"""),"01 Nacional")</f>
        <v>01 Nacional</v>
      </c>
      <c r="AM51" s="1" t="str">
        <f>IFERROR(__xludf.DUMMYFUNCTION("""COMPUTED_VALUE"""),"-")</f>
        <v>-</v>
      </c>
      <c r="AN51" s="1" t="str">
        <f>IFERROR(__xludf.DUMMYFUNCTION("""COMPUTED_VALUE""")," -")</f>
        <v> -</v>
      </c>
      <c r="AO51" s="1">
        <f>IFERROR(__xludf.DUMMYFUNCTION("""COMPUTED_VALUE"""),2021.0)</f>
        <v>2021</v>
      </c>
      <c r="AP51" s="3">
        <f>IFERROR(__xludf.DUMMYFUNCTION("""COMPUTED_VALUE"""),45778.0)</f>
        <v>45778</v>
      </c>
      <c r="AQ51" s="2">
        <f>IFERROR(__xludf.DUMMYFUNCTION("""COMPUTED_VALUE"""),45775.0)</f>
        <v>45775</v>
      </c>
      <c r="AR51" s="2">
        <f>IFERROR(__xludf.DUMMYFUNCTION("""COMPUTED_VALUE"""),45783.0)</f>
        <v>45783</v>
      </c>
      <c r="AS51" s="2">
        <f>IFERROR(__xludf.DUMMYFUNCTION("""COMPUTED_VALUE"""),45778.0)</f>
        <v>45778</v>
      </c>
      <c r="AT51" s="2">
        <f>IFERROR(__xludf.DUMMYFUNCTION("""COMPUTED_VALUE"""),45775.0)</f>
        <v>45775</v>
      </c>
      <c r="AU51" s="1">
        <f>IFERROR(__xludf.DUMMYFUNCTION("""COMPUTED_VALUE"""),1.0)</f>
        <v>1</v>
      </c>
      <c r="AV51" s="1" t="str">
        <f>IFERROR(__xludf.DUMMYFUNCTION("""COMPUTED_VALUE"""),"DIGITAL")</f>
        <v>DIGITAL</v>
      </c>
      <c r="AW51" s="1" t="str">
        <f>IFERROR(__xludf.DUMMYFUNCTION("""COMPUTED_VALUE"""),"FORMULARIO")</f>
        <v>FORMULARIO</v>
      </c>
      <c r="AX51" s="1" t="str">
        <f>IFERROR(__xludf.DUMMYFUNCTION("""COMPUTED_VALUE"""),"SEARCH MARCA")</f>
        <v>SEARCH MARCA</v>
      </c>
      <c r="AY51" s="1">
        <f>IFERROR(__xludf.DUMMYFUNCTION("""COMPUTED_VALUE"""),1.0)</f>
        <v>1</v>
      </c>
      <c r="AZ51" s="1" t="str">
        <f>IFERROR(__xludf.DUMMYFUNCTION("""COMPUTED_VALUE"""),"Andrea Araujo Antara")</f>
        <v>Andrea Araujo Antara</v>
      </c>
      <c r="BA51" s="5">
        <f>IFERROR(__xludf.DUMMYFUNCTION("""COMPUTED_VALUE"""),1.0)</f>
        <v>1</v>
      </c>
      <c r="BB51" s="6">
        <f>IFERROR(__xludf.DUMMYFUNCTION("""COMPUTED_VALUE"""),1200.0)</f>
        <v>1200</v>
      </c>
      <c r="BC51" s="1">
        <f>IFERROR(__xludf.DUMMYFUNCTION("""COMPUTED_VALUE"""),1.0)</f>
        <v>1</v>
      </c>
      <c r="BD51" s="1" t="str">
        <f>IFERROR(__xludf.DUMMYFUNCTION("""COMPUTED_VALUE"""),"Matemáticas y Redacción")</f>
        <v>Matemáticas y Redacción</v>
      </c>
      <c r="BE51" s="1">
        <f>IFERROR(__xludf.DUMMYFUNCTION("""COMPUTED_VALUE"""),1.0)</f>
        <v>1</v>
      </c>
      <c r="BF51" s="1">
        <f>IFERROR(__xludf.DUMMYFUNCTION("""COMPUTED_VALUE"""),1.0)</f>
        <v>1</v>
      </c>
      <c r="BG51" s="3">
        <f>IFERROR(__xludf.DUMMYFUNCTION("""COMPUTED_VALUE"""),45794.0)</f>
        <v>45794</v>
      </c>
      <c r="BH51" s="1" t="str">
        <f>IFERROR(__xludf.DUMMYFUNCTION("""COMPUTED_VALUE"""),"17/05/2025")</f>
        <v>17/05/2025</v>
      </c>
      <c r="BI51" s="1">
        <f>IFERROR(__xludf.DUMMYFUNCTION("""COMPUTED_VALUE"""),0.0)</f>
        <v>0</v>
      </c>
      <c r="BJ51" s="1" t="str">
        <f>IFERROR(__xludf.DUMMYFUNCTION("""COMPUTED_VALUE"""),"NUEVO")</f>
        <v>NUEVO</v>
      </c>
    </row>
    <row r="52">
      <c r="A52" s="1">
        <f>IFERROR(__xludf.DUMMYFUNCTION("""COMPUTED_VALUE"""),51.0)</f>
        <v>51</v>
      </c>
      <c r="B52" s="1">
        <f>IFERROR(__xludf.DUMMYFUNCTION("""COMPUTED_VALUE"""),2515625.0)</f>
        <v>2515625</v>
      </c>
      <c r="C52" s="1" t="str">
        <f>IFERROR(__xludf.DUMMYFUNCTION("""COMPUTED_VALUE"""),"0000067119")</f>
        <v>0000067119</v>
      </c>
      <c r="D52" s="1" t="str">
        <f>IFERROR(__xludf.DUMMYFUNCTION("""COMPUTED_VALUE"""),"JOAQUIN")</f>
        <v>JOAQUIN</v>
      </c>
      <c r="E52" s="2" t="str">
        <f>IFERROR(__xludf.DUMMYFUNCTION("""COMPUTED_VALUE"""),"MANYARI POMA")</f>
        <v>MANYARI POMA</v>
      </c>
      <c r="F52" s="1">
        <f>IFERROR(__xludf.DUMMYFUNCTION("""COMPUTED_VALUE"""),6.1060957E7)</f>
        <v>61060957</v>
      </c>
      <c r="G52" s="1">
        <f>IFERROR(__xludf.DUMMYFUNCTION("""COMPUTED_VALUE"""),9.22184694E8)</f>
        <v>922184694</v>
      </c>
      <c r="H52" s="1" t="str">
        <f>IFERROR(__xludf.DUMMYFUNCTION("""COMPUTED_VALUE"""),"jmanyarid001@gmail.com")</f>
        <v>jmanyarid001@gmail.com</v>
      </c>
      <c r="I52" s="1" t="str">
        <f>IFERROR(__xludf.DUMMYFUNCTION("""COMPUTED_VALUE"""),"Comunicación Audiovisual y Cine")</f>
        <v>Comunicación Audiovisual y Cine</v>
      </c>
      <c r="J52" s="1" t="str">
        <f>IFERROR(__xludf.DUMMYFUNCTION("""COMPUTED_VALUE"""),"Comunicaciones")</f>
        <v>Comunicaciones</v>
      </c>
      <c r="K52" s="1" t="str">
        <f>IFERROR(__xludf.DUMMYFUNCTION("""COMPUTED_VALUE"""),"Antigua")</f>
        <v>Antigua</v>
      </c>
      <c r="L52" s="1" t="str">
        <f>IFERROR(__xludf.DUMMYFUNCTION("""COMPUTED_VALUE"""),"Admisión de Alto Rendimiento")</f>
        <v>Admisión de Alto Rendimiento</v>
      </c>
      <c r="M52" s="1" t="str">
        <f>IFERROR(__xludf.DUMMYFUNCTION("""COMPUTED_VALUE"""),"Semi-presencial")</f>
        <v>Semi-presencial</v>
      </c>
      <c r="N52" s="1" t="str">
        <f>IFERROR(__xludf.DUMMYFUNCTION("""COMPUTED_VALUE"""),"Diurno")</f>
        <v>Diurno</v>
      </c>
      <c r="O52" s="1" t="str">
        <f>IFERROR(__xludf.DUMMYFUNCTION("""COMPUTED_VALUE"""),"NUEVO")</f>
        <v>NUEVO</v>
      </c>
      <c r="P52" s="1" t="str">
        <f>IFERROR(__xludf.DUMMYFUNCTION("""COMPUTED_VALUE"""),"ESCALA REGULAR")</f>
        <v>ESCALA REGULAR</v>
      </c>
      <c r="Q52" s="1" t="str">
        <f>IFERROR(__xludf.DUMMYFUNCTION("""COMPUTED_VALUE"""),"NINGUNO")</f>
        <v>NINGUNO</v>
      </c>
      <c r="R52" s="1" t="str">
        <f>IFERROR(__xludf.DUMMYFUNCTION("""COMPUTED_VALUE"""),"Visita Guiada")</f>
        <v>Visita Guiada</v>
      </c>
      <c r="S52" s="1" t="str">
        <f>IFERROR(__xludf.DUMMYFUNCTION("""COMPUTED_VALUE"""),"-")</f>
        <v>-</v>
      </c>
      <c r="T52" s="3">
        <f>IFERROR(__xludf.DUMMYFUNCTION("""COMPUTED_VALUE"""),45785.0)</f>
        <v>45785</v>
      </c>
      <c r="U52" s="1" t="str">
        <f>IFERROR(__xludf.DUMMYFUNCTION("""COMPUTED_VALUE"""),"POS")</f>
        <v>POS</v>
      </c>
      <c r="V52" s="1" t="str">
        <f>IFERROR(__xludf.DUMMYFUNCTION("""COMPUTED_VALUE"""),"PAGO FRACCIONADO")</f>
        <v>PAGO FRACCIONADO</v>
      </c>
      <c r="W52" s="4">
        <f>IFERROR(__xludf.DUMMYFUNCTION("""COMPUTED_VALUE"""),0.0)</f>
        <v>0</v>
      </c>
      <c r="X52" s="1" t="str">
        <f>IFERROR(__xludf.DUMMYFUNCTION("""COMPUTED_VALUE"""),"31/05/2025")</f>
        <v>31/05/2025</v>
      </c>
      <c r="Y52" s="2">
        <f>IFERROR(__xludf.DUMMYFUNCTION("""COMPUTED_VALUE"""),45808.0)</f>
        <v>45808</v>
      </c>
      <c r="Z52" s="1" t="str">
        <f>IFERROR(__xludf.DUMMYFUNCTION("""COMPUTED_VALUE"""),"PAGO COMPLETO")</f>
        <v>PAGO COMPLETO</v>
      </c>
      <c r="AA52" s="1"/>
      <c r="AB52" s="1"/>
      <c r="AC52" s="4">
        <f>IFERROR(__xludf.DUMMYFUNCTION("""COMPUTED_VALUE"""),40.0)</f>
        <v>40</v>
      </c>
      <c r="AD52" s="4">
        <f>IFERROR(__xludf.DUMMYFUNCTION("""COMPUTED_VALUE"""),95.0)</f>
        <v>95</v>
      </c>
      <c r="AE52" s="4">
        <f>IFERROR(__xludf.DUMMYFUNCTION("""COMPUTED_VALUE"""),1500.0)</f>
        <v>1500</v>
      </c>
      <c r="AF52" s="4">
        <f>IFERROR(__xludf.DUMMYFUNCTION("""COMPUTED_VALUE"""),1500.0)</f>
        <v>1500</v>
      </c>
      <c r="AG52" s="1">
        <f>IFERROR(__xludf.DUMMYFUNCTION("""COMPUTED_VALUE"""),0.0)</f>
        <v>0</v>
      </c>
      <c r="AH52" s="1">
        <f>IFERROR(__xludf.DUMMYFUNCTION("""COMPUTED_VALUE"""),0.0)</f>
        <v>0</v>
      </c>
      <c r="AI52" s="1">
        <f>IFERROR(__xludf.DUMMYFUNCTION("""COMPUTED_VALUE"""),0.0)</f>
        <v>0</v>
      </c>
      <c r="AJ52" s="1">
        <f>IFERROR(__xludf.DUMMYFUNCTION("""COMPUTED_VALUE"""),764613.0)</f>
        <v>764613</v>
      </c>
      <c r="AK52" s="1"/>
      <c r="AL52" s="1"/>
      <c r="AM52" s="1" t="str">
        <f>IFERROR(__xludf.DUMMYFUNCTION("""COMPUTED_VALUE"""),"-")</f>
        <v>-</v>
      </c>
      <c r="AN52" s="1" t="str">
        <f>IFERROR(__xludf.DUMMYFUNCTION("""COMPUTED_VALUE""")," -")</f>
        <v> -</v>
      </c>
      <c r="AO52" s="1">
        <f>IFERROR(__xludf.DUMMYFUNCTION("""COMPUTED_VALUE"""),2024.0)</f>
        <v>2024</v>
      </c>
      <c r="AP52" s="3">
        <f>IFERROR(__xludf.DUMMYFUNCTION("""COMPUTED_VALUE"""),45778.0)</f>
        <v>45778</v>
      </c>
      <c r="AQ52" s="2">
        <f>IFERROR(__xludf.DUMMYFUNCTION("""COMPUTED_VALUE"""),45775.0)</f>
        <v>45775</v>
      </c>
      <c r="AR52" s="2">
        <f>IFERROR(__xludf.DUMMYFUNCTION("""COMPUTED_VALUE"""),45783.0)</f>
        <v>45783</v>
      </c>
      <c r="AS52" s="2">
        <f>IFERROR(__xludf.DUMMYFUNCTION("""COMPUTED_VALUE"""),45778.0)</f>
        <v>45778</v>
      </c>
      <c r="AT52" s="2">
        <f>IFERROR(__xludf.DUMMYFUNCTION("""COMPUTED_VALUE"""),45775.0)</f>
        <v>45775</v>
      </c>
      <c r="AU52" s="1">
        <f>IFERROR(__xludf.DUMMYFUNCTION("""COMPUTED_VALUE"""),25.0)</f>
        <v>25</v>
      </c>
      <c r="AV52" s="1" t="str">
        <f>IFERROR(__xludf.DUMMYFUNCTION("""COMPUTED_VALUE"""),"DIGITAL")</f>
        <v>DIGITAL</v>
      </c>
      <c r="AW52" s="1" t="str">
        <f>IFERROR(__xludf.DUMMYFUNCTION("""COMPUTED_VALUE"""),"FORMULARIO")</f>
        <v>FORMULARIO</v>
      </c>
      <c r="AX52" s="1" t="str">
        <f>IFERROR(__xludf.DUMMYFUNCTION("""COMPUTED_VALUE"""),"ORGANICO")</f>
        <v>ORGANICO</v>
      </c>
      <c r="AY52" s="1">
        <f>IFERROR(__xludf.DUMMYFUNCTION("""COMPUTED_VALUE"""),1.0)</f>
        <v>1</v>
      </c>
      <c r="AZ52" s="1" t="str">
        <f>IFERROR(__xludf.DUMMYFUNCTION("""COMPUTED_VALUE"""),"Angelica Iparraguirre")</f>
        <v>Angelica Iparraguirre</v>
      </c>
      <c r="BA52" s="5">
        <f>IFERROR(__xludf.DUMMYFUNCTION("""COMPUTED_VALUE"""),1.0)</f>
        <v>1</v>
      </c>
      <c r="BB52" s="6">
        <f>IFERROR(__xludf.DUMMYFUNCTION("""COMPUTED_VALUE"""),1480.0)</f>
        <v>1480</v>
      </c>
      <c r="BC52" s="1">
        <f>IFERROR(__xludf.DUMMYFUNCTION("""COMPUTED_VALUE"""),1.0)</f>
        <v>1</v>
      </c>
      <c r="BD52" s="1" t="str">
        <f>IFERROR(__xludf.DUMMYFUNCTION("""COMPUTED_VALUE"""),"Matemáticas y Redacción")</f>
        <v>Matemáticas y Redacción</v>
      </c>
      <c r="BE52" s="1">
        <f>IFERROR(__xludf.DUMMYFUNCTION("""COMPUTED_VALUE"""),1.0)</f>
        <v>1</v>
      </c>
      <c r="BF52" s="1">
        <f>IFERROR(__xludf.DUMMYFUNCTION("""COMPUTED_VALUE"""),0.0)</f>
        <v>0</v>
      </c>
      <c r="BG52" s="3">
        <f>IFERROR(__xludf.DUMMYFUNCTION("""COMPUTED_VALUE"""),45794.0)</f>
        <v>45794</v>
      </c>
      <c r="BH52" s="1" t="str">
        <f>IFERROR(__xludf.DUMMYFUNCTION("""COMPUTED_VALUE"""),"17/05/2025")</f>
        <v>17/05/2025</v>
      </c>
      <c r="BI52" s="1">
        <f>IFERROR(__xludf.DUMMYFUNCTION("""COMPUTED_VALUE"""),0.0)</f>
        <v>0</v>
      </c>
      <c r="BJ52" s="1" t="str">
        <f>IFERROR(__xludf.DUMMYFUNCTION("""COMPUTED_VALUE"""),"NUEVO")</f>
        <v>NUEVO</v>
      </c>
    </row>
    <row r="53">
      <c r="A53" s="1">
        <f>IFERROR(__xludf.DUMMYFUNCTION("""COMPUTED_VALUE"""),52.0)</f>
        <v>52</v>
      </c>
      <c r="B53" s="1">
        <f>IFERROR(__xludf.DUMMYFUNCTION("""COMPUTED_VALUE"""),2390907.0)</f>
        <v>2390907</v>
      </c>
      <c r="C53" s="1" t="str">
        <f>IFERROR(__xludf.DUMMYFUNCTION("""COMPUTED_VALUE"""),"0000425277")</f>
        <v>0000425277</v>
      </c>
      <c r="D53" s="1" t="str">
        <f>IFERROR(__xludf.DUMMYFUNCTION("""COMPUTED_VALUE"""),"TREISIS DANIELA")</f>
        <v>TREISIS DANIELA</v>
      </c>
      <c r="E53" s="2" t="str">
        <f>IFERROR(__xludf.DUMMYFUNCTION("""COMPUTED_VALUE"""),"SAJAMI VEGA")</f>
        <v>SAJAMI VEGA</v>
      </c>
      <c r="F53" s="1">
        <f>IFERROR(__xludf.DUMMYFUNCTION("""COMPUTED_VALUE"""),4.7506321E7)</f>
        <v>47506321</v>
      </c>
      <c r="G53" s="1">
        <f>IFERROR(__xludf.DUMMYFUNCTION("""COMPUTED_VALUE"""),9.21853487E8)</f>
        <v>921853487</v>
      </c>
      <c r="H53" s="1" t="str">
        <f>IFERROR(__xludf.DUMMYFUNCTION("""COMPUTED_VALUE"""),"tsajamivega@gmail.com")</f>
        <v>tsajamivega@gmail.com</v>
      </c>
      <c r="I53" s="1" t="str">
        <f>IFERROR(__xludf.DUMMYFUNCTION("""COMPUTED_VALUE"""),"Administración y Marketing")</f>
        <v>Administración y Marketing</v>
      </c>
      <c r="J53" s="1" t="str">
        <f>IFERROR(__xludf.DUMMYFUNCTION("""COMPUTED_VALUE"""),"Negocios")</f>
        <v>Negocios</v>
      </c>
      <c r="K53" s="1" t="str">
        <f>IFERROR(__xludf.DUMMYFUNCTION("""COMPUTED_VALUE"""),"Nueva")</f>
        <v>Nueva</v>
      </c>
      <c r="L53" s="1" t="str">
        <f>IFERROR(__xludf.DUMMYFUNCTION("""COMPUTED_VALUE"""),"Admisión Ordinaria")</f>
        <v>Admisión Ordinaria</v>
      </c>
      <c r="M53" s="1" t="str">
        <f>IFERROR(__xludf.DUMMYFUNCTION("""COMPUTED_VALUE"""),"Virtual")</f>
        <v>Virtual</v>
      </c>
      <c r="N53" s="1" t="str">
        <f>IFERROR(__xludf.DUMMYFUNCTION("""COMPUTED_VALUE"""),"Nocturno - A distancia")</f>
        <v>Nocturno - A distancia</v>
      </c>
      <c r="O53" s="1" t="str">
        <f>IFERROR(__xludf.DUMMYFUNCTION("""COMPUTED_VALUE"""),"NUEVO")</f>
        <v>NUEVO</v>
      </c>
      <c r="P53" s="1" t="str">
        <f>IFERROR(__xludf.DUMMYFUNCTION("""COMPUTED_VALUE"""),"ESCALA REGULAR")</f>
        <v>ESCALA REGULAR</v>
      </c>
      <c r="Q53" s="1" t="str">
        <f>IFERROR(__xludf.DUMMYFUNCTION("""COMPUTED_VALUE"""),"NINGUNO")</f>
        <v>NINGUNO</v>
      </c>
      <c r="R53" s="1" t="str">
        <f>IFERROR(__xludf.DUMMYFUNCTION("""COMPUTED_VALUE"""),"NINGUNO")</f>
        <v>NINGUNO</v>
      </c>
      <c r="S53" s="1" t="str">
        <f>IFERROR(__xludf.DUMMYFUNCTION("""COMPUTED_VALUE"""),"-")</f>
        <v>-</v>
      </c>
      <c r="T53" s="3">
        <f>IFERROR(__xludf.DUMMYFUNCTION("""COMPUTED_VALUE"""),45785.0)</f>
        <v>45785</v>
      </c>
      <c r="U53" s="1" t="str">
        <f>IFERROR(__xludf.DUMMYFUNCTION("""COMPUTED_VALUE"""),"CARGO")</f>
        <v>CARGO</v>
      </c>
      <c r="V53" s="1" t="str">
        <f>IFERROR(__xludf.DUMMYFUNCTION("""COMPUTED_VALUE"""),"PAGO COMPLETO")</f>
        <v>PAGO COMPLETO</v>
      </c>
      <c r="W53" s="4">
        <f>IFERROR(__xludf.DUMMYFUNCTION("""COMPUTED_VALUE"""),0.0)</f>
        <v>0</v>
      </c>
      <c r="X53" s="1" t="str">
        <f>IFERROR(__xludf.DUMMYFUNCTION("""COMPUTED_VALUE"""),"-")</f>
        <v>-</v>
      </c>
      <c r="Y53" s="2">
        <f>IFERROR(__xludf.DUMMYFUNCTION("""COMPUTED_VALUE"""),45785.0)</f>
        <v>45785</v>
      </c>
      <c r="Z53" s="1" t="str">
        <f>IFERROR(__xludf.DUMMYFUNCTION("""COMPUTED_VALUE"""),"PAGO COMPLETO")</f>
        <v>PAGO COMPLETO</v>
      </c>
      <c r="AA53" s="1"/>
      <c r="AB53" s="1"/>
      <c r="AC53" s="4">
        <f>IFERROR(__xludf.DUMMYFUNCTION("""COMPUTED_VALUE"""),0.0)</f>
        <v>0</v>
      </c>
      <c r="AD53" s="4">
        <f>IFERROR(__xludf.DUMMYFUNCTION("""COMPUTED_VALUE"""),0.0)</f>
        <v>0</v>
      </c>
      <c r="AE53" s="4">
        <f>IFERROR(__xludf.DUMMYFUNCTION("""COMPUTED_VALUE"""),750.0)</f>
        <v>750</v>
      </c>
      <c r="AF53" s="4">
        <f>IFERROR(__xludf.DUMMYFUNCTION("""COMPUTED_VALUE"""),750.0)</f>
        <v>750</v>
      </c>
      <c r="AG53" s="1">
        <f>IFERROR(__xludf.DUMMYFUNCTION("""COMPUTED_VALUE"""),0.0)</f>
        <v>0</v>
      </c>
      <c r="AH53" s="1">
        <f>IFERROR(__xludf.DUMMYFUNCTION("""COMPUTED_VALUE"""),0.0)</f>
        <v>0</v>
      </c>
      <c r="AI53" s="1">
        <f>IFERROR(__xludf.DUMMYFUNCTION("""COMPUTED_VALUE"""),0.0)</f>
        <v>0</v>
      </c>
      <c r="AJ53" s="1">
        <f>IFERROR(__xludf.DUMMYFUNCTION("""COMPUTED_VALUE"""),1220524.0)</f>
        <v>1220524</v>
      </c>
      <c r="AK53" s="1" t="str">
        <f>IFERROR(__xludf.DUMMYFUNCTION("""COMPUTED_VALUE"""),"Más de 15 kms")</f>
        <v>Más de 15 kms</v>
      </c>
      <c r="AL53" s="1" t="str">
        <f>IFERROR(__xludf.DUMMYFUNCTION("""COMPUTED_VALUE"""),"03 101 a 200")</f>
        <v>03 101 a 200</v>
      </c>
      <c r="AM53" s="1" t="str">
        <f>IFERROR(__xludf.DUMMYFUNCTION("""COMPUTED_VALUE"""),"-")</f>
        <v>-</v>
      </c>
      <c r="AN53" s="1" t="str">
        <f>IFERROR(__xludf.DUMMYFUNCTION("""COMPUTED_VALUE""")," -")</f>
        <v> -</v>
      </c>
      <c r="AO53" s="1">
        <f>IFERROR(__xludf.DUMMYFUNCTION("""COMPUTED_VALUE"""),2007.0)</f>
        <v>2007</v>
      </c>
      <c r="AP53" s="3">
        <f>IFERROR(__xludf.DUMMYFUNCTION("""COMPUTED_VALUE"""),45778.0)</f>
        <v>45778</v>
      </c>
      <c r="AQ53" s="2">
        <f>IFERROR(__xludf.DUMMYFUNCTION("""COMPUTED_VALUE"""),45775.0)</f>
        <v>45775</v>
      </c>
      <c r="AR53" s="2">
        <f>IFERROR(__xludf.DUMMYFUNCTION("""COMPUTED_VALUE"""),45785.0)</f>
        <v>45785</v>
      </c>
      <c r="AS53" s="2">
        <f>IFERROR(__xludf.DUMMYFUNCTION("""COMPUTED_VALUE"""),45778.0)</f>
        <v>45778</v>
      </c>
      <c r="AT53" s="2">
        <f>IFERROR(__xludf.DUMMYFUNCTION("""COMPUTED_VALUE"""),45775.0)</f>
        <v>45775</v>
      </c>
      <c r="AU53" s="1">
        <f>IFERROR(__xludf.DUMMYFUNCTION("""COMPUTED_VALUE"""),0.0)</f>
        <v>0</v>
      </c>
      <c r="AV53" s="1" t="str">
        <f>IFERROR(__xludf.DUMMYFUNCTION("""COMPUTED_VALUE"""),"DIGITAL")</f>
        <v>DIGITAL</v>
      </c>
      <c r="AW53" s="1" t="str">
        <f>IFERROR(__xludf.DUMMYFUNCTION("""COMPUTED_VALUE"""),"FORMULARIO")</f>
        <v>FORMULARIO</v>
      </c>
      <c r="AX53" s="1" t="str">
        <f>IFERROR(__xludf.DUMMYFUNCTION("""COMPUTED_VALUE"""),"SEARCH CARRERA")</f>
        <v>SEARCH CARRERA</v>
      </c>
      <c r="AY53" s="1">
        <f>IFERROR(__xludf.DUMMYFUNCTION("""COMPUTED_VALUE"""),1.0)</f>
        <v>1</v>
      </c>
      <c r="AZ53" s="1" t="str">
        <f>IFERROR(__xludf.DUMMYFUNCTION("""COMPUTED_VALUE"""),"Juan Manuel Rodríguez")</f>
        <v>Juan Manuel Rodríguez</v>
      </c>
      <c r="BA53" s="5">
        <f>IFERROR(__xludf.DUMMYFUNCTION("""COMPUTED_VALUE"""),1.0)</f>
        <v>1</v>
      </c>
      <c r="BB53" s="6">
        <f>IFERROR(__xludf.DUMMYFUNCTION("""COMPUTED_VALUE"""),750.0)</f>
        <v>750</v>
      </c>
      <c r="BC53" s="1">
        <f>IFERROR(__xludf.DUMMYFUNCTION("""COMPUTED_VALUE"""),1.0)</f>
        <v>1</v>
      </c>
      <c r="BD53" s="1" t="str">
        <f>IFERROR(__xludf.DUMMYFUNCTION("""COMPUTED_VALUE"""),"Matemáticas y Redacción")</f>
        <v>Matemáticas y Redacción</v>
      </c>
      <c r="BE53" s="1">
        <f>IFERROR(__xludf.DUMMYFUNCTION("""COMPUTED_VALUE"""),1.0)</f>
        <v>1</v>
      </c>
      <c r="BF53" s="1">
        <f>IFERROR(__xludf.DUMMYFUNCTION("""COMPUTED_VALUE"""),0.0)</f>
        <v>0</v>
      </c>
      <c r="BG53" s="3">
        <f>IFERROR(__xludf.DUMMYFUNCTION("""COMPUTED_VALUE"""),45794.0)</f>
        <v>45794</v>
      </c>
      <c r="BH53" s="1" t="str">
        <f>IFERROR(__xludf.DUMMYFUNCTION("""COMPUTED_VALUE"""),"07/06/2025")</f>
        <v>07/06/2025</v>
      </c>
      <c r="BI53" s="1">
        <f>IFERROR(__xludf.DUMMYFUNCTION("""COMPUTED_VALUE"""),0.0)</f>
        <v>0</v>
      </c>
      <c r="BJ53" s="1" t="str">
        <f>IFERROR(__xludf.DUMMYFUNCTION("""COMPUTED_VALUE"""),"NUEVO")</f>
        <v>NUEVO</v>
      </c>
    </row>
    <row r="54">
      <c r="A54" s="1">
        <f>IFERROR(__xludf.DUMMYFUNCTION("""COMPUTED_VALUE"""),53.0)</f>
        <v>53</v>
      </c>
      <c r="B54" s="1">
        <f>IFERROR(__xludf.DUMMYFUNCTION("""COMPUTED_VALUE"""),5171432.0)</f>
        <v>5171432</v>
      </c>
      <c r="C54" s="1" t="str">
        <f>IFERROR(__xludf.DUMMYFUNCTION("""COMPUTED_VALUE"""),"0000425051")</f>
        <v>0000425051</v>
      </c>
      <c r="D54" s="1" t="str">
        <f>IFERROR(__xludf.DUMMYFUNCTION("""COMPUTED_VALUE"""),"IRVING GABRIELA")</f>
        <v>IRVING GABRIELA</v>
      </c>
      <c r="E54" s="2" t="str">
        <f>IFERROR(__xludf.DUMMYFUNCTION("""COMPUTED_VALUE"""),"CABRERA TELLO")</f>
        <v>CABRERA TELLO</v>
      </c>
      <c r="F54" s="1">
        <f>IFERROR(__xludf.DUMMYFUNCTION("""COMPUTED_VALUE"""),7.4608363E7)</f>
        <v>74608363</v>
      </c>
      <c r="G54" s="1">
        <f>IFERROR(__xludf.DUMMYFUNCTION("""COMPUTED_VALUE"""),9.52026472E8)</f>
        <v>952026472</v>
      </c>
      <c r="H54" s="1" t="str">
        <f>IFERROR(__xludf.DUMMYFUNCTION("""COMPUTED_VALUE"""),"gabrielac.t120708@gmail.com")</f>
        <v>gabrielac.t120708@gmail.com</v>
      </c>
      <c r="I54" s="1" t="str">
        <f>IFERROR(__xludf.DUMMYFUNCTION("""COMPUTED_VALUE"""),"Administración y Marketing")</f>
        <v>Administración y Marketing</v>
      </c>
      <c r="J54" s="1" t="str">
        <f>IFERROR(__xludf.DUMMYFUNCTION("""COMPUTED_VALUE"""),"Negocios")</f>
        <v>Negocios</v>
      </c>
      <c r="K54" s="1" t="str">
        <f>IFERROR(__xludf.DUMMYFUNCTION("""COMPUTED_VALUE"""),"Nueva")</f>
        <v>Nueva</v>
      </c>
      <c r="L54" s="1" t="str">
        <f>IFERROR(__xludf.DUMMYFUNCTION("""COMPUTED_VALUE"""),"Admisión Ordinaria")</f>
        <v>Admisión Ordinaria</v>
      </c>
      <c r="M54" s="1" t="str">
        <f>IFERROR(__xludf.DUMMYFUNCTION("""COMPUTED_VALUE"""),"Virtual")</f>
        <v>Virtual</v>
      </c>
      <c r="N54" s="1" t="str">
        <f>IFERROR(__xludf.DUMMYFUNCTION("""COMPUTED_VALUE"""),"Nocturno - A distancia")</f>
        <v>Nocturno - A distancia</v>
      </c>
      <c r="O54" s="1" t="str">
        <f>IFERROR(__xludf.DUMMYFUNCTION("""COMPUTED_VALUE"""),"NUEVO")</f>
        <v>NUEVO</v>
      </c>
      <c r="P54" s="1" t="str">
        <f>IFERROR(__xludf.DUMMYFUNCTION("""COMPUTED_VALUE"""),"ESCALA REGULAR")</f>
        <v>ESCALA REGULAR</v>
      </c>
      <c r="Q54" s="1" t="str">
        <f>IFERROR(__xludf.DUMMYFUNCTION("""COMPUTED_VALUE"""),"NINGUNO")</f>
        <v>NINGUNO</v>
      </c>
      <c r="R54" s="1" t="str">
        <f>IFERROR(__xludf.DUMMYFUNCTION("""COMPUTED_VALUE"""),"NINGUNO")</f>
        <v>NINGUNO</v>
      </c>
      <c r="S54" s="1" t="str">
        <f>IFERROR(__xludf.DUMMYFUNCTION("""COMPUTED_VALUE"""),"-")</f>
        <v>-</v>
      </c>
      <c r="T54" s="3">
        <f>IFERROR(__xludf.DUMMYFUNCTION("""COMPUTED_VALUE"""),45785.0)</f>
        <v>45785</v>
      </c>
      <c r="U54" s="1" t="str">
        <f>IFERROR(__xludf.DUMMYFUNCTION("""COMPUTED_VALUE"""),"CARGO")</f>
        <v>CARGO</v>
      </c>
      <c r="V54" s="1" t="str">
        <f>IFERROR(__xludf.DUMMYFUNCTION("""COMPUTED_VALUE"""),"PAGO COMPLETO")</f>
        <v>PAGO COMPLETO</v>
      </c>
      <c r="W54" s="4">
        <f>IFERROR(__xludf.DUMMYFUNCTION("""COMPUTED_VALUE"""),0.0)</f>
        <v>0</v>
      </c>
      <c r="X54" s="1" t="str">
        <f>IFERROR(__xludf.DUMMYFUNCTION("""COMPUTED_VALUE"""),"-")</f>
        <v>-</v>
      </c>
      <c r="Y54" s="2">
        <f>IFERROR(__xludf.DUMMYFUNCTION("""COMPUTED_VALUE"""),45785.0)</f>
        <v>45785</v>
      </c>
      <c r="Z54" s="1" t="str">
        <f>IFERROR(__xludf.DUMMYFUNCTION("""COMPUTED_VALUE"""),"PAGO COMPLETO")</f>
        <v>PAGO COMPLETO</v>
      </c>
      <c r="AA54" s="1"/>
      <c r="AB54" s="1"/>
      <c r="AC54" s="4">
        <f>IFERROR(__xludf.DUMMYFUNCTION("""COMPUTED_VALUE"""),0.0)</f>
        <v>0</v>
      </c>
      <c r="AD54" s="4">
        <f>IFERROR(__xludf.DUMMYFUNCTION("""COMPUTED_VALUE"""),0.0)</f>
        <v>0</v>
      </c>
      <c r="AE54" s="4">
        <f>IFERROR(__xludf.DUMMYFUNCTION("""COMPUTED_VALUE"""),750.0)</f>
        <v>750</v>
      </c>
      <c r="AF54" s="4">
        <f>IFERROR(__xludf.DUMMYFUNCTION("""COMPUTED_VALUE"""),750.0)</f>
        <v>750</v>
      </c>
      <c r="AG54" s="1">
        <f>IFERROR(__xludf.DUMMYFUNCTION("""COMPUTED_VALUE"""),0.0)</f>
        <v>0</v>
      </c>
      <c r="AH54" s="1">
        <f>IFERROR(__xludf.DUMMYFUNCTION("""COMPUTED_VALUE"""),0.0)</f>
        <v>0</v>
      </c>
      <c r="AI54" s="1">
        <f>IFERROR(__xludf.DUMMYFUNCTION("""COMPUTED_VALUE"""),0.0)</f>
        <v>0</v>
      </c>
      <c r="AJ54" s="1">
        <f>IFERROR(__xludf.DUMMYFUNCTION("""COMPUTED_VALUE"""),1755453.0)</f>
        <v>1755453</v>
      </c>
      <c r="AK54" s="1" t="str">
        <f>IFERROR(__xludf.DUMMYFUNCTION("""COMPUTED_VALUE"""),"Más de 15 kms")</f>
        <v>Más de 15 kms</v>
      </c>
      <c r="AL54" s="1" t="str">
        <f>IFERROR(__xludf.DUMMYFUNCTION("""COMPUTED_VALUE"""),"01 Nacional")</f>
        <v>01 Nacional</v>
      </c>
      <c r="AM54" s="1" t="str">
        <f>IFERROR(__xludf.DUMMYFUNCTION("""COMPUTED_VALUE"""),"-")</f>
        <v>-</v>
      </c>
      <c r="AN54" s="1" t="str">
        <f>IFERROR(__xludf.DUMMYFUNCTION("""COMPUTED_VALUE""")," -")</f>
        <v> -</v>
      </c>
      <c r="AO54" s="1">
        <f>IFERROR(__xludf.DUMMYFUNCTION("""COMPUTED_VALUE"""),2020.0)</f>
        <v>2020</v>
      </c>
      <c r="AP54" s="3">
        <f>IFERROR(__xludf.DUMMYFUNCTION("""COMPUTED_VALUE"""),45778.0)</f>
        <v>45778</v>
      </c>
      <c r="AQ54" s="2">
        <f>IFERROR(__xludf.DUMMYFUNCTION("""COMPUTED_VALUE"""),45775.0)</f>
        <v>45775</v>
      </c>
      <c r="AR54" s="2">
        <f>IFERROR(__xludf.DUMMYFUNCTION("""COMPUTED_VALUE"""),45775.0)</f>
        <v>45775</v>
      </c>
      <c r="AS54" s="2">
        <f>IFERROR(__xludf.DUMMYFUNCTION("""COMPUTED_VALUE"""),45748.0)</f>
        <v>45748</v>
      </c>
      <c r="AT54" s="2">
        <f>IFERROR(__xludf.DUMMYFUNCTION("""COMPUTED_VALUE"""),45747.0)</f>
        <v>45747</v>
      </c>
      <c r="AU54" s="1">
        <f>IFERROR(__xludf.DUMMYFUNCTION("""COMPUTED_VALUE"""),10.0)</f>
        <v>10</v>
      </c>
      <c r="AV54" s="1" t="str">
        <f>IFERROR(__xludf.DUMMYFUNCTION("""COMPUTED_VALUE"""),"DIGITAL")</f>
        <v>DIGITAL</v>
      </c>
      <c r="AW54" s="1" t="str">
        <f>IFERROR(__xludf.DUMMYFUNCTION("""COMPUTED_VALUE"""),"FORMULARIO")</f>
        <v>FORMULARIO</v>
      </c>
      <c r="AX54" s="1" t="str">
        <f>IFERROR(__xludf.DUMMYFUNCTION("""COMPUTED_VALUE"""),"ORGANICO")</f>
        <v>ORGANICO</v>
      </c>
      <c r="AY54" s="1">
        <f>IFERROR(__xludf.DUMMYFUNCTION("""COMPUTED_VALUE"""),1.0)</f>
        <v>1</v>
      </c>
      <c r="AZ54" s="1" t="str">
        <f>IFERROR(__xludf.DUMMYFUNCTION("""COMPUTED_VALUE"""),"Juan Manuel Rodríguez")</f>
        <v>Juan Manuel Rodríguez</v>
      </c>
      <c r="BA54" s="5">
        <f>IFERROR(__xludf.DUMMYFUNCTION("""COMPUTED_VALUE"""),1.0)</f>
        <v>1</v>
      </c>
      <c r="BB54" s="6">
        <f>IFERROR(__xludf.DUMMYFUNCTION("""COMPUTED_VALUE"""),750.0)</f>
        <v>750</v>
      </c>
      <c r="BC54" s="1">
        <f>IFERROR(__xludf.DUMMYFUNCTION("""COMPUTED_VALUE"""),1.0)</f>
        <v>1</v>
      </c>
      <c r="BD54" s="1" t="str">
        <f>IFERROR(__xludf.DUMMYFUNCTION("""COMPUTED_VALUE"""),"Redacción")</f>
        <v>Redacción</v>
      </c>
      <c r="BE54" s="1">
        <f>IFERROR(__xludf.DUMMYFUNCTION("""COMPUTED_VALUE"""),1.0)</f>
        <v>1</v>
      </c>
      <c r="BF54" s="1">
        <f>IFERROR(__xludf.DUMMYFUNCTION("""COMPUTED_VALUE"""),0.0)</f>
        <v>0</v>
      </c>
      <c r="BG54" s="3">
        <f>IFERROR(__xludf.DUMMYFUNCTION("""COMPUTED_VALUE"""),45794.0)</f>
        <v>45794</v>
      </c>
      <c r="BH54" s="1" t="str">
        <f>IFERROR(__xludf.DUMMYFUNCTION("""COMPUTED_VALUE"""),"17/05/2025")</f>
        <v>17/05/2025</v>
      </c>
      <c r="BI54" s="1">
        <f>IFERROR(__xludf.DUMMYFUNCTION("""COMPUTED_VALUE"""),0.0)</f>
        <v>0</v>
      </c>
      <c r="BJ54" s="1" t="str">
        <f>IFERROR(__xludf.DUMMYFUNCTION("""COMPUTED_VALUE"""),"NUEVO")</f>
        <v>NUEVO</v>
      </c>
    </row>
    <row r="55">
      <c r="A55" s="1">
        <f>IFERROR(__xludf.DUMMYFUNCTION("""COMPUTED_VALUE"""),54.0)</f>
        <v>54</v>
      </c>
      <c r="B55" s="1">
        <f>IFERROR(__xludf.DUMMYFUNCTION("""COMPUTED_VALUE"""),5106688.0)</f>
        <v>5106688</v>
      </c>
      <c r="C55" s="1" t="str">
        <f>IFERROR(__xludf.DUMMYFUNCTION("""COMPUTED_VALUE"""),"0000425303")</f>
        <v>0000425303</v>
      </c>
      <c r="D55" s="1" t="str">
        <f>IFERROR(__xludf.DUMMYFUNCTION("""COMPUTED_VALUE"""),"FERNANDA GUADALUPE ")</f>
        <v>FERNANDA GUADALUPE </v>
      </c>
      <c r="E55" s="2" t="str">
        <f>IFERROR(__xludf.DUMMYFUNCTION("""COMPUTED_VALUE"""),"CHICATA GOMEZ")</f>
        <v>CHICATA GOMEZ</v>
      </c>
      <c r="F55" s="1">
        <f>IFERROR(__xludf.DUMMYFUNCTION("""COMPUTED_VALUE"""),6.0059258E7)</f>
        <v>60059258</v>
      </c>
      <c r="G55" s="1">
        <f>IFERROR(__xludf.DUMMYFUNCTION("""COMPUTED_VALUE"""),9.54091542E8)</f>
        <v>954091542</v>
      </c>
      <c r="H55" s="1" t="str">
        <f>IFERROR(__xludf.DUMMYFUNCTION("""COMPUTED_VALUE"""),"fernandachicata@gmail.com")</f>
        <v>fernandachicata@gmail.com</v>
      </c>
      <c r="I55" s="1" t="str">
        <f>IFERROR(__xludf.DUMMYFUNCTION("""COMPUTED_VALUE"""),"Comunicación Audiovisual y Cine")</f>
        <v>Comunicación Audiovisual y Cine</v>
      </c>
      <c r="J55" s="1" t="str">
        <f>IFERROR(__xludf.DUMMYFUNCTION("""COMPUTED_VALUE"""),"Comunicaciones")</f>
        <v>Comunicaciones</v>
      </c>
      <c r="K55" s="1" t="str">
        <f>IFERROR(__xludf.DUMMYFUNCTION("""COMPUTED_VALUE"""),"Antigua")</f>
        <v>Antigua</v>
      </c>
      <c r="L55" s="1" t="str">
        <f>IFERROR(__xludf.DUMMYFUNCTION("""COMPUTED_VALUE"""),"Admisión Extraordinaria (Traslados)")</f>
        <v>Admisión Extraordinaria (Traslados)</v>
      </c>
      <c r="M55" s="1" t="str">
        <f>IFERROR(__xludf.DUMMYFUNCTION("""COMPUTED_VALUE"""),"Semi-presencial")</f>
        <v>Semi-presencial</v>
      </c>
      <c r="N55" s="1" t="str">
        <f>IFERROR(__xludf.DUMMYFUNCTION("""COMPUTED_VALUE"""),"Diurno")</f>
        <v>Diurno</v>
      </c>
      <c r="O55" s="1" t="str">
        <f>IFERROR(__xludf.DUMMYFUNCTION("""COMPUTED_VALUE"""),"TRASLADO SIN CONVA")</f>
        <v>TRASLADO SIN CONVA</v>
      </c>
      <c r="P55" s="1" t="str">
        <f>IFERROR(__xludf.DUMMYFUNCTION("""COMPUTED_VALUE"""),"ESCALA REGULAR")</f>
        <v>ESCALA REGULAR</v>
      </c>
      <c r="Q55" s="1" t="str">
        <f>IFERROR(__xludf.DUMMYFUNCTION("""COMPUTED_VALUE"""),"NINGUNO")</f>
        <v>NINGUNO</v>
      </c>
      <c r="R55" s="1" t="str">
        <f>IFERROR(__xludf.DUMMYFUNCTION("""COMPUTED_VALUE"""),"NINGUNO")</f>
        <v>NINGUNO</v>
      </c>
      <c r="S55" s="1" t="str">
        <f>IFERROR(__xludf.DUMMYFUNCTION("""COMPUTED_VALUE"""),"RODRIGO")</f>
        <v>RODRIGO</v>
      </c>
      <c r="T55" s="3">
        <f>IFERROR(__xludf.DUMMYFUNCTION("""COMPUTED_VALUE"""),45786.0)</f>
        <v>45786</v>
      </c>
      <c r="U55" s="1" t="str">
        <f>IFERROR(__xludf.DUMMYFUNCTION("""COMPUTED_VALUE"""),"CARGO")</f>
        <v>CARGO</v>
      </c>
      <c r="V55" s="1" t="str">
        <f>IFERROR(__xludf.DUMMYFUNCTION("""COMPUTED_VALUE"""),"PAGO COMPLETO")</f>
        <v>PAGO COMPLETO</v>
      </c>
      <c r="W55" s="4">
        <f>IFERROR(__xludf.DUMMYFUNCTION("""COMPUTED_VALUE"""),0.0)</f>
        <v>0</v>
      </c>
      <c r="X55" s="1" t="str">
        <f>IFERROR(__xludf.DUMMYFUNCTION("""COMPUTED_VALUE"""),"-")</f>
        <v>-</v>
      </c>
      <c r="Y55" s="2">
        <f>IFERROR(__xludf.DUMMYFUNCTION("""COMPUTED_VALUE"""),45786.0)</f>
        <v>45786</v>
      </c>
      <c r="Z55" s="1" t="str">
        <f>IFERROR(__xludf.DUMMYFUNCTION("""COMPUTED_VALUE"""),"PAGO COMPLETO")</f>
        <v>PAGO COMPLETO</v>
      </c>
      <c r="AA55" s="1"/>
      <c r="AB55" s="1"/>
      <c r="AC55" s="4">
        <f>IFERROR(__xludf.DUMMYFUNCTION("""COMPUTED_VALUE"""),0.0)</f>
        <v>0</v>
      </c>
      <c r="AD55" s="4">
        <f>IFERROR(__xludf.DUMMYFUNCTION("""COMPUTED_VALUE"""),0.0)</f>
        <v>0</v>
      </c>
      <c r="AE55" s="4">
        <f>IFERROR(__xludf.DUMMYFUNCTION("""COMPUTED_VALUE"""),1050.0)</f>
        <v>1050</v>
      </c>
      <c r="AF55" s="4">
        <f>IFERROR(__xludf.DUMMYFUNCTION("""COMPUTED_VALUE"""),1050.0)</f>
        <v>1050</v>
      </c>
      <c r="AG55" s="1">
        <f>IFERROR(__xludf.DUMMYFUNCTION("""COMPUTED_VALUE"""),0.0)</f>
        <v>0</v>
      </c>
      <c r="AH55" s="1">
        <f>IFERROR(__xludf.DUMMYFUNCTION("""COMPUTED_VALUE"""),0.0)</f>
        <v>0</v>
      </c>
      <c r="AI55" s="1">
        <f>IFERROR(__xludf.DUMMYFUNCTION("""COMPUTED_VALUE"""),0.0)</f>
        <v>0</v>
      </c>
      <c r="AJ55" s="1">
        <f>IFERROR(__xludf.DUMMYFUNCTION("""COMPUTED_VALUE"""),1335033.0)</f>
        <v>1335033</v>
      </c>
      <c r="AK55" s="1" t="str">
        <f>IFERROR(__xludf.DUMMYFUNCTION("""COMPUTED_VALUE"""),"Más de 15 kms")</f>
        <v>Más de 15 kms</v>
      </c>
      <c r="AL55" s="1" t="str">
        <f>IFERROR(__xludf.DUMMYFUNCTION("""COMPUTED_VALUE"""),"04 200 a 300")</f>
        <v>04 200 a 300</v>
      </c>
      <c r="AM55" s="1" t="str">
        <f>IFERROR(__xludf.DUMMYFUNCTION("""COMPUTED_VALUE"""),"Universidad La Salle")</f>
        <v>Universidad La Salle</v>
      </c>
      <c r="AN55" s="1" t="str">
        <f>IFERROR(__xludf.DUMMYFUNCTION("""COMPUTED_VALUE""")," ")</f>
        <v> </v>
      </c>
      <c r="AO55" s="1">
        <f>IFERROR(__xludf.DUMMYFUNCTION("""COMPUTED_VALUE"""),2023.0)</f>
        <v>2023</v>
      </c>
      <c r="AP55" s="3">
        <f>IFERROR(__xludf.DUMMYFUNCTION("""COMPUTED_VALUE"""),45778.0)</f>
        <v>45778</v>
      </c>
      <c r="AQ55" s="2">
        <f>IFERROR(__xludf.DUMMYFUNCTION("""COMPUTED_VALUE"""),45775.0)</f>
        <v>45775</v>
      </c>
      <c r="AR55" s="2">
        <f>IFERROR(__xludf.DUMMYFUNCTION("""COMPUTED_VALUE"""),45754.0)</f>
        <v>45754</v>
      </c>
      <c r="AS55" s="2">
        <f>IFERROR(__xludf.DUMMYFUNCTION("""COMPUTED_VALUE"""),45748.0)</f>
        <v>45748</v>
      </c>
      <c r="AT55" s="2">
        <f>IFERROR(__xludf.DUMMYFUNCTION("""COMPUTED_VALUE"""),45747.0)</f>
        <v>45747</v>
      </c>
      <c r="AU55" s="1">
        <f>IFERROR(__xludf.DUMMYFUNCTION("""COMPUTED_VALUE"""),32.0)</f>
        <v>32</v>
      </c>
      <c r="AV55" s="1" t="str">
        <f>IFERROR(__xludf.DUMMYFUNCTION("""COMPUTED_VALUE"""),"OUTBOUND")</f>
        <v>OUTBOUND</v>
      </c>
      <c r="AW55" s="1" t="str">
        <f>IFERROR(__xludf.DUMMYFUNCTION("""COMPUTED_VALUE"""),"OUTBOUND")</f>
        <v>OUTBOUND</v>
      </c>
      <c r="AX55" s="1" t="str">
        <f>IFERROR(__xludf.DUMMYFUNCTION("""COMPUTED_VALUE"""),"OUTBOUND")</f>
        <v>OUTBOUND</v>
      </c>
      <c r="AY55" s="1">
        <f>IFERROR(__xludf.DUMMYFUNCTION("""COMPUTED_VALUE"""),1.0)</f>
        <v>1</v>
      </c>
      <c r="AZ55" s="1" t="str">
        <f>IFERROR(__xludf.DUMMYFUNCTION("""COMPUTED_VALUE"""),"Rosa Ugarte")</f>
        <v>Rosa Ugarte</v>
      </c>
      <c r="BA55" s="5">
        <f>IFERROR(__xludf.DUMMYFUNCTION("""COMPUTED_VALUE"""),1.0)</f>
        <v>1</v>
      </c>
      <c r="BB55" s="6">
        <f>IFERROR(__xludf.DUMMYFUNCTION("""COMPUTED_VALUE"""),1050.0)</f>
        <v>1050</v>
      </c>
      <c r="BC55" s="1">
        <f>IFERROR(__xludf.DUMMYFUNCTION("""COMPUTED_VALUE"""),0.0)</f>
        <v>0</v>
      </c>
      <c r="BD55" s="1" t="str">
        <f>IFERROR(__xludf.DUMMYFUNCTION("""COMPUTED_VALUE""")," -")</f>
        <v> -</v>
      </c>
      <c r="BE55" s="1">
        <f>IFERROR(__xludf.DUMMYFUNCTION("""COMPUTED_VALUE"""),1.0)</f>
        <v>1</v>
      </c>
      <c r="BF55" s="1">
        <f>IFERROR(__xludf.DUMMYFUNCTION("""COMPUTED_VALUE"""),0.0)</f>
        <v>0</v>
      </c>
      <c r="BG55" s="3">
        <f>IFERROR(__xludf.DUMMYFUNCTION("""COMPUTED_VALUE"""),45794.0)</f>
        <v>45794</v>
      </c>
      <c r="BH55" s="1"/>
      <c r="BI55" s="1">
        <f>IFERROR(__xludf.DUMMYFUNCTION("""COMPUTED_VALUE"""),0.0)</f>
        <v>0</v>
      </c>
      <c r="BJ55" s="1" t="str">
        <f>IFERROR(__xludf.DUMMYFUNCTION("""COMPUTED_VALUE"""),"NUEVO")</f>
        <v>NUEVO</v>
      </c>
    </row>
    <row r="56">
      <c r="A56" s="1">
        <f>IFERROR(__xludf.DUMMYFUNCTION("""COMPUTED_VALUE"""),55.0)</f>
        <v>55</v>
      </c>
      <c r="B56" s="1">
        <f>IFERROR(__xludf.DUMMYFUNCTION("""COMPUTED_VALUE"""),529222.0)</f>
        <v>529222</v>
      </c>
      <c r="C56" s="1" t="str">
        <f>IFERROR(__xludf.DUMMYFUNCTION("""COMPUTED_VALUE"""),"2015001004")</f>
        <v>2015001004</v>
      </c>
      <c r="D56" s="1" t="str">
        <f>IFERROR(__xludf.DUMMYFUNCTION("""COMPUTED_VALUE"""),"CYNTHIA GABRIELA")</f>
        <v>CYNTHIA GABRIELA</v>
      </c>
      <c r="E56" s="2" t="str">
        <f>IFERROR(__xludf.DUMMYFUNCTION("""COMPUTED_VALUE"""),"ROCHA HERENCIA")</f>
        <v>ROCHA HERENCIA</v>
      </c>
      <c r="F56" s="1">
        <f>IFERROR(__xludf.DUMMYFUNCTION("""COMPUTED_VALUE"""),7.0248825E7)</f>
        <v>70248825</v>
      </c>
      <c r="G56" s="1">
        <f>IFERROR(__xludf.DUMMYFUNCTION("""COMPUTED_VALUE"""),9.56765081E8)</f>
        <v>956765081</v>
      </c>
      <c r="H56" s="1" t="str">
        <f>IFERROR(__xludf.DUMMYFUNCTION("""COMPUTED_VALUE"""),"cynthiarochaherencia@icloud.com")</f>
        <v>cynthiarochaherencia@icloud.com</v>
      </c>
      <c r="I56" s="1" t="str">
        <f>IFERROR(__xludf.DUMMYFUNCTION("""COMPUTED_VALUE"""),"Arquitectura")</f>
        <v>Arquitectura</v>
      </c>
      <c r="J56" s="1" t="str">
        <f>IFERROR(__xludf.DUMMYFUNCTION("""COMPUTED_VALUE"""),"Arquitecturas")</f>
        <v>Arquitecturas</v>
      </c>
      <c r="K56" s="1" t="str">
        <f>IFERROR(__xludf.DUMMYFUNCTION("""COMPUTED_VALUE"""),"Antigua")</f>
        <v>Antigua</v>
      </c>
      <c r="L56" s="1" t="str">
        <f>IFERROR(__xludf.DUMMYFUNCTION("""COMPUTED_VALUE"""),"Admisión Extraordinaria (Traslados)")</f>
        <v>Admisión Extraordinaria (Traslados)</v>
      </c>
      <c r="M56" s="1" t="str">
        <f>IFERROR(__xludf.DUMMYFUNCTION("""COMPUTED_VALUE"""),"Semi-presencial")</f>
        <v>Semi-presencial</v>
      </c>
      <c r="N56" s="1" t="str">
        <f>IFERROR(__xludf.DUMMYFUNCTION("""COMPUTED_VALUE"""),"Diurno")</f>
        <v>Diurno</v>
      </c>
      <c r="O56" s="1" t="str">
        <f>IFERROR(__xludf.DUMMYFUNCTION("""COMPUTED_VALUE"""),"TRASLADO CON CONVA")</f>
        <v>TRASLADO CON CONVA</v>
      </c>
      <c r="P56" s="1" t="str">
        <f>IFERROR(__xludf.DUMMYFUNCTION("""COMPUTED_VALUE"""),"RECA")</f>
        <v>RECA</v>
      </c>
      <c r="Q56" s="1" t="str">
        <f>IFERROR(__xludf.DUMMYFUNCTION("""COMPUTED_VALUE"""),"RECATEGORIZACIÓN")</f>
        <v>RECATEGORIZACIÓN</v>
      </c>
      <c r="R56" s="1" t="str">
        <f>IFERROR(__xludf.DUMMYFUNCTION("""COMPUTED_VALUE"""),"NINGUNO")</f>
        <v>NINGUNO</v>
      </c>
      <c r="S56" s="1" t="str">
        <f>IFERROR(__xludf.DUMMYFUNCTION("""COMPUTED_VALUE"""),"RODRIGO")</f>
        <v>RODRIGO</v>
      </c>
      <c r="T56" s="3">
        <f>IFERROR(__xludf.DUMMYFUNCTION("""COMPUTED_VALUE"""),45786.0)</f>
        <v>45786</v>
      </c>
      <c r="U56" s="1" t="str">
        <f>IFERROR(__xludf.DUMMYFUNCTION("""COMPUTED_VALUE"""),"Pago Link")</f>
        <v>Pago Link</v>
      </c>
      <c r="V56" s="1" t="str">
        <f>IFERROR(__xludf.DUMMYFUNCTION("""COMPUTED_VALUE"""),"PAGO COMPLETO")</f>
        <v>PAGO COMPLETO</v>
      </c>
      <c r="W56" s="4">
        <f>IFERROR(__xludf.DUMMYFUNCTION("""COMPUTED_VALUE"""),0.0)</f>
        <v>0</v>
      </c>
      <c r="X56" s="1" t="str">
        <f>IFERROR(__xludf.DUMMYFUNCTION("""COMPUTED_VALUE"""),"-")</f>
        <v>-</v>
      </c>
      <c r="Y56" s="2">
        <f>IFERROR(__xludf.DUMMYFUNCTION("""COMPUTED_VALUE"""),45786.0)</f>
        <v>45786</v>
      </c>
      <c r="Z56" s="1" t="str">
        <f>IFERROR(__xludf.DUMMYFUNCTION("""COMPUTED_VALUE"""),"PAGO COMPLETO")</f>
        <v>PAGO COMPLETO</v>
      </c>
      <c r="AA56" s="1"/>
      <c r="AB56" s="1"/>
      <c r="AC56" s="4">
        <f>IFERROR(__xludf.DUMMYFUNCTION("""COMPUTED_VALUE"""),0.0)</f>
        <v>0</v>
      </c>
      <c r="AD56" s="4">
        <f>IFERROR(__xludf.DUMMYFUNCTION("""COMPUTED_VALUE"""),0.0)</f>
        <v>0</v>
      </c>
      <c r="AE56" s="4">
        <f>IFERROR(__xludf.DUMMYFUNCTION("""COMPUTED_VALUE"""),900.0)</f>
        <v>900</v>
      </c>
      <c r="AF56" s="4">
        <f>IFERROR(__xludf.DUMMYFUNCTION("""COMPUTED_VALUE"""),900.0)</f>
        <v>900</v>
      </c>
      <c r="AG56" s="1">
        <f>IFERROR(__xludf.DUMMYFUNCTION("""COMPUTED_VALUE"""),0.0)</f>
        <v>0</v>
      </c>
      <c r="AH56" s="1">
        <f>IFERROR(__xludf.DUMMYFUNCTION("""COMPUTED_VALUE"""),0.0)</f>
        <v>0</v>
      </c>
      <c r="AI56" s="1">
        <f>IFERROR(__xludf.DUMMYFUNCTION("""COMPUTED_VALUE"""),0.0)</f>
        <v>0</v>
      </c>
      <c r="AJ56" s="1">
        <f>IFERROR(__xludf.DUMMYFUNCTION("""COMPUTED_VALUE"""),1422013.0)</f>
        <v>1422013</v>
      </c>
      <c r="AK56" s="1" t="str">
        <f>IFERROR(__xludf.DUMMYFUNCTION("""COMPUTED_VALUE"""),"Más de 15 kms")</f>
        <v>Más de 15 kms</v>
      </c>
      <c r="AL56" s="1" t="str">
        <f>IFERROR(__xludf.DUMMYFUNCTION("""COMPUTED_VALUE"""),"05 301 a 550")</f>
        <v>05 301 a 550</v>
      </c>
      <c r="AM56" s="1" t="str">
        <f>IFERROR(__xludf.DUMMYFUNCTION("""COMPUTED_VALUE"""),"Instituto de Educación Superior Tecnológico Privado Toulouse Lautrec")</f>
        <v>Instituto de Educación Superior Tecnológico Privado Toulouse Lautrec</v>
      </c>
      <c r="AN56" s="1" t="str">
        <f>IFERROR(__xludf.DUMMYFUNCTION("""COMPUTED_VALUE""")," ")</f>
        <v> </v>
      </c>
      <c r="AO56" s="1">
        <f>IFERROR(__xludf.DUMMYFUNCTION("""COMPUTED_VALUE"""),2014.0)</f>
        <v>2014</v>
      </c>
      <c r="AP56" s="3">
        <f>IFERROR(__xludf.DUMMYFUNCTION("""COMPUTED_VALUE"""),45778.0)</f>
        <v>45778</v>
      </c>
      <c r="AQ56" s="2">
        <f>IFERROR(__xludf.DUMMYFUNCTION("""COMPUTED_VALUE"""),45775.0)</f>
        <v>45775</v>
      </c>
      <c r="AR56" s="2">
        <f>IFERROR(__xludf.DUMMYFUNCTION("""COMPUTED_VALUE"""),45779.0)</f>
        <v>45779</v>
      </c>
      <c r="AS56" s="2">
        <f>IFERROR(__xludf.DUMMYFUNCTION("""COMPUTED_VALUE"""),45778.0)</f>
        <v>45778</v>
      </c>
      <c r="AT56" s="2">
        <f>IFERROR(__xludf.DUMMYFUNCTION("""COMPUTED_VALUE"""),45775.0)</f>
        <v>45775</v>
      </c>
      <c r="AU56" s="1">
        <f>IFERROR(__xludf.DUMMYFUNCTION("""COMPUTED_VALUE"""),7.0)</f>
        <v>7</v>
      </c>
      <c r="AV56" s="1" t="str">
        <f>IFERROR(__xludf.DUMMYFUNCTION("""COMPUTED_VALUE"""),"OUTBOUND")</f>
        <v>OUTBOUND</v>
      </c>
      <c r="AW56" s="1" t="str">
        <f>IFERROR(__xludf.DUMMYFUNCTION("""COMPUTED_VALUE"""),"OUTBOUND")</f>
        <v>OUTBOUND</v>
      </c>
      <c r="AX56" s="1" t="str">
        <f>IFERROR(__xludf.DUMMYFUNCTION("""COMPUTED_VALUE"""),"OUTBOUND")</f>
        <v>OUTBOUND</v>
      </c>
      <c r="AY56" s="1">
        <f>IFERROR(__xludf.DUMMYFUNCTION("""COMPUTED_VALUE"""),1.0)</f>
        <v>1</v>
      </c>
      <c r="AZ56" s="1" t="str">
        <f>IFERROR(__xludf.DUMMYFUNCTION("""COMPUTED_VALUE"""),"Angelica Iparraguirre")</f>
        <v>Angelica Iparraguirre</v>
      </c>
      <c r="BA56" s="5">
        <f>IFERROR(__xludf.DUMMYFUNCTION("""COMPUTED_VALUE"""),1.0)</f>
        <v>1</v>
      </c>
      <c r="BB56" s="6">
        <f>IFERROR(__xludf.DUMMYFUNCTION("""COMPUTED_VALUE"""),900.0)</f>
        <v>900</v>
      </c>
      <c r="BC56" s="1"/>
      <c r="BD56" s="1" t="str">
        <f>IFERROR(__xludf.DUMMYFUNCTION("""COMPUTED_VALUE""")," -")</f>
        <v> -</v>
      </c>
      <c r="BE56" s="1">
        <f>IFERROR(__xludf.DUMMYFUNCTION("""COMPUTED_VALUE"""),1.0)</f>
        <v>1</v>
      </c>
      <c r="BF56" s="1">
        <f>IFERROR(__xludf.DUMMYFUNCTION("""COMPUTED_VALUE"""),0.0)</f>
        <v>0</v>
      </c>
      <c r="BG56" s="1"/>
      <c r="BH56" s="1" t="str">
        <f>IFERROR(__xludf.DUMMYFUNCTION("""COMPUTED_VALUE"""),"No aplica")</f>
        <v>No aplica</v>
      </c>
      <c r="BI56" s="1">
        <f>IFERROR(__xludf.DUMMYFUNCTION("""COMPUTED_VALUE"""),1.0)</f>
        <v>1</v>
      </c>
      <c r="BJ56" s="1" t="str">
        <f>IFERROR(__xludf.DUMMYFUNCTION("""COMPUTED_VALUE"""),"TRASLADO")</f>
        <v>TRASLADO</v>
      </c>
    </row>
    <row r="57">
      <c r="A57" s="1">
        <f>IFERROR(__xludf.DUMMYFUNCTION("""COMPUTED_VALUE"""),56.0)</f>
        <v>56</v>
      </c>
      <c r="B57" s="1">
        <f>IFERROR(__xludf.DUMMYFUNCTION("""COMPUTED_VALUE"""),5130551.0)</f>
        <v>5130551</v>
      </c>
      <c r="C57" s="1" t="str">
        <f>IFERROR(__xludf.DUMMYFUNCTION("""COMPUTED_VALUE"""),"0000425422")</f>
        <v>0000425422</v>
      </c>
      <c r="D57" s="1" t="str">
        <f>IFERROR(__xludf.DUMMYFUNCTION("""COMPUTED_VALUE"""),"DANIELA VACILIA")</f>
        <v>DANIELA VACILIA</v>
      </c>
      <c r="E57" s="2" t="str">
        <f>IFERROR(__xludf.DUMMYFUNCTION("""COMPUTED_VALUE"""),"CASTRO COLCA")</f>
        <v>CASTRO COLCA</v>
      </c>
      <c r="F57" s="1">
        <f>IFERROR(__xludf.DUMMYFUNCTION("""COMPUTED_VALUE"""),6.0007445E7)</f>
        <v>60007445</v>
      </c>
      <c r="G57" s="1">
        <f>IFERROR(__xludf.DUMMYFUNCTION("""COMPUTED_VALUE"""),9.04256793E8)</f>
        <v>904256793</v>
      </c>
      <c r="H57" s="1" t="str">
        <f>IFERROR(__xludf.DUMMYFUNCTION("""COMPUTED_VALUE"""),"danielacolcacastro@gmail.com")</f>
        <v>danielacolcacastro@gmail.com</v>
      </c>
      <c r="I57" s="1" t="str">
        <f>IFERROR(__xludf.DUMMYFUNCTION("""COMPUTED_VALUE"""),"Diseño Gráfico Publicitario")</f>
        <v>Diseño Gráfico Publicitario</v>
      </c>
      <c r="J57" s="1" t="str">
        <f>IFERROR(__xludf.DUMMYFUNCTION("""COMPUTED_VALUE"""),"Diseño")</f>
        <v>Diseño</v>
      </c>
      <c r="K57" s="1" t="str">
        <f>IFERROR(__xludf.DUMMYFUNCTION("""COMPUTED_VALUE"""),"Antigua")</f>
        <v>Antigua</v>
      </c>
      <c r="L57" s="1" t="str">
        <f>IFERROR(__xludf.DUMMYFUNCTION("""COMPUTED_VALUE"""),"Admisión Ordinaria")</f>
        <v>Admisión Ordinaria</v>
      </c>
      <c r="M57" s="1" t="str">
        <f>IFERROR(__xludf.DUMMYFUNCTION("""COMPUTED_VALUE"""),"Semi-presencial")</f>
        <v>Semi-presencial</v>
      </c>
      <c r="N57" s="1" t="str">
        <f>IFERROR(__xludf.DUMMYFUNCTION("""COMPUTED_VALUE"""),"Diurno")</f>
        <v>Diurno</v>
      </c>
      <c r="O57" s="1" t="str">
        <f>IFERROR(__xludf.DUMMYFUNCTION("""COMPUTED_VALUE"""),"NUEVO")</f>
        <v>NUEVO</v>
      </c>
      <c r="P57" s="1" t="str">
        <f>IFERROR(__xludf.DUMMYFUNCTION("""COMPUTED_VALUE"""),"ESCALA REGULAR")</f>
        <v>ESCALA REGULAR</v>
      </c>
      <c r="Q57" s="1" t="str">
        <f>IFERROR(__xludf.DUMMYFUNCTION("""COMPUTED_VALUE"""),"NINGUNO")</f>
        <v>NINGUNO</v>
      </c>
      <c r="R57" s="1" t="str">
        <f>IFERROR(__xludf.DUMMYFUNCTION("""COMPUTED_VALUE"""),"NINGUNO")</f>
        <v>NINGUNO</v>
      </c>
      <c r="S57" s="1" t="str">
        <f>IFERROR(__xludf.DUMMYFUNCTION("""COMPUTED_VALUE"""),"-")</f>
        <v>-</v>
      </c>
      <c r="T57" s="3">
        <f>IFERROR(__xludf.DUMMYFUNCTION("""COMPUTED_VALUE"""),45787.0)</f>
        <v>45787</v>
      </c>
      <c r="U57" s="1" t="str">
        <f>IFERROR(__xludf.DUMMYFUNCTION("""COMPUTED_VALUE"""),"CARGO")</f>
        <v>CARGO</v>
      </c>
      <c r="V57" s="1" t="str">
        <f>IFERROR(__xludf.DUMMYFUNCTION("""COMPUTED_VALUE"""),"PAGO COMPLETO")</f>
        <v>PAGO COMPLETO</v>
      </c>
      <c r="W57" s="4">
        <f>IFERROR(__xludf.DUMMYFUNCTION("""COMPUTED_VALUE"""),0.0)</f>
        <v>0</v>
      </c>
      <c r="X57" s="1" t="str">
        <f>IFERROR(__xludf.DUMMYFUNCTION("""COMPUTED_VALUE"""),"-")</f>
        <v>-</v>
      </c>
      <c r="Y57" s="2">
        <f>IFERROR(__xludf.DUMMYFUNCTION("""COMPUTED_VALUE"""),45787.0)</f>
        <v>45787</v>
      </c>
      <c r="Z57" s="1" t="str">
        <f>IFERROR(__xludf.DUMMYFUNCTION("""COMPUTED_VALUE"""),"PAGO COMPLETO")</f>
        <v>PAGO COMPLETO</v>
      </c>
      <c r="AA57" s="1"/>
      <c r="AB57" s="1"/>
      <c r="AC57" s="4">
        <f>IFERROR(__xludf.DUMMYFUNCTION("""COMPUTED_VALUE"""),50.0)</f>
        <v>50</v>
      </c>
      <c r="AD57" s="4">
        <f>IFERROR(__xludf.DUMMYFUNCTION("""COMPUTED_VALUE"""),95.0)</f>
        <v>95</v>
      </c>
      <c r="AE57" s="4">
        <f>IFERROR(__xludf.DUMMYFUNCTION("""COMPUTED_VALUE"""),1100.0)</f>
        <v>1100</v>
      </c>
      <c r="AF57" s="4">
        <f>IFERROR(__xludf.DUMMYFUNCTION("""COMPUTED_VALUE"""),1100.0)</f>
        <v>1100</v>
      </c>
      <c r="AG57" s="1">
        <f>IFERROR(__xludf.DUMMYFUNCTION("""COMPUTED_VALUE"""),0.0)</f>
        <v>0</v>
      </c>
      <c r="AH57" s="1">
        <f>IFERROR(__xludf.DUMMYFUNCTION("""COMPUTED_VALUE"""),0.0)</f>
        <v>0</v>
      </c>
      <c r="AI57" s="1">
        <f>IFERROR(__xludf.DUMMYFUNCTION("""COMPUTED_VALUE"""),0.0)</f>
        <v>0</v>
      </c>
      <c r="AJ57" s="1">
        <f>IFERROR(__xludf.DUMMYFUNCTION("""COMPUTED_VALUE"""),1595362.0)</f>
        <v>1595362</v>
      </c>
      <c r="AK57" s="1" t="str">
        <f>IFERROR(__xludf.DUMMYFUNCTION("""COMPUTED_VALUE"""),"10 kms a 15 kms")</f>
        <v>10 kms a 15 kms</v>
      </c>
      <c r="AL57" s="1" t="str">
        <f>IFERROR(__xludf.DUMMYFUNCTION("""COMPUTED_VALUE"""),"04 200 a 300")</f>
        <v>04 200 a 300</v>
      </c>
      <c r="AM57" s="1" t="str">
        <f>IFERROR(__xludf.DUMMYFUNCTION("""COMPUTED_VALUE"""),"-")</f>
        <v>-</v>
      </c>
      <c r="AN57" s="1" t="str">
        <f>IFERROR(__xludf.DUMMYFUNCTION("""COMPUTED_VALUE""")," -")</f>
        <v> -</v>
      </c>
      <c r="AO57" s="1">
        <f>IFERROR(__xludf.DUMMYFUNCTION("""COMPUTED_VALUE"""),2024.0)</f>
        <v>2024</v>
      </c>
      <c r="AP57" s="3">
        <f>IFERROR(__xludf.DUMMYFUNCTION("""COMPUTED_VALUE"""),45778.0)</f>
        <v>45778</v>
      </c>
      <c r="AQ57" s="2">
        <f>IFERROR(__xludf.DUMMYFUNCTION("""COMPUTED_VALUE"""),45775.0)</f>
        <v>45775</v>
      </c>
      <c r="AR57" s="2">
        <f>IFERROR(__xludf.DUMMYFUNCTION("""COMPUTED_VALUE"""),45756.0)</f>
        <v>45756</v>
      </c>
      <c r="AS57" s="2">
        <f>IFERROR(__xludf.DUMMYFUNCTION("""COMPUTED_VALUE"""),45748.0)</f>
        <v>45748</v>
      </c>
      <c r="AT57" s="2">
        <f>IFERROR(__xludf.DUMMYFUNCTION("""COMPUTED_VALUE"""),45747.0)</f>
        <v>45747</v>
      </c>
      <c r="AU57" s="1">
        <f>IFERROR(__xludf.DUMMYFUNCTION("""COMPUTED_VALUE"""),31.0)</f>
        <v>31</v>
      </c>
      <c r="AV57" s="1" t="str">
        <f>IFERROR(__xludf.DUMMYFUNCTION("""COMPUTED_VALUE"""),"TRADICIONAL")</f>
        <v>TRADICIONAL</v>
      </c>
      <c r="AW57" s="1" t="str">
        <f>IFERROR(__xludf.DUMMYFUNCTION("""COMPUTED_VALUE"""),"EVENTOS")</f>
        <v>EVENTOS</v>
      </c>
      <c r="AX57" s="1" t="str">
        <f>IFERROR(__xludf.DUMMYFUNCTION("""COMPUTED_VALUE"""),"EVENTOS")</f>
        <v>EVENTOS</v>
      </c>
      <c r="AY57" s="1">
        <f>IFERROR(__xludf.DUMMYFUNCTION("""COMPUTED_VALUE"""),1.0)</f>
        <v>1</v>
      </c>
      <c r="AZ57" s="1" t="str">
        <f>IFERROR(__xludf.DUMMYFUNCTION("""COMPUTED_VALUE"""),"Andrea Araujo Antara")</f>
        <v>Andrea Araujo Antara</v>
      </c>
      <c r="BA57" s="5">
        <f>IFERROR(__xludf.DUMMYFUNCTION("""COMPUTED_VALUE"""),1.0)</f>
        <v>1</v>
      </c>
      <c r="BB57" s="6">
        <f>IFERROR(__xludf.DUMMYFUNCTION("""COMPUTED_VALUE"""),1100.0)</f>
        <v>1100</v>
      </c>
      <c r="BC57" s="1">
        <f>IFERROR(__xludf.DUMMYFUNCTION("""COMPUTED_VALUE"""),1.0)</f>
        <v>1</v>
      </c>
      <c r="BD57" s="1" t="str">
        <f>IFERROR(__xludf.DUMMYFUNCTION("""COMPUTED_VALUE"""),"Redacción")</f>
        <v>Redacción</v>
      </c>
      <c r="BE57" s="1">
        <f>IFERROR(__xludf.DUMMYFUNCTION("""COMPUTED_VALUE"""),1.0)</f>
        <v>1</v>
      </c>
      <c r="BF57" s="1">
        <f>IFERROR(__xludf.DUMMYFUNCTION("""COMPUTED_VALUE"""),1.0)</f>
        <v>1</v>
      </c>
      <c r="BG57" s="3">
        <f>IFERROR(__xludf.DUMMYFUNCTION("""COMPUTED_VALUE"""),45794.0)</f>
        <v>45794</v>
      </c>
      <c r="BH57" s="1" t="str">
        <f>IFERROR(__xludf.DUMMYFUNCTION("""COMPUTED_VALUE"""),"17/05/2025")</f>
        <v>17/05/2025</v>
      </c>
      <c r="BI57" s="1">
        <f>IFERROR(__xludf.DUMMYFUNCTION("""COMPUTED_VALUE"""),0.0)</f>
        <v>0</v>
      </c>
      <c r="BJ57" s="1" t="str">
        <f>IFERROR(__xludf.DUMMYFUNCTION("""COMPUTED_VALUE"""),"NUEVO")</f>
        <v>NUEVO</v>
      </c>
    </row>
    <row r="58">
      <c r="A58" s="1">
        <f>IFERROR(__xludf.DUMMYFUNCTION("""COMPUTED_VALUE"""),57.0)</f>
        <v>57</v>
      </c>
      <c r="B58" s="1">
        <f>IFERROR(__xludf.DUMMYFUNCTION("""COMPUTED_VALUE"""),2035686.0)</f>
        <v>2035686</v>
      </c>
      <c r="C58" s="1" t="str">
        <f>IFERROR(__xludf.DUMMYFUNCTION("""COMPUTED_VALUE"""),"0000425485")</f>
        <v>0000425485</v>
      </c>
      <c r="D58" s="1" t="str">
        <f>IFERROR(__xludf.DUMMYFUNCTION("""COMPUTED_VALUE"""),"IVANA SAMANTA ")</f>
        <v>IVANA SAMANTA </v>
      </c>
      <c r="E58" s="2" t="str">
        <f>IFERROR(__xludf.DUMMYFUNCTION("""COMPUTED_VALUE"""),"MENDOZA GUERRA")</f>
        <v>MENDOZA GUERRA</v>
      </c>
      <c r="F58" s="1">
        <f>IFERROR(__xludf.DUMMYFUNCTION("""COMPUTED_VALUE"""),6.103264E7)</f>
        <v>61032640</v>
      </c>
      <c r="G58" s="1">
        <f>IFERROR(__xludf.DUMMYFUNCTION("""COMPUTED_VALUE"""),9.31827779E8)</f>
        <v>931827779</v>
      </c>
      <c r="H58" s="1" t="str">
        <f>IFERROR(__xludf.DUMMYFUNCTION("""COMPUTED_VALUE"""),"soyivana.20033@gmail.com")</f>
        <v>soyivana.20033@gmail.com</v>
      </c>
      <c r="I58" s="1" t="str">
        <f>IFERROR(__xludf.DUMMYFUNCTION("""COMPUTED_VALUE"""),"Administración y Negocios Internacionales")</f>
        <v>Administración y Negocios Internacionales</v>
      </c>
      <c r="J58" s="1" t="str">
        <f>IFERROR(__xludf.DUMMYFUNCTION("""COMPUTED_VALUE"""),"Negocios")</f>
        <v>Negocios</v>
      </c>
      <c r="K58" s="1" t="str">
        <f>IFERROR(__xludf.DUMMYFUNCTION("""COMPUTED_VALUE"""),"Nueva")</f>
        <v>Nueva</v>
      </c>
      <c r="L58" s="1" t="str">
        <f>IFERROR(__xludf.DUMMYFUNCTION("""COMPUTED_VALUE"""),"Admisión Ordinaria")</f>
        <v>Admisión Ordinaria</v>
      </c>
      <c r="M58" s="1" t="str">
        <f>IFERROR(__xludf.DUMMYFUNCTION("""COMPUTED_VALUE"""),"Semi-presencial")</f>
        <v>Semi-presencial</v>
      </c>
      <c r="N58" s="1" t="str">
        <f>IFERROR(__xludf.DUMMYFUNCTION("""COMPUTED_VALUE"""),"Diurno")</f>
        <v>Diurno</v>
      </c>
      <c r="O58" s="1" t="str">
        <f>IFERROR(__xludf.DUMMYFUNCTION("""COMPUTED_VALUE"""),"NUEVO")</f>
        <v>NUEVO</v>
      </c>
      <c r="P58" s="1" t="str">
        <f>IFERROR(__xludf.DUMMYFUNCTION("""COMPUTED_VALUE"""),"ESCALA REGULAR")</f>
        <v>ESCALA REGULAR</v>
      </c>
      <c r="Q58" s="1" t="str">
        <f>IFERROR(__xludf.DUMMYFUNCTION("""COMPUTED_VALUE"""),"NINGUNO")</f>
        <v>NINGUNO</v>
      </c>
      <c r="R58" s="1" t="str">
        <f>IFERROR(__xludf.DUMMYFUNCTION("""COMPUTED_VALUE"""),"NINGUNO")</f>
        <v>NINGUNO</v>
      </c>
      <c r="S58" s="1" t="str">
        <f>IFERROR(__xludf.DUMMYFUNCTION("""COMPUTED_VALUE"""),"-")</f>
        <v>-</v>
      </c>
      <c r="T58" s="3">
        <f>IFERROR(__xludf.DUMMYFUNCTION("""COMPUTED_VALUE"""),45789.0)</f>
        <v>45789</v>
      </c>
      <c r="U58" s="1" t="str">
        <f>IFERROR(__xludf.DUMMYFUNCTION("""COMPUTED_VALUE"""),"CARGO")</f>
        <v>CARGO</v>
      </c>
      <c r="V58" s="1" t="str">
        <f>IFERROR(__xludf.DUMMYFUNCTION("""COMPUTED_VALUE"""),"PAGO COMPLETO")</f>
        <v>PAGO COMPLETO</v>
      </c>
      <c r="W58" s="4">
        <f>IFERROR(__xludf.DUMMYFUNCTION("""COMPUTED_VALUE"""),0.0)</f>
        <v>0</v>
      </c>
      <c r="X58" s="1" t="str">
        <f>IFERROR(__xludf.DUMMYFUNCTION("""COMPUTED_VALUE"""),"-")</f>
        <v>-</v>
      </c>
      <c r="Y58" s="2">
        <f>IFERROR(__xludf.DUMMYFUNCTION("""COMPUTED_VALUE"""),45789.0)</f>
        <v>45789</v>
      </c>
      <c r="Z58" s="1" t="str">
        <f>IFERROR(__xludf.DUMMYFUNCTION("""COMPUTED_VALUE"""),"PAGO COMPLETO")</f>
        <v>PAGO COMPLETO</v>
      </c>
      <c r="AA58" s="1"/>
      <c r="AB58" s="1"/>
      <c r="AC58" s="4">
        <f>IFERROR(__xludf.DUMMYFUNCTION("""COMPUTED_VALUE"""),50.0)</f>
        <v>50</v>
      </c>
      <c r="AD58" s="4">
        <f>IFERROR(__xludf.DUMMYFUNCTION("""COMPUTED_VALUE"""),95.0)</f>
        <v>95</v>
      </c>
      <c r="AE58" s="4">
        <f>IFERROR(__xludf.DUMMYFUNCTION("""COMPUTED_VALUE"""),1250.0)</f>
        <v>1250</v>
      </c>
      <c r="AF58" s="4">
        <f>IFERROR(__xludf.DUMMYFUNCTION("""COMPUTED_VALUE"""),1250.0)</f>
        <v>1250</v>
      </c>
      <c r="AG58" s="1">
        <f>IFERROR(__xludf.DUMMYFUNCTION("""COMPUTED_VALUE"""),0.0)</f>
        <v>0</v>
      </c>
      <c r="AH58" s="1">
        <f>IFERROR(__xludf.DUMMYFUNCTION("""COMPUTED_VALUE"""),0.0)</f>
        <v>0</v>
      </c>
      <c r="AI58" s="1">
        <f>IFERROR(__xludf.DUMMYFUNCTION("""COMPUTED_VALUE"""),0.0)</f>
        <v>0</v>
      </c>
      <c r="AJ58" s="1">
        <f>IFERROR(__xludf.DUMMYFUNCTION("""COMPUTED_VALUE"""),901108.0)</f>
        <v>901108</v>
      </c>
      <c r="AK58" s="1" t="str">
        <f>IFERROR(__xludf.DUMMYFUNCTION("""COMPUTED_VALUE"""),"Más de 15 kms")</f>
        <v>Más de 15 kms</v>
      </c>
      <c r="AL58" s="1" t="str">
        <f>IFERROR(__xludf.DUMMYFUNCTION("""COMPUTED_VALUE"""),"03 101 a 200")</f>
        <v>03 101 a 200</v>
      </c>
      <c r="AM58" s="1" t="str">
        <f>IFERROR(__xludf.DUMMYFUNCTION("""COMPUTED_VALUE"""),"-")</f>
        <v>-</v>
      </c>
      <c r="AN58" s="1" t="str">
        <f>IFERROR(__xludf.DUMMYFUNCTION("""COMPUTED_VALUE""")," -")</f>
        <v> -</v>
      </c>
      <c r="AO58" s="1">
        <f>IFERROR(__xludf.DUMMYFUNCTION("""COMPUTED_VALUE"""),2024.0)</f>
        <v>2024</v>
      </c>
      <c r="AP58" s="3">
        <f>IFERROR(__xludf.DUMMYFUNCTION("""COMPUTED_VALUE"""),45778.0)</f>
        <v>45778</v>
      </c>
      <c r="AQ58" s="2">
        <f>IFERROR(__xludf.DUMMYFUNCTION("""COMPUTED_VALUE"""),45775.0)</f>
        <v>45775</v>
      </c>
      <c r="AR58" s="2">
        <f>IFERROR(__xludf.DUMMYFUNCTION("""COMPUTED_VALUE"""),45756.0)</f>
        <v>45756</v>
      </c>
      <c r="AS58" s="2">
        <f>IFERROR(__xludf.DUMMYFUNCTION("""COMPUTED_VALUE"""),45748.0)</f>
        <v>45748</v>
      </c>
      <c r="AT58" s="2">
        <f>IFERROR(__xludf.DUMMYFUNCTION("""COMPUTED_VALUE"""),45747.0)</f>
        <v>45747</v>
      </c>
      <c r="AU58" s="1">
        <f>IFERROR(__xludf.DUMMYFUNCTION("""COMPUTED_VALUE"""),33.0)</f>
        <v>33</v>
      </c>
      <c r="AV58" s="1" t="str">
        <f>IFERROR(__xludf.DUMMYFUNCTION("""COMPUTED_VALUE"""),"DIGITAL")</f>
        <v>DIGITAL</v>
      </c>
      <c r="AW58" s="1" t="str">
        <f>IFERROR(__xludf.DUMMYFUNCTION("""COMPUTED_VALUE"""),"BIDIRECCIONAL")</f>
        <v>BIDIRECCIONAL</v>
      </c>
      <c r="AX58" s="1" t="str">
        <f>IFERROR(__xludf.DUMMYFUNCTION("""COMPUTED_VALUE"""),"ORGANICO")</f>
        <v>ORGANICO</v>
      </c>
      <c r="AY58" s="1">
        <f>IFERROR(__xludf.DUMMYFUNCTION("""COMPUTED_VALUE"""),1.0)</f>
        <v>1</v>
      </c>
      <c r="AZ58" s="1" t="str">
        <f>IFERROR(__xludf.DUMMYFUNCTION("""COMPUTED_VALUE"""),"Andrea Araujo Antara")</f>
        <v>Andrea Araujo Antara</v>
      </c>
      <c r="BA58" s="5">
        <f>IFERROR(__xludf.DUMMYFUNCTION("""COMPUTED_VALUE"""),1.0)</f>
        <v>1</v>
      </c>
      <c r="BB58" s="6">
        <f>IFERROR(__xludf.DUMMYFUNCTION("""COMPUTED_VALUE"""),1250.0)</f>
        <v>1250</v>
      </c>
      <c r="BC58" s="1">
        <f>IFERROR(__xludf.DUMMYFUNCTION("""COMPUTED_VALUE"""),1.0)</f>
        <v>1</v>
      </c>
      <c r="BD58" s="1" t="str">
        <f>IFERROR(__xludf.DUMMYFUNCTION("""COMPUTED_VALUE"""),"Matemáticas")</f>
        <v>Matemáticas</v>
      </c>
      <c r="BE58" s="1">
        <f>IFERROR(__xludf.DUMMYFUNCTION("""COMPUTED_VALUE"""),1.0)</f>
        <v>1</v>
      </c>
      <c r="BF58" s="1">
        <f>IFERROR(__xludf.DUMMYFUNCTION("""COMPUTED_VALUE"""),1.0)</f>
        <v>1</v>
      </c>
      <c r="BG58" s="3">
        <f>IFERROR(__xludf.DUMMYFUNCTION("""COMPUTED_VALUE"""),45794.0)</f>
        <v>45794</v>
      </c>
      <c r="BH58" s="1" t="str">
        <f>IFERROR(__xludf.DUMMYFUNCTION("""COMPUTED_VALUE"""),"17/05/2025")</f>
        <v>17/05/2025</v>
      </c>
      <c r="BI58" s="1">
        <f>IFERROR(__xludf.DUMMYFUNCTION("""COMPUTED_VALUE"""),0.0)</f>
        <v>0</v>
      </c>
      <c r="BJ58" s="1" t="str">
        <f>IFERROR(__xludf.DUMMYFUNCTION("""COMPUTED_VALUE"""),"NUEVO")</f>
        <v>NUEVO</v>
      </c>
    </row>
    <row r="59">
      <c r="A59" s="1">
        <f>IFERROR(__xludf.DUMMYFUNCTION("""COMPUTED_VALUE"""),58.0)</f>
        <v>58</v>
      </c>
      <c r="B59" s="1">
        <f>IFERROR(__xludf.DUMMYFUNCTION("""COMPUTED_VALUE"""),1026635.0)</f>
        <v>1026635</v>
      </c>
      <c r="C59" s="1" t="str">
        <f>IFERROR(__xludf.DUMMYFUNCTION("""COMPUTED_VALUE"""),"0000425818")</f>
        <v>0000425818</v>
      </c>
      <c r="D59" s="1" t="str">
        <f>IFERROR(__xludf.DUMMYFUNCTION("""COMPUTED_VALUE"""),"KAREL CRISTINA")</f>
        <v>KAREL CRISTINA</v>
      </c>
      <c r="E59" s="2" t="str">
        <f>IFERROR(__xludf.DUMMYFUNCTION("""COMPUTED_VALUE"""),"MARTINEZ HUALLANAY")</f>
        <v>MARTINEZ HUALLANAY</v>
      </c>
      <c r="F59" s="1">
        <f>IFERROR(__xludf.DUMMYFUNCTION("""COMPUTED_VALUE"""),7.5621126E7)</f>
        <v>75621126</v>
      </c>
      <c r="G59" s="1">
        <f>IFERROR(__xludf.DUMMYFUNCTION("""COMPUTED_VALUE"""),9.43722859E8)</f>
        <v>943722859</v>
      </c>
      <c r="H59" s="1" t="str">
        <f>IFERROR(__xludf.DUMMYFUNCTION("""COMPUTED_VALUE"""),"karel_cristina24@hotmail.com")</f>
        <v>karel_cristina24@hotmail.com</v>
      </c>
      <c r="I59" s="1" t="str">
        <f>IFERROR(__xludf.DUMMYFUNCTION("""COMPUTED_VALUE"""),"Arquitectura")</f>
        <v>Arquitectura</v>
      </c>
      <c r="J59" s="1" t="str">
        <f>IFERROR(__xludf.DUMMYFUNCTION("""COMPUTED_VALUE"""),"Arquitecturas")</f>
        <v>Arquitecturas</v>
      </c>
      <c r="K59" s="1" t="str">
        <f>IFERROR(__xludf.DUMMYFUNCTION("""COMPUTED_VALUE"""),"Antigua")</f>
        <v>Antigua</v>
      </c>
      <c r="L59" s="1" t="str">
        <f>IFERROR(__xludf.DUMMYFUNCTION("""COMPUTED_VALUE"""),"Admisión Extraordinaria (Traslados)")</f>
        <v>Admisión Extraordinaria (Traslados)</v>
      </c>
      <c r="M59" s="1" t="str">
        <f>IFERROR(__xludf.DUMMYFUNCTION("""COMPUTED_VALUE"""),"Semi-presencial")</f>
        <v>Semi-presencial</v>
      </c>
      <c r="N59" s="1" t="str">
        <f>IFERROR(__xludf.DUMMYFUNCTION("""COMPUTED_VALUE"""),"Diurno")</f>
        <v>Diurno</v>
      </c>
      <c r="O59" s="1" t="str">
        <f>IFERROR(__xludf.DUMMYFUNCTION("""COMPUTED_VALUE"""),"TRASLADO CON CONVA")</f>
        <v>TRASLADO CON CONVA</v>
      </c>
      <c r="P59" s="1" t="str">
        <f>IFERROR(__xludf.DUMMYFUNCTION("""COMPUTED_VALUE"""),"RECA")</f>
        <v>RECA</v>
      </c>
      <c r="Q59" s="1" t="str">
        <f>IFERROR(__xludf.DUMMYFUNCTION("""COMPUTED_VALUE"""),"RECATEGORIZACIÓN")</f>
        <v>RECATEGORIZACIÓN</v>
      </c>
      <c r="R59" s="1" t="str">
        <f>IFERROR(__xludf.DUMMYFUNCTION("""COMPUTED_VALUE"""),"NINGUNO")</f>
        <v>NINGUNO</v>
      </c>
      <c r="S59" s="1" t="str">
        <f>IFERROR(__xludf.DUMMYFUNCTION("""COMPUTED_VALUE"""),"FABIOLA")</f>
        <v>FABIOLA</v>
      </c>
      <c r="T59" s="3">
        <f>IFERROR(__xludf.DUMMYFUNCTION("""COMPUTED_VALUE"""),45791.0)</f>
        <v>45791</v>
      </c>
      <c r="U59" s="1" t="str">
        <f>IFERROR(__xludf.DUMMYFUNCTION("""COMPUTED_VALUE"""),"CARGO")</f>
        <v>CARGO</v>
      </c>
      <c r="V59" s="1" t="str">
        <f>IFERROR(__xludf.DUMMYFUNCTION("""COMPUTED_VALUE"""),"PAGO COMPLETO")</f>
        <v>PAGO COMPLETO</v>
      </c>
      <c r="W59" s="4">
        <f>IFERROR(__xludf.DUMMYFUNCTION("""COMPUTED_VALUE"""),0.0)</f>
        <v>0</v>
      </c>
      <c r="X59" s="1" t="str">
        <f>IFERROR(__xludf.DUMMYFUNCTION("""COMPUTED_VALUE"""),"-")</f>
        <v>-</v>
      </c>
      <c r="Y59" s="2">
        <f>IFERROR(__xludf.DUMMYFUNCTION("""COMPUTED_VALUE"""),45792.0)</f>
        <v>45792</v>
      </c>
      <c r="Z59" s="1" t="str">
        <f>IFERROR(__xludf.DUMMYFUNCTION("""COMPUTED_VALUE"""),"PAGO COMPLETO")</f>
        <v>PAGO COMPLETO</v>
      </c>
      <c r="AA59" s="1"/>
      <c r="AB59" s="1"/>
      <c r="AC59" s="4">
        <f>IFERROR(__xludf.DUMMYFUNCTION("""COMPUTED_VALUE"""),0.0)</f>
        <v>0</v>
      </c>
      <c r="AD59" s="4">
        <f>IFERROR(__xludf.DUMMYFUNCTION("""COMPUTED_VALUE"""),0.0)</f>
        <v>0</v>
      </c>
      <c r="AE59" s="4">
        <f>IFERROR(__xludf.DUMMYFUNCTION("""COMPUTED_VALUE"""),850.0)</f>
        <v>850</v>
      </c>
      <c r="AF59" s="4">
        <f>IFERROR(__xludf.DUMMYFUNCTION("""COMPUTED_VALUE"""),850.0)</f>
        <v>850</v>
      </c>
      <c r="AG59" s="1">
        <f>IFERROR(__xludf.DUMMYFUNCTION("""COMPUTED_VALUE"""),0.0)</f>
        <v>0</v>
      </c>
      <c r="AH59" s="1">
        <f>IFERROR(__xludf.DUMMYFUNCTION("""COMPUTED_VALUE"""),0.0)</f>
        <v>0</v>
      </c>
      <c r="AI59" s="1">
        <f>IFERROR(__xludf.DUMMYFUNCTION("""COMPUTED_VALUE"""),0.0)</f>
        <v>0</v>
      </c>
      <c r="AJ59" s="1">
        <f>IFERROR(__xludf.DUMMYFUNCTION("""COMPUTED_VALUE"""),765370.0)</f>
        <v>765370</v>
      </c>
      <c r="AK59" s="1" t="str">
        <f>IFERROR(__xludf.DUMMYFUNCTION("""COMPUTED_VALUE"""),"Menos de 5 kms")</f>
        <v>Menos de 5 kms</v>
      </c>
      <c r="AL59" s="1" t="str">
        <f>IFERROR(__xludf.DUMMYFUNCTION("""COMPUTED_VALUE"""),"01 Nacional")</f>
        <v>01 Nacional</v>
      </c>
      <c r="AM59" s="1" t="str">
        <f>IFERROR(__xludf.DUMMYFUNCTION("""COMPUTED_VALUE"""),"ISIL")</f>
        <v>ISIL</v>
      </c>
      <c r="AN59" s="1" t="str">
        <f>IFERROR(__xludf.DUMMYFUNCTION("""COMPUTED_VALUE""")," ")</f>
        <v> </v>
      </c>
      <c r="AO59" s="1">
        <f>IFERROR(__xludf.DUMMYFUNCTION("""COMPUTED_VALUE"""),2018.0)</f>
        <v>2018</v>
      </c>
      <c r="AP59" s="3">
        <f>IFERROR(__xludf.DUMMYFUNCTION("""COMPUTED_VALUE"""),45778.0)</f>
        <v>45778</v>
      </c>
      <c r="AQ59" s="2">
        <f>IFERROR(__xludf.DUMMYFUNCTION("""COMPUTED_VALUE"""),45775.0)</f>
        <v>45775</v>
      </c>
      <c r="AR59" s="2">
        <f>IFERROR(__xludf.DUMMYFUNCTION("""COMPUTED_VALUE"""),45779.0)</f>
        <v>45779</v>
      </c>
      <c r="AS59" s="2">
        <f>IFERROR(__xludf.DUMMYFUNCTION("""COMPUTED_VALUE"""),45778.0)</f>
        <v>45778</v>
      </c>
      <c r="AT59" s="2">
        <f>IFERROR(__xludf.DUMMYFUNCTION("""COMPUTED_VALUE"""),45775.0)</f>
        <v>45775</v>
      </c>
      <c r="AU59" s="1">
        <f>IFERROR(__xludf.DUMMYFUNCTION("""COMPUTED_VALUE"""),13.0)</f>
        <v>13</v>
      </c>
      <c r="AV59" s="1" t="str">
        <f>IFERROR(__xludf.DUMMYFUNCTION("""COMPUTED_VALUE"""),"TRADICIONAL")</f>
        <v>TRADICIONAL</v>
      </c>
      <c r="AW59" s="1" t="str">
        <f>IFERROR(__xludf.DUMMYFUNCTION("""COMPUTED_VALUE"""),"EVENTOS")</f>
        <v>EVENTOS</v>
      </c>
      <c r="AX59" s="1" t="str">
        <f>IFERROR(__xludf.DUMMYFUNCTION("""COMPUTED_VALUE"""),"EVENTOS")</f>
        <v>EVENTOS</v>
      </c>
      <c r="AY59" s="1">
        <f>IFERROR(__xludf.DUMMYFUNCTION("""COMPUTED_VALUE"""),1.0)</f>
        <v>1</v>
      </c>
      <c r="AZ59" s="1" t="str">
        <f>IFERROR(__xludf.DUMMYFUNCTION("""COMPUTED_VALUE"""),"Angelica Iparraguirre")</f>
        <v>Angelica Iparraguirre</v>
      </c>
      <c r="BA59" s="5">
        <f>IFERROR(__xludf.DUMMYFUNCTION("""COMPUTED_VALUE"""),1.0)</f>
        <v>1</v>
      </c>
      <c r="BB59" s="6">
        <f>IFERROR(__xludf.DUMMYFUNCTION("""COMPUTED_VALUE"""),850.0)</f>
        <v>850</v>
      </c>
      <c r="BC59" s="1"/>
      <c r="BD59" s="1" t="str">
        <f>IFERROR(__xludf.DUMMYFUNCTION("""COMPUTED_VALUE""")," -")</f>
        <v> -</v>
      </c>
      <c r="BE59" s="1">
        <f>IFERROR(__xludf.DUMMYFUNCTION("""COMPUTED_VALUE"""),1.0)</f>
        <v>1</v>
      </c>
      <c r="BF59" s="1">
        <f>IFERROR(__xludf.DUMMYFUNCTION("""COMPUTED_VALUE"""),0.0)</f>
        <v>0</v>
      </c>
      <c r="BG59" s="1"/>
      <c r="BH59" s="1" t="str">
        <f>IFERROR(__xludf.DUMMYFUNCTION("""COMPUTED_VALUE"""),"No aplica")</f>
        <v>No aplica</v>
      </c>
      <c r="BI59" s="1">
        <f>IFERROR(__xludf.DUMMYFUNCTION("""COMPUTED_VALUE"""),1.0)</f>
        <v>1</v>
      </c>
      <c r="BJ59" s="1" t="str">
        <f>IFERROR(__xludf.DUMMYFUNCTION("""COMPUTED_VALUE"""),"TRASLADO")</f>
        <v>TRASLADO</v>
      </c>
    </row>
    <row r="60">
      <c r="A60" s="1">
        <f>IFERROR(__xludf.DUMMYFUNCTION("""COMPUTED_VALUE"""),59.0)</f>
        <v>59</v>
      </c>
      <c r="B60" s="1">
        <f>IFERROR(__xludf.DUMMYFUNCTION("""COMPUTED_VALUE"""),5136858.0)</f>
        <v>5136858</v>
      </c>
      <c r="C60" s="1" t="str">
        <f>IFERROR(__xludf.DUMMYFUNCTION("""COMPUTED_VALUE"""),"0000424523")</f>
        <v>0000424523</v>
      </c>
      <c r="D60" s="1" t="str">
        <f>IFERROR(__xludf.DUMMYFUNCTION("""COMPUTED_VALUE"""),"NALLELY ADELINA")</f>
        <v>NALLELY ADELINA</v>
      </c>
      <c r="E60" s="2" t="str">
        <f>IFERROR(__xludf.DUMMYFUNCTION("""COMPUTED_VALUE"""),"QUISPE LOZANO")</f>
        <v>QUISPE LOZANO</v>
      </c>
      <c r="F60" s="1">
        <f>IFERROR(__xludf.DUMMYFUNCTION("""COMPUTED_VALUE"""),6.1251572E7)</f>
        <v>61251572</v>
      </c>
      <c r="G60" s="1">
        <f>IFERROR(__xludf.DUMMYFUNCTION("""COMPUTED_VALUE"""),9.41076065E8)</f>
        <v>941076065</v>
      </c>
      <c r="H60" s="1" t="str">
        <f>IFERROR(__xludf.DUMMYFUNCTION("""COMPUTED_VALUE"""),"lozanonalle7@gmail.com")</f>
        <v>lozanonalle7@gmail.com</v>
      </c>
      <c r="I60" s="1" t="str">
        <f>IFERROR(__xludf.DUMMYFUNCTION("""COMPUTED_VALUE"""),"Administración y Negocios Internacionales")</f>
        <v>Administración y Negocios Internacionales</v>
      </c>
      <c r="J60" s="1" t="str">
        <f>IFERROR(__xludf.DUMMYFUNCTION("""COMPUTED_VALUE"""),"Negocios")</f>
        <v>Negocios</v>
      </c>
      <c r="K60" s="1" t="str">
        <f>IFERROR(__xludf.DUMMYFUNCTION("""COMPUTED_VALUE"""),"Nueva")</f>
        <v>Nueva</v>
      </c>
      <c r="L60" s="1" t="str">
        <f>IFERROR(__xludf.DUMMYFUNCTION("""COMPUTED_VALUE"""),"Admisión Extraordinaria (Traslados)")</f>
        <v>Admisión Extraordinaria (Traslados)</v>
      </c>
      <c r="M60" s="1" t="str">
        <f>IFERROR(__xludf.DUMMYFUNCTION("""COMPUTED_VALUE"""),"Semi-presencial")</f>
        <v>Semi-presencial</v>
      </c>
      <c r="N60" s="1" t="str">
        <f>IFERROR(__xludf.DUMMYFUNCTION("""COMPUTED_VALUE"""),"Diurno")</f>
        <v>Diurno</v>
      </c>
      <c r="O60" s="1" t="str">
        <f>IFERROR(__xludf.DUMMYFUNCTION("""COMPUTED_VALUE"""),"TRASLADO SIN CONVA")</f>
        <v>TRASLADO SIN CONVA</v>
      </c>
      <c r="P60" s="1" t="str">
        <f>IFERROR(__xludf.DUMMYFUNCTION("""COMPUTED_VALUE"""),"BECA")</f>
        <v>BECA</v>
      </c>
      <c r="Q60" s="1" t="str">
        <f>IFERROR(__xludf.DUMMYFUNCTION("""COMPUTED_VALUE"""),"BECA CARRERAS NUEVAS")</f>
        <v>BECA CARRERAS NUEVAS</v>
      </c>
      <c r="R60" s="1" t="str">
        <f>IFERROR(__xludf.DUMMYFUNCTION("""COMPUTED_VALUE"""),"NINGUNO")</f>
        <v>NINGUNO</v>
      </c>
      <c r="S60" s="1" t="str">
        <f>IFERROR(__xludf.DUMMYFUNCTION("""COMPUTED_VALUE"""),"FABIOLA")</f>
        <v>FABIOLA</v>
      </c>
      <c r="T60" s="3">
        <f>IFERROR(__xludf.DUMMYFUNCTION("""COMPUTED_VALUE"""),45791.0)</f>
        <v>45791</v>
      </c>
      <c r="U60" s="1" t="str">
        <f>IFERROR(__xludf.DUMMYFUNCTION("""COMPUTED_VALUE"""),"Pago Link")</f>
        <v>Pago Link</v>
      </c>
      <c r="V60" s="1" t="str">
        <f>IFERROR(__xludf.DUMMYFUNCTION("""COMPUTED_VALUE"""),"PAGO FRACCIONADO")</f>
        <v>PAGO FRACCIONADO</v>
      </c>
      <c r="W60" s="4">
        <f>IFERROR(__xludf.DUMMYFUNCTION("""COMPUTED_VALUE"""),0.0)</f>
        <v>0</v>
      </c>
      <c r="X60" s="1" t="str">
        <f>IFERROR(__xludf.DUMMYFUNCTION("""COMPUTED_VALUE"""),"12/06/2025")</f>
        <v>12/06/2025</v>
      </c>
      <c r="Y60" s="2">
        <f>IFERROR(__xludf.DUMMYFUNCTION("""COMPUTED_VALUE"""),45820.0)</f>
        <v>45820</v>
      </c>
      <c r="Z60" s="1" t="str">
        <f>IFERROR(__xludf.DUMMYFUNCTION("""COMPUTED_VALUE"""),"PAGO COMPLETO")</f>
        <v>PAGO COMPLETO</v>
      </c>
      <c r="AA60" s="1"/>
      <c r="AB60" s="1"/>
      <c r="AC60" s="4">
        <f>IFERROR(__xludf.DUMMYFUNCTION("""COMPUTED_VALUE"""),0.0)</f>
        <v>0</v>
      </c>
      <c r="AD60" s="4">
        <f>IFERROR(__xludf.DUMMYFUNCTION("""COMPUTED_VALUE"""),0.0)</f>
        <v>0</v>
      </c>
      <c r="AE60" s="4">
        <f>IFERROR(__xludf.DUMMYFUNCTION("""COMPUTED_VALUE"""),1050.0)</f>
        <v>1050</v>
      </c>
      <c r="AF60" s="4">
        <f>IFERROR(__xludf.DUMMYFUNCTION("""COMPUTED_VALUE"""),950.0)</f>
        <v>950</v>
      </c>
      <c r="AG60" s="1">
        <f>IFERROR(__xludf.DUMMYFUNCTION("""COMPUTED_VALUE"""),0.0)</f>
        <v>0</v>
      </c>
      <c r="AH60" s="1">
        <f>IFERROR(__xludf.DUMMYFUNCTION("""COMPUTED_VALUE"""),0.0)</f>
        <v>0</v>
      </c>
      <c r="AI60" s="1">
        <f>IFERROR(__xludf.DUMMYFUNCTION("""COMPUTED_VALUE"""),0.0)</f>
        <v>0</v>
      </c>
      <c r="AJ60" s="1">
        <f>IFERROR(__xludf.DUMMYFUNCTION("""COMPUTED_VALUE"""),1070804.0)</f>
        <v>1070804</v>
      </c>
      <c r="AK60" s="1"/>
      <c r="AL60" s="1"/>
      <c r="AM60" s="1" t="str">
        <f>IFERROR(__xludf.DUMMYFUNCTION("""COMPUTED_VALUE"""),"ISIL")</f>
        <v>ISIL</v>
      </c>
      <c r="AN60" s="1" t="str">
        <f>IFERROR(__xludf.DUMMYFUNCTION("""COMPUTED_VALUE""")," ")</f>
        <v> </v>
      </c>
      <c r="AO60" s="1">
        <f>IFERROR(__xludf.DUMMYFUNCTION("""COMPUTED_VALUE"""),2024.0)</f>
        <v>2024</v>
      </c>
      <c r="AP60" s="3">
        <f>IFERROR(__xludf.DUMMYFUNCTION("""COMPUTED_VALUE"""),45778.0)</f>
        <v>45778</v>
      </c>
      <c r="AQ60" s="2">
        <f>IFERROR(__xludf.DUMMYFUNCTION("""COMPUTED_VALUE"""),45775.0)</f>
        <v>45775</v>
      </c>
      <c r="AR60" s="2">
        <f>IFERROR(__xludf.DUMMYFUNCTION("""COMPUTED_VALUE"""),45756.0)</f>
        <v>45756</v>
      </c>
      <c r="AS60" s="2">
        <f>IFERROR(__xludf.DUMMYFUNCTION("""COMPUTED_VALUE"""),45748.0)</f>
        <v>45748</v>
      </c>
      <c r="AT60" s="2">
        <f>IFERROR(__xludf.DUMMYFUNCTION("""COMPUTED_VALUE"""),45747.0)</f>
        <v>45747</v>
      </c>
      <c r="AU60" s="1">
        <f>IFERROR(__xludf.DUMMYFUNCTION("""COMPUTED_VALUE"""),64.0)</f>
        <v>64</v>
      </c>
      <c r="AV60" s="1" t="str">
        <f>IFERROR(__xludf.DUMMYFUNCTION("""COMPUTED_VALUE"""),"DIGITAL")</f>
        <v>DIGITAL</v>
      </c>
      <c r="AW60" s="1" t="str">
        <f>IFERROR(__xludf.DUMMYFUNCTION("""COMPUTED_VALUE"""),"BIDIRECCIONAL")</f>
        <v>BIDIRECCIONAL</v>
      </c>
      <c r="AX60" s="1" t="str">
        <f>IFERROR(__xludf.DUMMYFUNCTION("""COMPUTED_VALUE"""),"ORGANICO")</f>
        <v>ORGANICO</v>
      </c>
      <c r="AY60" s="1">
        <f>IFERROR(__xludf.DUMMYFUNCTION("""COMPUTED_VALUE"""),1.0)</f>
        <v>1</v>
      </c>
      <c r="AZ60" s="1" t="str">
        <f>IFERROR(__xludf.DUMMYFUNCTION("""COMPUTED_VALUE"""),"Angelica Iparraguirre")</f>
        <v>Angelica Iparraguirre</v>
      </c>
      <c r="BA60" s="5">
        <f>IFERROR(__xludf.DUMMYFUNCTION("""COMPUTED_VALUE"""),1.0)</f>
        <v>1</v>
      </c>
      <c r="BB60" s="6">
        <f>IFERROR(__xludf.DUMMYFUNCTION("""COMPUTED_VALUE"""),950.0)</f>
        <v>950</v>
      </c>
      <c r="BC60" s="1">
        <f>IFERROR(__xludf.DUMMYFUNCTION("""COMPUTED_VALUE"""),0.0)</f>
        <v>0</v>
      </c>
      <c r="BD60" s="1" t="str">
        <f>IFERROR(__xludf.DUMMYFUNCTION("""COMPUTED_VALUE""")," -")</f>
        <v> -</v>
      </c>
      <c r="BE60" s="1">
        <f>IFERROR(__xludf.DUMMYFUNCTION("""COMPUTED_VALUE"""),1.0)</f>
        <v>1</v>
      </c>
      <c r="BF60" s="1">
        <f>IFERROR(__xludf.DUMMYFUNCTION("""COMPUTED_VALUE"""),0.0)</f>
        <v>0</v>
      </c>
      <c r="BG60" s="3">
        <f>IFERROR(__xludf.DUMMYFUNCTION("""COMPUTED_VALUE"""),45829.0)</f>
        <v>45829</v>
      </c>
      <c r="BH60" s="1"/>
      <c r="BI60" s="1">
        <f>IFERROR(__xludf.DUMMYFUNCTION("""COMPUTED_VALUE"""),0.0)</f>
        <v>0</v>
      </c>
      <c r="BJ60" s="1" t="str">
        <f>IFERROR(__xludf.DUMMYFUNCTION("""COMPUTED_VALUE"""),"NUEVO")</f>
        <v>NUEVO</v>
      </c>
    </row>
    <row r="61">
      <c r="A61" s="1">
        <f>IFERROR(__xludf.DUMMYFUNCTION("""COMPUTED_VALUE"""),60.0)</f>
        <v>60</v>
      </c>
      <c r="B61" s="1">
        <f>IFERROR(__xludf.DUMMYFUNCTION("""COMPUTED_VALUE"""),1164853.0)</f>
        <v>1164853</v>
      </c>
      <c r="C61" s="1" t="str">
        <f>IFERROR(__xludf.DUMMYFUNCTION("""COMPUTED_VALUE"""),"0000408071")</f>
        <v>0000408071</v>
      </c>
      <c r="D61" s="1" t="str">
        <f>IFERROR(__xludf.DUMMYFUNCTION("""COMPUTED_VALUE"""),"DAYSY FEORELA ")</f>
        <v>DAYSY FEORELA </v>
      </c>
      <c r="E61" s="2" t="str">
        <f>IFERROR(__xludf.DUMMYFUNCTION("""COMPUTED_VALUE"""),"CONDORI TADEO")</f>
        <v>CONDORI TADEO</v>
      </c>
      <c r="F61" s="1">
        <f>IFERROR(__xludf.DUMMYFUNCTION("""COMPUTED_VALUE"""),7.4725038E7)</f>
        <v>74725038</v>
      </c>
      <c r="G61" s="1">
        <f>IFERROR(__xludf.DUMMYFUNCTION("""COMPUTED_VALUE"""),9.61233186E8)</f>
        <v>961233186</v>
      </c>
      <c r="H61" s="1" t="str">
        <f>IFERROR(__xludf.DUMMYFUNCTION("""COMPUTED_VALUE"""),"daysy.condori11@gmail.com")</f>
        <v>daysy.condori11@gmail.com</v>
      </c>
      <c r="I61" s="1" t="str">
        <f>IFERROR(__xludf.DUMMYFUNCTION("""COMPUTED_VALUE"""),"Diseño Gráfico Publicitario")</f>
        <v>Diseño Gráfico Publicitario</v>
      </c>
      <c r="J61" s="1" t="str">
        <f>IFERROR(__xludf.DUMMYFUNCTION("""COMPUTED_VALUE"""),"Diseño")</f>
        <v>Diseño</v>
      </c>
      <c r="K61" s="1" t="str">
        <f>IFERROR(__xludf.DUMMYFUNCTION("""COMPUTED_VALUE"""),"Antigua")</f>
        <v>Antigua</v>
      </c>
      <c r="L61" s="1" t="str">
        <f>IFERROR(__xludf.DUMMYFUNCTION("""COMPUTED_VALUE"""),"Admisión Extraordinaria (Traslados)")</f>
        <v>Admisión Extraordinaria (Traslados)</v>
      </c>
      <c r="M61" s="1" t="str">
        <f>IFERROR(__xludf.DUMMYFUNCTION("""COMPUTED_VALUE"""),"Semi-presencial")</f>
        <v>Semi-presencial</v>
      </c>
      <c r="N61" s="1" t="str">
        <f>IFERROR(__xludf.DUMMYFUNCTION("""COMPUTED_VALUE"""),"Diurno")</f>
        <v>Diurno</v>
      </c>
      <c r="O61" s="1" t="str">
        <f>IFERROR(__xludf.DUMMYFUNCTION("""COMPUTED_VALUE"""),"TRASLADO CON CONVA")</f>
        <v>TRASLADO CON CONVA</v>
      </c>
      <c r="P61" s="1" t="str">
        <f>IFERROR(__xludf.DUMMYFUNCTION("""COMPUTED_VALUE"""),"ESCALA REGULAR")</f>
        <v>ESCALA REGULAR</v>
      </c>
      <c r="Q61" s="1" t="str">
        <f>IFERROR(__xludf.DUMMYFUNCTION("""COMPUTED_VALUE"""),"NINGUNO")</f>
        <v>NINGUNO</v>
      </c>
      <c r="R61" s="1" t="str">
        <f>IFERROR(__xludf.DUMMYFUNCTION("""COMPUTED_VALUE"""),"NINGUNO")</f>
        <v>NINGUNO</v>
      </c>
      <c r="S61" s="1" t="str">
        <f>IFERROR(__xludf.DUMMYFUNCTION("""COMPUTED_VALUE"""),"RODRIGO")</f>
        <v>RODRIGO</v>
      </c>
      <c r="T61" s="3">
        <f>IFERROR(__xludf.DUMMYFUNCTION("""COMPUTED_VALUE"""),45792.0)</f>
        <v>45792</v>
      </c>
      <c r="U61" s="1" t="str">
        <f>IFERROR(__xludf.DUMMYFUNCTION("""COMPUTED_VALUE"""),"CARGO")</f>
        <v>CARGO</v>
      </c>
      <c r="V61" s="1" t="str">
        <f>IFERROR(__xludf.DUMMYFUNCTION("""COMPUTED_VALUE"""),"PAGO COMPLETO")</f>
        <v>PAGO COMPLETO</v>
      </c>
      <c r="W61" s="4">
        <f>IFERROR(__xludf.DUMMYFUNCTION("""COMPUTED_VALUE"""),0.0)</f>
        <v>0</v>
      </c>
      <c r="X61" s="1" t="str">
        <f>IFERROR(__xludf.DUMMYFUNCTION("""COMPUTED_VALUE"""),"-")</f>
        <v>-</v>
      </c>
      <c r="Y61" s="2">
        <f>IFERROR(__xludf.DUMMYFUNCTION("""COMPUTED_VALUE"""),45792.0)</f>
        <v>45792</v>
      </c>
      <c r="Z61" s="1" t="str">
        <f>IFERROR(__xludf.DUMMYFUNCTION("""COMPUTED_VALUE"""),"PAGO COMPLETO")</f>
        <v>PAGO COMPLETO</v>
      </c>
      <c r="AA61" s="1"/>
      <c r="AB61" s="1"/>
      <c r="AC61" s="4">
        <f>IFERROR(__xludf.DUMMYFUNCTION("""COMPUTED_VALUE"""),0.0)</f>
        <v>0</v>
      </c>
      <c r="AD61" s="4">
        <f>IFERROR(__xludf.DUMMYFUNCTION("""COMPUTED_VALUE"""),0.0)</f>
        <v>0</v>
      </c>
      <c r="AE61" s="4">
        <f>IFERROR(__xludf.DUMMYFUNCTION("""COMPUTED_VALUE"""),850.0)</f>
        <v>850</v>
      </c>
      <c r="AF61" s="4">
        <f>IFERROR(__xludf.DUMMYFUNCTION("""COMPUTED_VALUE"""),850.0)</f>
        <v>850</v>
      </c>
      <c r="AG61" s="1">
        <f>IFERROR(__xludf.DUMMYFUNCTION("""COMPUTED_VALUE"""),0.0)</f>
        <v>0</v>
      </c>
      <c r="AH61" s="1">
        <f>IFERROR(__xludf.DUMMYFUNCTION("""COMPUTED_VALUE"""),0.0)</f>
        <v>0</v>
      </c>
      <c r="AI61" s="1">
        <f>IFERROR(__xludf.DUMMYFUNCTION("""COMPUTED_VALUE"""),0.0)</f>
        <v>0</v>
      </c>
      <c r="AJ61" s="1">
        <f>IFERROR(__xludf.DUMMYFUNCTION("""COMPUTED_VALUE"""),1084508.0)</f>
        <v>1084508</v>
      </c>
      <c r="AK61" s="1" t="str">
        <f>IFERROR(__xludf.DUMMYFUNCTION("""COMPUTED_VALUE"""),"Más de 15 kms")</f>
        <v>Más de 15 kms</v>
      </c>
      <c r="AL61" s="1" t="str">
        <f>IFERROR(__xludf.DUMMYFUNCTION("""COMPUTED_VALUE"""),"01 Nacional")</f>
        <v>01 Nacional</v>
      </c>
      <c r="AM61" s="1" t="str">
        <f>IFERROR(__xludf.DUMMYFUNCTION("""COMPUTED_VALUE"""),"Cibertec")</f>
        <v>Cibertec</v>
      </c>
      <c r="AN61" s="1" t="str">
        <f>IFERROR(__xludf.DUMMYFUNCTION("""COMPUTED_VALUE""")," ")</f>
        <v> </v>
      </c>
      <c r="AO61" s="1">
        <f>IFERROR(__xludf.DUMMYFUNCTION("""COMPUTED_VALUE"""),2021.0)</f>
        <v>2021</v>
      </c>
      <c r="AP61" s="3">
        <f>IFERROR(__xludf.DUMMYFUNCTION("""COMPUTED_VALUE"""),45778.0)</f>
        <v>45778</v>
      </c>
      <c r="AQ61" s="2">
        <f>IFERROR(__xludf.DUMMYFUNCTION("""COMPUTED_VALUE"""),45775.0)</f>
        <v>45775</v>
      </c>
      <c r="AR61" s="2">
        <f>IFERROR(__xludf.DUMMYFUNCTION("""COMPUTED_VALUE"""),45779.0)</f>
        <v>45779</v>
      </c>
      <c r="AS61" s="2">
        <f>IFERROR(__xludf.DUMMYFUNCTION("""COMPUTED_VALUE"""),45778.0)</f>
        <v>45778</v>
      </c>
      <c r="AT61" s="2">
        <f>IFERROR(__xludf.DUMMYFUNCTION("""COMPUTED_VALUE"""),45775.0)</f>
        <v>45775</v>
      </c>
      <c r="AU61" s="1">
        <f>IFERROR(__xludf.DUMMYFUNCTION("""COMPUTED_VALUE"""),13.0)</f>
        <v>13</v>
      </c>
      <c r="AV61" s="1" t="str">
        <f>IFERROR(__xludf.DUMMYFUNCTION("""COMPUTED_VALUE"""),"OUTBOUND")</f>
        <v>OUTBOUND</v>
      </c>
      <c r="AW61" s="1" t="str">
        <f>IFERROR(__xludf.DUMMYFUNCTION("""COMPUTED_VALUE"""),"OUTBOUND")</f>
        <v>OUTBOUND</v>
      </c>
      <c r="AX61" s="1" t="str">
        <f>IFERROR(__xludf.DUMMYFUNCTION("""COMPUTED_VALUE"""),"OUTBOUND")</f>
        <v>OUTBOUND</v>
      </c>
      <c r="AY61" s="1">
        <f>IFERROR(__xludf.DUMMYFUNCTION("""COMPUTED_VALUE"""),1.0)</f>
        <v>1</v>
      </c>
      <c r="AZ61" s="1" t="str">
        <f>IFERROR(__xludf.DUMMYFUNCTION("""COMPUTED_VALUE"""),"Andrea Araujo Antara")</f>
        <v>Andrea Araujo Antara</v>
      </c>
      <c r="BA61" s="5">
        <f>IFERROR(__xludf.DUMMYFUNCTION("""COMPUTED_VALUE"""),1.0)</f>
        <v>1</v>
      </c>
      <c r="BB61" s="6">
        <f>IFERROR(__xludf.DUMMYFUNCTION("""COMPUTED_VALUE"""),850.0)</f>
        <v>850</v>
      </c>
      <c r="BC61" s="1"/>
      <c r="BD61" s="1" t="str">
        <f>IFERROR(__xludf.DUMMYFUNCTION("""COMPUTED_VALUE""")," -")</f>
        <v> -</v>
      </c>
      <c r="BE61" s="1">
        <f>IFERROR(__xludf.DUMMYFUNCTION("""COMPUTED_VALUE"""),1.0)</f>
        <v>1</v>
      </c>
      <c r="BF61" s="1">
        <f>IFERROR(__xludf.DUMMYFUNCTION("""COMPUTED_VALUE"""),0.0)</f>
        <v>0</v>
      </c>
      <c r="BG61" s="1"/>
      <c r="BH61" s="1" t="str">
        <f>IFERROR(__xludf.DUMMYFUNCTION("""COMPUTED_VALUE"""),"No aplica")</f>
        <v>No aplica</v>
      </c>
      <c r="BI61" s="1">
        <f>IFERROR(__xludf.DUMMYFUNCTION("""COMPUTED_VALUE"""),1.0)</f>
        <v>1</v>
      </c>
      <c r="BJ61" s="1" t="str">
        <f>IFERROR(__xludf.DUMMYFUNCTION("""COMPUTED_VALUE"""),"TRASLADO")</f>
        <v>TRASLADO</v>
      </c>
    </row>
    <row r="62">
      <c r="A62" s="1">
        <f>IFERROR(__xludf.DUMMYFUNCTION("""COMPUTED_VALUE"""),61.0)</f>
        <v>61</v>
      </c>
      <c r="B62" s="1">
        <f>IFERROR(__xludf.DUMMYFUNCTION("""COMPUTED_VALUE"""),3383282.0)</f>
        <v>3383282</v>
      </c>
      <c r="C62" s="1" t="str">
        <f>IFERROR(__xludf.DUMMYFUNCTION("""COMPUTED_VALUE"""),"0000425833")</f>
        <v>0000425833</v>
      </c>
      <c r="D62" s="1" t="str">
        <f>IFERROR(__xludf.DUMMYFUNCTION("""COMPUTED_VALUE"""),"VALERIA CELESTE")</f>
        <v>VALERIA CELESTE</v>
      </c>
      <c r="E62" s="2" t="str">
        <f>IFERROR(__xludf.DUMMYFUNCTION("""COMPUTED_VALUE"""),"GOICOCHEA VILLANUEVA")</f>
        <v>GOICOCHEA VILLANUEVA</v>
      </c>
      <c r="F62" s="1">
        <f>IFERROR(__xludf.DUMMYFUNCTION("""COMPUTED_VALUE"""),6.1360466E7)</f>
        <v>61360466</v>
      </c>
      <c r="G62" s="1">
        <f>IFERROR(__xludf.DUMMYFUNCTION("""COMPUTED_VALUE"""),9.50030918E8)</f>
        <v>950030918</v>
      </c>
      <c r="H62" s="1" t="str">
        <f>IFERROR(__xludf.DUMMYFUNCTION("""COMPUTED_VALUE"""),"valeritacel0704@gmail.com")</f>
        <v>valeritacel0704@gmail.com</v>
      </c>
      <c r="I62" s="1" t="str">
        <f>IFERROR(__xludf.DUMMYFUNCTION("""COMPUTED_VALUE"""),"Comunicación Audiovisual y Cine")</f>
        <v>Comunicación Audiovisual y Cine</v>
      </c>
      <c r="J62" s="1" t="str">
        <f>IFERROR(__xludf.DUMMYFUNCTION("""COMPUTED_VALUE"""),"Comunicaciones")</f>
        <v>Comunicaciones</v>
      </c>
      <c r="K62" s="1" t="str">
        <f>IFERROR(__xludf.DUMMYFUNCTION("""COMPUTED_VALUE"""),"Antigua")</f>
        <v>Antigua</v>
      </c>
      <c r="L62" s="1" t="str">
        <f>IFERROR(__xludf.DUMMYFUNCTION("""COMPUTED_VALUE"""),"Admisión de Alto Rendimiento")</f>
        <v>Admisión de Alto Rendimiento</v>
      </c>
      <c r="M62" s="1" t="str">
        <f>IFERROR(__xludf.DUMMYFUNCTION("""COMPUTED_VALUE"""),"Semi-presencial")</f>
        <v>Semi-presencial</v>
      </c>
      <c r="N62" s="1" t="str">
        <f>IFERROR(__xludf.DUMMYFUNCTION("""COMPUTED_VALUE"""),"Diurno")</f>
        <v>Diurno</v>
      </c>
      <c r="O62" s="1" t="str">
        <f>IFERROR(__xludf.DUMMYFUNCTION("""COMPUTED_VALUE"""),"NUEVO")</f>
        <v>NUEVO</v>
      </c>
      <c r="P62" s="1" t="str">
        <f>IFERROR(__xludf.DUMMYFUNCTION("""COMPUTED_VALUE"""),"BECA")</f>
        <v>BECA</v>
      </c>
      <c r="Q62" s="1" t="str">
        <f>IFERROR(__xludf.DUMMYFUNCTION("""COMPUTED_VALUE"""),"BECA CARRERAS CORE")</f>
        <v>BECA CARRERAS CORE</v>
      </c>
      <c r="R62" s="1" t="str">
        <f>IFERROR(__xludf.DUMMYFUNCTION("""COMPUTED_VALUE"""),"Visita Guiada")</f>
        <v>Visita Guiada</v>
      </c>
      <c r="S62" s="1" t="str">
        <f>IFERROR(__xludf.DUMMYFUNCTION("""COMPUTED_VALUE"""),"RODRIGO")</f>
        <v>RODRIGO</v>
      </c>
      <c r="T62" s="3">
        <f>IFERROR(__xludf.DUMMYFUNCTION("""COMPUTED_VALUE"""),45792.0)</f>
        <v>45792</v>
      </c>
      <c r="U62" s="1" t="str">
        <f>IFERROR(__xludf.DUMMYFUNCTION("""COMPUTED_VALUE"""),"CARGO")</f>
        <v>CARGO</v>
      </c>
      <c r="V62" s="1" t="str">
        <f>IFERROR(__xludf.DUMMYFUNCTION("""COMPUTED_VALUE"""),"PAGO COMPLETO")</f>
        <v>PAGO COMPLETO</v>
      </c>
      <c r="W62" s="4">
        <f>IFERROR(__xludf.DUMMYFUNCTION("""COMPUTED_VALUE"""),0.0)</f>
        <v>0</v>
      </c>
      <c r="X62" s="1" t="str">
        <f>IFERROR(__xludf.DUMMYFUNCTION("""COMPUTED_VALUE"""),"-")</f>
        <v>-</v>
      </c>
      <c r="Y62" s="2">
        <f>IFERROR(__xludf.DUMMYFUNCTION("""COMPUTED_VALUE"""),45792.0)</f>
        <v>45792</v>
      </c>
      <c r="Z62" s="1" t="str">
        <f>IFERROR(__xludf.DUMMYFUNCTION("""COMPUTED_VALUE"""),"PAGO COMPLETO")</f>
        <v>PAGO COMPLETO</v>
      </c>
      <c r="AA62" s="1"/>
      <c r="AB62" s="1"/>
      <c r="AC62" s="4">
        <f>IFERROR(__xludf.DUMMYFUNCTION("""COMPUTED_VALUE"""),40.0)</f>
        <v>40</v>
      </c>
      <c r="AD62" s="4">
        <f>IFERROR(__xludf.DUMMYFUNCTION("""COMPUTED_VALUE"""),95.0)</f>
        <v>95</v>
      </c>
      <c r="AE62" s="4">
        <f>IFERROR(__xludf.DUMMYFUNCTION("""COMPUTED_VALUE"""),1700.0)</f>
        <v>1700</v>
      </c>
      <c r="AF62" s="4">
        <f>IFERROR(__xludf.DUMMYFUNCTION("""COMPUTED_VALUE"""),1380.0)</f>
        <v>1380</v>
      </c>
      <c r="AG62" s="1">
        <f>IFERROR(__xludf.DUMMYFUNCTION("""COMPUTED_VALUE"""),0.0)</f>
        <v>0</v>
      </c>
      <c r="AH62" s="1">
        <f>IFERROR(__xludf.DUMMYFUNCTION("""COMPUTED_VALUE"""),0.0)</f>
        <v>0</v>
      </c>
      <c r="AI62" s="1">
        <f>IFERROR(__xludf.DUMMYFUNCTION("""COMPUTED_VALUE"""),0.0)</f>
        <v>0</v>
      </c>
      <c r="AJ62" s="1">
        <f>IFERROR(__xludf.DUMMYFUNCTION("""COMPUTED_VALUE"""),828491.0)</f>
        <v>828491</v>
      </c>
      <c r="AK62" s="1" t="str">
        <f>IFERROR(__xludf.DUMMYFUNCTION("""COMPUTED_VALUE"""),"5kms a 10 kms")</f>
        <v>5kms a 10 kms</v>
      </c>
      <c r="AL62" s="1" t="str">
        <f>IFERROR(__xludf.DUMMYFUNCTION("""COMPUTED_VALUE"""),"05 301 a 550")</f>
        <v>05 301 a 550</v>
      </c>
      <c r="AM62" s="1" t="str">
        <f>IFERROR(__xludf.DUMMYFUNCTION("""COMPUTED_VALUE"""),"-")</f>
        <v>-</v>
      </c>
      <c r="AN62" s="1" t="str">
        <f>IFERROR(__xludf.DUMMYFUNCTION("""COMPUTED_VALUE""")," -")</f>
        <v> -</v>
      </c>
      <c r="AO62" s="1">
        <f>IFERROR(__xludf.DUMMYFUNCTION("""COMPUTED_VALUE"""),2024.0)</f>
        <v>2024</v>
      </c>
      <c r="AP62" s="3">
        <f>IFERROR(__xludf.DUMMYFUNCTION("""COMPUTED_VALUE"""),45778.0)</f>
        <v>45778</v>
      </c>
      <c r="AQ62" s="2">
        <f>IFERROR(__xludf.DUMMYFUNCTION("""COMPUTED_VALUE"""),45775.0)</f>
        <v>45775</v>
      </c>
      <c r="AR62" s="2">
        <f>IFERROR(__xludf.DUMMYFUNCTION("""COMPUTED_VALUE"""),45791.0)</f>
        <v>45791</v>
      </c>
      <c r="AS62" s="2">
        <f>IFERROR(__xludf.DUMMYFUNCTION("""COMPUTED_VALUE"""),45778.0)</f>
        <v>45778</v>
      </c>
      <c r="AT62" s="2">
        <f>IFERROR(__xludf.DUMMYFUNCTION("""COMPUTED_VALUE"""),45775.0)</f>
        <v>45775</v>
      </c>
      <c r="AU62" s="1">
        <f>IFERROR(__xludf.DUMMYFUNCTION("""COMPUTED_VALUE"""),1.0)</f>
        <v>1</v>
      </c>
      <c r="AV62" s="1" t="str">
        <f>IFERROR(__xludf.DUMMYFUNCTION("""COMPUTED_VALUE"""),"OUTBOUND")</f>
        <v>OUTBOUND</v>
      </c>
      <c r="AW62" s="1" t="str">
        <f>IFERROR(__xludf.DUMMYFUNCTION("""COMPUTED_VALUE"""),"OUTBOUND")</f>
        <v>OUTBOUND</v>
      </c>
      <c r="AX62" s="1" t="str">
        <f>IFERROR(__xludf.DUMMYFUNCTION("""COMPUTED_VALUE"""),"OUTBOUND")</f>
        <v>OUTBOUND</v>
      </c>
      <c r="AY62" s="1">
        <f>IFERROR(__xludf.DUMMYFUNCTION("""COMPUTED_VALUE"""),1.0)</f>
        <v>1</v>
      </c>
      <c r="AZ62" s="1" t="str">
        <f>IFERROR(__xludf.DUMMYFUNCTION("""COMPUTED_VALUE"""),"Rosa Ugarte")</f>
        <v>Rosa Ugarte</v>
      </c>
      <c r="BA62" s="5">
        <f>IFERROR(__xludf.DUMMYFUNCTION("""COMPUTED_VALUE"""),1.0)</f>
        <v>1</v>
      </c>
      <c r="BB62" s="6">
        <f>IFERROR(__xludf.DUMMYFUNCTION("""COMPUTED_VALUE"""),1360.0)</f>
        <v>1360</v>
      </c>
      <c r="BC62" s="1">
        <f>IFERROR(__xludf.DUMMYFUNCTION("""COMPUTED_VALUE"""),0.0)</f>
        <v>0</v>
      </c>
      <c r="BD62" s="1" t="str">
        <f>IFERROR(__xludf.DUMMYFUNCTION("""COMPUTED_VALUE""")," -")</f>
        <v> -</v>
      </c>
      <c r="BE62" s="1">
        <f>IFERROR(__xludf.DUMMYFUNCTION("""COMPUTED_VALUE"""),1.0)</f>
        <v>1</v>
      </c>
      <c r="BF62" s="1">
        <f>IFERROR(__xludf.DUMMYFUNCTION("""COMPUTED_VALUE"""),0.0)</f>
        <v>0</v>
      </c>
      <c r="BG62" s="3">
        <f>IFERROR(__xludf.DUMMYFUNCTION("""COMPUTED_VALUE"""),45815.0)</f>
        <v>45815</v>
      </c>
      <c r="BH62" s="1"/>
      <c r="BI62" s="1">
        <f>IFERROR(__xludf.DUMMYFUNCTION("""COMPUTED_VALUE"""),0.0)</f>
        <v>0</v>
      </c>
      <c r="BJ62" s="1" t="str">
        <f>IFERROR(__xludf.DUMMYFUNCTION("""COMPUTED_VALUE"""),"NUEVO")</f>
        <v>NUEVO</v>
      </c>
    </row>
    <row r="63">
      <c r="A63" s="1">
        <f>IFERROR(__xludf.DUMMYFUNCTION("""COMPUTED_VALUE"""),62.0)</f>
        <v>62</v>
      </c>
      <c r="B63" s="1">
        <f>IFERROR(__xludf.DUMMYFUNCTION("""COMPUTED_VALUE"""),4915543.0)</f>
        <v>4915543</v>
      </c>
      <c r="C63" s="1" t="str">
        <f>IFERROR(__xludf.DUMMYFUNCTION("""COMPUTED_VALUE"""),"0000425785")</f>
        <v>0000425785</v>
      </c>
      <c r="D63" s="1" t="str">
        <f>IFERROR(__xludf.DUMMYFUNCTION("""COMPUTED_VALUE"""),"SHERIN")</f>
        <v>SHERIN</v>
      </c>
      <c r="E63" s="2" t="str">
        <f>IFERROR(__xludf.DUMMYFUNCTION("""COMPUTED_VALUE"""),"MATOS PAUCAR")</f>
        <v>MATOS PAUCAR</v>
      </c>
      <c r="F63" s="1">
        <f>IFERROR(__xludf.DUMMYFUNCTION("""COMPUTED_VALUE"""),6.1758547E7)</f>
        <v>61758547</v>
      </c>
      <c r="G63" s="1">
        <f>IFERROR(__xludf.DUMMYFUNCTION("""COMPUTED_VALUE"""),9.86925704E8)</f>
        <v>986925704</v>
      </c>
      <c r="H63" s="1" t="str">
        <f>IFERROR(__xludf.DUMMYFUNCTION("""COMPUTED_VALUE"""),"she3inmat0s@gmail.com")</f>
        <v>she3inmat0s@gmail.com</v>
      </c>
      <c r="I63" s="1" t="str">
        <f>IFERROR(__xludf.DUMMYFUNCTION("""COMPUTED_VALUE"""),"Administración y Negocios Internacionales")</f>
        <v>Administración y Negocios Internacionales</v>
      </c>
      <c r="J63" s="1" t="str">
        <f>IFERROR(__xludf.DUMMYFUNCTION("""COMPUTED_VALUE"""),"Negocios")</f>
        <v>Negocios</v>
      </c>
      <c r="K63" s="1" t="str">
        <f>IFERROR(__xludf.DUMMYFUNCTION("""COMPUTED_VALUE"""),"Nueva")</f>
        <v>Nueva</v>
      </c>
      <c r="L63" s="1" t="str">
        <f>IFERROR(__xludf.DUMMYFUNCTION("""COMPUTED_VALUE"""),"Admisión de Alto Rendimiento")</f>
        <v>Admisión de Alto Rendimiento</v>
      </c>
      <c r="M63" s="1" t="str">
        <f>IFERROR(__xludf.DUMMYFUNCTION("""COMPUTED_VALUE"""),"Semi-presencial")</f>
        <v>Semi-presencial</v>
      </c>
      <c r="N63" s="1" t="str">
        <f>IFERROR(__xludf.DUMMYFUNCTION("""COMPUTED_VALUE"""),"Diurno")</f>
        <v>Diurno</v>
      </c>
      <c r="O63" s="1" t="str">
        <f>IFERROR(__xludf.DUMMYFUNCTION("""COMPUTED_VALUE"""),"NUEVO")</f>
        <v>NUEVO</v>
      </c>
      <c r="P63" s="1" t="str">
        <f>IFERROR(__xludf.DUMMYFUNCTION("""COMPUTED_VALUE"""),"BECA")</f>
        <v>BECA</v>
      </c>
      <c r="Q63" s="1" t="str">
        <f>IFERROR(__xludf.DUMMYFUNCTION("""COMPUTED_VALUE"""),"BECA CARRERAS NUEVAS")</f>
        <v>BECA CARRERAS NUEVAS</v>
      </c>
      <c r="R63" s="1" t="str">
        <f>IFERROR(__xludf.DUMMYFUNCTION("""COMPUTED_VALUE"""),"NINGUNO")</f>
        <v>NINGUNO</v>
      </c>
      <c r="S63" s="1" t="str">
        <f>IFERROR(__xludf.DUMMYFUNCTION("""COMPUTED_VALUE"""),"FABIOLA")</f>
        <v>FABIOLA</v>
      </c>
      <c r="T63" s="3">
        <f>IFERROR(__xludf.DUMMYFUNCTION("""COMPUTED_VALUE"""),45792.0)</f>
        <v>45792</v>
      </c>
      <c r="U63" s="1" t="str">
        <f>IFERROR(__xludf.DUMMYFUNCTION("""COMPUTED_VALUE"""),"Pago Link")</f>
        <v>Pago Link</v>
      </c>
      <c r="V63" s="1" t="str">
        <f>IFERROR(__xludf.DUMMYFUNCTION("""COMPUTED_VALUE"""),"PAGO FRACCIONADO")</f>
        <v>PAGO FRACCIONADO</v>
      </c>
      <c r="W63" s="4">
        <f>IFERROR(__xludf.DUMMYFUNCTION("""COMPUTED_VALUE"""),0.0)</f>
        <v>0</v>
      </c>
      <c r="X63" s="1" t="str">
        <f>IFERROR(__xludf.DUMMYFUNCTION("""COMPUTED_VALUE"""),"12/06/2025")</f>
        <v>12/06/2025</v>
      </c>
      <c r="Y63" s="2">
        <f>IFERROR(__xludf.DUMMYFUNCTION("""COMPUTED_VALUE"""),45821.0)</f>
        <v>45821</v>
      </c>
      <c r="Z63" s="1" t="str">
        <f>IFERROR(__xludf.DUMMYFUNCTION("""COMPUTED_VALUE"""),"PAGO COMPLETO")</f>
        <v>PAGO COMPLETO</v>
      </c>
      <c r="AA63" s="1"/>
      <c r="AB63" s="1"/>
      <c r="AC63" s="4">
        <f>IFERROR(__xludf.DUMMYFUNCTION("""COMPUTED_VALUE"""),0.0)</f>
        <v>0</v>
      </c>
      <c r="AD63" s="4">
        <f>IFERROR(__xludf.DUMMYFUNCTION("""COMPUTED_VALUE"""),0.0)</f>
        <v>0</v>
      </c>
      <c r="AE63" s="4">
        <f>IFERROR(__xludf.DUMMYFUNCTION("""COMPUTED_VALUE"""),1100.0)</f>
        <v>1100</v>
      </c>
      <c r="AF63" s="4">
        <f>IFERROR(__xludf.DUMMYFUNCTION("""COMPUTED_VALUE"""),950.0)</f>
        <v>950</v>
      </c>
      <c r="AG63" s="1">
        <f>IFERROR(__xludf.DUMMYFUNCTION("""COMPUTED_VALUE"""),0.0)</f>
        <v>0</v>
      </c>
      <c r="AH63" s="1">
        <f>IFERROR(__xludf.DUMMYFUNCTION("""COMPUTED_VALUE"""),0.0)</f>
        <v>0</v>
      </c>
      <c r="AI63" s="1">
        <f>IFERROR(__xludf.DUMMYFUNCTION("""COMPUTED_VALUE"""),0.0)</f>
        <v>0</v>
      </c>
      <c r="AJ63" s="1">
        <f>IFERROR(__xludf.DUMMYFUNCTION("""COMPUTED_VALUE"""),1070804.0)</f>
        <v>1070804</v>
      </c>
      <c r="AK63" s="1"/>
      <c r="AL63" s="1"/>
      <c r="AM63" s="1" t="str">
        <f>IFERROR(__xludf.DUMMYFUNCTION("""COMPUTED_VALUE"""),"-")</f>
        <v>-</v>
      </c>
      <c r="AN63" s="1" t="str">
        <f>IFERROR(__xludf.DUMMYFUNCTION("""COMPUTED_VALUE""")," -")</f>
        <v> -</v>
      </c>
      <c r="AO63" s="1">
        <f>IFERROR(__xludf.DUMMYFUNCTION("""COMPUTED_VALUE"""),2024.0)</f>
        <v>2024</v>
      </c>
      <c r="AP63" s="3">
        <f>IFERROR(__xludf.DUMMYFUNCTION("""COMPUTED_VALUE"""),45778.0)</f>
        <v>45778</v>
      </c>
      <c r="AQ63" s="2">
        <f>IFERROR(__xludf.DUMMYFUNCTION("""COMPUTED_VALUE"""),45775.0)</f>
        <v>45775</v>
      </c>
      <c r="AR63" s="2">
        <f>IFERROR(__xludf.DUMMYFUNCTION("""COMPUTED_VALUE"""),45769.0)</f>
        <v>45769</v>
      </c>
      <c r="AS63" s="2">
        <f>IFERROR(__xludf.DUMMYFUNCTION("""COMPUTED_VALUE"""),45748.0)</f>
        <v>45748</v>
      </c>
      <c r="AT63" s="2">
        <f>IFERROR(__xludf.DUMMYFUNCTION("""COMPUTED_VALUE"""),45747.0)</f>
        <v>45747</v>
      </c>
      <c r="AU63" s="1">
        <f>IFERROR(__xludf.DUMMYFUNCTION("""COMPUTED_VALUE"""),52.0)</f>
        <v>52</v>
      </c>
      <c r="AV63" s="1" t="str">
        <f>IFERROR(__xludf.DUMMYFUNCTION("""COMPUTED_VALUE"""),"OUTBOUND")</f>
        <v>OUTBOUND</v>
      </c>
      <c r="AW63" s="1" t="str">
        <f>IFERROR(__xludf.DUMMYFUNCTION("""COMPUTED_VALUE"""),"OUTBOUND")</f>
        <v>OUTBOUND</v>
      </c>
      <c r="AX63" s="1" t="str">
        <f>IFERROR(__xludf.DUMMYFUNCTION("""COMPUTED_VALUE"""),"OUTBOUND")</f>
        <v>OUTBOUND</v>
      </c>
      <c r="AY63" s="1">
        <f>IFERROR(__xludf.DUMMYFUNCTION("""COMPUTED_VALUE"""),1.0)</f>
        <v>1</v>
      </c>
      <c r="AZ63" s="1" t="str">
        <f>IFERROR(__xludf.DUMMYFUNCTION("""COMPUTED_VALUE"""),"Angelica Iparraguirre")</f>
        <v>Angelica Iparraguirre</v>
      </c>
      <c r="BA63" s="5">
        <f>IFERROR(__xludf.DUMMYFUNCTION("""COMPUTED_VALUE"""),1.0)</f>
        <v>1</v>
      </c>
      <c r="BB63" s="6">
        <f>IFERROR(__xludf.DUMMYFUNCTION("""COMPUTED_VALUE"""),950.0)</f>
        <v>950</v>
      </c>
      <c r="BC63" s="1">
        <f>IFERROR(__xludf.DUMMYFUNCTION("""COMPUTED_VALUE"""),0.0)</f>
        <v>0</v>
      </c>
      <c r="BD63" s="1" t="str">
        <f>IFERROR(__xludf.DUMMYFUNCTION("""COMPUTED_VALUE""")," -")</f>
        <v> -</v>
      </c>
      <c r="BE63" s="1">
        <f>IFERROR(__xludf.DUMMYFUNCTION("""COMPUTED_VALUE"""),1.0)</f>
        <v>1</v>
      </c>
      <c r="BF63" s="1">
        <f>IFERROR(__xludf.DUMMYFUNCTION("""COMPUTED_VALUE"""),0.0)</f>
        <v>0</v>
      </c>
      <c r="BG63" s="3">
        <f>IFERROR(__xludf.DUMMYFUNCTION("""COMPUTED_VALUE"""),45815.0)</f>
        <v>45815</v>
      </c>
      <c r="BH63" s="1"/>
      <c r="BI63" s="1">
        <f>IFERROR(__xludf.DUMMYFUNCTION("""COMPUTED_VALUE"""),0.0)</f>
        <v>0</v>
      </c>
      <c r="BJ63" s="1" t="str">
        <f>IFERROR(__xludf.DUMMYFUNCTION("""COMPUTED_VALUE"""),"NUEVO")</f>
        <v>NUEVO</v>
      </c>
    </row>
    <row r="64">
      <c r="A64" s="1">
        <f>IFERROR(__xludf.DUMMYFUNCTION("""COMPUTED_VALUE"""),63.0)</f>
        <v>63</v>
      </c>
      <c r="B64" s="1">
        <f>IFERROR(__xludf.DUMMYFUNCTION("""COMPUTED_VALUE"""),2498233.0)</f>
        <v>2498233</v>
      </c>
      <c r="C64" s="1" t="str">
        <f>IFERROR(__xludf.DUMMYFUNCTION("""COMPUTED_VALUE"""),"0000425941")</f>
        <v>0000425941</v>
      </c>
      <c r="D64" s="1" t="str">
        <f>IFERROR(__xludf.DUMMYFUNCTION("""COMPUTED_VALUE"""),"VALERIA ")</f>
        <v>VALERIA </v>
      </c>
      <c r="E64" s="2" t="str">
        <f>IFERROR(__xludf.DUMMYFUNCTION("""COMPUTED_VALUE"""),"BERNABE NATIVIDAD")</f>
        <v>BERNABE NATIVIDAD</v>
      </c>
      <c r="F64" s="1">
        <f>IFERROR(__xludf.DUMMYFUNCTION("""COMPUTED_VALUE"""),7.0967878E7)</f>
        <v>70967878</v>
      </c>
      <c r="G64" s="1">
        <f>IFERROR(__xludf.DUMMYFUNCTION("""COMPUTED_VALUE"""),9.20449791E8)</f>
        <v>920449791</v>
      </c>
      <c r="H64" s="1" t="str">
        <f>IFERROR(__xludf.DUMMYFUNCTION("""COMPUTED_VALUE"""),"bernabe.natividad123@gmail.com")</f>
        <v>bernabe.natividad123@gmail.com</v>
      </c>
      <c r="I64" s="1" t="str">
        <f>IFERROR(__xludf.DUMMYFUNCTION("""COMPUTED_VALUE"""),"Administración y Negocios Internacionales")</f>
        <v>Administración y Negocios Internacionales</v>
      </c>
      <c r="J64" s="1" t="str">
        <f>IFERROR(__xludf.DUMMYFUNCTION("""COMPUTED_VALUE"""),"Negocios")</f>
        <v>Negocios</v>
      </c>
      <c r="K64" s="1" t="str">
        <f>IFERROR(__xludf.DUMMYFUNCTION("""COMPUTED_VALUE"""),"Nueva")</f>
        <v>Nueva</v>
      </c>
      <c r="L64" s="1" t="str">
        <f>IFERROR(__xludf.DUMMYFUNCTION("""COMPUTED_VALUE"""),"Admisión de Alto Rendimiento")</f>
        <v>Admisión de Alto Rendimiento</v>
      </c>
      <c r="M64" s="1" t="str">
        <f>IFERROR(__xludf.DUMMYFUNCTION("""COMPUTED_VALUE"""),"Semi-presencial")</f>
        <v>Semi-presencial</v>
      </c>
      <c r="N64" s="1" t="str">
        <f>IFERROR(__xludf.DUMMYFUNCTION("""COMPUTED_VALUE"""),"Diurno")</f>
        <v>Diurno</v>
      </c>
      <c r="O64" s="1" t="str">
        <f>IFERROR(__xludf.DUMMYFUNCTION("""COMPUTED_VALUE"""),"NUEVO")</f>
        <v>NUEVO</v>
      </c>
      <c r="P64" s="1" t="str">
        <f>IFERROR(__xludf.DUMMYFUNCTION("""COMPUTED_VALUE"""),"BECA")</f>
        <v>BECA</v>
      </c>
      <c r="Q64" s="1" t="str">
        <f>IFERROR(__xludf.DUMMYFUNCTION("""COMPUTED_VALUE"""),"BECA CARRERAS NUEVAS")</f>
        <v>BECA CARRERAS NUEVAS</v>
      </c>
      <c r="R64" s="1" t="str">
        <f>IFERROR(__xludf.DUMMYFUNCTION("""COMPUTED_VALUE"""),"NINGUNO")</f>
        <v>NINGUNO</v>
      </c>
      <c r="S64" s="1" t="str">
        <f>IFERROR(__xludf.DUMMYFUNCTION("""COMPUTED_VALUE"""),"RODRIGO")</f>
        <v>RODRIGO</v>
      </c>
      <c r="T64" s="3">
        <f>IFERROR(__xludf.DUMMYFUNCTION("""COMPUTED_VALUE"""),45793.0)</f>
        <v>45793</v>
      </c>
      <c r="U64" s="1" t="str">
        <f>IFERROR(__xludf.DUMMYFUNCTION("""COMPUTED_VALUE"""),"Pago Link")</f>
        <v>Pago Link</v>
      </c>
      <c r="V64" s="1" t="str">
        <f>IFERROR(__xludf.DUMMYFUNCTION("""COMPUTED_VALUE"""),"PAGO FRACCIONADO")</f>
        <v>PAGO FRACCIONADO</v>
      </c>
      <c r="W64" s="4">
        <f>IFERROR(__xludf.DUMMYFUNCTION("""COMPUTED_VALUE"""),0.0)</f>
        <v>0</v>
      </c>
      <c r="X64" s="1" t="str">
        <f>IFERROR(__xludf.DUMMYFUNCTION("""COMPUTED_VALUE"""),"24/05/2025")</f>
        <v>24/05/2025</v>
      </c>
      <c r="Y64" s="2">
        <f>IFERROR(__xludf.DUMMYFUNCTION("""COMPUTED_VALUE"""),45801.0)</f>
        <v>45801</v>
      </c>
      <c r="Z64" s="1" t="str">
        <f>IFERROR(__xludf.DUMMYFUNCTION("""COMPUTED_VALUE"""),"PAGO COMPLETO")</f>
        <v>PAGO COMPLETO</v>
      </c>
      <c r="AA64" s="1"/>
      <c r="AB64" s="1"/>
      <c r="AC64" s="4">
        <f>IFERROR(__xludf.DUMMYFUNCTION("""COMPUTED_VALUE"""),40.0)</f>
        <v>40</v>
      </c>
      <c r="AD64" s="4">
        <f>IFERROR(__xludf.DUMMYFUNCTION("""COMPUTED_VALUE"""),95.0)</f>
        <v>95</v>
      </c>
      <c r="AE64" s="4">
        <f>IFERROR(__xludf.DUMMYFUNCTION("""COMPUTED_VALUE"""),1250.0)</f>
        <v>1250</v>
      </c>
      <c r="AF64" s="4">
        <f>IFERROR(__xludf.DUMMYFUNCTION("""COMPUTED_VALUE"""),1050.0)</f>
        <v>1050</v>
      </c>
      <c r="AG64" s="1">
        <f>IFERROR(__xludf.DUMMYFUNCTION("""COMPUTED_VALUE"""),0.0)</f>
        <v>0</v>
      </c>
      <c r="AH64" s="1">
        <f>IFERROR(__xludf.DUMMYFUNCTION("""COMPUTED_VALUE"""),0.0)</f>
        <v>0</v>
      </c>
      <c r="AI64" s="1">
        <f>IFERROR(__xludf.DUMMYFUNCTION("""COMPUTED_VALUE"""),0.0)</f>
        <v>0</v>
      </c>
      <c r="AJ64" s="1">
        <f>IFERROR(__xludf.DUMMYFUNCTION("""COMPUTED_VALUE"""),1474832.0)</f>
        <v>1474832</v>
      </c>
      <c r="AK64" s="1"/>
      <c r="AL64" s="1"/>
      <c r="AM64" s="1" t="str">
        <f>IFERROR(__xludf.DUMMYFUNCTION("""COMPUTED_VALUE"""),"-")</f>
        <v>-</v>
      </c>
      <c r="AN64" s="1" t="str">
        <f>IFERROR(__xludf.DUMMYFUNCTION("""COMPUTED_VALUE""")," -")</f>
        <v> -</v>
      </c>
      <c r="AO64" s="1">
        <f>IFERROR(__xludf.DUMMYFUNCTION("""COMPUTED_VALUE"""),2024.0)</f>
        <v>2024</v>
      </c>
      <c r="AP64" s="3">
        <f>IFERROR(__xludf.DUMMYFUNCTION("""COMPUTED_VALUE"""),45778.0)</f>
        <v>45778</v>
      </c>
      <c r="AQ64" s="2">
        <f>IFERROR(__xludf.DUMMYFUNCTION("""COMPUTED_VALUE"""),45775.0)</f>
        <v>45775</v>
      </c>
      <c r="AR64" s="2">
        <f>IFERROR(__xludf.DUMMYFUNCTION("""COMPUTED_VALUE"""),45776.0)</f>
        <v>45776</v>
      </c>
      <c r="AS64" s="2">
        <f>IFERROR(__xludf.DUMMYFUNCTION("""COMPUTED_VALUE"""),45748.0)</f>
        <v>45748</v>
      </c>
      <c r="AT64" s="2">
        <f>IFERROR(__xludf.DUMMYFUNCTION("""COMPUTED_VALUE"""),45747.0)</f>
        <v>45747</v>
      </c>
      <c r="AU64" s="1">
        <f>IFERROR(__xludf.DUMMYFUNCTION("""COMPUTED_VALUE"""),25.0)</f>
        <v>25</v>
      </c>
      <c r="AV64" s="1" t="str">
        <f>IFERROR(__xludf.DUMMYFUNCTION("""COMPUTED_VALUE"""),"TRADICIONAL")</f>
        <v>TRADICIONAL</v>
      </c>
      <c r="AW64" s="1" t="str">
        <f>IFERROR(__xludf.DUMMYFUNCTION("""COMPUTED_VALUE"""),"VISITA")</f>
        <v>VISITA</v>
      </c>
      <c r="AX64" s="1" t="str">
        <f>IFERROR(__xludf.DUMMYFUNCTION("""COMPUTED_VALUE"""),"VISITA")</f>
        <v>VISITA</v>
      </c>
      <c r="AY64" s="1">
        <f>IFERROR(__xludf.DUMMYFUNCTION("""COMPUTED_VALUE"""),1.0)</f>
        <v>1</v>
      </c>
      <c r="AZ64" s="1" t="str">
        <f>IFERROR(__xludf.DUMMYFUNCTION("""COMPUTED_VALUE"""),"Rosa Ugarte")</f>
        <v>Rosa Ugarte</v>
      </c>
      <c r="BA64" s="5">
        <f>IFERROR(__xludf.DUMMYFUNCTION("""COMPUTED_VALUE"""),1.0)</f>
        <v>1</v>
      </c>
      <c r="BB64" s="6">
        <f>IFERROR(__xludf.DUMMYFUNCTION("""COMPUTED_VALUE"""),1050.0)</f>
        <v>1050</v>
      </c>
      <c r="BC64" s="1">
        <f>IFERROR(__xludf.DUMMYFUNCTION("""COMPUTED_VALUE"""),1.0)</f>
        <v>1</v>
      </c>
      <c r="BD64" s="1" t="str">
        <f>IFERROR(__xludf.DUMMYFUNCTION("""COMPUTED_VALUE"""),"Matemáticas y Redacción")</f>
        <v>Matemáticas y Redacción</v>
      </c>
      <c r="BE64" s="1">
        <f>IFERROR(__xludf.DUMMYFUNCTION("""COMPUTED_VALUE"""),1.0)</f>
        <v>1</v>
      </c>
      <c r="BF64" s="1">
        <f>IFERROR(__xludf.DUMMYFUNCTION("""COMPUTED_VALUE"""),0.0)</f>
        <v>0</v>
      </c>
      <c r="BG64" s="3">
        <f>IFERROR(__xludf.DUMMYFUNCTION("""COMPUTED_VALUE"""),45815.0)</f>
        <v>45815</v>
      </c>
      <c r="BH64" s="1" t="str">
        <f>IFERROR(__xludf.DUMMYFUNCTION("""COMPUTED_VALUE"""),"07/06/2025")</f>
        <v>07/06/2025</v>
      </c>
      <c r="BI64" s="1">
        <f>IFERROR(__xludf.DUMMYFUNCTION("""COMPUTED_VALUE"""),0.0)</f>
        <v>0</v>
      </c>
      <c r="BJ64" s="1" t="str">
        <f>IFERROR(__xludf.DUMMYFUNCTION("""COMPUTED_VALUE"""),"NUEVO")</f>
        <v>NUEVO</v>
      </c>
    </row>
    <row r="65">
      <c r="A65" s="1">
        <f>IFERROR(__xludf.DUMMYFUNCTION("""COMPUTED_VALUE"""),64.0)</f>
        <v>64</v>
      </c>
      <c r="B65" s="1">
        <f>IFERROR(__xludf.DUMMYFUNCTION("""COMPUTED_VALUE"""),4827401.0)</f>
        <v>4827401</v>
      </c>
      <c r="C65" s="1" t="str">
        <f>IFERROR(__xludf.DUMMYFUNCTION("""COMPUTED_VALUE"""),"0000402495")</f>
        <v>0000402495</v>
      </c>
      <c r="D65" s="1" t="str">
        <f>IFERROR(__xludf.DUMMYFUNCTION("""COMPUTED_VALUE"""),"ARIANNA BELEN ")</f>
        <v>ARIANNA BELEN </v>
      </c>
      <c r="E65" s="2" t="str">
        <f>IFERROR(__xludf.DUMMYFUNCTION("""COMPUTED_VALUE"""),"SAENZ SOTOMAYOR")</f>
        <v>SAENZ SOTOMAYOR</v>
      </c>
      <c r="F65" s="1">
        <f>IFERROR(__xludf.DUMMYFUNCTION("""COMPUTED_VALUE"""),7.3247053E7)</f>
        <v>73247053</v>
      </c>
      <c r="G65" s="1">
        <f>IFERROR(__xludf.DUMMYFUNCTION("""COMPUTED_VALUE"""),9.43299925E8)</f>
        <v>943299925</v>
      </c>
      <c r="H65" s="1" t="str">
        <f>IFERROR(__xludf.DUMMYFUNCTION("""COMPUTED_VALUE"""),"arisaenz27@gmail.com")</f>
        <v>arisaenz27@gmail.com</v>
      </c>
      <c r="I65" s="1" t="str">
        <f>IFERROR(__xludf.DUMMYFUNCTION("""COMPUTED_VALUE"""),"Arquitectura de Interiores")</f>
        <v>Arquitectura de Interiores</v>
      </c>
      <c r="J65" s="1" t="str">
        <f>IFERROR(__xludf.DUMMYFUNCTION("""COMPUTED_VALUE"""),"Arquitecturas")</f>
        <v>Arquitecturas</v>
      </c>
      <c r="K65" s="1" t="str">
        <f>IFERROR(__xludf.DUMMYFUNCTION("""COMPUTED_VALUE"""),"Antigua")</f>
        <v>Antigua</v>
      </c>
      <c r="L65" s="1" t="str">
        <f>IFERROR(__xludf.DUMMYFUNCTION("""COMPUTED_VALUE"""),"Admisión Extraordinaria (Traslados)")</f>
        <v>Admisión Extraordinaria (Traslados)</v>
      </c>
      <c r="M65" s="1" t="str">
        <f>IFERROR(__xludf.DUMMYFUNCTION("""COMPUTED_VALUE"""),"Semi-presencial")</f>
        <v>Semi-presencial</v>
      </c>
      <c r="N65" s="1" t="str">
        <f>IFERROR(__xludf.DUMMYFUNCTION("""COMPUTED_VALUE"""),"Diurno")</f>
        <v>Diurno</v>
      </c>
      <c r="O65" s="1" t="str">
        <f>IFERROR(__xludf.DUMMYFUNCTION("""COMPUTED_VALUE"""),"TRASLADO CON CONVA")</f>
        <v>TRASLADO CON CONVA</v>
      </c>
      <c r="P65" s="1" t="str">
        <f>IFERROR(__xludf.DUMMYFUNCTION("""COMPUTED_VALUE"""),"ESCALA REGULAR")</f>
        <v>ESCALA REGULAR</v>
      </c>
      <c r="Q65" s="1" t="str">
        <f>IFERROR(__xludf.DUMMYFUNCTION("""COMPUTED_VALUE"""),"NINGUNO")</f>
        <v>NINGUNO</v>
      </c>
      <c r="R65" s="1" t="str">
        <f>IFERROR(__xludf.DUMMYFUNCTION("""COMPUTED_VALUE"""),"NINGUNO")</f>
        <v>NINGUNO</v>
      </c>
      <c r="S65" s="1" t="str">
        <f>IFERROR(__xludf.DUMMYFUNCTION("""COMPUTED_VALUE"""),"RODRIGO")</f>
        <v>RODRIGO</v>
      </c>
      <c r="T65" s="3">
        <f>IFERROR(__xludf.DUMMYFUNCTION("""COMPUTED_VALUE"""),45797.0)</f>
        <v>45797</v>
      </c>
      <c r="U65" s="1" t="str">
        <f>IFERROR(__xludf.DUMMYFUNCTION("""COMPUTED_VALUE"""),"CARGO")</f>
        <v>CARGO</v>
      </c>
      <c r="V65" s="1" t="str">
        <f>IFERROR(__xludf.DUMMYFUNCTION("""COMPUTED_VALUE"""),"PAGO COMPLETO")</f>
        <v>PAGO COMPLETO</v>
      </c>
      <c r="W65" s="4">
        <f>IFERROR(__xludf.DUMMYFUNCTION("""COMPUTED_VALUE"""),0.0)</f>
        <v>0</v>
      </c>
      <c r="X65" s="1" t="str">
        <f>IFERROR(__xludf.DUMMYFUNCTION("""COMPUTED_VALUE"""),"-")</f>
        <v>-</v>
      </c>
      <c r="Y65" s="2">
        <f>IFERROR(__xludf.DUMMYFUNCTION("""COMPUTED_VALUE"""),45797.0)</f>
        <v>45797</v>
      </c>
      <c r="Z65" s="1" t="str">
        <f>IFERROR(__xludf.DUMMYFUNCTION("""COMPUTED_VALUE"""),"PAGO COMPLETO")</f>
        <v>PAGO COMPLETO</v>
      </c>
      <c r="AA65" s="1"/>
      <c r="AB65" s="1"/>
      <c r="AC65" s="4">
        <f>IFERROR(__xludf.DUMMYFUNCTION("""COMPUTED_VALUE"""),0.0)</f>
        <v>0</v>
      </c>
      <c r="AD65" s="4">
        <f>IFERROR(__xludf.DUMMYFUNCTION("""COMPUTED_VALUE"""),0.0)</f>
        <v>0</v>
      </c>
      <c r="AE65" s="4">
        <f>IFERROR(__xludf.DUMMYFUNCTION("""COMPUTED_VALUE"""),1450.0)</f>
        <v>1450</v>
      </c>
      <c r="AF65" s="4">
        <f>IFERROR(__xludf.DUMMYFUNCTION("""COMPUTED_VALUE"""),1450.0)</f>
        <v>1450</v>
      </c>
      <c r="AG65" s="1">
        <f>IFERROR(__xludf.DUMMYFUNCTION("""COMPUTED_VALUE"""),0.0)</f>
        <v>0</v>
      </c>
      <c r="AH65" s="1">
        <f>IFERROR(__xludf.DUMMYFUNCTION("""COMPUTED_VALUE"""),0.0)</f>
        <v>0</v>
      </c>
      <c r="AI65" s="1">
        <f>IFERROR(__xludf.DUMMYFUNCTION("""COMPUTED_VALUE"""),0.0)</f>
        <v>0</v>
      </c>
      <c r="AJ65" s="1">
        <f>IFERROR(__xludf.DUMMYFUNCTION("""COMPUTED_VALUE"""),1018290.0)</f>
        <v>1018290</v>
      </c>
      <c r="AK65" s="1"/>
      <c r="AL65" s="1"/>
      <c r="AM65" s="1" t="str">
        <f>IFERROR(__xludf.DUMMYFUNCTION("""COMPUTED_VALUE"""),"Universidad de Piura")</f>
        <v>Universidad de Piura</v>
      </c>
      <c r="AN65" s="1" t="str">
        <f>IFERROR(__xludf.DUMMYFUNCTION("""COMPUTED_VALUE""")," ")</f>
        <v> </v>
      </c>
      <c r="AO65" s="1">
        <f>IFERROR(__xludf.DUMMYFUNCTION("""COMPUTED_VALUE"""),2020.0)</f>
        <v>2020</v>
      </c>
      <c r="AP65" s="3">
        <f>IFERROR(__xludf.DUMMYFUNCTION("""COMPUTED_VALUE"""),45778.0)</f>
        <v>45778</v>
      </c>
      <c r="AQ65" s="2">
        <f>IFERROR(__xludf.DUMMYFUNCTION("""COMPUTED_VALUE"""),45775.0)</f>
        <v>45775</v>
      </c>
      <c r="AR65" s="2">
        <f>IFERROR(__xludf.DUMMYFUNCTION("""COMPUTED_VALUE"""),45796.0)</f>
        <v>45796</v>
      </c>
      <c r="AS65" s="2">
        <f>IFERROR(__xludf.DUMMYFUNCTION("""COMPUTED_VALUE"""),45778.0)</f>
        <v>45778</v>
      </c>
      <c r="AT65" s="2">
        <f>IFERROR(__xludf.DUMMYFUNCTION("""COMPUTED_VALUE"""),45775.0)</f>
        <v>45775</v>
      </c>
      <c r="AU65" s="1">
        <f>IFERROR(__xludf.DUMMYFUNCTION("""COMPUTED_VALUE"""),1.0)</f>
        <v>1</v>
      </c>
      <c r="AV65" s="1" t="str">
        <f>IFERROR(__xludf.DUMMYFUNCTION("""COMPUTED_VALUE"""),"DIGITAL")</f>
        <v>DIGITAL</v>
      </c>
      <c r="AW65" s="1" t="str">
        <f>IFERROR(__xludf.DUMMYFUNCTION("""COMPUTED_VALUE"""),"FORMULARIO")</f>
        <v>FORMULARIO</v>
      </c>
      <c r="AX65" s="1" t="str">
        <f>IFERROR(__xludf.DUMMYFUNCTION("""COMPUTED_VALUE"""),"ORGANICO")</f>
        <v>ORGANICO</v>
      </c>
      <c r="AY65" s="1">
        <f>IFERROR(__xludf.DUMMYFUNCTION("""COMPUTED_VALUE"""),1.0)</f>
        <v>1</v>
      </c>
      <c r="AZ65" s="1" t="str">
        <f>IFERROR(__xludf.DUMMYFUNCTION("""COMPUTED_VALUE"""),"Andrea Araujo Antara")</f>
        <v>Andrea Araujo Antara</v>
      </c>
      <c r="BA65" s="5">
        <f>IFERROR(__xludf.DUMMYFUNCTION("""COMPUTED_VALUE"""),1.0)</f>
        <v>1</v>
      </c>
      <c r="BB65" s="6">
        <f>IFERROR(__xludf.DUMMYFUNCTION("""COMPUTED_VALUE"""),1450.0)</f>
        <v>1450</v>
      </c>
      <c r="BC65" s="1"/>
      <c r="BD65" s="1" t="str">
        <f>IFERROR(__xludf.DUMMYFUNCTION("""COMPUTED_VALUE""")," -")</f>
        <v> -</v>
      </c>
      <c r="BE65" s="1">
        <f>IFERROR(__xludf.DUMMYFUNCTION("""COMPUTED_VALUE"""),1.0)</f>
        <v>1</v>
      </c>
      <c r="BF65" s="1">
        <f>IFERROR(__xludf.DUMMYFUNCTION("""COMPUTED_VALUE"""),0.0)</f>
        <v>0</v>
      </c>
      <c r="BG65" s="1"/>
      <c r="BH65" s="1" t="str">
        <f>IFERROR(__xludf.DUMMYFUNCTION("""COMPUTED_VALUE"""),"No aplica")</f>
        <v>No aplica</v>
      </c>
      <c r="BI65" s="1">
        <f>IFERROR(__xludf.DUMMYFUNCTION("""COMPUTED_VALUE"""),1.0)</f>
        <v>1</v>
      </c>
      <c r="BJ65" s="1" t="str">
        <f>IFERROR(__xludf.DUMMYFUNCTION("""COMPUTED_VALUE"""),"TRASLADO")</f>
        <v>TRASLADO</v>
      </c>
    </row>
    <row r="66">
      <c r="A66" s="1">
        <f>IFERROR(__xludf.DUMMYFUNCTION("""COMPUTED_VALUE"""),65.0)</f>
        <v>65</v>
      </c>
      <c r="B66" s="1">
        <f>IFERROR(__xludf.DUMMYFUNCTION("""COMPUTED_VALUE"""),1147792.0)</f>
        <v>1147792</v>
      </c>
      <c r="C66" s="1" t="str">
        <f>IFERROR(__xludf.DUMMYFUNCTION("""COMPUTED_VALUE"""),"2020002443")</f>
        <v>2020002443</v>
      </c>
      <c r="D66" s="1" t="str">
        <f>IFERROR(__xludf.DUMMYFUNCTION("""COMPUTED_VALUE"""),"DEBORHA VICTORIA")</f>
        <v>DEBORHA VICTORIA</v>
      </c>
      <c r="E66" s="2" t="str">
        <f>IFERROR(__xludf.DUMMYFUNCTION("""COMPUTED_VALUE"""),"CUEVA HUAPAYA")</f>
        <v>CUEVA HUAPAYA</v>
      </c>
      <c r="F66" s="1">
        <f>IFERROR(__xludf.DUMMYFUNCTION("""COMPUTED_VALUE"""),7.5120389E7)</f>
        <v>75120389</v>
      </c>
      <c r="G66" s="1">
        <f>IFERROR(__xludf.DUMMYFUNCTION("""COMPUTED_VALUE"""),9.4417658E8)</f>
        <v>944176580</v>
      </c>
      <c r="H66" s="1" t="str">
        <f>IFERROR(__xludf.DUMMYFUNCTION("""COMPUTED_VALUE"""),"deborhacueva@gmail.com")</f>
        <v>deborhacueva@gmail.com</v>
      </c>
      <c r="I66" s="1" t="str">
        <f>IFERROR(__xludf.DUMMYFUNCTION("""COMPUTED_VALUE"""),"Comunicación y Publicidad Transmedia")</f>
        <v>Comunicación y Publicidad Transmedia</v>
      </c>
      <c r="J66" s="1" t="str">
        <f>IFERROR(__xludf.DUMMYFUNCTION("""COMPUTED_VALUE"""),"Comunicaciones")</f>
        <v>Comunicaciones</v>
      </c>
      <c r="K66" s="1" t="str">
        <f>IFERROR(__xludf.DUMMYFUNCTION("""COMPUTED_VALUE"""),"Antigua")</f>
        <v>Antigua</v>
      </c>
      <c r="L66" s="1" t="str">
        <f>IFERROR(__xludf.DUMMYFUNCTION("""COMPUTED_VALUE"""),"Admisión Extraordinaria (Traslados)")</f>
        <v>Admisión Extraordinaria (Traslados)</v>
      </c>
      <c r="M66" s="1" t="str">
        <f>IFERROR(__xludf.DUMMYFUNCTION("""COMPUTED_VALUE"""),"Semi-presencial")</f>
        <v>Semi-presencial</v>
      </c>
      <c r="N66" s="1" t="str">
        <f>IFERROR(__xludf.DUMMYFUNCTION("""COMPUTED_VALUE"""),"Diurno")</f>
        <v>Diurno</v>
      </c>
      <c r="O66" s="1" t="str">
        <f>IFERROR(__xludf.DUMMYFUNCTION("""COMPUTED_VALUE"""),"TRASLADO CON CONVA")</f>
        <v>TRASLADO CON CONVA</v>
      </c>
      <c r="P66" s="1" t="str">
        <f>IFERROR(__xludf.DUMMYFUNCTION("""COMPUTED_VALUE"""),"ESCALA REGULAR")</f>
        <v>ESCALA REGULAR</v>
      </c>
      <c r="Q66" s="1" t="str">
        <f>IFERROR(__xludf.DUMMYFUNCTION("""COMPUTED_VALUE"""),"NINGUNO")</f>
        <v>NINGUNO</v>
      </c>
      <c r="R66" s="1" t="str">
        <f>IFERROR(__xludf.DUMMYFUNCTION("""COMPUTED_VALUE"""),"NINGUNO")</f>
        <v>NINGUNO</v>
      </c>
      <c r="S66" s="1" t="str">
        <f>IFERROR(__xludf.DUMMYFUNCTION("""COMPUTED_VALUE"""),"-")</f>
        <v>-</v>
      </c>
      <c r="T66" s="3">
        <f>IFERROR(__xludf.DUMMYFUNCTION("""COMPUTED_VALUE"""),45799.0)</f>
        <v>45799</v>
      </c>
      <c r="U66" s="1" t="str">
        <f>IFERROR(__xludf.DUMMYFUNCTION("""COMPUTED_VALUE"""),"CARGO")</f>
        <v>CARGO</v>
      </c>
      <c r="V66" s="1" t="str">
        <f>IFERROR(__xludf.DUMMYFUNCTION("""COMPUTED_VALUE"""),"PAGO FRACCIONADO")</f>
        <v>PAGO FRACCIONADO</v>
      </c>
      <c r="W66" s="4">
        <f>IFERROR(__xludf.DUMMYFUNCTION("""COMPUTED_VALUE"""),0.0)</f>
        <v>0</v>
      </c>
      <c r="X66" s="1" t="str">
        <f>IFERROR(__xludf.DUMMYFUNCTION("""COMPUTED_VALUE"""),"28/05/2025")</f>
        <v>28/05/2025</v>
      </c>
      <c r="Y66" s="2">
        <f>IFERROR(__xludf.DUMMYFUNCTION("""COMPUTED_VALUE"""),45805.0)</f>
        <v>45805</v>
      </c>
      <c r="Z66" s="1" t="str">
        <f>IFERROR(__xludf.DUMMYFUNCTION("""COMPUTED_VALUE"""),"PAGO COMPLETO")</f>
        <v>PAGO COMPLETO</v>
      </c>
      <c r="AA66" s="1"/>
      <c r="AB66" s="1"/>
      <c r="AC66" s="4">
        <f>IFERROR(__xludf.DUMMYFUNCTION("""COMPUTED_VALUE"""),0.0)</f>
        <v>0</v>
      </c>
      <c r="AD66" s="4">
        <f>IFERROR(__xludf.DUMMYFUNCTION("""COMPUTED_VALUE"""),0.0)</f>
        <v>0</v>
      </c>
      <c r="AE66" s="4">
        <f>IFERROR(__xludf.DUMMYFUNCTION("""COMPUTED_VALUE"""),1000.0)</f>
        <v>1000</v>
      </c>
      <c r="AF66" s="4">
        <f>IFERROR(__xludf.DUMMYFUNCTION("""COMPUTED_VALUE"""),1000.0)</f>
        <v>1000</v>
      </c>
      <c r="AG66" s="1">
        <f>IFERROR(__xludf.DUMMYFUNCTION("""COMPUTED_VALUE"""),0.0)</f>
        <v>0</v>
      </c>
      <c r="AH66" s="1">
        <f>IFERROR(__xludf.DUMMYFUNCTION("""COMPUTED_VALUE"""),0.0)</f>
        <v>0</v>
      </c>
      <c r="AI66" s="1">
        <f>IFERROR(__xludf.DUMMYFUNCTION("""COMPUTED_VALUE"""),0.0)</f>
        <v>0</v>
      </c>
      <c r="AJ66" s="1">
        <f>IFERROR(__xludf.DUMMYFUNCTION("""COMPUTED_VALUE"""),775320.0)</f>
        <v>775320</v>
      </c>
      <c r="AK66" s="1" t="str">
        <f>IFERROR(__xludf.DUMMYFUNCTION("""COMPUTED_VALUE"""),"10 kms a 15 kms")</f>
        <v>10 kms a 15 kms</v>
      </c>
      <c r="AL66" s="1" t="str">
        <f>IFERROR(__xludf.DUMMYFUNCTION("""COMPUTED_VALUE"""),"01 Nacional")</f>
        <v>01 Nacional</v>
      </c>
      <c r="AM66" s="1" t="str">
        <f>IFERROR(__xludf.DUMMYFUNCTION("""COMPUTED_VALUE"""),"Instituto de Educación Superior Tecnológico Privado Toulouse Lautrec")</f>
        <v>Instituto de Educación Superior Tecnológico Privado Toulouse Lautrec</v>
      </c>
      <c r="AN66" s="1" t="str">
        <f>IFERROR(__xludf.DUMMYFUNCTION("""COMPUTED_VALUE""")," ")</f>
        <v> </v>
      </c>
      <c r="AO66" s="1">
        <f>IFERROR(__xludf.DUMMYFUNCTION("""COMPUTED_VALUE"""),2019.0)</f>
        <v>2019</v>
      </c>
      <c r="AP66" s="3">
        <f>IFERROR(__xludf.DUMMYFUNCTION("""COMPUTED_VALUE"""),45778.0)</f>
        <v>45778</v>
      </c>
      <c r="AQ66" s="2">
        <f>IFERROR(__xludf.DUMMYFUNCTION("""COMPUTED_VALUE"""),45775.0)</f>
        <v>45775</v>
      </c>
      <c r="AR66" s="2">
        <f>IFERROR(__xludf.DUMMYFUNCTION("""COMPUTED_VALUE"""),45755.0)</f>
        <v>45755</v>
      </c>
      <c r="AS66" s="2">
        <f>IFERROR(__xludf.DUMMYFUNCTION("""COMPUTED_VALUE"""),45748.0)</f>
        <v>45748</v>
      </c>
      <c r="AT66" s="2">
        <f>IFERROR(__xludf.DUMMYFUNCTION("""COMPUTED_VALUE"""),45747.0)</f>
        <v>45747</v>
      </c>
      <c r="AU66" s="1">
        <f>IFERROR(__xludf.DUMMYFUNCTION("""COMPUTED_VALUE"""),50.0)</f>
        <v>50</v>
      </c>
      <c r="AV66" s="1" t="str">
        <f>IFERROR(__xludf.DUMMYFUNCTION("""COMPUTED_VALUE"""),"DIGITAL")</f>
        <v>DIGITAL</v>
      </c>
      <c r="AW66" s="1" t="str">
        <f>IFERROR(__xludf.DUMMYFUNCTION("""COMPUTED_VALUE"""),"FORMULARIO")</f>
        <v>FORMULARIO</v>
      </c>
      <c r="AX66" s="1" t="str">
        <f>IFERROR(__xludf.DUMMYFUNCTION("""COMPUTED_VALUE"""),"ORGANICO")</f>
        <v>ORGANICO</v>
      </c>
      <c r="AY66" s="1">
        <f>IFERROR(__xludf.DUMMYFUNCTION("""COMPUTED_VALUE"""),1.0)</f>
        <v>1</v>
      </c>
      <c r="AZ66" s="1" t="str">
        <f>IFERROR(__xludf.DUMMYFUNCTION("""COMPUTED_VALUE"""),"Fiorella Lanegra")</f>
        <v>Fiorella Lanegra</v>
      </c>
      <c r="BA66" s="5">
        <f>IFERROR(__xludf.DUMMYFUNCTION("""COMPUTED_VALUE"""),1.0)</f>
        <v>1</v>
      </c>
      <c r="BB66" s="6">
        <f>IFERROR(__xludf.DUMMYFUNCTION("""COMPUTED_VALUE"""),1000.0)</f>
        <v>1000</v>
      </c>
      <c r="BC66" s="1"/>
      <c r="BD66" s="1" t="str">
        <f>IFERROR(__xludf.DUMMYFUNCTION("""COMPUTED_VALUE""")," -")</f>
        <v> -</v>
      </c>
      <c r="BE66" s="1">
        <f>IFERROR(__xludf.DUMMYFUNCTION("""COMPUTED_VALUE"""),1.0)</f>
        <v>1</v>
      </c>
      <c r="BF66" s="1">
        <f>IFERROR(__xludf.DUMMYFUNCTION("""COMPUTED_VALUE"""),0.0)</f>
        <v>0</v>
      </c>
      <c r="BG66" s="1"/>
      <c r="BH66" s="1" t="str">
        <f>IFERROR(__xludf.DUMMYFUNCTION("""COMPUTED_VALUE"""),"No aplica")</f>
        <v>No aplica</v>
      </c>
      <c r="BI66" s="1">
        <f>IFERROR(__xludf.DUMMYFUNCTION("""COMPUTED_VALUE"""),1.0)</f>
        <v>1</v>
      </c>
      <c r="BJ66" s="1" t="str">
        <f>IFERROR(__xludf.DUMMYFUNCTION("""COMPUTED_VALUE"""),"TRASLADO")</f>
        <v>TRASLADO</v>
      </c>
    </row>
    <row r="67">
      <c r="A67" s="1">
        <f>IFERROR(__xludf.DUMMYFUNCTION("""COMPUTED_VALUE"""),66.0)</f>
        <v>66</v>
      </c>
      <c r="B67" s="1">
        <f>IFERROR(__xludf.DUMMYFUNCTION("""COMPUTED_VALUE"""),5197916.0)</f>
        <v>5197916</v>
      </c>
      <c r="C67" s="1" t="str">
        <f>IFERROR(__xludf.DUMMYFUNCTION("""COMPUTED_VALUE"""),"0000426722")</f>
        <v>0000426722</v>
      </c>
      <c r="D67" s="1" t="str">
        <f>IFERROR(__xludf.DUMMYFUNCTION("""COMPUTED_VALUE"""),"JEAN PIERE ORLANDO ")</f>
        <v>JEAN PIERE ORLANDO </v>
      </c>
      <c r="E67" s="2" t="str">
        <f>IFERROR(__xludf.DUMMYFUNCTION("""COMPUTED_VALUE"""),"SALAS CAMACHO")</f>
        <v>SALAS CAMACHO</v>
      </c>
      <c r="F67" s="1">
        <f>IFERROR(__xludf.DUMMYFUNCTION("""COMPUTED_VALUE"""),7.117094E7)</f>
        <v>71170940</v>
      </c>
      <c r="G67" s="1">
        <f>IFERROR(__xludf.DUMMYFUNCTION("""COMPUTED_VALUE"""),9.17260697E8)</f>
        <v>917260697</v>
      </c>
      <c r="H67" s="1" t="str">
        <f>IFERROR(__xludf.DUMMYFUNCTION("""COMPUTED_VALUE"""),"jean102111@gmail.com")</f>
        <v>jean102111@gmail.com</v>
      </c>
      <c r="I67" s="1" t="str">
        <f>IFERROR(__xludf.DUMMYFUNCTION("""COMPUTED_VALUE"""),"Comunicación Audiovisual y Cine")</f>
        <v>Comunicación Audiovisual y Cine</v>
      </c>
      <c r="J67" s="1" t="str">
        <f>IFERROR(__xludf.DUMMYFUNCTION("""COMPUTED_VALUE"""),"Comunicaciones")</f>
        <v>Comunicaciones</v>
      </c>
      <c r="K67" s="1" t="str">
        <f>IFERROR(__xludf.DUMMYFUNCTION("""COMPUTED_VALUE"""),"Antigua")</f>
        <v>Antigua</v>
      </c>
      <c r="L67" s="1" t="str">
        <f>IFERROR(__xludf.DUMMYFUNCTION("""COMPUTED_VALUE"""),"Admisión Extraordinaria (Traslados)")</f>
        <v>Admisión Extraordinaria (Traslados)</v>
      </c>
      <c r="M67" s="1" t="str">
        <f>IFERROR(__xludf.DUMMYFUNCTION("""COMPUTED_VALUE"""),"Semi-presencial")</f>
        <v>Semi-presencial</v>
      </c>
      <c r="N67" s="1" t="str">
        <f>IFERROR(__xludf.DUMMYFUNCTION("""COMPUTED_VALUE"""),"Diurno")</f>
        <v>Diurno</v>
      </c>
      <c r="O67" s="1" t="str">
        <f>IFERROR(__xludf.DUMMYFUNCTION("""COMPUTED_VALUE"""),"TRASLADO SIN CONVA")</f>
        <v>TRASLADO SIN CONVA</v>
      </c>
      <c r="P67" s="1" t="str">
        <f>IFERROR(__xludf.DUMMYFUNCTION("""COMPUTED_VALUE"""),"BECA")</f>
        <v>BECA</v>
      </c>
      <c r="Q67" s="1" t="str">
        <f>IFERROR(__xludf.DUMMYFUNCTION("""COMPUTED_VALUE"""),"BECA CARRERAS CORE-TRASLADOS SIN CONVA")</f>
        <v>BECA CARRERAS CORE-TRASLADOS SIN CONVA</v>
      </c>
      <c r="R67" s="1" t="str">
        <f>IFERROR(__xludf.DUMMYFUNCTION("""COMPUTED_VALUE"""),"NINGUNO")</f>
        <v>NINGUNO</v>
      </c>
      <c r="S67" s="1" t="str">
        <f>IFERROR(__xludf.DUMMYFUNCTION("""COMPUTED_VALUE"""),"RODRIGO")</f>
        <v>RODRIGO</v>
      </c>
      <c r="T67" s="3">
        <f>IFERROR(__xludf.DUMMYFUNCTION("""COMPUTED_VALUE"""),45800.0)</f>
        <v>45800</v>
      </c>
      <c r="U67" s="1" t="str">
        <f>IFERROR(__xludf.DUMMYFUNCTION("""COMPUTED_VALUE"""),"CARGO")</f>
        <v>CARGO</v>
      </c>
      <c r="V67" s="1" t="str">
        <f>IFERROR(__xludf.DUMMYFUNCTION("""COMPUTED_VALUE"""),"PAGO COMPLETO")</f>
        <v>PAGO COMPLETO</v>
      </c>
      <c r="W67" s="4">
        <f>IFERROR(__xludf.DUMMYFUNCTION("""COMPUTED_VALUE"""),0.0)</f>
        <v>0</v>
      </c>
      <c r="X67" s="1" t="str">
        <f>IFERROR(__xludf.DUMMYFUNCTION("""COMPUTED_VALUE"""),"-")</f>
        <v>-</v>
      </c>
      <c r="Y67" s="2">
        <f>IFERROR(__xludf.DUMMYFUNCTION("""COMPUTED_VALUE"""),45800.0)</f>
        <v>45800</v>
      </c>
      <c r="Z67" s="1" t="str">
        <f>IFERROR(__xludf.DUMMYFUNCTION("""COMPUTED_VALUE"""),"PAGO COMPLETO")</f>
        <v>PAGO COMPLETO</v>
      </c>
      <c r="AA67" s="1"/>
      <c r="AB67" s="1"/>
      <c r="AC67" s="4">
        <f>IFERROR(__xludf.DUMMYFUNCTION("""COMPUTED_VALUE"""),50.0)</f>
        <v>50</v>
      </c>
      <c r="AD67" s="4">
        <f>IFERROR(__xludf.DUMMYFUNCTION("""COMPUTED_VALUE"""),95.0)</f>
        <v>95</v>
      </c>
      <c r="AE67" s="4">
        <f>IFERROR(__xludf.DUMMYFUNCTION("""COMPUTED_VALUE"""),1050.0)</f>
        <v>1050</v>
      </c>
      <c r="AF67" s="4">
        <f>IFERROR(__xludf.DUMMYFUNCTION("""COMPUTED_VALUE"""),950.0)</f>
        <v>950</v>
      </c>
      <c r="AG67" s="1">
        <f>IFERROR(__xludf.DUMMYFUNCTION("""COMPUTED_VALUE"""),0.0)</f>
        <v>0</v>
      </c>
      <c r="AH67" s="1">
        <f>IFERROR(__xludf.DUMMYFUNCTION("""COMPUTED_VALUE"""),0.0)</f>
        <v>0</v>
      </c>
      <c r="AI67" s="1">
        <f>IFERROR(__xludf.DUMMYFUNCTION("""COMPUTED_VALUE"""),0.0)</f>
        <v>0</v>
      </c>
      <c r="AJ67" s="1">
        <f>IFERROR(__xludf.DUMMYFUNCTION("""COMPUTED_VALUE"""),1074814.0)</f>
        <v>1074814</v>
      </c>
      <c r="AK67" s="1" t="str">
        <f>IFERROR(__xludf.DUMMYFUNCTION("""COMPUTED_VALUE"""),"10 kms a 15 kms")</f>
        <v>10 kms a 15 kms</v>
      </c>
      <c r="AL67" s="1" t="str">
        <f>IFERROR(__xludf.DUMMYFUNCTION("""COMPUTED_VALUE"""),"03 101 a 200")</f>
        <v>03 101 a 200</v>
      </c>
      <c r="AM67" s="1" t="str">
        <f>IFERROR(__xludf.DUMMYFUNCTION("""COMPUTED_VALUE"""),"Universidad Científica del Sur - Lima")</f>
        <v>Universidad Científica del Sur - Lima</v>
      </c>
      <c r="AN67" s="1" t="str">
        <f>IFERROR(__xludf.DUMMYFUNCTION("""COMPUTED_VALUE""")," ")</f>
        <v> </v>
      </c>
      <c r="AO67" s="1">
        <f>IFERROR(__xludf.DUMMYFUNCTION("""COMPUTED_VALUE"""),2024.0)</f>
        <v>2024</v>
      </c>
      <c r="AP67" s="3">
        <f>IFERROR(__xludf.DUMMYFUNCTION("""COMPUTED_VALUE"""),45778.0)</f>
        <v>45778</v>
      </c>
      <c r="AQ67" s="2">
        <f>IFERROR(__xludf.DUMMYFUNCTION("""COMPUTED_VALUE"""),45775.0)</f>
        <v>45775</v>
      </c>
      <c r="AR67" s="2">
        <f>IFERROR(__xludf.DUMMYFUNCTION("""COMPUTED_VALUE"""),45792.0)</f>
        <v>45792</v>
      </c>
      <c r="AS67" s="2">
        <f>IFERROR(__xludf.DUMMYFUNCTION("""COMPUTED_VALUE"""),45778.0)</f>
        <v>45778</v>
      </c>
      <c r="AT67" s="2">
        <f>IFERROR(__xludf.DUMMYFUNCTION("""COMPUTED_VALUE"""),45775.0)</f>
        <v>45775</v>
      </c>
      <c r="AU67" s="1">
        <f>IFERROR(__xludf.DUMMYFUNCTION("""COMPUTED_VALUE"""),8.0)</f>
        <v>8</v>
      </c>
      <c r="AV67" s="1" t="str">
        <f>IFERROR(__xludf.DUMMYFUNCTION("""COMPUTED_VALUE"""),"DIGITAL")</f>
        <v>DIGITAL</v>
      </c>
      <c r="AW67" s="1" t="str">
        <f>IFERROR(__xludf.DUMMYFUNCTION("""COMPUTED_VALUE"""),"BIDIRECCIONAL")</f>
        <v>BIDIRECCIONAL</v>
      </c>
      <c r="AX67" s="1" t="str">
        <f>IFERROR(__xludf.DUMMYFUNCTION("""COMPUTED_VALUE"""),"ORGANICO")</f>
        <v>ORGANICO</v>
      </c>
      <c r="AY67" s="1">
        <f>IFERROR(__xludf.DUMMYFUNCTION("""COMPUTED_VALUE"""),1.0)</f>
        <v>1</v>
      </c>
      <c r="AZ67" s="1" t="str">
        <f>IFERROR(__xludf.DUMMYFUNCTION("""COMPUTED_VALUE"""),"Fiorella Lanegra")</f>
        <v>Fiorella Lanegra</v>
      </c>
      <c r="BA67" s="5">
        <f>IFERROR(__xludf.DUMMYFUNCTION("""COMPUTED_VALUE"""),1.0)</f>
        <v>1</v>
      </c>
      <c r="BB67" s="6">
        <f>IFERROR(__xludf.DUMMYFUNCTION("""COMPUTED_VALUE"""),950.0)</f>
        <v>950</v>
      </c>
      <c r="BC67" s="1">
        <f>IFERROR(__xludf.DUMMYFUNCTION("""COMPUTED_VALUE"""),1.0)</f>
        <v>1</v>
      </c>
      <c r="BD67" s="1" t="str">
        <f>IFERROR(__xludf.DUMMYFUNCTION("""COMPUTED_VALUE"""),"Redacción")</f>
        <v>Redacción</v>
      </c>
      <c r="BE67" s="1">
        <f>IFERROR(__xludf.DUMMYFUNCTION("""COMPUTED_VALUE"""),1.0)</f>
        <v>1</v>
      </c>
      <c r="BF67" s="1">
        <f>IFERROR(__xludf.DUMMYFUNCTION("""COMPUTED_VALUE"""),1.0)</f>
        <v>1</v>
      </c>
      <c r="BG67" s="3">
        <f>IFERROR(__xludf.DUMMYFUNCTION("""COMPUTED_VALUE"""),45815.0)</f>
        <v>45815</v>
      </c>
      <c r="BH67" s="1" t="str">
        <f>IFERROR(__xludf.DUMMYFUNCTION("""COMPUTED_VALUE"""),"07/06/2025")</f>
        <v>07/06/2025</v>
      </c>
      <c r="BI67" s="1">
        <f>IFERROR(__xludf.DUMMYFUNCTION("""COMPUTED_VALUE"""),0.0)</f>
        <v>0</v>
      </c>
      <c r="BJ67" s="1" t="str">
        <f>IFERROR(__xludf.DUMMYFUNCTION("""COMPUTED_VALUE"""),"NUEVO")</f>
        <v>NUEVO</v>
      </c>
    </row>
    <row r="68">
      <c r="A68" s="1">
        <f>IFERROR(__xludf.DUMMYFUNCTION("""COMPUTED_VALUE"""),67.0)</f>
        <v>67</v>
      </c>
      <c r="B68" s="1">
        <f>IFERROR(__xludf.DUMMYFUNCTION("""COMPUTED_VALUE"""),3403003.0)</f>
        <v>3403003</v>
      </c>
      <c r="C68" s="1" t="str">
        <f>IFERROR(__xludf.DUMMYFUNCTION("""COMPUTED_VALUE"""),"0000426713")</f>
        <v>0000426713</v>
      </c>
      <c r="D68" s="1" t="str">
        <f>IFERROR(__xludf.DUMMYFUNCTION("""COMPUTED_VALUE"""),"NASTIA CHELLSIE")</f>
        <v>NASTIA CHELLSIE</v>
      </c>
      <c r="E68" s="2" t="str">
        <f>IFERROR(__xludf.DUMMYFUNCTION("""COMPUTED_VALUE"""),"PASTOR NOREÑA")</f>
        <v>PASTOR NOREÑA</v>
      </c>
      <c r="F68" s="1">
        <f>IFERROR(__xludf.DUMMYFUNCTION("""COMPUTED_VALUE"""),7.0730298E7)</f>
        <v>70730298</v>
      </c>
      <c r="G68" s="1">
        <f>IFERROR(__xludf.DUMMYFUNCTION("""COMPUTED_VALUE"""),9.46401465E8)</f>
        <v>946401465</v>
      </c>
      <c r="H68" s="1" t="str">
        <f>IFERROR(__xludf.DUMMYFUNCTION("""COMPUTED_VALUE"""),"npastornorena@gmail.com")</f>
        <v>npastornorena@gmail.com</v>
      </c>
      <c r="I68" s="1" t="str">
        <f>IFERROR(__xludf.DUMMYFUNCTION("""COMPUTED_VALUE"""),"Arquitectura")</f>
        <v>Arquitectura</v>
      </c>
      <c r="J68" s="1" t="str">
        <f>IFERROR(__xludf.DUMMYFUNCTION("""COMPUTED_VALUE"""),"Arquitecturas")</f>
        <v>Arquitecturas</v>
      </c>
      <c r="K68" s="1" t="str">
        <f>IFERROR(__xludf.DUMMYFUNCTION("""COMPUTED_VALUE"""),"Antigua")</f>
        <v>Antigua</v>
      </c>
      <c r="L68" s="1" t="str">
        <f>IFERROR(__xludf.DUMMYFUNCTION("""COMPUTED_VALUE"""),"Admisión Ordinaria")</f>
        <v>Admisión Ordinaria</v>
      </c>
      <c r="M68" s="1" t="str">
        <f>IFERROR(__xludf.DUMMYFUNCTION("""COMPUTED_VALUE"""),"Semi-presencial")</f>
        <v>Semi-presencial</v>
      </c>
      <c r="N68" s="1" t="str">
        <f>IFERROR(__xludf.DUMMYFUNCTION("""COMPUTED_VALUE"""),"Diurno")</f>
        <v>Diurno</v>
      </c>
      <c r="O68" s="1" t="str">
        <f>IFERROR(__xludf.DUMMYFUNCTION("""COMPUTED_VALUE"""),"NUEVO")</f>
        <v>NUEVO</v>
      </c>
      <c r="P68" s="1" t="str">
        <f>IFERROR(__xludf.DUMMYFUNCTION("""COMPUTED_VALUE"""),"BECA")</f>
        <v>BECA</v>
      </c>
      <c r="Q68" s="1" t="str">
        <f>IFERROR(__xludf.DUMMYFUNCTION("""COMPUTED_VALUE"""),"BECA CARRERAS CORE")</f>
        <v>BECA CARRERAS CORE</v>
      </c>
      <c r="R68" s="1" t="str">
        <f>IFERROR(__xludf.DUMMYFUNCTION("""COMPUTED_VALUE"""),"NINGUNO")</f>
        <v>NINGUNO</v>
      </c>
      <c r="S68" s="1" t="str">
        <f>IFERROR(__xludf.DUMMYFUNCTION("""COMPUTED_VALUE"""),"-")</f>
        <v>-</v>
      </c>
      <c r="T68" s="3">
        <f>IFERROR(__xludf.DUMMYFUNCTION("""COMPUTED_VALUE"""),45801.0)</f>
        <v>45801</v>
      </c>
      <c r="U68" s="1" t="str">
        <f>IFERROR(__xludf.DUMMYFUNCTION("""COMPUTED_VALUE"""),"CARGO")</f>
        <v>CARGO</v>
      </c>
      <c r="V68" s="1" t="str">
        <f>IFERROR(__xludf.DUMMYFUNCTION("""COMPUTED_VALUE"""),"PAGO COMPLETO")</f>
        <v>PAGO COMPLETO</v>
      </c>
      <c r="W68" s="4">
        <f>IFERROR(__xludf.DUMMYFUNCTION("""COMPUTED_VALUE"""),0.0)</f>
        <v>0</v>
      </c>
      <c r="X68" s="1" t="str">
        <f>IFERROR(__xludf.DUMMYFUNCTION("""COMPUTED_VALUE"""),"-")</f>
        <v>-</v>
      </c>
      <c r="Y68" s="2">
        <f>IFERROR(__xludf.DUMMYFUNCTION("""COMPUTED_VALUE"""),45801.0)</f>
        <v>45801</v>
      </c>
      <c r="Z68" s="1" t="str">
        <f>IFERROR(__xludf.DUMMYFUNCTION("""COMPUTED_VALUE"""),"PAGO COMPLETO")</f>
        <v>PAGO COMPLETO</v>
      </c>
      <c r="AA68" s="1"/>
      <c r="AB68" s="1"/>
      <c r="AC68" s="4">
        <f>IFERROR(__xludf.DUMMYFUNCTION("""COMPUTED_VALUE"""),40.0)</f>
        <v>40</v>
      </c>
      <c r="AD68" s="4">
        <f>IFERROR(__xludf.DUMMYFUNCTION("""COMPUTED_VALUE"""),95.0)</f>
        <v>95</v>
      </c>
      <c r="AE68" s="4">
        <f>IFERROR(__xludf.DUMMYFUNCTION("""COMPUTED_VALUE"""),1350.0)</f>
        <v>1350</v>
      </c>
      <c r="AF68" s="4">
        <f>IFERROR(__xludf.DUMMYFUNCTION("""COMPUTED_VALUE"""),1150.0)</f>
        <v>1150</v>
      </c>
      <c r="AG68" s="1">
        <f>IFERROR(__xludf.DUMMYFUNCTION("""COMPUTED_VALUE"""),0.0)</f>
        <v>0</v>
      </c>
      <c r="AH68" s="1">
        <f>IFERROR(__xludf.DUMMYFUNCTION("""COMPUTED_VALUE"""),0.0)</f>
        <v>0</v>
      </c>
      <c r="AI68" s="1">
        <f>IFERROR(__xludf.DUMMYFUNCTION("""COMPUTED_VALUE"""),0.0)</f>
        <v>0</v>
      </c>
      <c r="AJ68" s="1">
        <f>IFERROR(__xludf.DUMMYFUNCTION("""COMPUTED_VALUE"""),1311521.0)</f>
        <v>1311521</v>
      </c>
      <c r="AK68" s="1" t="str">
        <f>IFERROR(__xludf.DUMMYFUNCTION("""COMPUTED_VALUE"""),"5kms a 10 kms")</f>
        <v>5kms a 10 kms</v>
      </c>
      <c r="AL68" s="1" t="str">
        <f>IFERROR(__xludf.DUMMYFUNCTION("""COMPUTED_VALUE"""),"05 301 a 550")</f>
        <v>05 301 a 550</v>
      </c>
      <c r="AM68" s="1" t="str">
        <f>IFERROR(__xludf.DUMMYFUNCTION("""COMPUTED_VALUE"""),"-")</f>
        <v>-</v>
      </c>
      <c r="AN68" s="1" t="str">
        <f>IFERROR(__xludf.DUMMYFUNCTION("""COMPUTED_VALUE""")," -")</f>
        <v> -</v>
      </c>
      <c r="AO68" s="1">
        <f>IFERROR(__xludf.DUMMYFUNCTION("""COMPUTED_VALUE"""),2024.0)</f>
        <v>2024</v>
      </c>
      <c r="AP68" s="3">
        <f>IFERROR(__xludf.DUMMYFUNCTION("""COMPUTED_VALUE"""),45778.0)</f>
        <v>45778</v>
      </c>
      <c r="AQ68" s="2">
        <f>IFERROR(__xludf.DUMMYFUNCTION("""COMPUTED_VALUE"""),45775.0)</f>
        <v>45775</v>
      </c>
      <c r="AR68" s="2">
        <f>IFERROR(__xludf.DUMMYFUNCTION("""COMPUTED_VALUE"""),45797.0)</f>
        <v>45797</v>
      </c>
      <c r="AS68" s="2">
        <f>IFERROR(__xludf.DUMMYFUNCTION("""COMPUTED_VALUE"""),45778.0)</f>
        <v>45778</v>
      </c>
      <c r="AT68" s="2">
        <f>IFERROR(__xludf.DUMMYFUNCTION("""COMPUTED_VALUE"""),45775.0)</f>
        <v>45775</v>
      </c>
      <c r="AU68" s="1">
        <f>IFERROR(__xludf.DUMMYFUNCTION("""COMPUTED_VALUE"""),4.0)</f>
        <v>4</v>
      </c>
      <c r="AV68" s="1" t="str">
        <f>IFERROR(__xludf.DUMMYFUNCTION("""COMPUTED_VALUE"""),"OUTBOUND")</f>
        <v>OUTBOUND</v>
      </c>
      <c r="AW68" s="1" t="str">
        <f>IFERROR(__xludf.DUMMYFUNCTION("""COMPUTED_VALUE"""),"OUTBOUND")</f>
        <v>OUTBOUND</v>
      </c>
      <c r="AX68" s="1" t="str">
        <f>IFERROR(__xludf.DUMMYFUNCTION("""COMPUTED_VALUE"""),"OUTBOUND")</f>
        <v>OUTBOUND</v>
      </c>
      <c r="AY68" s="1">
        <f>IFERROR(__xludf.DUMMYFUNCTION("""COMPUTED_VALUE"""),1.0)</f>
        <v>1</v>
      </c>
      <c r="AZ68" s="1" t="str">
        <f>IFERROR(__xludf.DUMMYFUNCTION("""COMPUTED_VALUE"""),"Juan Manuel Rodríguez")</f>
        <v>Juan Manuel Rodríguez</v>
      </c>
      <c r="BA68" s="5">
        <f>IFERROR(__xludf.DUMMYFUNCTION("""COMPUTED_VALUE"""),1.0)</f>
        <v>1</v>
      </c>
      <c r="BB68" s="6">
        <f>IFERROR(__xludf.DUMMYFUNCTION("""COMPUTED_VALUE"""),1150.0)</f>
        <v>1150</v>
      </c>
      <c r="BC68" s="1">
        <f>IFERROR(__xludf.DUMMYFUNCTION("""COMPUTED_VALUE"""),1.0)</f>
        <v>1</v>
      </c>
      <c r="BD68" s="1" t="str">
        <f>IFERROR(__xludf.DUMMYFUNCTION("""COMPUTED_VALUE"""),"Redacción")</f>
        <v>Redacción</v>
      </c>
      <c r="BE68" s="1">
        <f>IFERROR(__xludf.DUMMYFUNCTION("""COMPUTED_VALUE"""),1.0)</f>
        <v>1</v>
      </c>
      <c r="BF68" s="1">
        <f>IFERROR(__xludf.DUMMYFUNCTION("""COMPUTED_VALUE"""),1.0)</f>
        <v>1</v>
      </c>
      <c r="BG68" s="3">
        <f>IFERROR(__xludf.DUMMYFUNCTION("""COMPUTED_VALUE"""),45815.0)</f>
        <v>45815</v>
      </c>
      <c r="BH68" s="1" t="str">
        <f>IFERROR(__xludf.DUMMYFUNCTION("""COMPUTED_VALUE"""),"07/06/2025")</f>
        <v>07/06/2025</v>
      </c>
      <c r="BI68" s="1">
        <f>IFERROR(__xludf.DUMMYFUNCTION("""COMPUTED_VALUE"""),0.0)</f>
        <v>0</v>
      </c>
      <c r="BJ68" s="1" t="str">
        <f>IFERROR(__xludf.DUMMYFUNCTION("""COMPUTED_VALUE"""),"NUEVO")</f>
        <v>NUEVO</v>
      </c>
    </row>
    <row r="69">
      <c r="A69" s="1">
        <f>IFERROR(__xludf.DUMMYFUNCTION("""COMPUTED_VALUE"""),68.0)</f>
        <v>68</v>
      </c>
      <c r="B69" s="1">
        <f>IFERROR(__xludf.DUMMYFUNCTION("""COMPUTED_VALUE"""),5179581.0)</f>
        <v>5179581</v>
      </c>
      <c r="C69" s="1" t="str">
        <f>IFERROR(__xludf.DUMMYFUNCTION("""COMPUTED_VALUE"""),"0000426904")</f>
        <v>0000426904</v>
      </c>
      <c r="D69" s="1" t="str">
        <f>IFERROR(__xludf.DUMMYFUNCTION("""COMPUTED_VALUE"""),"PIERO YERAY")</f>
        <v>PIERO YERAY</v>
      </c>
      <c r="E69" s="2" t="str">
        <f>IFERROR(__xludf.DUMMYFUNCTION("""COMPUTED_VALUE"""),"VELIZ MENDOZA")</f>
        <v>VELIZ MENDOZA</v>
      </c>
      <c r="F69" s="1">
        <f>IFERROR(__xludf.DUMMYFUNCTION("""COMPUTED_VALUE"""),6.1207319E7)</f>
        <v>61207319</v>
      </c>
      <c r="G69" s="1">
        <f>IFERROR(__xludf.DUMMYFUNCTION("""COMPUTED_VALUE"""),9.57043487E8)</f>
        <v>957043487</v>
      </c>
      <c r="H69" s="1" t="str">
        <f>IFERROR(__xludf.DUMMYFUNCTION("""COMPUTED_VALUE"""),"pieroyeray@gmail.com")</f>
        <v>pieroyeray@gmail.com</v>
      </c>
      <c r="I69" s="1" t="str">
        <f>IFERROR(__xludf.DUMMYFUNCTION("""COMPUTED_VALUE"""),"Comunicación Audiovisual y Cine")</f>
        <v>Comunicación Audiovisual y Cine</v>
      </c>
      <c r="J69" s="1" t="str">
        <f>IFERROR(__xludf.DUMMYFUNCTION("""COMPUTED_VALUE"""),"Comunicaciones")</f>
        <v>Comunicaciones</v>
      </c>
      <c r="K69" s="1" t="str">
        <f>IFERROR(__xludf.DUMMYFUNCTION("""COMPUTED_VALUE"""),"Antigua")</f>
        <v>Antigua</v>
      </c>
      <c r="L69" s="1" t="str">
        <f>IFERROR(__xludf.DUMMYFUNCTION("""COMPUTED_VALUE"""),"Admisión Ordinaria")</f>
        <v>Admisión Ordinaria</v>
      </c>
      <c r="M69" s="1" t="str">
        <f>IFERROR(__xludf.DUMMYFUNCTION("""COMPUTED_VALUE"""),"Semi-presencial")</f>
        <v>Semi-presencial</v>
      </c>
      <c r="N69" s="1" t="str">
        <f>IFERROR(__xludf.DUMMYFUNCTION("""COMPUTED_VALUE"""),"Diurno")</f>
        <v>Diurno</v>
      </c>
      <c r="O69" s="1" t="str">
        <f>IFERROR(__xludf.DUMMYFUNCTION("""COMPUTED_VALUE"""),"NUEVO")</f>
        <v>NUEVO</v>
      </c>
      <c r="P69" s="1" t="str">
        <f>IFERROR(__xludf.DUMMYFUNCTION("""COMPUTED_VALUE"""),"BECA")</f>
        <v>BECA</v>
      </c>
      <c r="Q69" s="1" t="str">
        <f>IFERROR(__xludf.DUMMYFUNCTION("""COMPUTED_VALUE"""),"BECA CARRERAS CORE")</f>
        <v>BECA CARRERAS CORE</v>
      </c>
      <c r="R69" s="1" t="str">
        <f>IFERROR(__xludf.DUMMYFUNCTION("""COMPUTED_VALUE"""),"NINGUNO")</f>
        <v>NINGUNO</v>
      </c>
      <c r="S69" s="1" t="str">
        <f>IFERROR(__xludf.DUMMYFUNCTION("""COMPUTED_VALUE"""),"RODRIGO")</f>
        <v>RODRIGO</v>
      </c>
      <c r="T69" s="3">
        <f>IFERROR(__xludf.DUMMYFUNCTION("""COMPUTED_VALUE"""),45803.0)</f>
        <v>45803</v>
      </c>
      <c r="U69" s="1" t="str">
        <f>IFERROR(__xludf.DUMMYFUNCTION("""COMPUTED_VALUE"""),"CARGO")</f>
        <v>CARGO</v>
      </c>
      <c r="V69" s="1" t="str">
        <f>IFERROR(__xludf.DUMMYFUNCTION("""COMPUTED_VALUE"""),"PAGO COMPLETO")</f>
        <v>PAGO COMPLETO</v>
      </c>
      <c r="W69" s="4">
        <f>IFERROR(__xludf.DUMMYFUNCTION("""COMPUTED_VALUE"""),0.0)</f>
        <v>0</v>
      </c>
      <c r="X69" s="1" t="str">
        <f>IFERROR(__xludf.DUMMYFUNCTION("""COMPUTED_VALUE"""),"-")</f>
        <v>-</v>
      </c>
      <c r="Y69" s="2">
        <f>IFERROR(__xludf.DUMMYFUNCTION("""COMPUTED_VALUE"""),45803.0)</f>
        <v>45803</v>
      </c>
      <c r="Z69" s="1" t="str">
        <f>IFERROR(__xludf.DUMMYFUNCTION("""COMPUTED_VALUE"""),"PAGO COMPLETO")</f>
        <v>PAGO COMPLETO</v>
      </c>
      <c r="AA69" s="1"/>
      <c r="AB69" s="1"/>
      <c r="AC69" s="4">
        <f>IFERROR(__xludf.DUMMYFUNCTION("""COMPUTED_VALUE"""),50.0)</f>
        <v>50</v>
      </c>
      <c r="AD69" s="4">
        <f>IFERROR(__xludf.DUMMYFUNCTION("""COMPUTED_VALUE"""),95.0)</f>
        <v>95</v>
      </c>
      <c r="AE69" s="4">
        <f>IFERROR(__xludf.DUMMYFUNCTION("""COMPUTED_VALUE"""),1250.0)</f>
        <v>1250</v>
      </c>
      <c r="AF69" s="4">
        <f>IFERROR(__xludf.DUMMYFUNCTION("""COMPUTED_VALUE"""),1050.0)</f>
        <v>1050</v>
      </c>
      <c r="AG69" s="1">
        <f>IFERROR(__xludf.DUMMYFUNCTION("""COMPUTED_VALUE"""),0.0)</f>
        <v>0</v>
      </c>
      <c r="AH69" s="1">
        <f>IFERROR(__xludf.DUMMYFUNCTION("""COMPUTED_VALUE"""),0.0)</f>
        <v>0</v>
      </c>
      <c r="AI69" s="1">
        <f>IFERROR(__xludf.DUMMYFUNCTION("""COMPUTED_VALUE"""),0.0)</f>
        <v>0</v>
      </c>
      <c r="AJ69" s="1">
        <f>IFERROR(__xludf.DUMMYFUNCTION("""COMPUTED_VALUE"""),449553.0)</f>
        <v>449553</v>
      </c>
      <c r="AK69" s="1" t="str">
        <f>IFERROR(__xludf.DUMMYFUNCTION("""COMPUTED_VALUE"""),"10 kms a 15 kms")</f>
        <v>10 kms a 15 kms</v>
      </c>
      <c r="AL69" s="1" t="str">
        <f>IFERROR(__xludf.DUMMYFUNCTION("""COMPUTED_VALUE"""),"06 551 a 800")</f>
        <v>06 551 a 800</v>
      </c>
      <c r="AM69" s="1" t="str">
        <f>IFERROR(__xludf.DUMMYFUNCTION("""COMPUTED_VALUE"""),"-")</f>
        <v>-</v>
      </c>
      <c r="AN69" s="1" t="str">
        <f>IFERROR(__xludf.DUMMYFUNCTION("""COMPUTED_VALUE""")," -")</f>
        <v> -</v>
      </c>
      <c r="AO69" s="1">
        <f>IFERROR(__xludf.DUMMYFUNCTION("""COMPUTED_VALUE"""),2024.0)</f>
        <v>2024</v>
      </c>
      <c r="AP69" s="3">
        <f>IFERROR(__xludf.DUMMYFUNCTION("""COMPUTED_VALUE"""),45778.0)</f>
        <v>45778</v>
      </c>
      <c r="AQ69" s="2">
        <f>IFERROR(__xludf.DUMMYFUNCTION("""COMPUTED_VALUE"""),45775.0)</f>
        <v>45775</v>
      </c>
      <c r="AR69" s="2">
        <f>IFERROR(__xludf.DUMMYFUNCTION("""COMPUTED_VALUE"""),45779.0)</f>
        <v>45779</v>
      </c>
      <c r="AS69" s="2">
        <f>IFERROR(__xludf.DUMMYFUNCTION("""COMPUTED_VALUE"""),45778.0)</f>
        <v>45778</v>
      </c>
      <c r="AT69" s="2">
        <f>IFERROR(__xludf.DUMMYFUNCTION("""COMPUTED_VALUE"""),45775.0)</f>
        <v>45775</v>
      </c>
      <c r="AU69" s="1">
        <f>IFERROR(__xludf.DUMMYFUNCTION("""COMPUTED_VALUE"""),24.0)</f>
        <v>24</v>
      </c>
      <c r="AV69" s="1" t="str">
        <f>IFERROR(__xludf.DUMMYFUNCTION("""COMPUTED_VALUE"""),"OUTBOUND")</f>
        <v>OUTBOUND</v>
      </c>
      <c r="AW69" s="1" t="str">
        <f>IFERROR(__xludf.DUMMYFUNCTION("""COMPUTED_VALUE"""),"OUTBOUND")</f>
        <v>OUTBOUND</v>
      </c>
      <c r="AX69" s="1" t="str">
        <f>IFERROR(__xludf.DUMMYFUNCTION("""COMPUTED_VALUE"""),"OUTBOUND")</f>
        <v>OUTBOUND</v>
      </c>
      <c r="AY69" s="1">
        <f>IFERROR(__xludf.DUMMYFUNCTION("""COMPUTED_VALUE"""),1.0)</f>
        <v>1</v>
      </c>
      <c r="AZ69" s="1" t="str">
        <f>IFERROR(__xludf.DUMMYFUNCTION("""COMPUTED_VALUE"""),"Fiorella Lanegra")</f>
        <v>Fiorella Lanegra</v>
      </c>
      <c r="BA69" s="5">
        <f>IFERROR(__xludf.DUMMYFUNCTION("""COMPUTED_VALUE"""),1.0)</f>
        <v>1</v>
      </c>
      <c r="BB69" s="6">
        <f>IFERROR(__xludf.DUMMYFUNCTION("""COMPUTED_VALUE"""),1050.0)</f>
        <v>1050</v>
      </c>
      <c r="BC69" s="1">
        <f>IFERROR(__xludf.DUMMYFUNCTION("""COMPUTED_VALUE"""),1.0)</f>
        <v>1</v>
      </c>
      <c r="BD69" s="1" t="str">
        <f>IFERROR(__xludf.DUMMYFUNCTION("""COMPUTED_VALUE"""),"Matemáticas")</f>
        <v>Matemáticas</v>
      </c>
      <c r="BE69" s="1">
        <f>IFERROR(__xludf.DUMMYFUNCTION("""COMPUTED_VALUE"""),1.0)</f>
        <v>1</v>
      </c>
      <c r="BF69" s="1">
        <f>IFERROR(__xludf.DUMMYFUNCTION("""COMPUTED_VALUE"""),0.0)</f>
        <v>0</v>
      </c>
      <c r="BG69" s="3">
        <f>IFERROR(__xludf.DUMMYFUNCTION("""COMPUTED_VALUE"""),45815.0)</f>
        <v>45815</v>
      </c>
      <c r="BH69" s="1" t="str">
        <f>IFERROR(__xludf.DUMMYFUNCTION("""COMPUTED_VALUE"""),"07/06/2025")</f>
        <v>07/06/2025</v>
      </c>
      <c r="BI69" s="1">
        <f>IFERROR(__xludf.DUMMYFUNCTION("""COMPUTED_VALUE"""),0.0)</f>
        <v>0</v>
      </c>
      <c r="BJ69" s="1" t="str">
        <f>IFERROR(__xludf.DUMMYFUNCTION("""COMPUTED_VALUE"""),"NUEVO")</f>
        <v>NUEVO</v>
      </c>
    </row>
    <row r="70">
      <c r="A70" s="1">
        <f>IFERROR(__xludf.DUMMYFUNCTION("""COMPUTED_VALUE"""),69.0)</f>
        <v>69</v>
      </c>
      <c r="B70" s="1">
        <f>IFERROR(__xludf.DUMMYFUNCTION("""COMPUTED_VALUE"""),1025852.0)</f>
        <v>1025852</v>
      </c>
      <c r="C70" s="1" t="str">
        <f>IFERROR(__xludf.DUMMYFUNCTION("""COMPUTED_VALUE"""),"0000427019")</f>
        <v>0000427019</v>
      </c>
      <c r="D70" s="1" t="str">
        <f>IFERROR(__xludf.DUMMYFUNCTION("""COMPUTED_VALUE"""),"GONZALO AARON ")</f>
        <v>GONZALO AARON </v>
      </c>
      <c r="E70" s="2" t="str">
        <f>IFERROR(__xludf.DUMMYFUNCTION("""COMPUTED_VALUE"""),"QUEVEDO MESIA")</f>
        <v>QUEVEDO MESIA</v>
      </c>
      <c r="F70" s="1">
        <f>IFERROR(__xludf.DUMMYFUNCTION("""COMPUTED_VALUE"""),7.3124994E7)</f>
        <v>73124994</v>
      </c>
      <c r="G70" s="1">
        <f>IFERROR(__xludf.DUMMYFUNCTION("""COMPUTED_VALUE"""),9.65918127E8)</f>
        <v>965918127</v>
      </c>
      <c r="H70" s="1" t="str">
        <f>IFERROR(__xludf.DUMMYFUNCTION("""COMPUTED_VALUE"""),"mesiagonzalo741@gmail.com")</f>
        <v>mesiagonzalo741@gmail.com</v>
      </c>
      <c r="I70" s="1" t="str">
        <f>IFERROR(__xludf.DUMMYFUNCTION("""COMPUTED_VALUE"""),"Diseño Gráfico Publicitario")</f>
        <v>Diseño Gráfico Publicitario</v>
      </c>
      <c r="J70" s="1" t="str">
        <f>IFERROR(__xludf.DUMMYFUNCTION("""COMPUTED_VALUE"""),"Diseño")</f>
        <v>Diseño</v>
      </c>
      <c r="K70" s="1" t="str">
        <f>IFERROR(__xludf.DUMMYFUNCTION("""COMPUTED_VALUE"""),"Antigua")</f>
        <v>Antigua</v>
      </c>
      <c r="L70" s="1" t="str">
        <f>IFERROR(__xludf.DUMMYFUNCTION("""COMPUTED_VALUE"""),"Admisión Extraordinaria (Traslados)")</f>
        <v>Admisión Extraordinaria (Traslados)</v>
      </c>
      <c r="M70" s="1" t="str">
        <f>IFERROR(__xludf.DUMMYFUNCTION("""COMPUTED_VALUE"""),"Semi-presencial")</f>
        <v>Semi-presencial</v>
      </c>
      <c r="N70" s="1" t="str">
        <f>IFERROR(__xludf.DUMMYFUNCTION("""COMPUTED_VALUE"""),"Diurno")</f>
        <v>Diurno</v>
      </c>
      <c r="O70" s="1" t="str">
        <f>IFERROR(__xludf.DUMMYFUNCTION("""COMPUTED_VALUE"""),"TRASLADO CON CONVA")</f>
        <v>TRASLADO CON CONVA</v>
      </c>
      <c r="P70" s="1" t="str">
        <f>IFERROR(__xludf.DUMMYFUNCTION("""COMPUTED_VALUE"""),"ESCALA REGULAR")</f>
        <v>ESCALA REGULAR</v>
      </c>
      <c r="Q70" s="1" t="str">
        <f>IFERROR(__xludf.DUMMYFUNCTION("""COMPUTED_VALUE"""),"NINGUNO")</f>
        <v>NINGUNO</v>
      </c>
      <c r="R70" s="1" t="str">
        <f>IFERROR(__xludf.DUMMYFUNCTION("""COMPUTED_VALUE"""),"NINGUNO")</f>
        <v>NINGUNO</v>
      </c>
      <c r="S70" s="1" t="str">
        <f>IFERROR(__xludf.DUMMYFUNCTION("""COMPUTED_VALUE"""),"FABIOLA")</f>
        <v>FABIOLA</v>
      </c>
      <c r="T70" s="3">
        <f>IFERROR(__xludf.DUMMYFUNCTION("""COMPUTED_VALUE"""),45804.0)</f>
        <v>45804</v>
      </c>
      <c r="U70" s="1" t="str">
        <f>IFERROR(__xludf.DUMMYFUNCTION("""COMPUTED_VALUE"""),"CARGO")</f>
        <v>CARGO</v>
      </c>
      <c r="V70" s="1" t="str">
        <f>IFERROR(__xludf.DUMMYFUNCTION("""COMPUTED_VALUE"""),"PAGO COMPLETO")</f>
        <v>PAGO COMPLETO</v>
      </c>
      <c r="W70" s="4">
        <f>IFERROR(__xludf.DUMMYFUNCTION("""COMPUTED_VALUE"""),0.0)</f>
        <v>0</v>
      </c>
      <c r="X70" s="1" t="str">
        <f>IFERROR(__xludf.DUMMYFUNCTION("""COMPUTED_VALUE"""),"-")</f>
        <v>-</v>
      </c>
      <c r="Y70" s="2">
        <f>IFERROR(__xludf.DUMMYFUNCTION("""COMPUTED_VALUE"""),45804.0)</f>
        <v>45804</v>
      </c>
      <c r="Z70" s="1" t="str">
        <f>IFERROR(__xludf.DUMMYFUNCTION("""COMPUTED_VALUE"""),"PAGO COMPLETO")</f>
        <v>PAGO COMPLETO</v>
      </c>
      <c r="AA70" s="1"/>
      <c r="AB70" s="1"/>
      <c r="AC70" s="4">
        <f>IFERROR(__xludf.DUMMYFUNCTION("""COMPUTED_VALUE"""),0.0)</f>
        <v>0</v>
      </c>
      <c r="AD70" s="4">
        <f>IFERROR(__xludf.DUMMYFUNCTION("""COMPUTED_VALUE"""),0.0)</f>
        <v>0</v>
      </c>
      <c r="AE70" s="4">
        <f>IFERROR(__xludf.DUMMYFUNCTION("""COMPUTED_VALUE"""),1100.0)</f>
        <v>1100</v>
      </c>
      <c r="AF70" s="4">
        <f>IFERROR(__xludf.DUMMYFUNCTION("""COMPUTED_VALUE"""),1100.0)</f>
        <v>1100</v>
      </c>
      <c r="AG70" s="1">
        <f>IFERROR(__xludf.DUMMYFUNCTION("""COMPUTED_VALUE"""),0.0)</f>
        <v>0</v>
      </c>
      <c r="AH70" s="1">
        <f>IFERROR(__xludf.DUMMYFUNCTION("""COMPUTED_VALUE"""),0.0)</f>
        <v>0</v>
      </c>
      <c r="AI70" s="1">
        <f>IFERROR(__xludf.DUMMYFUNCTION("""COMPUTED_VALUE"""),0.0)</f>
        <v>0</v>
      </c>
      <c r="AJ70" s="1">
        <f>IFERROR(__xludf.DUMMYFUNCTION("""COMPUTED_VALUE"""),1355478.0)</f>
        <v>1355478</v>
      </c>
      <c r="AK70" s="1" t="str">
        <f>IFERROR(__xludf.DUMMYFUNCTION("""COMPUTED_VALUE"""),"Menos de 5 kms")</f>
        <v>Menos de 5 kms</v>
      </c>
      <c r="AL70" s="1" t="str">
        <f>IFERROR(__xludf.DUMMYFUNCTION("""COMPUTED_VALUE"""),"06 551 a 800")</f>
        <v>06 551 a 800</v>
      </c>
      <c r="AM70" s="1" t="str">
        <f>IFERROR(__xludf.DUMMYFUNCTION("""COMPUTED_VALUE"""),"Universidad San Martin de Porres")</f>
        <v>Universidad San Martin de Porres</v>
      </c>
      <c r="AN70" s="1" t="str">
        <f>IFERROR(__xludf.DUMMYFUNCTION("""COMPUTED_VALUE""")," ")</f>
        <v> </v>
      </c>
      <c r="AO70" s="1">
        <f>IFERROR(__xludf.DUMMYFUNCTION("""COMPUTED_VALUE"""),2019.0)</f>
        <v>2019</v>
      </c>
      <c r="AP70" s="3">
        <f>IFERROR(__xludf.DUMMYFUNCTION("""COMPUTED_VALUE"""),45778.0)</f>
        <v>45778</v>
      </c>
      <c r="AQ70" s="2">
        <f>IFERROR(__xludf.DUMMYFUNCTION("""COMPUTED_VALUE"""),45775.0)</f>
        <v>45775</v>
      </c>
      <c r="AR70" s="2">
        <f>IFERROR(__xludf.DUMMYFUNCTION("""COMPUTED_VALUE"""),45803.0)</f>
        <v>45803</v>
      </c>
      <c r="AS70" s="2">
        <f>IFERROR(__xludf.DUMMYFUNCTION("""COMPUTED_VALUE"""),45778.0)</f>
        <v>45778</v>
      </c>
      <c r="AT70" s="2">
        <f>IFERROR(__xludf.DUMMYFUNCTION("""COMPUTED_VALUE"""),45775.0)</f>
        <v>45775</v>
      </c>
      <c r="AU70" s="1">
        <f>IFERROR(__xludf.DUMMYFUNCTION("""COMPUTED_VALUE"""),1.0)</f>
        <v>1</v>
      </c>
      <c r="AV70" s="1" t="str">
        <f>IFERROR(__xludf.DUMMYFUNCTION("""COMPUTED_VALUE"""),"TRADICIONAL")</f>
        <v>TRADICIONAL</v>
      </c>
      <c r="AW70" s="1" t="str">
        <f>IFERROR(__xludf.DUMMYFUNCTION("""COMPUTED_VALUE"""),"INBOUND")</f>
        <v>INBOUND</v>
      </c>
      <c r="AX70" s="1" t="str">
        <f>IFERROR(__xludf.DUMMYFUNCTION("""COMPUTED_VALUE"""),"INBOUND")</f>
        <v>INBOUND</v>
      </c>
      <c r="AY70" s="1">
        <f>IFERROR(__xludf.DUMMYFUNCTION("""COMPUTED_VALUE"""),1.0)</f>
        <v>1</v>
      </c>
      <c r="AZ70" s="1" t="str">
        <f>IFERROR(__xludf.DUMMYFUNCTION("""COMPUTED_VALUE"""),"Fiorella Lanegra")</f>
        <v>Fiorella Lanegra</v>
      </c>
      <c r="BA70" s="5">
        <f>IFERROR(__xludf.DUMMYFUNCTION("""COMPUTED_VALUE"""),1.0)</f>
        <v>1</v>
      </c>
      <c r="BB70" s="6">
        <f>IFERROR(__xludf.DUMMYFUNCTION("""COMPUTED_VALUE"""),1100.0)</f>
        <v>1100</v>
      </c>
      <c r="BC70" s="1"/>
      <c r="BD70" s="1" t="str">
        <f>IFERROR(__xludf.DUMMYFUNCTION("""COMPUTED_VALUE""")," -")</f>
        <v> -</v>
      </c>
      <c r="BE70" s="1">
        <f>IFERROR(__xludf.DUMMYFUNCTION("""COMPUTED_VALUE"""),1.0)</f>
        <v>1</v>
      </c>
      <c r="BF70" s="1">
        <f>IFERROR(__xludf.DUMMYFUNCTION("""COMPUTED_VALUE"""),0.0)</f>
        <v>0</v>
      </c>
      <c r="BG70" s="1"/>
      <c r="BH70" s="1" t="str">
        <f>IFERROR(__xludf.DUMMYFUNCTION("""COMPUTED_VALUE"""),"No aplica")</f>
        <v>No aplica</v>
      </c>
      <c r="BI70" s="1">
        <f>IFERROR(__xludf.DUMMYFUNCTION("""COMPUTED_VALUE"""),1.0)</f>
        <v>1</v>
      </c>
      <c r="BJ70" s="1" t="str">
        <f>IFERROR(__xludf.DUMMYFUNCTION("""COMPUTED_VALUE"""),"TRASLADO")</f>
        <v>TRASLADO</v>
      </c>
    </row>
    <row r="71">
      <c r="A71" s="1">
        <f>IFERROR(__xludf.DUMMYFUNCTION("""COMPUTED_VALUE"""),70.0)</f>
        <v>70</v>
      </c>
      <c r="B71" s="1">
        <f>IFERROR(__xludf.DUMMYFUNCTION("""COMPUTED_VALUE"""),671687.0)</f>
        <v>671687</v>
      </c>
      <c r="C71" s="1" t="str">
        <f>IFERROR(__xludf.DUMMYFUNCTION("""COMPUTED_VALUE"""),"2016004992")</f>
        <v>2016004992</v>
      </c>
      <c r="D71" s="1" t="str">
        <f>IFERROR(__xludf.DUMMYFUNCTION("""COMPUTED_VALUE"""),"LUIS ANTONIO ")</f>
        <v>LUIS ANTONIO </v>
      </c>
      <c r="E71" s="2" t="str">
        <f>IFERROR(__xludf.DUMMYFUNCTION("""COMPUTED_VALUE"""),"SAUÑE LUDEÑA")</f>
        <v>SAUÑE LUDEÑA</v>
      </c>
      <c r="F71" s="1">
        <f>IFERROR(__xludf.DUMMYFUNCTION("""COMPUTED_VALUE"""),7.3796776E7)</f>
        <v>73796776</v>
      </c>
      <c r="G71" s="1">
        <f>IFERROR(__xludf.DUMMYFUNCTION("""COMPUTED_VALUE"""),9.22568973E8)</f>
        <v>922568973</v>
      </c>
      <c r="H71" s="1" t="str">
        <f>IFERROR(__xludf.DUMMYFUNCTION("""COMPUTED_VALUE"""),"luis.saune.ludena@gmail.com")</f>
        <v>luis.saune.ludena@gmail.com</v>
      </c>
      <c r="I71" s="1" t="str">
        <f>IFERROR(__xludf.DUMMYFUNCTION("""COMPUTED_VALUE"""),"Arquitectura")</f>
        <v>Arquitectura</v>
      </c>
      <c r="J71" s="1" t="str">
        <f>IFERROR(__xludf.DUMMYFUNCTION("""COMPUTED_VALUE"""),"Arquitecturas")</f>
        <v>Arquitecturas</v>
      </c>
      <c r="K71" s="1" t="str">
        <f>IFERROR(__xludf.DUMMYFUNCTION("""COMPUTED_VALUE"""),"Antigua")</f>
        <v>Antigua</v>
      </c>
      <c r="L71" s="1" t="str">
        <f>IFERROR(__xludf.DUMMYFUNCTION("""COMPUTED_VALUE"""),"Admisión Extraordinaria (Traslados)")</f>
        <v>Admisión Extraordinaria (Traslados)</v>
      </c>
      <c r="M71" s="1" t="str">
        <f>IFERROR(__xludf.DUMMYFUNCTION("""COMPUTED_VALUE"""),"Semi-presencial")</f>
        <v>Semi-presencial</v>
      </c>
      <c r="N71" s="1" t="str">
        <f>IFERROR(__xludf.DUMMYFUNCTION("""COMPUTED_VALUE"""),"Diurno")</f>
        <v>Diurno</v>
      </c>
      <c r="O71" s="1" t="str">
        <f>IFERROR(__xludf.DUMMYFUNCTION("""COMPUTED_VALUE"""),"TRASLADO CON CONVA")</f>
        <v>TRASLADO CON CONVA</v>
      </c>
      <c r="P71" s="1" t="str">
        <f>IFERROR(__xludf.DUMMYFUNCTION("""COMPUTED_VALUE"""),"ESCALA REGULAR")</f>
        <v>ESCALA REGULAR</v>
      </c>
      <c r="Q71" s="1" t="str">
        <f>IFERROR(__xludf.DUMMYFUNCTION("""COMPUTED_VALUE"""),"NINGUNO")</f>
        <v>NINGUNO</v>
      </c>
      <c r="R71" s="1" t="str">
        <f>IFERROR(__xludf.DUMMYFUNCTION("""COMPUTED_VALUE"""),"NINGUNO")</f>
        <v>NINGUNO</v>
      </c>
      <c r="S71" s="1" t="str">
        <f>IFERROR(__xludf.DUMMYFUNCTION("""COMPUTED_VALUE"""),"FABIOLA")</f>
        <v>FABIOLA</v>
      </c>
      <c r="T71" s="3">
        <f>IFERROR(__xludf.DUMMYFUNCTION("""COMPUTED_VALUE"""),45804.0)</f>
        <v>45804</v>
      </c>
      <c r="U71" s="1" t="str">
        <f>IFERROR(__xludf.DUMMYFUNCTION("""COMPUTED_VALUE"""),"Pago Link")</f>
        <v>Pago Link</v>
      </c>
      <c r="V71" s="1" t="str">
        <f>IFERROR(__xludf.DUMMYFUNCTION("""COMPUTED_VALUE"""),"PAGO FRACCIONADO")</f>
        <v>PAGO FRACCIONADO</v>
      </c>
      <c r="W71" s="4">
        <f>IFERROR(__xludf.DUMMYFUNCTION("""COMPUTED_VALUE"""),0.0)</f>
        <v>0</v>
      </c>
      <c r="X71" s="1" t="str">
        <f>IFERROR(__xludf.DUMMYFUNCTION("""COMPUTED_VALUE"""),"31/05/2025")</f>
        <v>31/05/2025</v>
      </c>
      <c r="Y71" s="2">
        <f>IFERROR(__xludf.DUMMYFUNCTION("""COMPUTED_VALUE"""),45807.0)</f>
        <v>45807</v>
      </c>
      <c r="Z71" s="1" t="str">
        <f>IFERROR(__xludf.DUMMYFUNCTION("""COMPUTED_VALUE"""),"PAGO COMPLETO")</f>
        <v>PAGO COMPLETO</v>
      </c>
      <c r="AA71" s="1"/>
      <c r="AB71" s="1"/>
      <c r="AC71" s="4">
        <f>IFERROR(__xludf.DUMMYFUNCTION("""COMPUTED_VALUE"""),0.0)</f>
        <v>0</v>
      </c>
      <c r="AD71" s="4">
        <f>IFERROR(__xludf.DUMMYFUNCTION("""COMPUTED_VALUE"""),0.0)</f>
        <v>0</v>
      </c>
      <c r="AE71" s="4">
        <f>IFERROR(__xludf.DUMMYFUNCTION("""COMPUTED_VALUE"""),1000.0)</f>
        <v>1000</v>
      </c>
      <c r="AF71" s="4">
        <f>IFERROR(__xludf.DUMMYFUNCTION("""COMPUTED_VALUE"""),1000.0)</f>
        <v>1000</v>
      </c>
      <c r="AG71" s="1">
        <f>IFERROR(__xludf.DUMMYFUNCTION("""COMPUTED_VALUE"""),0.0)</f>
        <v>0</v>
      </c>
      <c r="AH71" s="1">
        <f>IFERROR(__xludf.DUMMYFUNCTION("""COMPUTED_VALUE"""),0.0)</f>
        <v>0</v>
      </c>
      <c r="AI71" s="1">
        <f>IFERROR(__xludf.DUMMYFUNCTION("""COMPUTED_VALUE"""),0.0)</f>
        <v>0</v>
      </c>
      <c r="AJ71" s="1">
        <f>IFERROR(__xludf.DUMMYFUNCTION("""COMPUTED_VALUE"""),774521.0)</f>
        <v>774521</v>
      </c>
      <c r="AK71" s="1" t="str">
        <f>IFERROR(__xludf.DUMMYFUNCTION("""COMPUTED_VALUE"""),"10 kms a 15 kms")</f>
        <v>10 kms a 15 kms</v>
      </c>
      <c r="AL71" s="1" t="str">
        <f>IFERROR(__xludf.DUMMYFUNCTION("""COMPUTED_VALUE"""),"05 301 a 550")</f>
        <v>05 301 a 550</v>
      </c>
      <c r="AM71" s="1" t="str">
        <f>IFERROR(__xludf.DUMMYFUNCTION("""COMPUTED_VALUE"""),"Instituto de Educación Superior Tecnológico Privado Toulouse Lautrec")</f>
        <v>Instituto de Educación Superior Tecnológico Privado Toulouse Lautrec</v>
      </c>
      <c r="AN71" s="1" t="str">
        <f>IFERROR(__xludf.DUMMYFUNCTION("""COMPUTED_VALUE""")," ")</f>
        <v> </v>
      </c>
      <c r="AO71" s="1">
        <f>IFERROR(__xludf.DUMMYFUNCTION("""COMPUTED_VALUE"""),2022.0)</f>
        <v>2022</v>
      </c>
      <c r="AP71" s="3">
        <f>IFERROR(__xludf.DUMMYFUNCTION("""COMPUTED_VALUE"""),45778.0)</f>
        <v>45778</v>
      </c>
      <c r="AQ71" s="2">
        <f>IFERROR(__xludf.DUMMYFUNCTION("""COMPUTED_VALUE"""),45775.0)</f>
        <v>45775</v>
      </c>
      <c r="AR71" s="2">
        <f>IFERROR(__xludf.DUMMYFUNCTION("""COMPUTED_VALUE"""),45795.0)</f>
        <v>45795</v>
      </c>
      <c r="AS71" s="2">
        <f>IFERROR(__xludf.DUMMYFUNCTION("""COMPUTED_VALUE"""),45778.0)</f>
        <v>45778</v>
      </c>
      <c r="AT71" s="2">
        <f>IFERROR(__xludf.DUMMYFUNCTION("""COMPUTED_VALUE"""),45775.0)</f>
        <v>45775</v>
      </c>
      <c r="AU71" s="1">
        <f>IFERROR(__xludf.DUMMYFUNCTION("""COMPUTED_VALUE"""),12.0)</f>
        <v>12</v>
      </c>
      <c r="AV71" s="1" t="str">
        <f>IFERROR(__xludf.DUMMYFUNCTION("""COMPUTED_VALUE"""),"DIGITAL")</f>
        <v>DIGITAL</v>
      </c>
      <c r="AW71" s="1" t="str">
        <f>IFERROR(__xludf.DUMMYFUNCTION("""COMPUTED_VALUE"""),"BIDIRECCIONAL")</f>
        <v>BIDIRECCIONAL</v>
      </c>
      <c r="AX71" s="1" t="str">
        <f>IFERROR(__xludf.DUMMYFUNCTION("""COMPUTED_VALUE"""),"ORGANICO")</f>
        <v>ORGANICO</v>
      </c>
      <c r="AY71" s="1">
        <f>IFERROR(__xludf.DUMMYFUNCTION("""COMPUTED_VALUE"""),1.0)</f>
        <v>1</v>
      </c>
      <c r="AZ71" s="1" t="str">
        <f>IFERROR(__xludf.DUMMYFUNCTION("""COMPUTED_VALUE"""),"Juan Manuel Rodríguez")</f>
        <v>Juan Manuel Rodríguez</v>
      </c>
      <c r="BA71" s="5">
        <f>IFERROR(__xludf.DUMMYFUNCTION("""COMPUTED_VALUE"""),1.0)</f>
        <v>1</v>
      </c>
      <c r="BB71" s="6">
        <f>IFERROR(__xludf.DUMMYFUNCTION("""COMPUTED_VALUE"""),1000.0)</f>
        <v>1000</v>
      </c>
      <c r="BC71" s="1"/>
      <c r="BD71" s="1" t="str">
        <f>IFERROR(__xludf.DUMMYFUNCTION("""COMPUTED_VALUE""")," -")</f>
        <v> -</v>
      </c>
      <c r="BE71" s="1">
        <f>IFERROR(__xludf.DUMMYFUNCTION("""COMPUTED_VALUE"""),1.0)</f>
        <v>1</v>
      </c>
      <c r="BF71" s="1">
        <f>IFERROR(__xludf.DUMMYFUNCTION("""COMPUTED_VALUE"""),0.0)</f>
        <v>0</v>
      </c>
      <c r="BG71" s="1"/>
      <c r="BH71" s="1" t="str">
        <f>IFERROR(__xludf.DUMMYFUNCTION("""COMPUTED_VALUE"""),"No aplica")</f>
        <v>No aplica</v>
      </c>
      <c r="BI71" s="1">
        <f>IFERROR(__xludf.DUMMYFUNCTION("""COMPUTED_VALUE"""),0.0)</f>
        <v>0</v>
      </c>
      <c r="BJ71" s="1" t="str">
        <f>IFERROR(__xludf.DUMMYFUNCTION("""COMPUTED_VALUE"""),"TRASLADO")</f>
        <v>TRASLADO</v>
      </c>
    </row>
    <row r="72">
      <c r="A72" s="1">
        <f>IFERROR(__xludf.DUMMYFUNCTION("""COMPUTED_VALUE"""),71.0)</f>
        <v>71</v>
      </c>
      <c r="B72" s="1">
        <f>IFERROR(__xludf.DUMMYFUNCTION("""COMPUTED_VALUE"""),1578825.0)</f>
        <v>1578825</v>
      </c>
      <c r="C72" s="1" t="str">
        <f>IFERROR(__xludf.DUMMYFUNCTION("""COMPUTED_VALUE"""),"0000025424")</f>
        <v>0000025424</v>
      </c>
      <c r="D72" s="1" t="str">
        <f>IFERROR(__xludf.DUMMYFUNCTION("""COMPUTED_VALUE"""),"ALVARO RUBEN RAUL ")</f>
        <v>ALVARO RUBEN RAUL </v>
      </c>
      <c r="E72" s="2" t="str">
        <f>IFERROR(__xludf.DUMMYFUNCTION("""COMPUTED_VALUE"""),"PEREZ RAMOS")</f>
        <v>PEREZ RAMOS</v>
      </c>
      <c r="F72" s="1">
        <f>IFERROR(__xludf.DUMMYFUNCTION("""COMPUTED_VALUE"""),7.3367148E7)</f>
        <v>73367148</v>
      </c>
      <c r="G72" s="1">
        <f>IFERROR(__xludf.DUMMYFUNCTION("""COMPUTED_VALUE"""),9.01689104E8)</f>
        <v>901689104</v>
      </c>
      <c r="H72" s="1" t="str">
        <f>IFERROR(__xludf.DUMMYFUNCTION("""COMPUTED_VALUE"""),"Alvaroperezramos2004@gmail.com")</f>
        <v>Alvaroperezramos2004@gmail.com</v>
      </c>
      <c r="I72" s="1" t="str">
        <f>IFERROR(__xludf.DUMMYFUNCTION("""COMPUTED_VALUE"""),"Comunicación Audiovisual y Cine")</f>
        <v>Comunicación Audiovisual y Cine</v>
      </c>
      <c r="J72" s="1" t="str">
        <f>IFERROR(__xludf.DUMMYFUNCTION("""COMPUTED_VALUE"""),"Comunicaciones")</f>
        <v>Comunicaciones</v>
      </c>
      <c r="K72" s="1" t="str">
        <f>IFERROR(__xludf.DUMMYFUNCTION("""COMPUTED_VALUE"""),"Antigua")</f>
        <v>Antigua</v>
      </c>
      <c r="L72" s="1" t="str">
        <f>IFERROR(__xludf.DUMMYFUNCTION("""COMPUTED_VALUE"""),"Admisión Extraordinaria (Traslados)")</f>
        <v>Admisión Extraordinaria (Traslados)</v>
      </c>
      <c r="M72" s="1" t="str">
        <f>IFERROR(__xludf.DUMMYFUNCTION("""COMPUTED_VALUE"""),"Semi-presencial")</f>
        <v>Semi-presencial</v>
      </c>
      <c r="N72" s="1" t="str">
        <f>IFERROR(__xludf.DUMMYFUNCTION("""COMPUTED_VALUE"""),"Diurno")</f>
        <v>Diurno</v>
      </c>
      <c r="O72" s="1" t="str">
        <f>IFERROR(__xludf.DUMMYFUNCTION("""COMPUTED_VALUE"""),"TRASLADO SIN CONVA")</f>
        <v>TRASLADO SIN CONVA</v>
      </c>
      <c r="P72" s="1" t="str">
        <f>IFERROR(__xludf.DUMMYFUNCTION("""COMPUTED_VALUE"""),"RECA")</f>
        <v>RECA</v>
      </c>
      <c r="Q72" s="1" t="str">
        <f>IFERROR(__xludf.DUMMYFUNCTION("""COMPUTED_VALUE"""),"NINGUNO")</f>
        <v>NINGUNO</v>
      </c>
      <c r="R72" s="1" t="str">
        <f>IFERROR(__xludf.DUMMYFUNCTION("""COMPUTED_VALUE"""),"NINGUNO")</f>
        <v>NINGUNO</v>
      </c>
      <c r="S72" s="1" t="str">
        <f>IFERROR(__xludf.DUMMYFUNCTION("""COMPUTED_VALUE"""),"RODRIGO")</f>
        <v>RODRIGO</v>
      </c>
      <c r="T72" s="3">
        <f>IFERROR(__xludf.DUMMYFUNCTION("""COMPUTED_VALUE"""),45805.0)</f>
        <v>45805</v>
      </c>
      <c r="U72" s="1" t="str">
        <f>IFERROR(__xludf.DUMMYFUNCTION("""COMPUTED_VALUE"""),"CARGO")</f>
        <v>CARGO</v>
      </c>
      <c r="V72" s="1" t="str">
        <f>IFERROR(__xludf.DUMMYFUNCTION("""COMPUTED_VALUE"""),"PAGO COMPLETO")</f>
        <v>PAGO COMPLETO</v>
      </c>
      <c r="W72" s="4">
        <f>IFERROR(__xludf.DUMMYFUNCTION("""COMPUTED_VALUE"""),0.0)</f>
        <v>0</v>
      </c>
      <c r="X72" s="1" t="str">
        <f>IFERROR(__xludf.DUMMYFUNCTION("""COMPUTED_VALUE"""),"-")</f>
        <v>-</v>
      </c>
      <c r="Y72" s="2">
        <f>IFERROR(__xludf.DUMMYFUNCTION("""COMPUTED_VALUE"""),45805.0)</f>
        <v>45805</v>
      </c>
      <c r="Z72" s="1" t="str">
        <f>IFERROR(__xludf.DUMMYFUNCTION("""COMPUTED_VALUE"""),"PAGO COMPLETO")</f>
        <v>PAGO COMPLETO</v>
      </c>
      <c r="AA72" s="1"/>
      <c r="AB72" s="1"/>
      <c r="AC72" s="4">
        <f>IFERROR(__xludf.DUMMYFUNCTION("""COMPUTED_VALUE"""),0.0)</f>
        <v>0</v>
      </c>
      <c r="AD72" s="4">
        <f>IFERROR(__xludf.DUMMYFUNCTION("""COMPUTED_VALUE"""),0.0)</f>
        <v>0</v>
      </c>
      <c r="AE72" s="4">
        <f>IFERROR(__xludf.DUMMYFUNCTION("""COMPUTED_VALUE"""),1050.0)</f>
        <v>1050</v>
      </c>
      <c r="AF72" s="4">
        <f>IFERROR(__xludf.DUMMYFUNCTION("""COMPUTED_VALUE"""),1050.0)</f>
        <v>1050</v>
      </c>
      <c r="AG72" s="1">
        <f>IFERROR(__xludf.DUMMYFUNCTION("""COMPUTED_VALUE"""),0.0)</f>
        <v>0</v>
      </c>
      <c r="AH72" s="1">
        <f>IFERROR(__xludf.DUMMYFUNCTION("""COMPUTED_VALUE"""),0.0)</f>
        <v>0</v>
      </c>
      <c r="AI72" s="1">
        <f>IFERROR(__xludf.DUMMYFUNCTION("""COMPUTED_VALUE"""),0.0)</f>
        <v>0</v>
      </c>
      <c r="AJ72" s="1">
        <f>IFERROR(__xludf.DUMMYFUNCTION("""COMPUTED_VALUE"""),773879.0)</f>
        <v>773879</v>
      </c>
      <c r="AK72" s="1" t="str">
        <f>IFERROR(__xludf.DUMMYFUNCTION("""COMPUTED_VALUE"""),"Más de 15 kms")</f>
        <v>Más de 15 kms</v>
      </c>
      <c r="AL72" s="1" t="str">
        <f>IFERROR(__xludf.DUMMYFUNCTION("""COMPUTED_VALUE"""),"04 200 a 300")</f>
        <v>04 200 a 300</v>
      </c>
      <c r="AM72" s="1"/>
      <c r="AN72" s="1" t="str">
        <f>IFERROR(__xludf.DUMMYFUNCTION("""COMPUTED_VALUE""")," ")</f>
        <v> </v>
      </c>
      <c r="AO72" s="1">
        <f>IFERROR(__xludf.DUMMYFUNCTION("""COMPUTED_VALUE"""),2022.0)</f>
        <v>2022</v>
      </c>
      <c r="AP72" s="3">
        <f>IFERROR(__xludf.DUMMYFUNCTION("""COMPUTED_VALUE"""),45778.0)</f>
        <v>45778</v>
      </c>
      <c r="AQ72" s="2">
        <f>IFERROR(__xludf.DUMMYFUNCTION("""COMPUTED_VALUE"""),45775.0)</f>
        <v>45775</v>
      </c>
      <c r="AR72" s="2">
        <f>IFERROR(__xludf.DUMMYFUNCTION("""COMPUTED_VALUE"""),45766.0)</f>
        <v>45766</v>
      </c>
      <c r="AS72" s="2">
        <f>IFERROR(__xludf.DUMMYFUNCTION("""COMPUTED_VALUE"""),45748.0)</f>
        <v>45748</v>
      </c>
      <c r="AT72" s="2">
        <f>IFERROR(__xludf.DUMMYFUNCTION("""COMPUTED_VALUE"""),45747.0)</f>
        <v>45747</v>
      </c>
      <c r="AU72" s="1">
        <f>IFERROR(__xludf.DUMMYFUNCTION("""COMPUTED_VALUE"""),39.0)</f>
        <v>39</v>
      </c>
      <c r="AV72" s="1" t="str">
        <f>IFERROR(__xludf.DUMMYFUNCTION("""COMPUTED_VALUE"""),"DIGITAL")</f>
        <v>DIGITAL</v>
      </c>
      <c r="AW72" s="1" t="str">
        <f>IFERROR(__xludf.DUMMYFUNCTION("""COMPUTED_VALUE"""),"BIDIRECCIONAL")</f>
        <v>BIDIRECCIONAL</v>
      </c>
      <c r="AX72" s="1" t="str">
        <f>IFERROR(__xludf.DUMMYFUNCTION("""COMPUTED_VALUE"""),"SEARCH MARCA")</f>
        <v>SEARCH MARCA</v>
      </c>
      <c r="AY72" s="1">
        <f>IFERROR(__xludf.DUMMYFUNCTION("""COMPUTED_VALUE"""),1.0)</f>
        <v>1</v>
      </c>
      <c r="AZ72" s="1" t="str">
        <f>IFERROR(__xludf.DUMMYFUNCTION("""COMPUTED_VALUE"""),"Andrea Araujo Antara")</f>
        <v>Andrea Araujo Antara</v>
      </c>
      <c r="BA72" s="5">
        <f>IFERROR(__xludf.DUMMYFUNCTION("""COMPUTED_VALUE"""),1.0)</f>
        <v>1</v>
      </c>
      <c r="BB72" s="6">
        <f>IFERROR(__xludf.DUMMYFUNCTION("""COMPUTED_VALUE"""),1050.0)</f>
        <v>1050</v>
      </c>
      <c r="BC72" s="1">
        <f>IFERROR(__xludf.DUMMYFUNCTION("""COMPUTED_VALUE"""),1.0)</f>
        <v>1</v>
      </c>
      <c r="BD72" s="1" t="str">
        <f>IFERROR(__xludf.DUMMYFUNCTION("""COMPUTED_VALUE"""),"Redacción")</f>
        <v>Redacción</v>
      </c>
      <c r="BE72" s="1">
        <f>IFERROR(__xludf.DUMMYFUNCTION("""COMPUTED_VALUE"""),1.0)</f>
        <v>1</v>
      </c>
      <c r="BF72" s="1">
        <f>IFERROR(__xludf.DUMMYFUNCTION("""COMPUTED_VALUE"""),1.0)</f>
        <v>1</v>
      </c>
      <c r="BG72" s="3">
        <f>IFERROR(__xludf.DUMMYFUNCTION("""COMPUTED_VALUE"""),45819.0)</f>
        <v>45819</v>
      </c>
      <c r="BH72" s="1" t="str">
        <f>IFERROR(__xludf.DUMMYFUNCTION("""COMPUTED_VALUE"""),"11/06/2025")</f>
        <v>11/06/2025</v>
      </c>
      <c r="BI72" s="1">
        <f>IFERROR(__xludf.DUMMYFUNCTION("""COMPUTED_VALUE"""),0.0)</f>
        <v>0</v>
      </c>
      <c r="BJ72" s="1" t="str">
        <f>IFERROR(__xludf.DUMMYFUNCTION("""COMPUTED_VALUE"""),"NUEVO")</f>
        <v>NUEVO</v>
      </c>
    </row>
    <row r="73">
      <c r="A73" s="1">
        <f>IFERROR(__xludf.DUMMYFUNCTION("""COMPUTED_VALUE"""),72.0)</f>
        <v>72</v>
      </c>
      <c r="B73" s="1">
        <f>IFERROR(__xludf.DUMMYFUNCTION("""COMPUTED_VALUE"""),4991146.0)</f>
        <v>4991146</v>
      </c>
      <c r="C73" s="1" t="str">
        <f>IFERROR(__xludf.DUMMYFUNCTION("""COMPUTED_VALUE"""),"0000427170")</f>
        <v>0000427170</v>
      </c>
      <c r="D73" s="1" t="str">
        <f>IFERROR(__xludf.DUMMYFUNCTION("""COMPUTED_VALUE"""),"CRISTIAN MANUEL")</f>
        <v>CRISTIAN MANUEL</v>
      </c>
      <c r="E73" s="2" t="str">
        <f>IFERROR(__xludf.DUMMYFUNCTION("""COMPUTED_VALUE"""),"RODRIGUEZ LARREA")</f>
        <v>RODRIGUEZ LARREA</v>
      </c>
      <c r="F73" s="1">
        <f>IFERROR(__xludf.DUMMYFUNCTION("""COMPUTED_VALUE"""),6.0860131E7)</f>
        <v>60860131</v>
      </c>
      <c r="G73" s="1">
        <f>IFERROR(__xludf.DUMMYFUNCTION("""COMPUTED_VALUE"""),9.99905918E8)</f>
        <v>999905918</v>
      </c>
      <c r="H73" s="1" t="str">
        <f>IFERROR(__xludf.DUMMYFUNCTION("""COMPUTED_VALUE"""),"cristian126.2.03@gmail.com")</f>
        <v>cristian126.2.03@gmail.com</v>
      </c>
      <c r="I73" s="1" t="str">
        <f>IFERROR(__xludf.DUMMYFUNCTION("""COMPUTED_VALUE"""),"Comunicación Audiovisual y Cine")</f>
        <v>Comunicación Audiovisual y Cine</v>
      </c>
      <c r="J73" s="1" t="str">
        <f>IFERROR(__xludf.DUMMYFUNCTION("""COMPUTED_VALUE"""),"Comunicaciones")</f>
        <v>Comunicaciones</v>
      </c>
      <c r="K73" s="1" t="str">
        <f>IFERROR(__xludf.DUMMYFUNCTION("""COMPUTED_VALUE"""),"Antigua")</f>
        <v>Antigua</v>
      </c>
      <c r="L73" s="1" t="str">
        <f>IFERROR(__xludf.DUMMYFUNCTION("""COMPUTED_VALUE"""),"Admisión Extraordinaria (Traslados)")</f>
        <v>Admisión Extraordinaria (Traslados)</v>
      </c>
      <c r="M73" s="1" t="str">
        <f>IFERROR(__xludf.DUMMYFUNCTION("""COMPUTED_VALUE"""),"Semi-presencial")</f>
        <v>Semi-presencial</v>
      </c>
      <c r="N73" s="1" t="str">
        <f>IFERROR(__xludf.DUMMYFUNCTION("""COMPUTED_VALUE"""),"Diurno")</f>
        <v>Diurno</v>
      </c>
      <c r="O73" s="1" t="str">
        <f>IFERROR(__xludf.DUMMYFUNCTION("""COMPUTED_VALUE"""),"TRASLADO SIN CONVA")</f>
        <v>TRASLADO SIN CONVA</v>
      </c>
      <c r="P73" s="1" t="str">
        <f>IFERROR(__xludf.DUMMYFUNCTION("""COMPUTED_VALUE"""),"RECA")</f>
        <v>RECA</v>
      </c>
      <c r="Q73" s="1" t="str">
        <f>IFERROR(__xludf.DUMMYFUNCTION("""COMPUTED_VALUE"""),"RECATEGORIZACIÓN")</f>
        <v>RECATEGORIZACIÓN</v>
      </c>
      <c r="R73" s="1" t="str">
        <f>IFERROR(__xludf.DUMMYFUNCTION("""COMPUTED_VALUE"""),"NINGUNO")</f>
        <v>NINGUNO</v>
      </c>
      <c r="S73" s="1" t="str">
        <f>IFERROR(__xludf.DUMMYFUNCTION("""COMPUTED_VALUE"""),"FABIOLA")</f>
        <v>FABIOLA</v>
      </c>
      <c r="T73" s="3">
        <f>IFERROR(__xludf.DUMMYFUNCTION("""COMPUTED_VALUE"""),45805.0)</f>
        <v>45805</v>
      </c>
      <c r="U73" s="1" t="str">
        <f>IFERROR(__xludf.DUMMYFUNCTION("""COMPUTED_VALUE"""),"CARGO")</f>
        <v>CARGO</v>
      </c>
      <c r="V73" s="1" t="str">
        <f>IFERROR(__xludf.DUMMYFUNCTION("""COMPUTED_VALUE"""),"PAGO COMPLETO")</f>
        <v>PAGO COMPLETO</v>
      </c>
      <c r="W73" s="4">
        <f>IFERROR(__xludf.DUMMYFUNCTION("""COMPUTED_VALUE"""),0.0)</f>
        <v>0</v>
      </c>
      <c r="X73" s="1" t="str">
        <f>IFERROR(__xludf.DUMMYFUNCTION("""COMPUTED_VALUE"""),"-")</f>
        <v>-</v>
      </c>
      <c r="Y73" s="2">
        <f>IFERROR(__xludf.DUMMYFUNCTION("""COMPUTED_VALUE"""),45805.0)</f>
        <v>45805</v>
      </c>
      <c r="Z73" s="1" t="str">
        <f>IFERROR(__xludf.DUMMYFUNCTION("""COMPUTED_VALUE"""),"PAGO COMPLETO")</f>
        <v>PAGO COMPLETO</v>
      </c>
      <c r="AA73" s="1"/>
      <c r="AB73" s="1"/>
      <c r="AC73" s="4">
        <f>IFERROR(__xludf.DUMMYFUNCTION("""COMPUTED_VALUE"""),0.0)</f>
        <v>0</v>
      </c>
      <c r="AD73" s="4">
        <f>IFERROR(__xludf.DUMMYFUNCTION("""COMPUTED_VALUE"""),0.0)</f>
        <v>0</v>
      </c>
      <c r="AE73" s="4">
        <f>IFERROR(__xludf.DUMMYFUNCTION("""COMPUTED_VALUE"""),1050.0)</f>
        <v>1050</v>
      </c>
      <c r="AF73" s="4">
        <f>IFERROR(__xludf.DUMMYFUNCTION("""COMPUTED_VALUE"""),1050.0)</f>
        <v>1050</v>
      </c>
      <c r="AG73" s="1">
        <f>IFERROR(__xludf.DUMMYFUNCTION("""COMPUTED_VALUE"""),0.0)</f>
        <v>0</v>
      </c>
      <c r="AH73" s="1">
        <f>IFERROR(__xludf.DUMMYFUNCTION("""COMPUTED_VALUE"""),0.0)</f>
        <v>0</v>
      </c>
      <c r="AI73" s="1">
        <f>IFERROR(__xludf.DUMMYFUNCTION("""COMPUTED_VALUE"""),0.0)</f>
        <v>0</v>
      </c>
      <c r="AJ73" s="1">
        <f>IFERROR(__xludf.DUMMYFUNCTION("""COMPUTED_VALUE"""),1323856.0)</f>
        <v>1323856</v>
      </c>
      <c r="AK73" s="1" t="str">
        <f>IFERROR(__xludf.DUMMYFUNCTION("""COMPUTED_VALUE"""),"Más de 15 kms")</f>
        <v>Más de 15 kms</v>
      </c>
      <c r="AL73" s="1" t="str">
        <f>IFERROR(__xludf.DUMMYFUNCTION("""COMPUTED_VALUE"""),"05 301 a 550")</f>
        <v>05 301 a 550</v>
      </c>
      <c r="AM73" s="1"/>
      <c r="AN73" s="1" t="str">
        <f>IFERROR(__xludf.DUMMYFUNCTION("""COMPUTED_VALUE""")," ")</f>
        <v> </v>
      </c>
      <c r="AO73" s="1">
        <f>IFERROR(__xludf.DUMMYFUNCTION("""COMPUTED_VALUE"""),2023.0)</f>
        <v>2023</v>
      </c>
      <c r="AP73" s="3">
        <f>IFERROR(__xludf.DUMMYFUNCTION("""COMPUTED_VALUE"""),45778.0)</f>
        <v>45778</v>
      </c>
      <c r="AQ73" s="2">
        <f>IFERROR(__xludf.DUMMYFUNCTION("""COMPUTED_VALUE"""),45775.0)</f>
        <v>45775</v>
      </c>
      <c r="AR73" s="2">
        <f>IFERROR(__xludf.DUMMYFUNCTION("""COMPUTED_VALUE"""),45805.0)</f>
        <v>45805</v>
      </c>
      <c r="AS73" s="2">
        <f>IFERROR(__xludf.DUMMYFUNCTION("""COMPUTED_VALUE"""),45778.0)</f>
        <v>45778</v>
      </c>
      <c r="AT73" s="2">
        <f>IFERROR(__xludf.DUMMYFUNCTION("""COMPUTED_VALUE"""),45775.0)</f>
        <v>45775</v>
      </c>
      <c r="AU73" s="1">
        <f>IFERROR(__xludf.DUMMYFUNCTION("""COMPUTED_VALUE"""),0.0)</f>
        <v>0</v>
      </c>
      <c r="AV73" s="1" t="str">
        <f>IFERROR(__xludf.DUMMYFUNCTION("""COMPUTED_VALUE"""),"DIGITAL")</f>
        <v>DIGITAL</v>
      </c>
      <c r="AW73" s="1" t="str">
        <f>IFERROR(__xludf.DUMMYFUNCTION("""COMPUTED_VALUE"""),"BIDIRECCIONAL")</f>
        <v>BIDIRECCIONAL</v>
      </c>
      <c r="AX73" s="1" t="str">
        <f>IFERROR(__xludf.DUMMYFUNCTION("""COMPUTED_VALUE"""),"ORGANICO")</f>
        <v>ORGANICO</v>
      </c>
      <c r="AY73" s="1">
        <f>IFERROR(__xludf.DUMMYFUNCTION("""COMPUTED_VALUE"""),1.0)</f>
        <v>1</v>
      </c>
      <c r="AZ73" s="1" t="str">
        <f>IFERROR(__xludf.DUMMYFUNCTION("""COMPUTED_VALUE"""),"Angelica Iparraguirre")</f>
        <v>Angelica Iparraguirre</v>
      </c>
      <c r="BA73" s="5">
        <f>IFERROR(__xludf.DUMMYFUNCTION("""COMPUTED_VALUE"""),1.0)</f>
        <v>1</v>
      </c>
      <c r="BB73" s="6">
        <f>IFERROR(__xludf.DUMMYFUNCTION("""COMPUTED_VALUE"""),1050.0)</f>
        <v>1050</v>
      </c>
      <c r="BC73" s="1">
        <f>IFERROR(__xludf.DUMMYFUNCTION("""COMPUTED_VALUE"""),1.0)</f>
        <v>1</v>
      </c>
      <c r="BD73" s="1" t="str">
        <f>IFERROR(__xludf.DUMMYFUNCTION("""COMPUTED_VALUE"""),"Ninguno")</f>
        <v>Ninguno</v>
      </c>
      <c r="BE73" s="1">
        <f>IFERROR(__xludf.DUMMYFUNCTION("""COMPUTED_VALUE"""),1.0)</f>
        <v>1</v>
      </c>
      <c r="BF73" s="1">
        <f>IFERROR(__xludf.DUMMYFUNCTION("""COMPUTED_VALUE"""),0.0)</f>
        <v>0</v>
      </c>
      <c r="BG73" s="3">
        <f>IFERROR(__xludf.DUMMYFUNCTION("""COMPUTED_VALUE"""),45815.0)</f>
        <v>45815</v>
      </c>
      <c r="BH73" s="1" t="str">
        <f>IFERROR(__xludf.DUMMYFUNCTION("""COMPUTED_VALUE"""),"07/06/2025")</f>
        <v>07/06/2025</v>
      </c>
      <c r="BI73" s="1">
        <f>IFERROR(__xludf.DUMMYFUNCTION("""COMPUTED_VALUE"""),0.0)</f>
        <v>0</v>
      </c>
      <c r="BJ73" s="1" t="str">
        <f>IFERROR(__xludf.DUMMYFUNCTION("""COMPUTED_VALUE"""),"NUEVO")</f>
        <v>NUEVO</v>
      </c>
    </row>
    <row r="74">
      <c r="A74" s="1">
        <f>IFERROR(__xludf.DUMMYFUNCTION("""COMPUTED_VALUE"""),73.0)</f>
        <v>73</v>
      </c>
      <c r="B74" s="1">
        <f>IFERROR(__xludf.DUMMYFUNCTION("""COMPUTED_VALUE"""),181466.0)</f>
        <v>181466</v>
      </c>
      <c r="C74" s="1" t="str">
        <f>IFERROR(__xludf.DUMMYFUNCTION("""COMPUTED_VALUE"""),"0000026016")</f>
        <v>0000026016</v>
      </c>
      <c r="D74" s="1" t="str">
        <f>IFERROR(__xludf.DUMMYFUNCTION("""COMPUTED_VALUE"""),"MERY ELIZABETH")</f>
        <v>MERY ELIZABETH</v>
      </c>
      <c r="E74" s="2" t="str">
        <f>IFERROR(__xludf.DUMMYFUNCTION("""COMPUTED_VALUE"""),"CANTO GALICIA")</f>
        <v>CANTO GALICIA</v>
      </c>
      <c r="F74" s="1">
        <f>IFERROR(__xludf.DUMMYFUNCTION("""COMPUTED_VALUE"""),4.6914091E7)</f>
        <v>46914091</v>
      </c>
      <c r="G74" s="1">
        <f>IFERROR(__xludf.DUMMYFUNCTION("""COMPUTED_VALUE"""),9.74712397E8)</f>
        <v>974712397</v>
      </c>
      <c r="H74" s="1" t="str">
        <f>IFERROR(__xludf.DUMMYFUNCTION("""COMPUTED_VALUE"""),"mcantogalicia@gmail.com")</f>
        <v>mcantogalicia@gmail.com</v>
      </c>
      <c r="I74" s="1" t="str">
        <f>IFERROR(__xludf.DUMMYFUNCTION("""COMPUTED_VALUE"""),"Diseño Gráfico Publicitario")</f>
        <v>Diseño Gráfico Publicitario</v>
      </c>
      <c r="J74" s="1" t="str">
        <f>IFERROR(__xludf.DUMMYFUNCTION("""COMPUTED_VALUE"""),"Diseño")</f>
        <v>Diseño</v>
      </c>
      <c r="K74" s="1" t="str">
        <f>IFERROR(__xludf.DUMMYFUNCTION("""COMPUTED_VALUE"""),"Antigua")</f>
        <v>Antigua</v>
      </c>
      <c r="L74" s="1" t="str">
        <f>IFERROR(__xludf.DUMMYFUNCTION("""COMPUTED_VALUE"""),"Admisión Extraordinaria (Traslados)")</f>
        <v>Admisión Extraordinaria (Traslados)</v>
      </c>
      <c r="M74" s="1" t="str">
        <f>IFERROR(__xludf.DUMMYFUNCTION("""COMPUTED_VALUE"""),"Semi-presencial")</f>
        <v>Semi-presencial</v>
      </c>
      <c r="N74" s="1" t="str">
        <f>IFERROR(__xludf.DUMMYFUNCTION("""COMPUTED_VALUE"""),"Diurno")</f>
        <v>Diurno</v>
      </c>
      <c r="O74" s="1" t="str">
        <f>IFERROR(__xludf.DUMMYFUNCTION("""COMPUTED_VALUE"""),"TRASLADO CON CONVA")</f>
        <v>TRASLADO CON CONVA</v>
      </c>
      <c r="P74" s="1" t="str">
        <f>IFERROR(__xludf.DUMMYFUNCTION("""COMPUTED_VALUE"""),"RECA")</f>
        <v>RECA</v>
      </c>
      <c r="Q74" s="1" t="str">
        <f>IFERROR(__xludf.DUMMYFUNCTION("""COMPUTED_VALUE"""),"RECATEGORIZACIÓN")</f>
        <v>RECATEGORIZACIÓN</v>
      </c>
      <c r="R74" s="1" t="str">
        <f>IFERROR(__xludf.DUMMYFUNCTION("""COMPUTED_VALUE"""),"NINGUNO")</f>
        <v>NINGUNO</v>
      </c>
      <c r="S74" s="1" t="str">
        <f>IFERROR(__xludf.DUMMYFUNCTION("""COMPUTED_VALUE"""),"-")</f>
        <v>-</v>
      </c>
      <c r="T74" s="3">
        <f>IFERROR(__xludf.DUMMYFUNCTION("""COMPUTED_VALUE"""),45807.0)</f>
        <v>45807</v>
      </c>
      <c r="U74" s="1" t="str">
        <f>IFERROR(__xludf.DUMMYFUNCTION("""COMPUTED_VALUE"""),"CARGO")</f>
        <v>CARGO</v>
      </c>
      <c r="V74" s="1" t="str">
        <f>IFERROR(__xludf.DUMMYFUNCTION("""COMPUTED_VALUE"""),"PAGO COMPLETO")</f>
        <v>PAGO COMPLETO</v>
      </c>
      <c r="W74" s="4">
        <f>IFERROR(__xludf.DUMMYFUNCTION("""COMPUTED_VALUE"""),0.0)</f>
        <v>0</v>
      </c>
      <c r="X74" s="1" t="str">
        <f>IFERROR(__xludf.DUMMYFUNCTION("""COMPUTED_VALUE"""),"-")</f>
        <v>-</v>
      </c>
      <c r="Y74" s="2">
        <f>IFERROR(__xludf.DUMMYFUNCTION("""COMPUTED_VALUE"""),45807.0)</f>
        <v>45807</v>
      </c>
      <c r="Z74" s="1" t="str">
        <f>IFERROR(__xludf.DUMMYFUNCTION("""COMPUTED_VALUE"""),"PAGO COMPLETO")</f>
        <v>PAGO COMPLETO</v>
      </c>
      <c r="AA74" s="1"/>
      <c r="AB74" s="1"/>
      <c r="AC74" s="4">
        <f>IFERROR(__xludf.DUMMYFUNCTION("""COMPUTED_VALUE"""),0.0)</f>
        <v>0</v>
      </c>
      <c r="AD74" s="4">
        <f>IFERROR(__xludf.DUMMYFUNCTION("""COMPUTED_VALUE"""),0.0)</f>
        <v>0</v>
      </c>
      <c r="AE74" s="4">
        <f>IFERROR(__xludf.DUMMYFUNCTION("""COMPUTED_VALUE"""),850.0)</f>
        <v>850</v>
      </c>
      <c r="AF74" s="4">
        <f>IFERROR(__xludf.DUMMYFUNCTION("""COMPUTED_VALUE"""),850.0)</f>
        <v>850</v>
      </c>
      <c r="AG74" s="1">
        <f>IFERROR(__xludf.DUMMYFUNCTION("""COMPUTED_VALUE"""),0.0)</f>
        <v>0</v>
      </c>
      <c r="AH74" s="1">
        <f>IFERROR(__xludf.DUMMYFUNCTION("""COMPUTED_VALUE"""),0.0)</f>
        <v>0</v>
      </c>
      <c r="AI74" s="1">
        <f>IFERROR(__xludf.DUMMYFUNCTION("""COMPUTED_VALUE"""),0.0)</f>
        <v>0</v>
      </c>
      <c r="AJ74" s="1">
        <f>IFERROR(__xludf.DUMMYFUNCTION("""COMPUTED_VALUE"""),1072727.0)</f>
        <v>1072727</v>
      </c>
      <c r="AK74" s="1" t="str">
        <f>IFERROR(__xludf.DUMMYFUNCTION("""COMPUTED_VALUE"""),"10 kms a 15 kms")</f>
        <v>10 kms a 15 kms</v>
      </c>
      <c r="AL74" s="1" t="str">
        <f>IFERROR(__xludf.DUMMYFUNCTION("""COMPUTED_VALUE"""),"01 Nacional")</f>
        <v>01 Nacional</v>
      </c>
      <c r="AM74" s="1" t="str">
        <f>IFERROR(__xludf.DUMMYFUNCTION("""COMPUTED_VALUE"""),"SISE")</f>
        <v>SISE</v>
      </c>
      <c r="AN74" s="1" t="str">
        <f>IFERROR(__xludf.DUMMYFUNCTION("""COMPUTED_VALUE""")," ")</f>
        <v> </v>
      </c>
      <c r="AO74" s="1">
        <f>IFERROR(__xludf.DUMMYFUNCTION("""COMPUTED_VALUE"""),2007.0)</f>
        <v>2007</v>
      </c>
      <c r="AP74" s="3">
        <f>IFERROR(__xludf.DUMMYFUNCTION("""COMPUTED_VALUE"""),45778.0)</f>
        <v>45778</v>
      </c>
      <c r="AQ74" s="2">
        <f>IFERROR(__xludf.DUMMYFUNCTION("""COMPUTED_VALUE"""),45775.0)</f>
        <v>45775</v>
      </c>
      <c r="AR74" s="2">
        <f>IFERROR(__xludf.DUMMYFUNCTION("""COMPUTED_VALUE"""),45802.0)</f>
        <v>45802</v>
      </c>
      <c r="AS74" s="2">
        <f>IFERROR(__xludf.DUMMYFUNCTION("""COMPUTED_VALUE"""),45778.0)</f>
        <v>45778</v>
      </c>
      <c r="AT74" s="2">
        <f>IFERROR(__xludf.DUMMYFUNCTION("""COMPUTED_VALUE"""),45775.0)</f>
        <v>45775</v>
      </c>
      <c r="AU74" s="1">
        <f>IFERROR(__xludf.DUMMYFUNCTION("""COMPUTED_VALUE"""),5.0)</f>
        <v>5</v>
      </c>
      <c r="AV74" s="1" t="str">
        <f>IFERROR(__xludf.DUMMYFUNCTION("""COMPUTED_VALUE"""),"DIGITAL")</f>
        <v>DIGITAL</v>
      </c>
      <c r="AW74" s="1" t="str">
        <f>IFERROR(__xludf.DUMMYFUNCTION("""COMPUTED_VALUE"""),"FORMULARIO")</f>
        <v>FORMULARIO</v>
      </c>
      <c r="AX74" s="1" t="str">
        <f>IFERROR(__xludf.DUMMYFUNCTION("""COMPUTED_VALUE"""),"NO SUFICIENCIA")</f>
        <v>NO SUFICIENCIA</v>
      </c>
      <c r="AY74" s="1">
        <f>IFERROR(__xludf.DUMMYFUNCTION("""COMPUTED_VALUE"""),1.0)</f>
        <v>1</v>
      </c>
      <c r="AZ74" s="1" t="str">
        <f>IFERROR(__xludf.DUMMYFUNCTION("""COMPUTED_VALUE"""),"Rosa Ugarte")</f>
        <v>Rosa Ugarte</v>
      </c>
      <c r="BA74" s="5">
        <f>IFERROR(__xludf.DUMMYFUNCTION("""COMPUTED_VALUE"""),1.0)</f>
        <v>1</v>
      </c>
      <c r="BB74" s="6">
        <f>IFERROR(__xludf.DUMMYFUNCTION("""COMPUTED_VALUE"""),850.0)</f>
        <v>850</v>
      </c>
      <c r="BC74" s="1"/>
      <c r="BD74" s="1" t="str">
        <f>IFERROR(__xludf.DUMMYFUNCTION("""COMPUTED_VALUE""")," -")</f>
        <v> -</v>
      </c>
      <c r="BE74" s="1">
        <f>IFERROR(__xludf.DUMMYFUNCTION("""COMPUTED_VALUE"""),1.0)</f>
        <v>1</v>
      </c>
      <c r="BF74" s="1">
        <f>IFERROR(__xludf.DUMMYFUNCTION("""COMPUTED_VALUE"""),0.0)</f>
        <v>0</v>
      </c>
      <c r="BG74" s="1"/>
      <c r="BH74" s="1" t="str">
        <f>IFERROR(__xludf.DUMMYFUNCTION("""COMPUTED_VALUE"""),"No aplica")</f>
        <v>No aplica</v>
      </c>
      <c r="BI74" s="1">
        <f>IFERROR(__xludf.DUMMYFUNCTION("""COMPUTED_VALUE"""),1.0)</f>
        <v>1</v>
      </c>
      <c r="BJ74" s="1" t="str">
        <f>IFERROR(__xludf.DUMMYFUNCTION("""COMPUTED_VALUE"""),"TRASLADO")</f>
        <v>TRASLADO</v>
      </c>
    </row>
    <row r="75">
      <c r="A75" s="1">
        <f>IFERROR(__xludf.DUMMYFUNCTION("""COMPUTED_VALUE"""),74.0)</f>
        <v>74</v>
      </c>
      <c r="B75" s="1">
        <f>IFERROR(__xludf.DUMMYFUNCTION("""COMPUTED_VALUE"""),5221256.0)</f>
        <v>5221256</v>
      </c>
      <c r="C75" s="1" t="str">
        <f>IFERROR(__xludf.DUMMYFUNCTION("""COMPUTED_VALUE"""),"2013001836")</f>
        <v>2013001836</v>
      </c>
      <c r="D75" s="1" t="str">
        <f>IFERROR(__xludf.DUMMYFUNCTION("""COMPUTED_VALUE"""),"HANS ANTONIO")</f>
        <v>HANS ANTONIO</v>
      </c>
      <c r="E75" s="2" t="str">
        <f>IFERROR(__xludf.DUMMYFUNCTION("""COMPUTED_VALUE"""),"THOL HUAMAN")</f>
        <v>THOL HUAMAN</v>
      </c>
      <c r="F75" s="1">
        <f>IFERROR(__xludf.DUMMYFUNCTION("""COMPUTED_VALUE"""),4.709832E7)</f>
        <v>47098320</v>
      </c>
      <c r="G75" s="1">
        <f>IFERROR(__xludf.DUMMYFUNCTION("""COMPUTED_VALUE"""),9.52870667E8)</f>
        <v>952870667</v>
      </c>
      <c r="H75" s="1" t="str">
        <f>IFERROR(__xludf.DUMMYFUNCTION("""COMPUTED_VALUE"""),"Thol.Hans@gmail.com")</f>
        <v>Thol.Hans@gmail.com</v>
      </c>
      <c r="I75" s="1" t="str">
        <f>IFERROR(__xludf.DUMMYFUNCTION("""COMPUTED_VALUE"""),"Administración y Marketing")</f>
        <v>Administración y Marketing</v>
      </c>
      <c r="J75" s="1" t="str">
        <f>IFERROR(__xludf.DUMMYFUNCTION("""COMPUTED_VALUE"""),"Negocios")</f>
        <v>Negocios</v>
      </c>
      <c r="K75" s="1" t="str">
        <f>IFERROR(__xludf.DUMMYFUNCTION("""COMPUTED_VALUE"""),"Nueva")</f>
        <v>Nueva</v>
      </c>
      <c r="L75" s="1" t="str">
        <f>IFERROR(__xludf.DUMMYFUNCTION("""COMPUTED_VALUE"""),"Admisión Ordinaria")</f>
        <v>Admisión Ordinaria</v>
      </c>
      <c r="M75" s="1" t="str">
        <f>IFERROR(__xludf.DUMMYFUNCTION("""COMPUTED_VALUE"""),"Virtual")</f>
        <v>Virtual</v>
      </c>
      <c r="N75" s="1" t="str">
        <f>IFERROR(__xludf.DUMMYFUNCTION("""COMPUTED_VALUE"""),"Nocturno - A distancia")</f>
        <v>Nocturno - A distancia</v>
      </c>
      <c r="O75" s="1" t="str">
        <f>IFERROR(__xludf.DUMMYFUNCTION("""COMPUTED_VALUE"""),"NUEVO")</f>
        <v>NUEVO</v>
      </c>
      <c r="P75" s="1" t="str">
        <f>IFERROR(__xludf.DUMMYFUNCTION("""COMPUTED_VALUE"""),"ESCALA REGULAR")</f>
        <v>ESCALA REGULAR</v>
      </c>
      <c r="Q75" s="1" t="str">
        <f>IFERROR(__xludf.DUMMYFUNCTION("""COMPUTED_VALUE"""),"NINGUNO")</f>
        <v>NINGUNO</v>
      </c>
      <c r="R75" s="1" t="str">
        <f>IFERROR(__xludf.DUMMYFUNCTION("""COMPUTED_VALUE"""),"NINGUNO")</f>
        <v>NINGUNO</v>
      </c>
      <c r="S75" s="1" t="str">
        <f>IFERROR(__xludf.DUMMYFUNCTION("""COMPUTED_VALUE"""),"-")</f>
        <v>-</v>
      </c>
      <c r="T75" s="3">
        <f>IFERROR(__xludf.DUMMYFUNCTION("""COMPUTED_VALUE"""),45808.0)</f>
        <v>45808</v>
      </c>
      <c r="U75" s="1" t="str">
        <f>IFERROR(__xludf.DUMMYFUNCTION("""COMPUTED_VALUE"""),"Pago Link")</f>
        <v>Pago Link</v>
      </c>
      <c r="V75" s="1" t="str">
        <f>IFERROR(__xludf.DUMMYFUNCTION("""COMPUTED_VALUE"""),"PAGO FRACCIONADO")</f>
        <v>PAGO FRACCIONADO</v>
      </c>
      <c r="W75" s="4">
        <f>IFERROR(__xludf.DUMMYFUNCTION("""COMPUTED_VALUE"""),375.0)</f>
        <v>375</v>
      </c>
      <c r="X75" s="1" t="str">
        <f>IFERROR(__xludf.DUMMYFUNCTION("""COMPUTED_VALUE"""),"13/06/2025")</f>
        <v>13/06/2025</v>
      </c>
      <c r="Y75" s="1"/>
      <c r="Z75" s="1" t="str">
        <f>IFERROR(__xludf.DUMMYFUNCTION("""COMPUTED_VALUE"""),"PAGO FRACCIONADO")</f>
        <v>PAGO FRACCIONADO</v>
      </c>
      <c r="AA75" s="1"/>
      <c r="AB75" s="1"/>
      <c r="AC75" s="4">
        <f>IFERROR(__xludf.DUMMYFUNCTION("""COMPUTED_VALUE"""),0.0)</f>
        <v>0</v>
      </c>
      <c r="AD75" s="4">
        <f>IFERROR(__xludf.DUMMYFUNCTION("""COMPUTED_VALUE"""),0.0)</f>
        <v>0</v>
      </c>
      <c r="AE75" s="4">
        <f>IFERROR(__xludf.DUMMYFUNCTION("""COMPUTED_VALUE"""),750.0)</f>
        <v>750</v>
      </c>
      <c r="AF75" s="4">
        <f>IFERROR(__xludf.DUMMYFUNCTION("""COMPUTED_VALUE"""),750.0)</f>
        <v>750</v>
      </c>
      <c r="AG75" s="1">
        <f>IFERROR(__xludf.DUMMYFUNCTION("""COMPUTED_VALUE"""),0.0)</f>
        <v>0</v>
      </c>
      <c r="AH75" s="1">
        <f>IFERROR(__xludf.DUMMYFUNCTION("""COMPUTED_VALUE"""),0.0)</f>
        <v>0</v>
      </c>
      <c r="AI75" s="1">
        <f>IFERROR(__xludf.DUMMYFUNCTION("""COMPUTED_VALUE"""),0.0)</f>
        <v>0</v>
      </c>
      <c r="AJ75" s="1">
        <f>IFERROR(__xludf.DUMMYFUNCTION("""COMPUTED_VALUE"""),1234384.0)</f>
        <v>1234384</v>
      </c>
      <c r="AK75" s="1" t="str">
        <f>IFERROR(__xludf.DUMMYFUNCTION("""COMPUTED_VALUE"""),"Más de 15 kms")</f>
        <v>Más de 15 kms</v>
      </c>
      <c r="AL75" s="1" t="str">
        <f>IFERROR(__xludf.DUMMYFUNCTION("""COMPUTED_VALUE"""),"08 901 a 1,299")</f>
        <v>08 901 a 1,299</v>
      </c>
      <c r="AM75" s="1" t="str">
        <f>IFERROR(__xludf.DUMMYFUNCTION("""COMPUTED_VALUE"""),"-")</f>
        <v>-</v>
      </c>
      <c r="AN75" s="1" t="str">
        <f>IFERROR(__xludf.DUMMYFUNCTION("""COMPUTED_VALUE""")," -")</f>
        <v> -</v>
      </c>
      <c r="AO75" s="1">
        <f>IFERROR(__xludf.DUMMYFUNCTION("""COMPUTED_VALUE"""),2014.0)</f>
        <v>2014</v>
      </c>
      <c r="AP75" s="3">
        <f>IFERROR(__xludf.DUMMYFUNCTION("""COMPUTED_VALUE"""),45778.0)</f>
        <v>45778</v>
      </c>
      <c r="AQ75" s="2">
        <f>IFERROR(__xludf.DUMMYFUNCTION("""COMPUTED_VALUE"""),45775.0)</f>
        <v>45775</v>
      </c>
      <c r="AR75" s="2">
        <f>IFERROR(__xludf.DUMMYFUNCTION("""COMPUTED_VALUE"""),45801.0)</f>
        <v>45801</v>
      </c>
      <c r="AS75" s="2">
        <f>IFERROR(__xludf.DUMMYFUNCTION("""COMPUTED_VALUE"""),45778.0)</f>
        <v>45778</v>
      </c>
      <c r="AT75" s="2">
        <f>IFERROR(__xludf.DUMMYFUNCTION("""COMPUTED_VALUE"""),45775.0)</f>
        <v>45775</v>
      </c>
      <c r="AU75" s="1">
        <f>IFERROR(__xludf.DUMMYFUNCTION("""COMPUTED_VALUE"""),7.0)</f>
        <v>7</v>
      </c>
      <c r="AV75" s="1" t="str">
        <f>IFERROR(__xludf.DUMMYFUNCTION("""COMPUTED_VALUE"""),"DIGITAL")</f>
        <v>DIGITAL</v>
      </c>
      <c r="AW75" s="1" t="str">
        <f>IFERROR(__xludf.DUMMYFUNCTION("""COMPUTED_VALUE"""),"FORMULARIO")</f>
        <v>FORMULARIO</v>
      </c>
      <c r="AX75" s="1" t="str">
        <f>IFERROR(__xludf.DUMMYFUNCTION("""COMPUTED_VALUE"""),"NO SUFICIENCIA")</f>
        <v>NO SUFICIENCIA</v>
      </c>
      <c r="AY75" s="1">
        <f>IFERROR(__xludf.DUMMYFUNCTION("""COMPUTED_VALUE"""),1.0)</f>
        <v>1</v>
      </c>
      <c r="AZ75" s="1" t="str">
        <f>IFERROR(__xludf.DUMMYFUNCTION("""COMPUTED_VALUE"""),"Rosa Ugarte")</f>
        <v>Rosa Ugarte</v>
      </c>
      <c r="BA75" s="5">
        <f>IFERROR(__xludf.DUMMYFUNCTION("""COMPUTED_VALUE"""),0.5)</f>
        <v>0.5</v>
      </c>
      <c r="BB75" s="6">
        <f>IFERROR(__xludf.DUMMYFUNCTION("""COMPUTED_VALUE"""),750.0)</f>
        <v>750</v>
      </c>
      <c r="BC75" s="1">
        <f>IFERROR(__xludf.DUMMYFUNCTION("""COMPUTED_VALUE"""),0.0)</f>
        <v>0</v>
      </c>
      <c r="BD75" s="1" t="str">
        <f>IFERROR(__xludf.DUMMYFUNCTION("""COMPUTED_VALUE""")," -")</f>
        <v> -</v>
      </c>
      <c r="BE75" s="1">
        <f>IFERROR(__xludf.DUMMYFUNCTION("""COMPUTED_VALUE"""),1.0)</f>
        <v>1</v>
      </c>
      <c r="BF75" s="1">
        <f>IFERROR(__xludf.DUMMYFUNCTION("""COMPUTED_VALUE"""),0.0)</f>
        <v>0</v>
      </c>
      <c r="BG75" s="1"/>
      <c r="BH75" s="1"/>
      <c r="BI75" s="1">
        <f>IFERROR(__xludf.DUMMYFUNCTION("""COMPUTED_VALUE"""),0.0)</f>
        <v>0</v>
      </c>
      <c r="BJ75" s="1" t="str">
        <f>IFERROR(__xludf.DUMMYFUNCTION("""COMPUTED_VALUE"""),"NUEVO")</f>
        <v>NUEVO</v>
      </c>
    </row>
    <row r="76">
      <c r="A76" s="1">
        <f>IFERROR(__xludf.DUMMYFUNCTION("""COMPUTED_VALUE"""),75.0)</f>
        <v>75</v>
      </c>
      <c r="B76" s="1">
        <f>IFERROR(__xludf.DUMMYFUNCTION("""COMPUTED_VALUE"""),3053351.0)</f>
        <v>3053351</v>
      </c>
      <c r="C76" s="1" t="str">
        <f>IFERROR(__xludf.DUMMYFUNCTION("""COMPUTED_VALUE"""),"0000427542")</f>
        <v>0000427542</v>
      </c>
      <c r="D76" s="1" t="str">
        <f>IFERROR(__xludf.DUMMYFUNCTION("""COMPUTED_VALUE"""),"SHIRLEI LISET ")</f>
        <v>SHIRLEI LISET </v>
      </c>
      <c r="E76" s="2" t="str">
        <f>IFERROR(__xludf.DUMMYFUNCTION("""COMPUTED_VALUE"""),"AREVALO DIAZ")</f>
        <v>AREVALO DIAZ</v>
      </c>
      <c r="F76" s="1">
        <f>IFERROR(__xludf.DUMMYFUNCTION("""COMPUTED_VALUE"""),7.1905873E7)</f>
        <v>71905873</v>
      </c>
      <c r="G76" s="1">
        <f>IFERROR(__xludf.DUMMYFUNCTION("""COMPUTED_VALUE"""),9.02396153E8)</f>
        <v>902396153</v>
      </c>
      <c r="H76" s="1" t="str">
        <f>IFERROR(__xludf.DUMMYFUNCTION("""COMPUTED_VALUE"""),"Shirleyadiaz03@gmail.com")</f>
        <v>Shirleyadiaz03@gmail.com</v>
      </c>
      <c r="I76" s="1" t="str">
        <f>IFERROR(__xludf.DUMMYFUNCTION("""COMPUTED_VALUE"""),"Comunicación Audiovisual y Cine")</f>
        <v>Comunicación Audiovisual y Cine</v>
      </c>
      <c r="J76" s="1" t="str">
        <f>IFERROR(__xludf.DUMMYFUNCTION("""COMPUTED_VALUE"""),"Comunicaciones")</f>
        <v>Comunicaciones</v>
      </c>
      <c r="K76" s="1" t="str">
        <f>IFERROR(__xludf.DUMMYFUNCTION("""COMPUTED_VALUE"""),"Antigua")</f>
        <v>Antigua</v>
      </c>
      <c r="L76" s="1" t="str">
        <f>IFERROR(__xludf.DUMMYFUNCTION("""COMPUTED_VALUE"""),"Admisión Ordinaria")</f>
        <v>Admisión Ordinaria</v>
      </c>
      <c r="M76" s="1" t="str">
        <f>IFERROR(__xludf.DUMMYFUNCTION("""COMPUTED_VALUE"""),"Semi-presencial")</f>
        <v>Semi-presencial</v>
      </c>
      <c r="N76" s="1" t="str">
        <f>IFERROR(__xludf.DUMMYFUNCTION("""COMPUTED_VALUE"""),"Diurno")</f>
        <v>Diurno</v>
      </c>
      <c r="O76" s="1" t="str">
        <f>IFERROR(__xludf.DUMMYFUNCTION("""COMPUTED_VALUE"""),"NUEVO")</f>
        <v>NUEVO</v>
      </c>
      <c r="P76" s="1" t="str">
        <f>IFERROR(__xludf.DUMMYFUNCTION("""COMPUTED_VALUE"""),"ESCALA REGULAR")</f>
        <v>ESCALA REGULAR</v>
      </c>
      <c r="Q76" s="1" t="str">
        <f>IFERROR(__xludf.DUMMYFUNCTION("""COMPUTED_VALUE"""),"NINGUNO")</f>
        <v>NINGUNO</v>
      </c>
      <c r="R76" s="1" t="str">
        <f>IFERROR(__xludf.DUMMYFUNCTION("""COMPUTED_VALUE"""),"NINGUNO")</f>
        <v>NINGUNO</v>
      </c>
      <c r="S76" s="1" t="str">
        <f>IFERROR(__xludf.DUMMYFUNCTION("""COMPUTED_VALUE"""),"SEBASTIAN")</f>
        <v>SEBASTIAN</v>
      </c>
      <c r="T76" s="3">
        <f>IFERROR(__xludf.DUMMYFUNCTION("""COMPUTED_VALUE"""),45808.0)</f>
        <v>45808</v>
      </c>
      <c r="U76" s="1" t="str">
        <f>IFERROR(__xludf.DUMMYFUNCTION("""COMPUTED_VALUE"""),"CARGO")</f>
        <v>CARGO</v>
      </c>
      <c r="V76" s="1" t="str">
        <f>IFERROR(__xludf.DUMMYFUNCTION("""COMPUTED_VALUE"""),"PAGO COMPLETO")</f>
        <v>PAGO COMPLETO</v>
      </c>
      <c r="W76" s="4">
        <f>IFERROR(__xludf.DUMMYFUNCTION("""COMPUTED_VALUE"""),0.0)</f>
        <v>0</v>
      </c>
      <c r="X76" s="1" t="str">
        <f>IFERROR(__xludf.DUMMYFUNCTION("""COMPUTED_VALUE"""),"-")</f>
        <v>-</v>
      </c>
      <c r="Y76" s="2">
        <f>IFERROR(__xludf.DUMMYFUNCTION("""COMPUTED_VALUE"""),45808.0)</f>
        <v>45808</v>
      </c>
      <c r="Z76" s="1" t="str">
        <f>IFERROR(__xludf.DUMMYFUNCTION("""COMPUTED_VALUE"""),"PAGO COMPLETO")</f>
        <v>PAGO COMPLETO</v>
      </c>
      <c r="AA76" s="1"/>
      <c r="AB76" s="1"/>
      <c r="AC76" s="4">
        <f>IFERROR(__xludf.DUMMYFUNCTION("""COMPUTED_VALUE"""),50.0)</f>
        <v>50</v>
      </c>
      <c r="AD76" s="4">
        <f>IFERROR(__xludf.DUMMYFUNCTION("""COMPUTED_VALUE"""),95.0)</f>
        <v>95</v>
      </c>
      <c r="AE76" s="4">
        <f>IFERROR(__xludf.DUMMYFUNCTION("""COMPUTED_VALUE"""),1200.0)</f>
        <v>1200</v>
      </c>
      <c r="AF76" s="4">
        <f>IFERROR(__xludf.DUMMYFUNCTION("""COMPUTED_VALUE"""),1200.0)</f>
        <v>1200</v>
      </c>
      <c r="AG76" s="1">
        <f>IFERROR(__xludf.DUMMYFUNCTION("""COMPUTED_VALUE"""),0.0)</f>
        <v>0</v>
      </c>
      <c r="AH76" s="1">
        <f>IFERROR(__xludf.DUMMYFUNCTION("""COMPUTED_VALUE"""),0.0)</f>
        <v>0</v>
      </c>
      <c r="AI76" s="1">
        <f>IFERROR(__xludf.DUMMYFUNCTION("""COMPUTED_VALUE"""),0.0)</f>
        <v>0</v>
      </c>
      <c r="AJ76" s="1">
        <f>IFERROR(__xludf.DUMMYFUNCTION("""COMPUTED_VALUE"""),583088.0)</f>
        <v>583088</v>
      </c>
      <c r="AK76" s="1" t="str">
        <f>IFERROR(__xludf.DUMMYFUNCTION("""COMPUTED_VALUE"""),"Más de 15 kms")</f>
        <v>Más de 15 kms</v>
      </c>
      <c r="AL76" s="1" t="str">
        <f>IFERROR(__xludf.DUMMYFUNCTION("""COMPUTED_VALUE"""),"01 Nacional")</f>
        <v>01 Nacional</v>
      </c>
      <c r="AM76" s="1" t="str">
        <f>IFERROR(__xludf.DUMMYFUNCTION("""COMPUTED_VALUE"""),"-")</f>
        <v>-</v>
      </c>
      <c r="AN76" s="1" t="str">
        <f>IFERROR(__xludf.DUMMYFUNCTION("""COMPUTED_VALUE""")," -")</f>
        <v> -</v>
      </c>
      <c r="AO76" s="1">
        <f>IFERROR(__xludf.DUMMYFUNCTION("""COMPUTED_VALUE"""),2023.0)</f>
        <v>2023</v>
      </c>
      <c r="AP76" s="3">
        <f>IFERROR(__xludf.DUMMYFUNCTION("""COMPUTED_VALUE"""),45778.0)</f>
        <v>45778</v>
      </c>
      <c r="AQ76" s="2">
        <f>IFERROR(__xludf.DUMMYFUNCTION("""COMPUTED_VALUE"""),45775.0)</f>
        <v>45775</v>
      </c>
      <c r="AR76" s="2">
        <f>IFERROR(__xludf.DUMMYFUNCTION("""COMPUTED_VALUE"""),45782.0)</f>
        <v>45782</v>
      </c>
      <c r="AS76" s="2">
        <f>IFERROR(__xludf.DUMMYFUNCTION("""COMPUTED_VALUE"""),45778.0)</f>
        <v>45778</v>
      </c>
      <c r="AT76" s="2">
        <f>IFERROR(__xludf.DUMMYFUNCTION("""COMPUTED_VALUE"""),45775.0)</f>
        <v>45775</v>
      </c>
      <c r="AU76" s="1">
        <f>IFERROR(__xludf.DUMMYFUNCTION("""COMPUTED_VALUE"""),26.0)</f>
        <v>26</v>
      </c>
      <c r="AV76" s="1" t="str">
        <f>IFERROR(__xludf.DUMMYFUNCTION("""COMPUTED_VALUE"""),"DIGITAL")</f>
        <v>DIGITAL</v>
      </c>
      <c r="AW76" s="1" t="str">
        <f>IFERROR(__xludf.DUMMYFUNCTION("""COMPUTED_VALUE"""),"BIDIRECCIONAL")</f>
        <v>BIDIRECCIONAL</v>
      </c>
      <c r="AX76" s="1" t="str">
        <f>IFERROR(__xludf.DUMMYFUNCTION("""COMPUTED_VALUE"""),"SEARCH MARCA")</f>
        <v>SEARCH MARCA</v>
      </c>
      <c r="AY76" s="1">
        <f>IFERROR(__xludf.DUMMYFUNCTION("""COMPUTED_VALUE"""),1.0)</f>
        <v>1</v>
      </c>
      <c r="AZ76" s="1" t="str">
        <f>IFERROR(__xludf.DUMMYFUNCTION("""COMPUTED_VALUE"""),"Andrea Araujo Antara")</f>
        <v>Andrea Araujo Antara</v>
      </c>
      <c r="BA76" s="5">
        <f>IFERROR(__xludf.DUMMYFUNCTION("""COMPUTED_VALUE"""),1.0)</f>
        <v>1</v>
      </c>
      <c r="BB76" s="6">
        <f>IFERROR(__xludf.DUMMYFUNCTION("""COMPUTED_VALUE"""),1200.0)</f>
        <v>1200</v>
      </c>
      <c r="BC76" s="1">
        <f>IFERROR(__xludf.DUMMYFUNCTION("""COMPUTED_VALUE"""),0.0)</f>
        <v>0</v>
      </c>
      <c r="BD76" s="1" t="str">
        <f>IFERROR(__xludf.DUMMYFUNCTION("""COMPUTED_VALUE""")," -")</f>
        <v> -</v>
      </c>
      <c r="BE76" s="1">
        <f>IFERROR(__xludf.DUMMYFUNCTION("""COMPUTED_VALUE"""),1.0)</f>
        <v>1</v>
      </c>
      <c r="BF76" s="1">
        <f>IFERROR(__xludf.DUMMYFUNCTION("""COMPUTED_VALUE"""),0.0)</f>
        <v>0</v>
      </c>
      <c r="BG76" s="3">
        <f>IFERROR(__xludf.DUMMYFUNCTION("""COMPUTED_VALUE"""),45815.0)</f>
        <v>45815</v>
      </c>
      <c r="BH76" s="1"/>
      <c r="BI76" s="1">
        <f>IFERROR(__xludf.DUMMYFUNCTION("""COMPUTED_VALUE"""),0.0)</f>
        <v>0</v>
      </c>
      <c r="BJ76" s="1" t="str">
        <f>IFERROR(__xludf.DUMMYFUNCTION("""COMPUTED_VALUE"""),"NUEVO")</f>
        <v>NUEVO</v>
      </c>
    </row>
    <row r="77">
      <c r="A77" s="1">
        <f>IFERROR(__xludf.DUMMYFUNCTION("""COMPUTED_VALUE"""),76.0)</f>
        <v>76</v>
      </c>
      <c r="B77" s="1">
        <f>IFERROR(__xludf.DUMMYFUNCTION("""COMPUTED_VALUE"""),5244977.0)</f>
        <v>5244977</v>
      </c>
      <c r="C77" s="1" t="str">
        <f>IFERROR(__xludf.DUMMYFUNCTION("""COMPUTED_VALUE"""),"0000428174")</f>
        <v>0000428174</v>
      </c>
      <c r="D77" s="1" t="str">
        <f>IFERROR(__xludf.DUMMYFUNCTION("""COMPUTED_VALUE"""),"CAMILA ISABEL")</f>
        <v>CAMILA ISABEL</v>
      </c>
      <c r="E77" s="2" t="str">
        <f>IFERROR(__xludf.DUMMYFUNCTION("""COMPUTED_VALUE"""),"BUSTAMANTE VERA")</f>
        <v>BUSTAMANTE VERA</v>
      </c>
      <c r="F77" s="1">
        <f>IFERROR(__xludf.DUMMYFUNCTION("""COMPUTED_VALUE"""),7.1228799E7)</f>
        <v>71228799</v>
      </c>
      <c r="G77" s="1">
        <f>IFERROR(__xludf.DUMMYFUNCTION("""COMPUTED_VALUE"""),9.21741889E8)</f>
        <v>921741889</v>
      </c>
      <c r="H77" s="1" t="str">
        <f>IFERROR(__xludf.DUMMYFUNCTION("""COMPUTED_VALUE"""),"isabelvera0624@gmail.com")</f>
        <v>isabelvera0624@gmail.com</v>
      </c>
      <c r="I77" s="1" t="str">
        <f>IFERROR(__xludf.DUMMYFUNCTION("""COMPUTED_VALUE"""),"Diseño Gráfico Publicitario")</f>
        <v>Diseño Gráfico Publicitario</v>
      </c>
      <c r="J77" s="1" t="str">
        <f>IFERROR(__xludf.DUMMYFUNCTION("""COMPUTED_VALUE"""),"Diseño")</f>
        <v>Diseño</v>
      </c>
      <c r="K77" s="1" t="str">
        <f>IFERROR(__xludf.DUMMYFUNCTION("""COMPUTED_VALUE"""),"Antigua")</f>
        <v>Antigua</v>
      </c>
      <c r="L77" s="1" t="str">
        <f>IFERROR(__xludf.DUMMYFUNCTION("""COMPUTED_VALUE"""),"Admisión Extraordinaria (Traslados)")</f>
        <v>Admisión Extraordinaria (Traslados)</v>
      </c>
      <c r="M77" s="1" t="str">
        <f>IFERROR(__xludf.DUMMYFUNCTION("""COMPUTED_VALUE"""),"Semi-presencial")</f>
        <v>Semi-presencial</v>
      </c>
      <c r="N77" s="1" t="str">
        <f>IFERROR(__xludf.DUMMYFUNCTION("""COMPUTED_VALUE"""),"Diurno")</f>
        <v>Diurno</v>
      </c>
      <c r="O77" s="1" t="str">
        <f>IFERROR(__xludf.DUMMYFUNCTION("""COMPUTED_VALUE"""),"TRASLADO CON CONVA")</f>
        <v>TRASLADO CON CONVA</v>
      </c>
      <c r="P77" s="1" t="str">
        <f>IFERROR(__xludf.DUMMYFUNCTION("""COMPUTED_VALUE"""),"ESCALA REGULAR")</f>
        <v>ESCALA REGULAR</v>
      </c>
      <c r="Q77" s="1" t="str">
        <f>IFERROR(__xludf.DUMMYFUNCTION("""COMPUTED_VALUE"""),"NINGUNO")</f>
        <v>NINGUNO</v>
      </c>
      <c r="R77" s="1" t="str">
        <f>IFERROR(__xludf.DUMMYFUNCTION("""COMPUTED_VALUE"""),"NINGUNO")</f>
        <v>NINGUNO</v>
      </c>
      <c r="S77" s="1" t="str">
        <f>IFERROR(__xludf.DUMMYFUNCTION("""COMPUTED_VALUE"""),"-")</f>
        <v>-</v>
      </c>
      <c r="T77" s="3">
        <f>IFERROR(__xludf.DUMMYFUNCTION("""COMPUTED_VALUE"""),45814.0)</f>
        <v>45814</v>
      </c>
      <c r="U77" s="1" t="str">
        <f>IFERROR(__xludf.DUMMYFUNCTION("""COMPUTED_VALUE"""),"CARGO")</f>
        <v>CARGO</v>
      </c>
      <c r="V77" s="1" t="str">
        <f>IFERROR(__xludf.DUMMYFUNCTION("""COMPUTED_VALUE"""),"PAGO COMPLETO")</f>
        <v>PAGO COMPLETO</v>
      </c>
      <c r="W77" s="4">
        <f>IFERROR(__xludf.DUMMYFUNCTION("""COMPUTED_VALUE"""),0.0)</f>
        <v>0</v>
      </c>
      <c r="X77" s="1" t="str">
        <f>IFERROR(__xludf.DUMMYFUNCTION("""COMPUTED_VALUE"""),"-")</f>
        <v>-</v>
      </c>
      <c r="Y77" s="2">
        <f>IFERROR(__xludf.DUMMYFUNCTION("""COMPUTED_VALUE"""),45814.0)</f>
        <v>45814</v>
      </c>
      <c r="Z77" s="1" t="str">
        <f>IFERROR(__xludf.DUMMYFUNCTION("""COMPUTED_VALUE"""),"PAGO COMPLETO")</f>
        <v>PAGO COMPLETO</v>
      </c>
      <c r="AA77" s="1"/>
      <c r="AB77" s="1"/>
      <c r="AC77" s="4">
        <f>IFERROR(__xludf.DUMMYFUNCTION("""COMPUTED_VALUE"""),0.0)</f>
        <v>0</v>
      </c>
      <c r="AD77" s="4">
        <f>IFERROR(__xludf.DUMMYFUNCTION("""COMPUTED_VALUE"""),0.0)</f>
        <v>0</v>
      </c>
      <c r="AE77" s="4">
        <f>IFERROR(__xludf.DUMMYFUNCTION("""COMPUTED_VALUE"""),850.0)</f>
        <v>850</v>
      </c>
      <c r="AF77" s="4">
        <f>IFERROR(__xludf.DUMMYFUNCTION("""COMPUTED_VALUE"""),850.0)</f>
        <v>850</v>
      </c>
      <c r="AG77" s="1">
        <f>IFERROR(__xludf.DUMMYFUNCTION("""COMPUTED_VALUE"""),0.0)</f>
        <v>0</v>
      </c>
      <c r="AH77" s="1">
        <f>IFERROR(__xludf.DUMMYFUNCTION("""COMPUTED_VALUE"""),0.0)</f>
        <v>0</v>
      </c>
      <c r="AI77" s="1">
        <f>IFERROR(__xludf.DUMMYFUNCTION("""COMPUTED_VALUE"""),0.0)</f>
        <v>0</v>
      </c>
      <c r="AJ77" s="1">
        <f>IFERROR(__xludf.DUMMYFUNCTION("""COMPUTED_VALUE"""),692459.0)</f>
        <v>692459</v>
      </c>
      <c r="AK77" s="1" t="str">
        <f>IFERROR(__xludf.DUMMYFUNCTION("""COMPUTED_VALUE"""),"10 kms a 15 kms")</f>
        <v>10 kms a 15 kms</v>
      </c>
      <c r="AL77" s="1" t="str">
        <f>IFERROR(__xludf.DUMMYFUNCTION("""COMPUTED_VALUE"""),"01 Nacional")</f>
        <v>01 Nacional</v>
      </c>
      <c r="AM77" s="1"/>
      <c r="AN77" s="1" t="str">
        <f>IFERROR(__xludf.DUMMYFUNCTION("""COMPUTED_VALUE""")," ")</f>
        <v> </v>
      </c>
      <c r="AO77" s="1">
        <f>IFERROR(__xludf.DUMMYFUNCTION("""COMPUTED_VALUE"""),2019.0)</f>
        <v>2019</v>
      </c>
      <c r="AP77" s="3">
        <f>IFERROR(__xludf.DUMMYFUNCTION("""COMPUTED_VALUE"""),45809.0)</f>
        <v>45809</v>
      </c>
      <c r="AQ77" s="2">
        <f>IFERROR(__xludf.DUMMYFUNCTION("""COMPUTED_VALUE"""),45803.0)</f>
        <v>45803</v>
      </c>
      <c r="AR77" s="2">
        <f>IFERROR(__xludf.DUMMYFUNCTION("""COMPUTED_VALUE"""),45813.0)</f>
        <v>45813</v>
      </c>
      <c r="AS77" s="2">
        <f>IFERROR(__xludf.DUMMYFUNCTION("""COMPUTED_VALUE"""),45809.0)</f>
        <v>45809</v>
      </c>
      <c r="AT77" s="2">
        <f>IFERROR(__xludf.DUMMYFUNCTION("""COMPUTED_VALUE"""),45803.0)</f>
        <v>45803</v>
      </c>
      <c r="AU77" s="1">
        <f>IFERROR(__xludf.DUMMYFUNCTION("""COMPUTED_VALUE"""),1.0)</f>
        <v>1</v>
      </c>
      <c r="AV77" s="1" t="str">
        <f>IFERROR(__xludf.DUMMYFUNCTION("""COMPUTED_VALUE"""),"DIGITAL")</f>
        <v>DIGITAL</v>
      </c>
      <c r="AW77" s="1" t="str">
        <f>IFERROR(__xludf.DUMMYFUNCTION("""COMPUTED_VALUE"""),"FORMULARIO")</f>
        <v>FORMULARIO</v>
      </c>
      <c r="AX77" s="1" t="str">
        <f>IFERROR(__xludf.DUMMYFUNCTION("""COMPUTED_VALUE"""),"SEARCH MARCA")</f>
        <v>SEARCH MARCA</v>
      </c>
      <c r="AY77" s="1">
        <f>IFERROR(__xludf.DUMMYFUNCTION("""COMPUTED_VALUE"""),1.0)</f>
        <v>1</v>
      </c>
      <c r="AZ77" s="1" t="str">
        <f>IFERROR(__xludf.DUMMYFUNCTION("""COMPUTED_VALUE"""),"Sergio Valderrama Rodriguez")</f>
        <v>Sergio Valderrama Rodriguez</v>
      </c>
      <c r="BA77" s="5">
        <f>IFERROR(__xludf.DUMMYFUNCTION("""COMPUTED_VALUE"""),1.0)</f>
        <v>1</v>
      </c>
      <c r="BB77" s="6">
        <f>IFERROR(__xludf.DUMMYFUNCTION("""COMPUTED_VALUE"""),850.0)</f>
        <v>850</v>
      </c>
      <c r="BC77" s="1"/>
      <c r="BD77" s="1" t="str">
        <f>IFERROR(__xludf.DUMMYFUNCTION("""COMPUTED_VALUE""")," -")</f>
        <v> -</v>
      </c>
      <c r="BE77" s="1">
        <f>IFERROR(__xludf.DUMMYFUNCTION("""COMPUTED_VALUE"""),1.0)</f>
        <v>1</v>
      </c>
      <c r="BF77" s="1">
        <f>IFERROR(__xludf.DUMMYFUNCTION("""COMPUTED_VALUE"""),0.0)</f>
        <v>0</v>
      </c>
      <c r="BG77" s="1"/>
      <c r="BH77" s="1" t="str">
        <f>IFERROR(__xludf.DUMMYFUNCTION("""COMPUTED_VALUE"""),"No aplica")</f>
        <v>No aplica</v>
      </c>
      <c r="BI77" s="1">
        <f>IFERROR(__xludf.DUMMYFUNCTION("""COMPUTED_VALUE"""),0.0)</f>
        <v>0</v>
      </c>
      <c r="BJ77" s="1" t="str">
        <f>IFERROR(__xludf.DUMMYFUNCTION("""COMPUTED_VALUE"""),"TRASLADO")</f>
        <v>TRASLADO</v>
      </c>
    </row>
    <row r="78">
      <c r="A78" s="1">
        <f>IFERROR(__xludf.DUMMYFUNCTION("""COMPUTED_VALUE"""),77.0)</f>
        <v>77</v>
      </c>
      <c r="B78" s="1">
        <f>IFERROR(__xludf.DUMMYFUNCTION("""COMPUTED_VALUE"""),3137502.0)</f>
        <v>3137502</v>
      </c>
      <c r="C78" s="1" t="str">
        <f>IFERROR(__xludf.DUMMYFUNCTION("""COMPUTED_VALUE"""),"0000138896")</f>
        <v>0000138896</v>
      </c>
      <c r="D78" s="1" t="str">
        <f>IFERROR(__xludf.DUMMYFUNCTION("""COMPUTED_VALUE"""),"LUIS FERNANDO")</f>
        <v>LUIS FERNANDO</v>
      </c>
      <c r="E78" s="2" t="str">
        <f>IFERROR(__xludf.DUMMYFUNCTION("""COMPUTED_VALUE"""),"SANCHEZ GRANADOS")</f>
        <v>SANCHEZ GRANADOS</v>
      </c>
      <c r="F78" s="1">
        <f>IFERROR(__xludf.DUMMYFUNCTION("""COMPUTED_VALUE"""),7.3859255E7)</f>
        <v>73859255</v>
      </c>
      <c r="G78" s="1">
        <f>IFERROR(__xludf.DUMMYFUNCTION("""COMPUTED_VALUE"""),9.34433033E8)</f>
        <v>934433033</v>
      </c>
      <c r="H78" s="1" t="str">
        <f>IFERROR(__xludf.DUMMYFUNCTION("""COMPUTED_VALUE"""),"73859255@certus.edu.pe")</f>
        <v>73859255@certus.edu.pe</v>
      </c>
      <c r="I78" s="1" t="str">
        <f>IFERROR(__xludf.DUMMYFUNCTION("""COMPUTED_VALUE"""),"Administración y Negocios Internacionales")</f>
        <v>Administración y Negocios Internacionales</v>
      </c>
      <c r="J78" s="1" t="str">
        <f>IFERROR(__xludf.DUMMYFUNCTION("""COMPUTED_VALUE"""),"Negocios")</f>
        <v>Negocios</v>
      </c>
      <c r="K78" s="1" t="str">
        <f>IFERROR(__xludf.DUMMYFUNCTION("""COMPUTED_VALUE"""),"Nueva")</f>
        <v>Nueva</v>
      </c>
      <c r="L78" s="1" t="str">
        <f>IFERROR(__xludf.DUMMYFUNCTION("""COMPUTED_VALUE"""),"Admisión Extraordinaria (Traslados)")</f>
        <v>Admisión Extraordinaria (Traslados)</v>
      </c>
      <c r="M78" s="1" t="str">
        <f>IFERROR(__xludf.DUMMYFUNCTION("""COMPUTED_VALUE"""),"Virtual")</f>
        <v>Virtual</v>
      </c>
      <c r="N78" s="1" t="str">
        <f>IFERROR(__xludf.DUMMYFUNCTION("""COMPUTED_VALUE"""),"Nocturno - A distancia")</f>
        <v>Nocturno - A distancia</v>
      </c>
      <c r="O78" s="1" t="str">
        <f>IFERROR(__xludf.DUMMYFUNCTION("""COMPUTED_VALUE"""),"TRASLADO CON CONVA")</f>
        <v>TRASLADO CON CONVA</v>
      </c>
      <c r="P78" s="1" t="str">
        <f>IFERROR(__xludf.DUMMYFUNCTION("""COMPUTED_VALUE"""),"ESCALA REGULAR")</f>
        <v>ESCALA REGULAR</v>
      </c>
      <c r="Q78" s="1" t="str">
        <f>IFERROR(__xludf.DUMMYFUNCTION("""COMPUTED_VALUE"""),"NINGUNO")</f>
        <v>NINGUNO</v>
      </c>
      <c r="R78" s="1" t="str">
        <f>IFERROR(__xludf.DUMMYFUNCTION("""COMPUTED_VALUE"""),"NINGUNO")</f>
        <v>NINGUNO</v>
      </c>
      <c r="S78" s="1" t="str">
        <f>IFERROR(__xludf.DUMMYFUNCTION("""COMPUTED_VALUE"""),"-")</f>
        <v>-</v>
      </c>
      <c r="T78" s="3">
        <f>IFERROR(__xludf.DUMMYFUNCTION("""COMPUTED_VALUE"""),45815.0)</f>
        <v>45815</v>
      </c>
      <c r="U78" s="1" t="str">
        <f>IFERROR(__xludf.DUMMYFUNCTION("""COMPUTED_VALUE"""),"CARGO")</f>
        <v>CARGO</v>
      </c>
      <c r="V78" s="1" t="str">
        <f>IFERROR(__xludf.DUMMYFUNCTION("""COMPUTED_VALUE"""),"PAGO COMPLETO")</f>
        <v>PAGO COMPLETO</v>
      </c>
      <c r="W78" s="4">
        <f>IFERROR(__xludf.DUMMYFUNCTION("""COMPUTED_VALUE"""),0.0)</f>
        <v>0</v>
      </c>
      <c r="X78" s="1" t="str">
        <f>IFERROR(__xludf.DUMMYFUNCTION("""COMPUTED_VALUE"""),"-")</f>
        <v>-</v>
      </c>
      <c r="Y78" s="2">
        <f>IFERROR(__xludf.DUMMYFUNCTION("""COMPUTED_VALUE"""),45815.0)</f>
        <v>45815</v>
      </c>
      <c r="Z78" s="1" t="str">
        <f>IFERROR(__xludf.DUMMYFUNCTION("""COMPUTED_VALUE"""),"PAGO COMPLETO")</f>
        <v>PAGO COMPLETO</v>
      </c>
      <c r="AA78" s="1"/>
      <c r="AB78" s="1"/>
      <c r="AC78" s="4">
        <f>IFERROR(__xludf.DUMMYFUNCTION("""COMPUTED_VALUE"""),0.0)</f>
        <v>0</v>
      </c>
      <c r="AD78" s="4">
        <f>IFERROR(__xludf.DUMMYFUNCTION("""COMPUTED_VALUE"""),0.0)</f>
        <v>0</v>
      </c>
      <c r="AE78" s="4">
        <f>IFERROR(__xludf.DUMMYFUNCTION("""COMPUTED_VALUE"""),750.0)</f>
        <v>750</v>
      </c>
      <c r="AF78" s="4">
        <f>IFERROR(__xludf.DUMMYFUNCTION("""COMPUTED_VALUE"""),750.0)</f>
        <v>750</v>
      </c>
      <c r="AG78" s="1">
        <f>IFERROR(__xludf.DUMMYFUNCTION("""COMPUTED_VALUE"""),0.0)</f>
        <v>0</v>
      </c>
      <c r="AH78" s="1">
        <f>IFERROR(__xludf.DUMMYFUNCTION("""COMPUTED_VALUE"""),0.0)</f>
        <v>0</v>
      </c>
      <c r="AI78" s="1">
        <f>IFERROR(__xludf.DUMMYFUNCTION("""COMPUTED_VALUE"""),0.0)</f>
        <v>0</v>
      </c>
      <c r="AJ78" s="1">
        <f>IFERROR(__xludf.DUMMYFUNCTION("""COMPUTED_VALUE"""),1441310.0)</f>
        <v>1441310</v>
      </c>
      <c r="AK78" s="1" t="str">
        <f>IFERROR(__xludf.DUMMYFUNCTION("""COMPUTED_VALUE"""),"Menos de 5 kms")</f>
        <v>Menos de 5 kms</v>
      </c>
      <c r="AL78" s="1" t="str">
        <f>IFERROR(__xludf.DUMMYFUNCTION("""COMPUTED_VALUE"""),"05 301 a 550")</f>
        <v>05 301 a 550</v>
      </c>
      <c r="AM78" s="1"/>
      <c r="AN78" s="1" t="str">
        <f>IFERROR(__xludf.DUMMYFUNCTION("""COMPUTED_VALUE""")," ")</f>
        <v> </v>
      </c>
      <c r="AO78" s="1">
        <f>IFERROR(__xludf.DUMMYFUNCTION("""COMPUTED_VALUE"""),2024.0)</f>
        <v>2024</v>
      </c>
      <c r="AP78" s="3">
        <f>IFERROR(__xludf.DUMMYFUNCTION("""COMPUTED_VALUE"""),45809.0)</f>
        <v>45809</v>
      </c>
      <c r="AQ78" s="2">
        <f>IFERROR(__xludf.DUMMYFUNCTION("""COMPUTED_VALUE"""),45803.0)</f>
        <v>45803</v>
      </c>
      <c r="AR78" s="2">
        <f>IFERROR(__xludf.DUMMYFUNCTION("""COMPUTED_VALUE"""),45811.0)</f>
        <v>45811</v>
      </c>
      <c r="AS78" s="2">
        <f>IFERROR(__xludf.DUMMYFUNCTION("""COMPUTED_VALUE"""),45809.0)</f>
        <v>45809</v>
      </c>
      <c r="AT78" s="2">
        <f>IFERROR(__xludf.DUMMYFUNCTION("""COMPUTED_VALUE"""),45803.0)</f>
        <v>45803</v>
      </c>
      <c r="AU78" s="1">
        <f>IFERROR(__xludf.DUMMYFUNCTION("""COMPUTED_VALUE"""),4.0)</f>
        <v>4</v>
      </c>
      <c r="AV78" s="1" t="str">
        <f>IFERROR(__xludf.DUMMYFUNCTION("""COMPUTED_VALUE"""),"DIGITAL")</f>
        <v>DIGITAL</v>
      </c>
      <c r="AW78" s="1" t="str">
        <f>IFERROR(__xludf.DUMMYFUNCTION("""COMPUTED_VALUE"""),"BIDIRECCIONAL")</f>
        <v>BIDIRECCIONAL</v>
      </c>
      <c r="AX78" s="1" t="str">
        <f>IFERROR(__xludf.DUMMYFUNCTION("""COMPUTED_VALUE"""),"ORGANICO")</f>
        <v>ORGANICO</v>
      </c>
      <c r="AY78" s="1">
        <f>IFERROR(__xludf.DUMMYFUNCTION("""COMPUTED_VALUE"""),1.0)</f>
        <v>1</v>
      </c>
      <c r="AZ78" s="1" t="str">
        <f>IFERROR(__xludf.DUMMYFUNCTION("""COMPUTED_VALUE"""),"Andrea Araujo Antara")</f>
        <v>Andrea Araujo Antara</v>
      </c>
      <c r="BA78" s="5">
        <f>IFERROR(__xludf.DUMMYFUNCTION("""COMPUTED_VALUE"""),1.0)</f>
        <v>1</v>
      </c>
      <c r="BB78" s="6">
        <f>IFERROR(__xludf.DUMMYFUNCTION("""COMPUTED_VALUE"""),750.0)</f>
        <v>750</v>
      </c>
      <c r="BC78" s="1"/>
      <c r="BD78" s="1" t="str">
        <f>IFERROR(__xludf.DUMMYFUNCTION("""COMPUTED_VALUE""")," -")</f>
        <v> -</v>
      </c>
      <c r="BE78" s="1">
        <f>IFERROR(__xludf.DUMMYFUNCTION("""COMPUTED_VALUE"""),1.0)</f>
        <v>1</v>
      </c>
      <c r="BF78" s="1">
        <f>IFERROR(__xludf.DUMMYFUNCTION("""COMPUTED_VALUE"""),0.0)</f>
        <v>0</v>
      </c>
      <c r="BG78" s="1"/>
      <c r="BH78" s="1" t="str">
        <f>IFERROR(__xludf.DUMMYFUNCTION("""COMPUTED_VALUE"""),"No aplica")</f>
        <v>No aplica</v>
      </c>
      <c r="BI78" s="1">
        <f>IFERROR(__xludf.DUMMYFUNCTION("""COMPUTED_VALUE"""),0.0)</f>
        <v>0</v>
      </c>
      <c r="BJ78" s="1" t="str">
        <f>IFERROR(__xludf.DUMMYFUNCTION("""COMPUTED_VALUE"""),"TRASLADO")</f>
        <v>TRASLADO</v>
      </c>
    </row>
    <row r="79">
      <c r="A79" s="1">
        <f>IFERROR(__xludf.DUMMYFUNCTION("""COMPUTED_VALUE"""),78.0)</f>
        <v>78</v>
      </c>
      <c r="B79" s="1">
        <f>IFERROR(__xludf.DUMMYFUNCTION("""COMPUTED_VALUE"""),5247088.0)</f>
        <v>5247088</v>
      </c>
      <c r="C79" s="1" t="str">
        <f>IFERROR(__xludf.DUMMYFUNCTION("""COMPUTED_VALUE"""),"0000428316")</f>
        <v>0000428316</v>
      </c>
      <c r="D79" s="1" t="str">
        <f>IFERROR(__xludf.DUMMYFUNCTION("""COMPUTED_VALUE"""),"MAHEBA ALEXA")</f>
        <v>MAHEBA ALEXA</v>
      </c>
      <c r="E79" s="2" t="str">
        <f>IFERROR(__xludf.DUMMYFUNCTION("""COMPUTED_VALUE"""),"MACAZANA MONTAÑEZ")</f>
        <v>MACAZANA MONTAÑEZ</v>
      </c>
      <c r="F79" s="1">
        <f>IFERROR(__xludf.DUMMYFUNCTION("""COMPUTED_VALUE"""),6.2852392E7)</f>
        <v>62852392</v>
      </c>
      <c r="G79" s="1">
        <f>IFERROR(__xludf.DUMMYFUNCTION("""COMPUTED_VALUE"""),9.37403097E8)</f>
        <v>937403097</v>
      </c>
      <c r="H79" s="1" t="str">
        <f>IFERROR(__xludf.DUMMYFUNCTION("""COMPUTED_VALUE"""),"XXGNTH@gmail.com")</f>
        <v>XXGNTH@gmail.com</v>
      </c>
      <c r="I79" s="1" t="str">
        <f>IFERROR(__xludf.DUMMYFUNCTION("""COMPUTED_VALUE"""),"Marketing e Innovación")</f>
        <v>Marketing e Innovación</v>
      </c>
      <c r="J79" s="1" t="str">
        <f>IFERROR(__xludf.DUMMYFUNCTION("""COMPUTED_VALUE"""),"Negocios")</f>
        <v>Negocios</v>
      </c>
      <c r="K79" s="1" t="str">
        <f>IFERROR(__xludf.DUMMYFUNCTION("""COMPUTED_VALUE"""),"Nueva")</f>
        <v>Nueva</v>
      </c>
      <c r="L79" s="1" t="str">
        <f>IFERROR(__xludf.DUMMYFUNCTION("""COMPUTED_VALUE"""),"Admisión Extraordinaria (Traslados)")</f>
        <v>Admisión Extraordinaria (Traslados)</v>
      </c>
      <c r="M79" s="1" t="str">
        <f>IFERROR(__xludf.DUMMYFUNCTION("""COMPUTED_VALUE"""),"Semi-presencial")</f>
        <v>Semi-presencial</v>
      </c>
      <c r="N79" s="1" t="str">
        <f>IFERROR(__xludf.DUMMYFUNCTION("""COMPUTED_VALUE"""),"Diurno")</f>
        <v>Diurno</v>
      </c>
      <c r="O79" s="1" t="str">
        <f>IFERROR(__xludf.DUMMYFUNCTION("""COMPUTED_VALUE"""),"TRASLADO SIN CONVA")</f>
        <v>TRASLADO SIN CONVA</v>
      </c>
      <c r="P79" s="1" t="str">
        <f>IFERROR(__xludf.DUMMYFUNCTION("""COMPUTED_VALUE"""),"BECA")</f>
        <v>BECA</v>
      </c>
      <c r="Q79" s="1" t="str">
        <f>IFERROR(__xludf.DUMMYFUNCTION("""COMPUTED_VALUE"""),"BECA CARRERAS NUEVAS")</f>
        <v>BECA CARRERAS NUEVAS</v>
      </c>
      <c r="R79" s="1" t="str">
        <f>IFERROR(__xludf.DUMMYFUNCTION("""COMPUTED_VALUE"""),"NINGUNO")</f>
        <v>NINGUNO</v>
      </c>
      <c r="S79" s="1" t="str">
        <f>IFERROR(__xludf.DUMMYFUNCTION("""COMPUTED_VALUE"""),"RODRIGO")</f>
        <v>RODRIGO</v>
      </c>
      <c r="T79" s="3">
        <f>IFERROR(__xludf.DUMMYFUNCTION("""COMPUTED_VALUE"""),45817.0)</f>
        <v>45817</v>
      </c>
      <c r="U79" s="1" t="str">
        <f>IFERROR(__xludf.DUMMYFUNCTION("""COMPUTED_VALUE"""),"CARGO")</f>
        <v>CARGO</v>
      </c>
      <c r="V79" s="1" t="str">
        <f>IFERROR(__xludf.DUMMYFUNCTION("""COMPUTED_VALUE"""),"PAGO COMPLETO")</f>
        <v>PAGO COMPLETO</v>
      </c>
      <c r="W79" s="4">
        <f>IFERROR(__xludf.DUMMYFUNCTION("""COMPUTED_VALUE"""),0.0)</f>
        <v>0</v>
      </c>
      <c r="X79" s="1" t="str">
        <f>IFERROR(__xludf.DUMMYFUNCTION("""COMPUTED_VALUE"""),"-")</f>
        <v>-</v>
      </c>
      <c r="Y79" s="2">
        <f>IFERROR(__xludf.DUMMYFUNCTION("""COMPUTED_VALUE"""),45817.0)</f>
        <v>45817</v>
      </c>
      <c r="Z79" s="1" t="str">
        <f>IFERROR(__xludf.DUMMYFUNCTION("""COMPUTED_VALUE"""),"PAGO COMPLETO")</f>
        <v>PAGO COMPLETO</v>
      </c>
      <c r="AA79" s="1"/>
      <c r="AB79" s="1"/>
      <c r="AC79" s="4">
        <f>IFERROR(__xludf.DUMMYFUNCTION("""COMPUTED_VALUE"""),0.0)</f>
        <v>0</v>
      </c>
      <c r="AD79" s="4">
        <f>IFERROR(__xludf.DUMMYFUNCTION("""COMPUTED_VALUE"""),0.0)</f>
        <v>0</v>
      </c>
      <c r="AE79" s="4">
        <f>IFERROR(__xludf.DUMMYFUNCTION("""COMPUTED_VALUE"""),1050.0)</f>
        <v>1050</v>
      </c>
      <c r="AF79" s="4">
        <f>IFERROR(__xludf.DUMMYFUNCTION("""COMPUTED_VALUE"""),850.0)</f>
        <v>850</v>
      </c>
      <c r="AG79" s="1">
        <f>IFERROR(__xludf.DUMMYFUNCTION("""COMPUTED_VALUE"""),0.0)</f>
        <v>0</v>
      </c>
      <c r="AH79" s="1">
        <f>IFERROR(__xludf.DUMMYFUNCTION("""COMPUTED_VALUE"""),0.0)</f>
        <v>0</v>
      </c>
      <c r="AI79" s="1">
        <f>IFERROR(__xludf.DUMMYFUNCTION("""COMPUTED_VALUE"""),0.0)</f>
        <v>0</v>
      </c>
      <c r="AJ79" s="1">
        <f>IFERROR(__xludf.DUMMYFUNCTION("""COMPUTED_VALUE"""),1254358.0)</f>
        <v>1254358</v>
      </c>
      <c r="AK79" s="1" t="str">
        <f>IFERROR(__xludf.DUMMYFUNCTION("""COMPUTED_VALUE"""),"10 kms a 15 kms")</f>
        <v>10 kms a 15 kms</v>
      </c>
      <c r="AL79" s="1" t="str">
        <f>IFERROR(__xludf.DUMMYFUNCTION("""COMPUTED_VALUE"""),"05 301 a 550")</f>
        <v>05 301 a 550</v>
      </c>
      <c r="AM79" s="1" t="str">
        <f>IFERROR(__xludf.DUMMYFUNCTION("""COMPUTED_VALUE"""),"Universidad Privada del Norte(UPN)")</f>
        <v>Universidad Privada del Norte(UPN)</v>
      </c>
      <c r="AN79" s="1" t="str">
        <f>IFERROR(__xludf.DUMMYFUNCTION("""COMPUTED_VALUE""")," ")</f>
        <v> </v>
      </c>
      <c r="AO79" s="1">
        <f>IFERROR(__xludf.DUMMYFUNCTION("""COMPUTED_VALUE"""),2022.0)</f>
        <v>2022</v>
      </c>
      <c r="AP79" s="3">
        <f>IFERROR(__xludf.DUMMYFUNCTION("""COMPUTED_VALUE"""),45809.0)</f>
        <v>45809</v>
      </c>
      <c r="AQ79" s="2">
        <f>IFERROR(__xludf.DUMMYFUNCTION("""COMPUTED_VALUE"""),45803.0)</f>
        <v>45803</v>
      </c>
      <c r="AR79" s="2">
        <f>IFERROR(__xludf.DUMMYFUNCTION("""COMPUTED_VALUE"""),45814.0)</f>
        <v>45814</v>
      </c>
      <c r="AS79" s="2">
        <f>IFERROR(__xludf.DUMMYFUNCTION("""COMPUTED_VALUE"""),45809.0)</f>
        <v>45809</v>
      </c>
      <c r="AT79" s="2">
        <f>IFERROR(__xludf.DUMMYFUNCTION("""COMPUTED_VALUE"""),45803.0)</f>
        <v>45803</v>
      </c>
      <c r="AU79" s="1">
        <f>IFERROR(__xludf.DUMMYFUNCTION("""COMPUTED_VALUE"""),3.0)</f>
        <v>3</v>
      </c>
      <c r="AV79" s="1" t="str">
        <f>IFERROR(__xludf.DUMMYFUNCTION("""COMPUTED_VALUE"""),"DIGITAL")</f>
        <v>DIGITAL</v>
      </c>
      <c r="AW79" s="1" t="str">
        <f>IFERROR(__xludf.DUMMYFUNCTION("""COMPUTED_VALUE"""),"BIDIRECCIONAL")</f>
        <v>BIDIRECCIONAL</v>
      </c>
      <c r="AX79" s="1" t="str">
        <f>IFERROR(__xludf.DUMMYFUNCTION("""COMPUTED_VALUE"""),"SEARCH MARCA")</f>
        <v>SEARCH MARCA</v>
      </c>
      <c r="AY79" s="1">
        <f>IFERROR(__xludf.DUMMYFUNCTION("""COMPUTED_VALUE"""),1.0)</f>
        <v>1</v>
      </c>
      <c r="AZ79" s="1" t="str">
        <f>IFERROR(__xludf.DUMMYFUNCTION("""COMPUTED_VALUE"""),"Angelica Iparraguirre")</f>
        <v>Angelica Iparraguirre</v>
      </c>
      <c r="BA79" s="5">
        <f>IFERROR(__xludf.DUMMYFUNCTION("""COMPUTED_VALUE"""),1.0)</f>
        <v>1</v>
      </c>
      <c r="BB79" s="6">
        <f>IFERROR(__xludf.DUMMYFUNCTION("""COMPUTED_VALUE"""),850.0)</f>
        <v>850</v>
      </c>
      <c r="BC79" s="1">
        <f>IFERROR(__xludf.DUMMYFUNCTION("""COMPUTED_VALUE"""),0.0)</f>
        <v>0</v>
      </c>
      <c r="BD79" s="1" t="str">
        <f>IFERROR(__xludf.DUMMYFUNCTION("""COMPUTED_VALUE""")," -")</f>
        <v> -</v>
      </c>
      <c r="BE79" s="1">
        <f>IFERROR(__xludf.DUMMYFUNCTION("""COMPUTED_VALUE"""),1.0)</f>
        <v>1</v>
      </c>
      <c r="BF79" s="1">
        <f>IFERROR(__xludf.DUMMYFUNCTION("""COMPUTED_VALUE"""),0.0)</f>
        <v>0</v>
      </c>
      <c r="BG79" s="3">
        <f>IFERROR(__xludf.DUMMYFUNCTION("""COMPUTED_VALUE"""),45829.0)</f>
        <v>45829</v>
      </c>
      <c r="BH79" s="1"/>
      <c r="BI79" s="1">
        <f>IFERROR(__xludf.DUMMYFUNCTION("""COMPUTED_VALUE"""),0.0)</f>
        <v>0</v>
      </c>
      <c r="BJ79" s="1" t="str">
        <f>IFERROR(__xludf.DUMMYFUNCTION("""COMPUTED_VALUE"""),"NUEVO")</f>
        <v>NUEVO</v>
      </c>
    </row>
    <row r="80">
      <c r="A80" s="1">
        <f>IFERROR(__xludf.DUMMYFUNCTION("""COMPUTED_VALUE"""),79.0)</f>
        <v>79</v>
      </c>
      <c r="B80" s="1">
        <f>IFERROR(__xludf.DUMMYFUNCTION("""COMPUTED_VALUE"""),3249231.0)</f>
        <v>3249231</v>
      </c>
      <c r="C80" s="1" t="str">
        <f>IFERROR(__xludf.DUMMYFUNCTION("""COMPUTED_VALUE"""),"0000428587")</f>
        <v>0000428587</v>
      </c>
      <c r="D80" s="1" t="str">
        <f>IFERROR(__xludf.DUMMYFUNCTION("""COMPUTED_VALUE"""),"DANTE ROMEO")</f>
        <v>DANTE ROMEO</v>
      </c>
      <c r="E80" s="2" t="str">
        <f>IFERROR(__xludf.DUMMYFUNCTION("""COMPUTED_VALUE"""),"BELLEZA RENDON")</f>
        <v>BELLEZA RENDON</v>
      </c>
      <c r="F80" s="1">
        <f>IFERROR(__xludf.DUMMYFUNCTION("""COMPUTED_VALUE"""),6.1148646E7)</f>
        <v>61148646</v>
      </c>
      <c r="G80" s="1">
        <f>IFERROR(__xludf.DUMMYFUNCTION("""COMPUTED_VALUE"""),9.81378201E8)</f>
        <v>981378201</v>
      </c>
      <c r="H80" s="1" t="str">
        <f>IFERROR(__xludf.DUMMYFUNCTION("""COMPUTED_VALUE"""),"zackarypos3@gmail.com")</f>
        <v>zackarypos3@gmail.com</v>
      </c>
      <c r="I80" s="1" t="str">
        <f>IFERROR(__xludf.DUMMYFUNCTION("""COMPUTED_VALUE"""),"Diseño Gráfico Publicitario")</f>
        <v>Diseño Gráfico Publicitario</v>
      </c>
      <c r="J80" s="1" t="str">
        <f>IFERROR(__xludf.DUMMYFUNCTION("""COMPUTED_VALUE"""),"Diseño")</f>
        <v>Diseño</v>
      </c>
      <c r="K80" s="1" t="str">
        <f>IFERROR(__xludf.DUMMYFUNCTION("""COMPUTED_VALUE"""),"Antigua")</f>
        <v>Antigua</v>
      </c>
      <c r="L80" s="1" t="str">
        <f>IFERROR(__xludf.DUMMYFUNCTION("""COMPUTED_VALUE"""),"Admisión Extraordinaria (Traslados)")</f>
        <v>Admisión Extraordinaria (Traslados)</v>
      </c>
      <c r="M80" s="1" t="str">
        <f>IFERROR(__xludf.DUMMYFUNCTION("""COMPUTED_VALUE"""),"Semi-presencial")</f>
        <v>Semi-presencial</v>
      </c>
      <c r="N80" s="1" t="str">
        <f>IFERROR(__xludf.DUMMYFUNCTION("""COMPUTED_VALUE"""),"Diurno")</f>
        <v>Diurno</v>
      </c>
      <c r="O80" s="1" t="str">
        <f>IFERROR(__xludf.DUMMYFUNCTION("""COMPUTED_VALUE"""),"TRASLADO SIN CONVA")</f>
        <v>TRASLADO SIN CONVA</v>
      </c>
      <c r="P80" s="1" t="str">
        <f>IFERROR(__xludf.DUMMYFUNCTION("""COMPUTED_VALUE"""),"BECA")</f>
        <v>BECA</v>
      </c>
      <c r="Q80" s="1" t="str">
        <f>IFERROR(__xludf.DUMMYFUNCTION("""COMPUTED_VALUE"""),"BECA CARRERAS CORE")</f>
        <v>BECA CARRERAS CORE</v>
      </c>
      <c r="R80" s="1" t="str">
        <f>IFERROR(__xludf.DUMMYFUNCTION("""COMPUTED_VALUE"""),"NINGUNO")</f>
        <v>NINGUNO</v>
      </c>
      <c r="S80" s="1" t="str">
        <f>IFERROR(__xludf.DUMMYFUNCTION("""COMPUTED_VALUE"""),"FABIOLA")</f>
        <v>FABIOLA</v>
      </c>
      <c r="T80" s="3">
        <f>IFERROR(__xludf.DUMMYFUNCTION("""COMPUTED_VALUE"""),45820.0)</f>
        <v>45820</v>
      </c>
      <c r="U80" s="1" t="str">
        <f>IFERROR(__xludf.DUMMYFUNCTION("""COMPUTED_VALUE"""),"CARGO")</f>
        <v>CARGO</v>
      </c>
      <c r="V80" s="1" t="str">
        <f>IFERROR(__xludf.DUMMYFUNCTION("""COMPUTED_VALUE"""),"PAGO COMPLETO")</f>
        <v>PAGO COMPLETO</v>
      </c>
      <c r="W80" s="4">
        <f>IFERROR(__xludf.DUMMYFUNCTION("""COMPUTED_VALUE"""),0.0)</f>
        <v>0</v>
      </c>
      <c r="X80" s="1" t="str">
        <f>IFERROR(__xludf.DUMMYFUNCTION("""COMPUTED_VALUE"""),"-")</f>
        <v>-</v>
      </c>
      <c r="Y80" s="2">
        <f>IFERROR(__xludf.DUMMYFUNCTION("""COMPUTED_VALUE"""),45820.0)</f>
        <v>45820</v>
      </c>
      <c r="Z80" s="1" t="str">
        <f>IFERROR(__xludf.DUMMYFUNCTION("""COMPUTED_VALUE"""),"PAGO COMPLETO")</f>
        <v>PAGO COMPLETO</v>
      </c>
      <c r="AA80" s="1"/>
      <c r="AB80" s="1"/>
      <c r="AC80" s="4">
        <f>IFERROR(__xludf.DUMMYFUNCTION("""COMPUTED_VALUE"""),0.0)</f>
        <v>0</v>
      </c>
      <c r="AD80" s="4">
        <f>IFERROR(__xludf.DUMMYFUNCTION("""COMPUTED_VALUE"""),0.0)</f>
        <v>0</v>
      </c>
      <c r="AE80" s="4">
        <f>IFERROR(__xludf.DUMMYFUNCTION("""COMPUTED_VALUE"""),1250.0)</f>
        <v>1250</v>
      </c>
      <c r="AF80" s="4">
        <f>IFERROR(__xludf.DUMMYFUNCTION("""COMPUTED_VALUE"""),1050.0)</f>
        <v>1050</v>
      </c>
      <c r="AG80" s="1">
        <f>IFERROR(__xludf.DUMMYFUNCTION("""COMPUTED_VALUE"""),0.0)</f>
        <v>0</v>
      </c>
      <c r="AH80" s="1">
        <f>IFERROR(__xludf.DUMMYFUNCTION("""COMPUTED_VALUE"""),0.0)</f>
        <v>0</v>
      </c>
      <c r="AI80" s="1">
        <f>IFERROR(__xludf.DUMMYFUNCTION("""COMPUTED_VALUE"""),0.0)</f>
        <v>0</v>
      </c>
      <c r="AJ80" s="1">
        <f>IFERROR(__xludf.DUMMYFUNCTION("""COMPUTED_VALUE"""),762104.0)</f>
        <v>762104</v>
      </c>
      <c r="AK80" s="1" t="str">
        <f>IFERROR(__xludf.DUMMYFUNCTION("""COMPUTED_VALUE"""),"Más de 15 kms")</f>
        <v>Más de 15 kms</v>
      </c>
      <c r="AL80" s="1" t="str">
        <f>IFERROR(__xludf.DUMMYFUNCTION("""COMPUTED_VALUE"""),"03 101 a 200")</f>
        <v>03 101 a 200</v>
      </c>
      <c r="AM80" s="1" t="str">
        <f>IFERROR(__xludf.DUMMYFUNCTION("""COMPUTED_VALUE"""),"Universidad Peruana De Ciencias Aplicadas(UPC)")</f>
        <v>Universidad Peruana De Ciencias Aplicadas(UPC)</v>
      </c>
      <c r="AN80" s="1" t="str">
        <f>IFERROR(__xludf.DUMMYFUNCTION("""COMPUTED_VALUE""")," ")</f>
        <v> </v>
      </c>
      <c r="AO80" s="1">
        <f>IFERROR(__xludf.DUMMYFUNCTION("""COMPUTED_VALUE"""),2024.0)</f>
        <v>2024</v>
      </c>
      <c r="AP80" s="3">
        <f>IFERROR(__xludf.DUMMYFUNCTION("""COMPUTED_VALUE"""),45809.0)</f>
        <v>45809</v>
      </c>
      <c r="AQ80" s="2">
        <f>IFERROR(__xludf.DUMMYFUNCTION("""COMPUTED_VALUE"""),45803.0)</f>
        <v>45803</v>
      </c>
      <c r="AR80" s="2">
        <f>IFERROR(__xludf.DUMMYFUNCTION("""COMPUTED_VALUE"""),45796.0)</f>
        <v>45796</v>
      </c>
      <c r="AS80" s="2">
        <f>IFERROR(__xludf.DUMMYFUNCTION("""COMPUTED_VALUE"""),45778.0)</f>
        <v>45778</v>
      </c>
      <c r="AT80" s="2">
        <f>IFERROR(__xludf.DUMMYFUNCTION("""COMPUTED_VALUE"""),45775.0)</f>
        <v>45775</v>
      </c>
      <c r="AU80" s="1">
        <f>IFERROR(__xludf.DUMMYFUNCTION("""COMPUTED_VALUE"""),24.0)</f>
        <v>24</v>
      </c>
      <c r="AV80" s="1" t="str">
        <f>IFERROR(__xludf.DUMMYFUNCTION("""COMPUTED_VALUE"""),"DIGITAL")</f>
        <v>DIGITAL</v>
      </c>
      <c r="AW80" s="1" t="str">
        <f>IFERROR(__xludf.DUMMYFUNCTION("""COMPUTED_VALUE"""),"FORMULARIO")</f>
        <v>FORMULARIO</v>
      </c>
      <c r="AX80" s="1" t="str">
        <f>IFERROR(__xludf.DUMMYFUNCTION("""COMPUTED_VALUE"""),"SEARCH MARCA")</f>
        <v>SEARCH MARCA</v>
      </c>
      <c r="AY80" s="1">
        <f>IFERROR(__xludf.DUMMYFUNCTION("""COMPUTED_VALUE"""),1.0)</f>
        <v>1</v>
      </c>
      <c r="AZ80" s="1" t="str">
        <f>IFERROR(__xludf.DUMMYFUNCTION("""COMPUTED_VALUE"""),"Angelica Iparraguirre")</f>
        <v>Angelica Iparraguirre</v>
      </c>
      <c r="BA80" s="5">
        <f>IFERROR(__xludf.DUMMYFUNCTION("""COMPUTED_VALUE"""),1.0)</f>
        <v>1</v>
      </c>
      <c r="BB80" s="6">
        <f>IFERROR(__xludf.DUMMYFUNCTION("""COMPUTED_VALUE"""),1050.0)</f>
        <v>1050</v>
      </c>
      <c r="BC80" s="1">
        <f>IFERROR(__xludf.DUMMYFUNCTION("""COMPUTED_VALUE"""),0.0)</f>
        <v>0</v>
      </c>
      <c r="BD80" s="1" t="str">
        <f>IFERROR(__xludf.DUMMYFUNCTION("""COMPUTED_VALUE""")," -")</f>
        <v> -</v>
      </c>
      <c r="BE80" s="1">
        <f>IFERROR(__xludf.DUMMYFUNCTION("""COMPUTED_VALUE"""),0.0)</f>
        <v>0</v>
      </c>
      <c r="BF80" s="1">
        <f>IFERROR(__xludf.DUMMYFUNCTION("""COMPUTED_VALUE"""),0.0)</f>
        <v>0</v>
      </c>
      <c r="BG80" s="3">
        <f>IFERROR(__xludf.DUMMYFUNCTION("""COMPUTED_VALUE"""),45829.0)</f>
        <v>45829</v>
      </c>
      <c r="BH80" s="1"/>
      <c r="BI80" s="1">
        <f>IFERROR(__xludf.DUMMYFUNCTION("""COMPUTED_VALUE"""),0.0)</f>
        <v>0</v>
      </c>
      <c r="BJ80" s="1" t="str">
        <f>IFERROR(__xludf.DUMMYFUNCTION("""COMPUTED_VALUE"""),"NUEVO")</f>
        <v>NUEVO</v>
      </c>
    </row>
    <row r="81">
      <c r="A81" s="1">
        <f>IFERROR(__xludf.DUMMYFUNCTION("""COMPUTED_VALUE"""),80.0)</f>
        <v>80</v>
      </c>
      <c r="B81" s="1">
        <f>IFERROR(__xludf.DUMMYFUNCTION("""COMPUTED_VALUE"""),5212489.0)</f>
        <v>5212489</v>
      </c>
      <c r="C81" s="1" t="str">
        <f>IFERROR(__xludf.DUMMYFUNCTION("""COMPUTED_VALUE"""),"2018007925")</f>
        <v>2018007925</v>
      </c>
      <c r="D81" s="1" t="str">
        <f>IFERROR(__xludf.DUMMYFUNCTION("""COMPUTED_VALUE"""),"GABRIEL FELIX ")</f>
        <v>GABRIEL FELIX </v>
      </c>
      <c r="E81" s="2" t="str">
        <f>IFERROR(__xludf.DUMMYFUNCTION("""COMPUTED_VALUE"""),"ARRIETA SANCHEZ")</f>
        <v>ARRIETA SANCHEZ</v>
      </c>
      <c r="F81" s="1">
        <f>IFERROR(__xludf.DUMMYFUNCTION("""COMPUTED_VALUE"""),7.1163895E7)</f>
        <v>71163895</v>
      </c>
      <c r="G81" s="1">
        <f>IFERROR(__xludf.DUMMYFUNCTION("""COMPUTED_VALUE"""),9.3389772E8)</f>
        <v>933897720</v>
      </c>
      <c r="H81" s="1" t="str">
        <f>IFERROR(__xludf.DUMMYFUNCTION("""COMPUTED_VALUE"""),"gaboluca08@gmail.com")</f>
        <v>gaboluca08@gmail.com</v>
      </c>
      <c r="I81" s="1" t="str">
        <f>IFERROR(__xludf.DUMMYFUNCTION("""COMPUTED_VALUE"""),"Psicología")</f>
        <v>Psicología</v>
      </c>
      <c r="J81" s="1" t="str">
        <f>IFERROR(__xludf.DUMMYFUNCTION("""COMPUTED_VALUE"""),"Psicología")</f>
        <v>Psicología</v>
      </c>
      <c r="K81" s="1" t="str">
        <f>IFERROR(__xludf.DUMMYFUNCTION("""COMPUTED_VALUE"""),"Nueva")</f>
        <v>Nueva</v>
      </c>
      <c r="L81" s="1" t="str">
        <f>IFERROR(__xludf.DUMMYFUNCTION("""COMPUTED_VALUE"""),"Admisión Ordinaria")</f>
        <v>Admisión Ordinaria</v>
      </c>
      <c r="M81" s="1" t="str">
        <f>IFERROR(__xludf.DUMMYFUNCTION("""COMPUTED_VALUE"""),"Presencial")</f>
        <v>Presencial</v>
      </c>
      <c r="N81" s="1" t="str">
        <f>IFERROR(__xludf.DUMMYFUNCTION("""COMPUTED_VALUE"""),"Diurno")</f>
        <v>Diurno</v>
      </c>
      <c r="O81" s="1" t="str">
        <f>IFERROR(__xludf.DUMMYFUNCTION("""COMPUTED_VALUE"""),"NUEVO")</f>
        <v>NUEVO</v>
      </c>
      <c r="P81" s="1" t="str">
        <f>IFERROR(__xludf.DUMMYFUNCTION("""COMPUTED_VALUE"""),"ESCALA REGULAR")</f>
        <v>ESCALA REGULAR</v>
      </c>
      <c r="Q81" s="1" t="str">
        <f>IFERROR(__xludf.DUMMYFUNCTION("""COMPUTED_VALUE"""),"NINGUNO")</f>
        <v>NINGUNO</v>
      </c>
      <c r="R81" s="1" t="str">
        <f>IFERROR(__xludf.DUMMYFUNCTION("""COMPUTED_VALUE"""),"NINGUNO")</f>
        <v>NINGUNO</v>
      </c>
      <c r="S81" s="1" t="str">
        <f>IFERROR(__xludf.DUMMYFUNCTION("""COMPUTED_VALUE"""),"FABIOLA")</f>
        <v>FABIOLA</v>
      </c>
      <c r="T81" s="3">
        <f>IFERROR(__xludf.DUMMYFUNCTION("""COMPUTED_VALUE"""),45820.0)</f>
        <v>45820</v>
      </c>
      <c r="U81" s="1" t="str">
        <f>IFERROR(__xludf.DUMMYFUNCTION("""COMPUTED_VALUE"""),"Pago Link")</f>
        <v>Pago Link</v>
      </c>
      <c r="V81" s="1" t="str">
        <f>IFERROR(__xludf.DUMMYFUNCTION("""COMPUTED_VALUE"""),"PAGO COMPLETO")</f>
        <v>PAGO COMPLETO</v>
      </c>
      <c r="W81" s="4">
        <f>IFERROR(__xludf.DUMMYFUNCTION("""COMPUTED_VALUE"""),0.0)</f>
        <v>0</v>
      </c>
      <c r="X81" s="1" t="str">
        <f>IFERROR(__xludf.DUMMYFUNCTION("""COMPUTED_VALUE"""),"-")</f>
        <v>-</v>
      </c>
      <c r="Y81" s="2">
        <f>IFERROR(__xludf.DUMMYFUNCTION("""COMPUTED_VALUE"""),45820.0)</f>
        <v>45820</v>
      </c>
      <c r="Z81" s="1" t="str">
        <f>IFERROR(__xludf.DUMMYFUNCTION("""COMPUTED_VALUE"""),"PAGO COMPLETO")</f>
        <v>PAGO COMPLETO</v>
      </c>
      <c r="AA81" s="1"/>
      <c r="AB81" s="1"/>
      <c r="AC81" s="4">
        <f>IFERROR(__xludf.DUMMYFUNCTION("""COMPUTED_VALUE"""),50.0)</f>
        <v>50</v>
      </c>
      <c r="AD81" s="4">
        <f>IFERROR(__xludf.DUMMYFUNCTION("""COMPUTED_VALUE"""),95.0)</f>
        <v>95</v>
      </c>
      <c r="AE81" s="4">
        <f>IFERROR(__xludf.DUMMYFUNCTION("""COMPUTED_VALUE"""),1500.0)</f>
        <v>1500</v>
      </c>
      <c r="AF81" s="4">
        <f>IFERROR(__xludf.DUMMYFUNCTION("""COMPUTED_VALUE"""),1500.0)</f>
        <v>1500</v>
      </c>
      <c r="AG81" s="1">
        <f>IFERROR(__xludf.DUMMYFUNCTION("""COMPUTED_VALUE"""),0.0)</f>
        <v>0</v>
      </c>
      <c r="AH81" s="1">
        <f>IFERROR(__xludf.DUMMYFUNCTION("""COMPUTED_VALUE"""),0.0)</f>
        <v>0</v>
      </c>
      <c r="AI81" s="1">
        <f>IFERROR(__xludf.DUMMYFUNCTION("""COMPUTED_VALUE"""),0.0)</f>
        <v>0</v>
      </c>
      <c r="AJ81" s="1">
        <f>IFERROR(__xludf.DUMMYFUNCTION("""COMPUTED_VALUE"""),1268192.0)</f>
        <v>1268192</v>
      </c>
      <c r="AK81" s="1" t="str">
        <f>IFERROR(__xludf.DUMMYFUNCTION("""COMPUTED_VALUE"""),"5kms a 10 kms")</f>
        <v>5kms a 10 kms</v>
      </c>
      <c r="AL81" s="1" t="str">
        <f>IFERROR(__xludf.DUMMYFUNCTION("""COMPUTED_VALUE"""),"09 1,300 a 1,499")</f>
        <v>09 1,300 a 1,499</v>
      </c>
      <c r="AM81" s="1" t="str">
        <f>IFERROR(__xludf.DUMMYFUNCTION("""COMPUTED_VALUE"""),"-")</f>
        <v>-</v>
      </c>
      <c r="AN81" s="1" t="str">
        <f>IFERROR(__xludf.DUMMYFUNCTION("""COMPUTED_VALUE""")," -")</f>
        <v> -</v>
      </c>
      <c r="AO81" s="1">
        <f>IFERROR(__xludf.DUMMYFUNCTION("""COMPUTED_VALUE"""),2024.0)</f>
        <v>2024</v>
      </c>
      <c r="AP81" s="3">
        <f>IFERROR(__xludf.DUMMYFUNCTION("""COMPUTED_VALUE"""),45809.0)</f>
        <v>45809</v>
      </c>
      <c r="AQ81" s="2">
        <f>IFERROR(__xludf.DUMMYFUNCTION("""COMPUTED_VALUE"""),45803.0)</f>
        <v>45803</v>
      </c>
      <c r="AR81" s="2">
        <f>IFERROR(__xludf.DUMMYFUNCTION("""COMPUTED_VALUE"""),45812.0)</f>
        <v>45812</v>
      </c>
      <c r="AS81" s="2">
        <f>IFERROR(__xludf.DUMMYFUNCTION("""COMPUTED_VALUE"""),45809.0)</f>
        <v>45809</v>
      </c>
      <c r="AT81" s="2">
        <f>IFERROR(__xludf.DUMMYFUNCTION("""COMPUTED_VALUE"""),45803.0)</f>
        <v>45803</v>
      </c>
      <c r="AU81" s="1">
        <f>IFERROR(__xludf.DUMMYFUNCTION("""COMPUTED_VALUE"""),8.0)</f>
        <v>8</v>
      </c>
      <c r="AV81" s="1" t="str">
        <f>IFERROR(__xludf.DUMMYFUNCTION("""COMPUTED_VALUE"""),"TRADICIONAL")</f>
        <v>TRADICIONAL</v>
      </c>
      <c r="AW81" s="1" t="str">
        <f>IFERROR(__xludf.DUMMYFUNCTION("""COMPUTED_VALUE"""),"VISITA")</f>
        <v>VISITA</v>
      </c>
      <c r="AX81" s="1" t="str">
        <f>IFERROR(__xludf.DUMMYFUNCTION("""COMPUTED_VALUE"""),"VISITA")</f>
        <v>VISITA</v>
      </c>
      <c r="AY81" s="1">
        <f>IFERROR(__xludf.DUMMYFUNCTION("""COMPUTED_VALUE"""),1.0)</f>
        <v>1</v>
      </c>
      <c r="AZ81" s="1" t="str">
        <f>IFERROR(__xludf.DUMMYFUNCTION("""COMPUTED_VALUE"""),"Fiorella Lanegra")</f>
        <v>Fiorella Lanegra</v>
      </c>
      <c r="BA81" s="5">
        <f>IFERROR(__xludf.DUMMYFUNCTION("""COMPUTED_VALUE"""),1.0)</f>
        <v>1</v>
      </c>
      <c r="BB81" s="6">
        <f>IFERROR(__xludf.DUMMYFUNCTION("""COMPUTED_VALUE"""),1500.0)</f>
        <v>1500</v>
      </c>
      <c r="BC81" s="1">
        <f>IFERROR(__xludf.DUMMYFUNCTION("""COMPUTED_VALUE"""),0.0)</f>
        <v>0</v>
      </c>
      <c r="BD81" s="1" t="str">
        <f>IFERROR(__xludf.DUMMYFUNCTION("""COMPUTED_VALUE""")," -")</f>
        <v> -</v>
      </c>
      <c r="BE81" s="1">
        <f>IFERROR(__xludf.DUMMYFUNCTION("""COMPUTED_VALUE"""),0.0)</f>
        <v>0</v>
      </c>
      <c r="BF81" s="1">
        <f>IFERROR(__xludf.DUMMYFUNCTION("""COMPUTED_VALUE"""),0.0)</f>
        <v>0</v>
      </c>
      <c r="BG81" s="3">
        <f>IFERROR(__xludf.DUMMYFUNCTION("""COMPUTED_VALUE"""),45829.0)</f>
        <v>45829</v>
      </c>
      <c r="BH81" s="1"/>
      <c r="BI81" s="1">
        <f>IFERROR(__xludf.DUMMYFUNCTION("""COMPUTED_VALUE"""),0.0)</f>
        <v>0</v>
      </c>
      <c r="BJ81" s="1" t="str">
        <f>IFERROR(__xludf.DUMMYFUNCTION("""COMPUTED_VALUE"""),"NUEVO")</f>
        <v>NUEVO</v>
      </c>
    </row>
    <row r="82">
      <c r="A82" s="1">
        <f>IFERROR(__xludf.DUMMYFUNCTION("""COMPUTED_VALUE"""),81.0)</f>
        <v>81</v>
      </c>
      <c r="B82" s="1">
        <f>IFERROR(__xludf.DUMMYFUNCTION("""COMPUTED_VALUE"""),4966378.0)</f>
        <v>4966378</v>
      </c>
      <c r="C82" s="1" t="str">
        <f>IFERROR(__xludf.DUMMYFUNCTION("""COMPUTED_VALUE"""),"0000428671")</f>
        <v>0000428671</v>
      </c>
      <c r="D82" s="1" t="str">
        <f>IFERROR(__xludf.DUMMYFUNCTION("""COMPUTED_VALUE"""),"JOSUE MANUEL ")</f>
        <v>JOSUE MANUEL </v>
      </c>
      <c r="E82" s="2" t="str">
        <f>IFERROR(__xludf.DUMMYFUNCTION("""COMPUTED_VALUE"""),"ROJAS SOLIER")</f>
        <v>ROJAS SOLIER</v>
      </c>
      <c r="F82" s="1">
        <f>IFERROR(__xludf.DUMMYFUNCTION("""COMPUTED_VALUE"""),7.2977741E7)</f>
        <v>72977741</v>
      </c>
      <c r="G82" s="1">
        <f>IFERROR(__xludf.DUMMYFUNCTION("""COMPUTED_VALUE"""),9.26241393E8)</f>
        <v>926241393</v>
      </c>
      <c r="H82" s="1" t="str">
        <f>IFERROR(__xludf.DUMMYFUNCTION("""COMPUTED_VALUE"""),"rojassolierjosuemauel@gmail.com")</f>
        <v>rojassolierjosuemauel@gmail.com</v>
      </c>
      <c r="I82" s="1" t="str">
        <f>IFERROR(__xludf.DUMMYFUNCTION("""COMPUTED_VALUE"""),"Psicología")</f>
        <v>Psicología</v>
      </c>
      <c r="J82" s="1" t="str">
        <f>IFERROR(__xludf.DUMMYFUNCTION("""COMPUTED_VALUE"""),"Psicología")</f>
        <v>Psicología</v>
      </c>
      <c r="K82" s="1" t="str">
        <f>IFERROR(__xludf.DUMMYFUNCTION("""COMPUTED_VALUE"""),"Nueva")</f>
        <v>Nueva</v>
      </c>
      <c r="L82" s="1" t="str">
        <f>IFERROR(__xludf.DUMMYFUNCTION("""COMPUTED_VALUE"""),"Admisión Extraordinaria (Traslados)")</f>
        <v>Admisión Extraordinaria (Traslados)</v>
      </c>
      <c r="M82" s="1" t="str">
        <f>IFERROR(__xludf.DUMMYFUNCTION("""COMPUTED_VALUE"""),"Presencial")</f>
        <v>Presencial</v>
      </c>
      <c r="N82" s="1" t="str">
        <f>IFERROR(__xludf.DUMMYFUNCTION("""COMPUTED_VALUE"""),"Diurno")</f>
        <v>Diurno</v>
      </c>
      <c r="O82" s="1" t="str">
        <f>IFERROR(__xludf.DUMMYFUNCTION("""COMPUTED_VALUE"""),"TRASLADO SIN CONVA")</f>
        <v>TRASLADO SIN CONVA</v>
      </c>
      <c r="P82" s="1" t="str">
        <f>IFERROR(__xludf.DUMMYFUNCTION("""COMPUTED_VALUE"""),"ESCALA REGULAR")</f>
        <v>ESCALA REGULAR</v>
      </c>
      <c r="Q82" s="1" t="str">
        <f>IFERROR(__xludf.DUMMYFUNCTION("""COMPUTED_VALUE"""),"NINGUNO")</f>
        <v>NINGUNO</v>
      </c>
      <c r="R82" s="1" t="str">
        <f>IFERROR(__xludf.DUMMYFUNCTION("""COMPUTED_VALUE"""),"NINGUNO")</f>
        <v>NINGUNO</v>
      </c>
      <c r="S82" s="1" t="str">
        <f>IFERROR(__xludf.DUMMYFUNCTION("""COMPUTED_VALUE"""),"FABIOLA")</f>
        <v>FABIOLA</v>
      </c>
      <c r="T82" s="3">
        <f>IFERROR(__xludf.DUMMYFUNCTION("""COMPUTED_VALUE"""),45820.0)</f>
        <v>45820</v>
      </c>
      <c r="U82" s="1" t="str">
        <f>IFERROR(__xludf.DUMMYFUNCTION("""COMPUTED_VALUE"""),"POS")</f>
        <v>POS</v>
      </c>
      <c r="V82" s="1" t="str">
        <f>IFERROR(__xludf.DUMMYFUNCTION("""COMPUTED_VALUE"""),"PAGO COMPLETO")</f>
        <v>PAGO COMPLETO</v>
      </c>
      <c r="W82" s="4">
        <f>IFERROR(__xludf.DUMMYFUNCTION("""COMPUTED_VALUE"""),0.0)</f>
        <v>0</v>
      </c>
      <c r="X82" s="1" t="str">
        <f>IFERROR(__xludf.DUMMYFUNCTION("""COMPUTED_VALUE"""),"-")</f>
        <v>-</v>
      </c>
      <c r="Y82" s="2">
        <f>IFERROR(__xludf.DUMMYFUNCTION("""COMPUTED_VALUE"""),45820.0)</f>
        <v>45820</v>
      </c>
      <c r="Z82" s="1" t="str">
        <f>IFERROR(__xludf.DUMMYFUNCTION("""COMPUTED_VALUE"""),"PAGO COMPLETO")</f>
        <v>PAGO COMPLETO</v>
      </c>
      <c r="AA82" s="1"/>
      <c r="AB82" s="1"/>
      <c r="AC82" s="4">
        <f>IFERROR(__xludf.DUMMYFUNCTION("""COMPUTED_VALUE"""),95.0)</f>
        <v>95</v>
      </c>
      <c r="AD82" s="4">
        <f>IFERROR(__xludf.DUMMYFUNCTION("""COMPUTED_VALUE"""),50.0)</f>
        <v>50</v>
      </c>
      <c r="AE82" s="4">
        <f>IFERROR(__xludf.DUMMYFUNCTION("""COMPUTED_VALUE"""),1050.0)</f>
        <v>1050</v>
      </c>
      <c r="AF82" s="4">
        <f>IFERROR(__xludf.DUMMYFUNCTION("""COMPUTED_VALUE"""),1050.0)</f>
        <v>1050</v>
      </c>
      <c r="AG82" s="1">
        <f>IFERROR(__xludf.DUMMYFUNCTION("""COMPUTED_VALUE"""),0.0)</f>
        <v>0</v>
      </c>
      <c r="AH82" s="1">
        <f>IFERROR(__xludf.DUMMYFUNCTION("""COMPUTED_VALUE"""),0.0)</f>
        <v>0</v>
      </c>
      <c r="AI82" s="1">
        <f>IFERROR(__xludf.DUMMYFUNCTION("""COMPUTED_VALUE"""),0.0)</f>
        <v>0</v>
      </c>
      <c r="AJ82" s="1">
        <f>IFERROR(__xludf.DUMMYFUNCTION("""COMPUTED_VALUE"""),1477132.0)</f>
        <v>1477132</v>
      </c>
      <c r="AK82" s="1" t="str">
        <f>IFERROR(__xludf.DUMMYFUNCTION("""COMPUTED_VALUE"""),"5kms a 10 kms")</f>
        <v>5kms a 10 kms</v>
      </c>
      <c r="AL82" s="1" t="str">
        <f>IFERROR(__xludf.DUMMYFUNCTION("""COMPUTED_VALUE"""),"04 200 a 300")</f>
        <v>04 200 a 300</v>
      </c>
      <c r="AM82" s="1" t="str">
        <f>IFERROR(__xludf.DUMMYFUNCTION("""COMPUTED_VALUE"""),"Universidad San Martin de Porres")</f>
        <v>Universidad San Martin de Porres</v>
      </c>
      <c r="AN82" s="1" t="str">
        <f>IFERROR(__xludf.DUMMYFUNCTION("""COMPUTED_VALUE""")," ")</f>
        <v> </v>
      </c>
      <c r="AO82" s="1">
        <f>IFERROR(__xludf.DUMMYFUNCTION("""COMPUTED_VALUE"""),2019.0)</f>
        <v>2019</v>
      </c>
      <c r="AP82" s="3">
        <f>IFERROR(__xludf.DUMMYFUNCTION("""COMPUTED_VALUE"""),45809.0)</f>
        <v>45809</v>
      </c>
      <c r="AQ82" s="2">
        <f>IFERROR(__xludf.DUMMYFUNCTION("""COMPUTED_VALUE"""),45803.0)</f>
        <v>45803</v>
      </c>
      <c r="AR82" s="2">
        <f>IFERROR(__xludf.DUMMYFUNCTION("""COMPUTED_VALUE"""),45819.0)</f>
        <v>45819</v>
      </c>
      <c r="AS82" s="2">
        <f>IFERROR(__xludf.DUMMYFUNCTION("""COMPUTED_VALUE"""),45809.0)</f>
        <v>45809</v>
      </c>
      <c r="AT82" s="2">
        <f>IFERROR(__xludf.DUMMYFUNCTION("""COMPUTED_VALUE"""),45803.0)</f>
        <v>45803</v>
      </c>
      <c r="AU82" s="1">
        <f>IFERROR(__xludf.DUMMYFUNCTION("""COMPUTED_VALUE"""),1.0)</f>
        <v>1</v>
      </c>
      <c r="AV82" s="1" t="str">
        <f>IFERROR(__xludf.DUMMYFUNCTION("""COMPUTED_VALUE"""),"TRADICIONAL")</f>
        <v>TRADICIONAL</v>
      </c>
      <c r="AW82" s="1" t="str">
        <f>IFERROR(__xludf.DUMMYFUNCTION("""COMPUTED_VALUE"""),"VISITA")</f>
        <v>VISITA</v>
      </c>
      <c r="AX82" s="1" t="str">
        <f>IFERROR(__xludf.DUMMYFUNCTION("""COMPUTED_VALUE"""),"VISITA")</f>
        <v>VISITA</v>
      </c>
      <c r="AY82" s="1">
        <f>IFERROR(__xludf.DUMMYFUNCTION("""COMPUTED_VALUE"""),1.0)</f>
        <v>1</v>
      </c>
      <c r="AZ82" s="1" t="str">
        <f>IFERROR(__xludf.DUMMYFUNCTION("""COMPUTED_VALUE"""),"Fiorella Lanegra")</f>
        <v>Fiorella Lanegra</v>
      </c>
      <c r="BA82" s="5">
        <f>IFERROR(__xludf.DUMMYFUNCTION("""COMPUTED_VALUE"""),1.0)</f>
        <v>1</v>
      </c>
      <c r="BB82" s="6">
        <f>IFERROR(__xludf.DUMMYFUNCTION("""COMPUTED_VALUE"""),1050.0)</f>
        <v>1050</v>
      </c>
      <c r="BC82" s="1">
        <f>IFERROR(__xludf.DUMMYFUNCTION("""COMPUTED_VALUE"""),0.0)</f>
        <v>0</v>
      </c>
      <c r="BD82" s="1" t="str">
        <f>IFERROR(__xludf.DUMMYFUNCTION("""COMPUTED_VALUE""")," -")</f>
        <v> -</v>
      </c>
      <c r="BE82" s="1">
        <f>IFERROR(__xludf.DUMMYFUNCTION("""COMPUTED_VALUE"""),0.0)</f>
        <v>0</v>
      </c>
      <c r="BF82" s="1">
        <f>IFERROR(__xludf.DUMMYFUNCTION("""COMPUTED_VALUE"""),0.0)</f>
        <v>0</v>
      </c>
      <c r="BG82" s="3">
        <f>IFERROR(__xludf.DUMMYFUNCTION("""COMPUTED_VALUE"""),45829.0)</f>
        <v>45829</v>
      </c>
      <c r="BH82" s="1"/>
      <c r="BI82" s="1">
        <f>IFERROR(__xludf.DUMMYFUNCTION("""COMPUTED_VALUE"""),0.0)</f>
        <v>0</v>
      </c>
      <c r="BJ82" s="1" t="str">
        <f>IFERROR(__xludf.DUMMYFUNCTION("""COMPUTED_VALUE"""),"NUEVO")</f>
        <v>NUEVO</v>
      </c>
    </row>
    <row r="83">
      <c r="A83" s="1">
        <f>IFERROR(__xludf.DUMMYFUNCTION("""COMPUTED_VALUE"""),82.0)</f>
        <v>82</v>
      </c>
      <c r="B83" s="1">
        <f>IFERROR(__xludf.DUMMYFUNCTION("""COMPUTED_VALUE"""),5255604.0)</f>
        <v>5255604</v>
      </c>
      <c r="C83" s="1" t="str">
        <f>IFERROR(__xludf.DUMMYFUNCTION("""COMPUTED_VALUE"""),"0000428618")</f>
        <v>0000428618</v>
      </c>
      <c r="D83" s="1" t="str">
        <f>IFERROR(__xludf.DUMMYFUNCTION("""COMPUTED_VALUE"""),"JOSÉ ADIEL ")</f>
        <v>JOSÉ ADIEL </v>
      </c>
      <c r="E83" s="2" t="str">
        <f>IFERROR(__xludf.DUMMYFUNCTION("""COMPUTED_VALUE"""),"MATEO LUDEÑA")</f>
        <v>MATEO LUDEÑA</v>
      </c>
      <c r="F83" s="1">
        <f>IFERROR(__xludf.DUMMYFUNCTION("""COMPUTED_VALUE"""),6.0551651E7)</f>
        <v>60551651</v>
      </c>
      <c r="G83" s="1">
        <f>IFERROR(__xludf.DUMMYFUNCTION("""COMPUTED_VALUE"""),9.82396931E8)</f>
        <v>982396931</v>
      </c>
      <c r="H83" s="1" t="str">
        <f>IFERROR(__xludf.DUMMYFUNCTION("""COMPUTED_VALUE"""),"josemateoludena@gmail.com")</f>
        <v>josemateoludena@gmail.com</v>
      </c>
      <c r="I83" s="1" t="str">
        <f>IFERROR(__xludf.DUMMYFUNCTION("""COMPUTED_VALUE"""),"Arquitectura")</f>
        <v>Arquitectura</v>
      </c>
      <c r="J83" s="1" t="str">
        <f>IFERROR(__xludf.DUMMYFUNCTION("""COMPUTED_VALUE"""),"Arquitecturas")</f>
        <v>Arquitecturas</v>
      </c>
      <c r="K83" s="1" t="str">
        <f>IFERROR(__xludf.DUMMYFUNCTION("""COMPUTED_VALUE"""),"Antigua")</f>
        <v>Antigua</v>
      </c>
      <c r="L83" s="1" t="str">
        <f>IFERROR(__xludf.DUMMYFUNCTION("""COMPUTED_VALUE"""),"Admisión Extraordinaria (Traslados)")</f>
        <v>Admisión Extraordinaria (Traslados)</v>
      </c>
      <c r="M83" s="1" t="str">
        <f>IFERROR(__xludf.DUMMYFUNCTION("""COMPUTED_VALUE"""),"Semi-presencial")</f>
        <v>Semi-presencial</v>
      </c>
      <c r="N83" s="1" t="str">
        <f>IFERROR(__xludf.DUMMYFUNCTION("""COMPUTED_VALUE"""),"Diurno")</f>
        <v>Diurno</v>
      </c>
      <c r="O83" s="1" t="str">
        <f>IFERROR(__xludf.DUMMYFUNCTION("""COMPUTED_VALUE"""),"TRASLADO SIN CONVA")</f>
        <v>TRASLADO SIN CONVA</v>
      </c>
      <c r="P83" s="1" t="str">
        <f>IFERROR(__xludf.DUMMYFUNCTION("""COMPUTED_VALUE"""),"BECA")</f>
        <v>BECA</v>
      </c>
      <c r="Q83" s="1" t="str">
        <f>IFERROR(__xludf.DUMMYFUNCTION("""COMPUTED_VALUE"""),"BECA CARRERAS NUEVAS-TRASLADOS SIN CONVA")</f>
        <v>BECA CARRERAS NUEVAS-TRASLADOS SIN CONVA</v>
      </c>
      <c r="R83" s="1" t="str">
        <f>IFERROR(__xludf.DUMMYFUNCTION("""COMPUTED_VALUE"""),"NINGUNO")</f>
        <v>NINGUNO</v>
      </c>
      <c r="S83" s="1" t="str">
        <f>IFERROR(__xludf.DUMMYFUNCTION("""COMPUTED_VALUE"""),"FABIOLA")</f>
        <v>FABIOLA</v>
      </c>
      <c r="T83" s="3">
        <f>IFERROR(__xludf.DUMMYFUNCTION("""COMPUTED_VALUE"""),45820.0)</f>
        <v>45820</v>
      </c>
      <c r="U83" s="1" t="str">
        <f>IFERROR(__xludf.DUMMYFUNCTION("""COMPUTED_VALUE"""),"POS")</f>
        <v>POS</v>
      </c>
      <c r="V83" s="1" t="str">
        <f>IFERROR(__xludf.DUMMYFUNCTION("""COMPUTED_VALUE"""),"PAGO FRACCIONADO")</f>
        <v>PAGO FRACCIONADO</v>
      </c>
      <c r="W83" s="4">
        <f>IFERROR(__xludf.DUMMYFUNCTION("""COMPUTED_VALUE"""),785.0)</f>
        <v>785</v>
      </c>
      <c r="X83" s="1" t="str">
        <f>IFERROR(__xludf.DUMMYFUNCTION("""COMPUTED_VALUE"""),"30/06/2025")</f>
        <v>30/06/2025</v>
      </c>
      <c r="Y83" s="1"/>
      <c r="Z83" s="1" t="str">
        <f>IFERROR(__xludf.DUMMYFUNCTION("""COMPUTED_VALUE"""),"PAGO FRACCIONADO")</f>
        <v>PAGO FRACCIONADO</v>
      </c>
      <c r="AA83" s="1"/>
      <c r="AB83" s="1"/>
      <c r="AC83" s="4">
        <f>IFERROR(__xludf.DUMMYFUNCTION("""COMPUTED_VALUE"""),40.0)</f>
        <v>40</v>
      </c>
      <c r="AD83" s="4">
        <f>IFERROR(__xludf.DUMMYFUNCTION("""COMPUTED_VALUE"""),95.0)</f>
        <v>95</v>
      </c>
      <c r="AE83" s="4">
        <f>IFERROR(__xludf.DUMMYFUNCTION("""COMPUTED_VALUE"""),1050.0)</f>
        <v>1050</v>
      </c>
      <c r="AF83" s="4">
        <f>IFERROR(__xludf.DUMMYFUNCTION("""COMPUTED_VALUE"""),950.0)</f>
        <v>950</v>
      </c>
      <c r="AG83" s="1">
        <f>IFERROR(__xludf.DUMMYFUNCTION("""COMPUTED_VALUE"""),0.0)</f>
        <v>0</v>
      </c>
      <c r="AH83" s="1">
        <f>IFERROR(__xludf.DUMMYFUNCTION("""COMPUTED_VALUE"""),0.0)</f>
        <v>0</v>
      </c>
      <c r="AI83" s="1">
        <f>IFERROR(__xludf.DUMMYFUNCTION("""COMPUTED_VALUE"""),0.0)</f>
        <v>0</v>
      </c>
      <c r="AJ83" s="1">
        <f>IFERROR(__xludf.DUMMYFUNCTION("""COMPUTED_VALUE"""),692434.0)</f>
        <v>692434</v>
      </c>
      <c r="AK83" s="1" t="str">
        <f>IFERROR(__xludf.DUMMYFUNCTION("""COMPUTED_VALUE"""),"Menos de 5 kms")</f>
        <v>Menos de 5 kms</v>
      </c>
      <c r="AL83" s="1" t="str">
        <f>IFERROR(__xludf.DUMMYFUNCTION("""COMPUTED_VALUE"""),"01 Nacional")</f>
        <v>01 Nacional</v>
      </c>
      <c r="AM83" s="1" t="str">
        <f>IFERROR(__xludf.DUMMYFUNCTION("""COMPUTED_VALUE"""),"Universidad San Ignacio de Loyola - Usil")</f>
        <v>Universidad San Ignacio de Loyola - Usil</v>
      </c>
      <c r="AN83" s="1" t="str">
        <f>IFERROR(__xludf.DUMMYFUNCTION("""COMPUTED_VALUE""")," ")</f>
        <v> </v>
      </c>
      <c r="AO83" s="1">
        <f>IFERROR(__xludf.DUMMYFUNCTION("""COMPUTED_VALUE"""),2024.0)</f>
        <v>2024</v>
      </c>
      <c r="AP83" s="3">
        <f>IFERROR(__xludf.DUMMYFUNCTION("""COMPUTED_VALUE"""),45809.0)</f>
        <v>45809</v>
      </c>
      <c r="AQ83" s="2">
        <f>IFERROR(__xludf.DUMMYFUNCTION("""COMPUTED_VALUE"""),45803.0)</f>
        <v>45803</v>
      </c>
      <c r="AR83" s="2">
        <f>IFERROR(__xludf.DUMMYFUNCTION("""COMPUTED_VALUE"""),45819.0)</f>
        <v>45819</v>
      </c>
      <c r="AS83" s="2">
        <f>IFERROR(__xludf.DUMMYFUNCTION("""COMPUTED_VALUE"""),45809.0)</f>
        <v>45809</v>
      </c>
      <c r="AT83" s="2">
        <f>IFERROR(__xludf.DUMMYFUNCTION("""COMPUTED_VALUE"""),45803.0)</f>
        <v>45803</v>
      </c>
      <c r="AU83" s="1">
        <f>IFERROR(__xludf.DUMMYFUNCTION("""COMPUTED_VALUE"""),1.0)</f>
        <v>1</v>
      </c>
      <c r="AV83" s="1" t="str">
        <f>IFERROR(__xludf.DUMMYFUNCTION("""COMPUTED_VALUE"""),"TRADICIONAL")</f>
        <v>TRADICIONAL</v>
      </c>
      <c r="AW83" s="1" t="str">
        <f>IFERROR(__xludf.DUMMYFUNCTION("""COMPUTED_VALUE"""),"VISITA")</f>
        <v>VISITA</v>
      </c>
      <c r="AX83" s="1" t="str">
        <f>IFERROR(__xludf.DUMMYFUNCTION("""COMPUTED_VALUE"""),"VISITA")</f>
        <v>VISITA</v>
      </c>
      <c r="AY83" s="1">
        <f>IFERROR(__xludf.DUMMYFUNCTION("""COMPUTED_VALUE"""),1.0)</f>
        <v>1</v>
      </c>
      <c r="AZ83" s="1" t="str">
        <f>IFERROR(__xludf.DUMMYFUNCTION("""COMPUTED_VALUE"""),"Fiorella Lanegra")</f>
        <v>Fiorella Lanegra</v>
      </c>
      <c r="BA83" s="5">
        <f>IFERROR(__xludf.DUMMYFUNCTION("""COMPUTED_VALUE"""),0.2764976958525346)</f>
        <v>0.2764976959</v>
      </c>
      <c r="BB83" s="6">
        <f>IFERROR(__xludf.DUMMYFUNCTION("""COMPUTED_VALUE"""),950.0)</f>
        <v>950</v>
      </c>
      <c r="BC83" s="1">
        <f>IFERROR(__xludf.DUMMYFUNCTION("""COMPUTED_VALUE"""),0.0)</f>
        <v>0</v>
      </c>
      <c r="BD83" s="1" t="str">
        <f>IFERROR(__xludf.DUMMYFUNCTION("""COMPUTED_VALUE""")," -")</f>
        <v> -</v>
      </c>
      <c r="BE83" s="1">
        <f>IFERROR(__xludf.DUMMYFUNCTION("""COMPUTED_VALUE"""),0.0)</f>
        <v>0</v>
      </c>
      <c r="BF83" s="1">
        <f>IFERROR(__xludf.DUMMYFUNCTION("""COMPUTED_VALUE"""),0.0)</f>
        <v>0</v>
      </c>
      <c r="BG83" s="1"/>
      <c r="BH83" s="1"/>
      <c r="BI83" s="1">
        <f>IFERROR(__xludf.DUMMYFUNCTION("""COMPUTED_VALUE"""),0.0)</f>
        <v>0</v>
      </c>
      <c r="BJ83" s="1" t="str">
        <f>IFERROR(__xludf.DUMMYFUNCTION("""COMPUTED_VALUE"""),"NUEVO")</f>
        <v>NUEVO</v>
      </c>
    </row>
    <row r="84">
      <c r="A84" s="1">
        <f>IFERROR(__xludf.DUMMYFUNCTION("""COMPUTED_VALUE"""),83.0)</f>
        <v>83</v>
      </c>
      <c r="B84" s="1">
        <f>IFERROR(__xludf.DUMMYFUNCTION("""COMPUTED_VALUE"""),655118.0)</f>
        <v>655118</v>
      </c>
      <c r="C84" s="1" t="str">
        <f>IFERROR(__xludf.DUMMYFUNCTION("""COMPUTED_VALUE"""),"0000046213")</f>
        <v>0000046213</v>
      </c>
      <c r="D84" s="1" t="str">
        <f>IFERROR(__xludf.DUMMYFUNCTION("""COMPUTED_VALUE"""),"ANDREA DE LOS ANGELES")</f>
        <v>ANDREA DE LOS ANGELES</v>
      </c>
      <c r="E84" s="2" t="str">
        <f>IFERROR(__xludf.DUMMYFUNCTION("""COMPUTED_VALUE"""),"NAVARRO RODRIGUEZ")</f>
        <v>NAVARRO RODRIGUEZ</v>
      </c>
      <c r="F84" s="1">
        <f>IFERROR(__xludf.DUMMYFUNCTION("""COMPUTED_VALUE"""),7.6397304E7)</f>
        <v>76397304</v>
      </c>
      <c r="G84" s="1">
        <f>IFERROR(__xludf.DUMMYFUNCTION("""COMPUTED_VALUE"""),9.12168501E8)</f>
        <v>912168501</v>
      </c>
      <c r="H84" s="1" t="str">
        <f>IFERROR(__xludf.DUMMYFUNCTION("""COMPUTED_VALUE"""),"angelesandrea.nr@gmail.com")</f>
        <v>angelesandrea.nr@gmail.com</v>
      </c>
      <c r="I84" s="1" t="str">
        <f>IFERROR(__xludf.DUMMYFUNCTION("""COMPUTED_VALUE"""),"Administración y Marketing")</f>
        <v>Administración y Marketing</v>
      </c>
      <c r="J84" s="1" t="str">
        <f>IFERROR(__xludf.DUMMYFUNCTION("""COMPUTED_VALUE"""),"Negocios")</f>
        <v>Negocios</v>
      </c>
      <c r="K84" s="1" t="str">
        <f>IFERROR(__xludf.DUMMYFUNCTION("""COMPUTED_VALUE"""),"Nueva")</f>
        <v>Nueva</v>
      </c>
      <c r="L84" s="1" t="str">
        <f>IFERROR(__xludf.DUMMYFUNCTION("""COMPUTED_VALUE"""),"Admisión de Alto Rendimiento")</f>
        <v>Admisión de Alto Rendimiento</v>
      </c>
      <c r="M84" s="1" t="str">
        <f>IFERROR(__xludf.DUMMYFUNCTION("""COMPUTED_VALUE"""),"Virtual")</f>
        <v>Virtual</v>
      </c>
      <c r="N84" s="1" t="str">
        <f>IFERROR(__xludf.DUMMYFUNCTION("""COMPUTED_VALUE"""),"Nocturno - A distancia")</f>
        <v>Nocturno - A distancia</v>
      </c>
      <c r="O84" s="1" t="str">
        <f>IFERROR(__xludf.DUMMYFUNCTION("""COMPUTED_VALUE"""),"NUEVO")</f>
        <v>NUEVO</v>
      </c>
      <c r="P84" s="1" t="str">
        <f>IFERROR(__xludf.DUMMYFUNCTION("""COMPUTED_VALUE"""),"ESCALA REGULAR")</f>
        <v>ESCALA REGULAR</v>
      </c>
      <c r="Q84" s="1" t="str">
        <f>IFERROR(__xludf.DUMMYFUNCTION("""COMPUTED_VALUE"""),"NINGUNO")</f>
        <v>NINGUNO</v>
      </c>
      <c r="R84" s="1" t="str">
        <f>IFERROR(__xludf.DUMMYFUNCTION("""COMPUTED_VALUE"""),"NINGUNO")</f>
        <v>NINGUNO</v>
      </c>
      <c r="S84" s="1" t="str">
        <f>IFERROR(__xludf.DUMMYFUNCTION("""COMPUTED_VALUE"""),"-")</f>
        <v>-</v>
      </c>
      <c r="T84" s="3">
        <f>IFERROR(__xludf.DUMMYFUNCTION("""COMPUTED_VALUE"""),45821.0)</f>
        <v>45821</v>
      </c>
      <c r="U84" s="1" t="str">
        <f>IFERROR(__xludf.DUMMYFUNCTION("""COMPUTED_VALUE"""),"CARGO")</f>
        <v>CARGO</v>
      </c>
      <c r="V84" s="1" t="str">
        <f>IFERROR(__xludf.DUMMYFUNCTION("""COMPUTED_VALUE"""),"PAGO COMPLETO")</f>
        <v>PAGO COMPLETO</v>
      </c>
      <c r="W84" s="4">
        <f>IFERROR(__xludf.DUMMYFUNCTION("""COMPUTED_VALUE"""),0.0)</f>
        <v>0</v>
      </c>
      <c r="X84" s="1" t="str">
        <f>IFERROR(__xludf.DUMMYFUNCTION("""COMPUTED_VALUE"""),"-")</f>
        <v>-</v>
      </c>
      <c r="Y84" s="2">
        <f>IFERROR(__xludf.DUMMYFUNCTION("""COMPUTED_VALUE"""),45821.0)</f>
        <v>45821</v>
      </c>
      <c r="Z84" s="1" t="str">
        <f>IFERROR(__xludf.DUMMYFUNCTION("""COMPUTED_VALUE"""),"PAGO COMPLETO")</f>
        <v>PAGO COMPLETO</v>
      </c>
      <c r="AA84" s="1"/>
      <c r="AB84" s="1"/>
      <c r="AC84" s="4">
        <f>IFERROR(__xludf.DUMMYFUNCTION("""COMPUTED_VALUE"""),0.0)</f>
        <v>0</v>
      </c>
      <c r="AD84" s="4">
        <f>IFERROR(__xludf.DUMMYFUNCTION("""COMPUTED_VALUE"""),0.0)</f>
        <v>0</v>
      </c>
      <c r="AE84" s="4">
        <f>IFERROR(__xludf.DUMMYFUNCTION("""COMPUTED_VALUE"""),750.0)</f>
        <v>750</v>
      </c>
      <c r="AF84" s="4">
        <f>IFERROR(__xludf.DUMMYFUNCTION("""COMPUTED_VALUE"""),750.0)</f>
        <v>750</v>
      </c>
      <c r="AG84" s="1">
        <f>IFERROR(__xludf.DUMMYFUNCTION("""COMPUTED_VALUE"""),0.0)</f>
        <v>0</v>
      </c>
      <c r="AH84" s="1">
        <f>IFERROR(__xludf.DUMMYFUNCTION("""COMPUTED_VALUE"""),0.0)</f>
        <v>0</v>
      </c>
      <c r="AI84" s="1">
        <f>IFERROR(__xludf.DUMMYFUNCTION("""COMPUTED_VALUE"""),0.0)</f>
        <v>0</v>
      </c>
      <c r="AJ84" s="1">
        <f>IFERROR(__xludf.DUMMYFUNCTION("""COMPUTED_VALUE"""),1411438.0)</f>
        <v>1411438</v>
      </c>
      <c r="AK84" s="1" t="str">
        <f>IFERROR(__xludf.DUMMYFUNCTION("""COMPUTED_VALUE"""),"10 kms a 15 kms")</f>
        <v>10 kms a 15 kms</v>
      </c>
      <c r="AL84" s="1" t="str">
        <f>IFERROR(__xludf.DUMMYFUNCTION("""COMPUTED_VALUE"""),"01 Nacional")</f>
        <v>01 Nacional</v>
      </c>
      <c r="AM84" s="1" t="str">
        <f>IFERROR(__xludf.DUMMYFUNCTION("""COMPUTED_VALUE"""),"-")</f>
        <v>-</v>
      </c>
      <c r="AN84" s="1" t="str">
        <f>IFERROR(__xludf.DUMMYFUNCTION("""COMPUTED_VALUE""")," -")</f>
        <v> -</v>
      </c>
      <c r="AO84" s="1">
        <f>IFERROR(__xludf.DUMMYFUNCTION("""COMPUTED_VALUE"""),2014.0)</f>
        <v>2014</v>
      </c>
      <c r="AP84" s="3">
        <f>IFERROR(__xludf.DUMMYFUNCTION("""COMPUTED_VALUE"""),45809.0)</f>
        <v>45809</v>
      </c>
      <c r="AQ84" s="2">
        <f>IFERROR(__xludf.DUMMYFUNCTION("""COMPUTED_VALUE"""),45803.0)</f>
        <v>45803</v>
      </c>
      <c r="AR84" s="2">
        <f>IFERROR(__xludf.DUMMYFUNCTION("""COMPUTED_VALUE"""),45816.0)</f>
        <v>45816</v>
      </c>
      <c r="AS84" s="2">
        <f>IFERROR(__xludf.DUMMYFUNCTION("""COMPUTED_VALUE"""),45809.0)</f>
        <v>45809</v>
      </c>
      <c r="AT84" s="2">
        <f>IFERROR(__xludf.DUMMYFUNCTION("""COMPUTED_VALUE"""),45803.0)</f>
        <v>45803</v>
      </c>
      <c r="AU84" s="1">
        <f>IFERROR(__xludf.DUMMYFUNCTION("""COMPUTED_VALUE"""),5.0)</f>
        <v>5</v>
      </c>
      <c r="AV84" s="1" t="str">
        <f>IFERROR(__xludf.DUMMYFUNCTION("""COMPUTED_VALUE"""),"DIGITAL")</f>
        <v>DIGITAL</v>
      </c>
      <c r="AW84" s="1" t="str">
        <f>IFERROR(__xludf.DUMMYFUNCTION("""COMPUTED_VALUE"""),"FORMULARIO")</f>
        <v>FORMULARIO</v>
      </c>
      <c r="AX84" s="1" t="str">
        <f>IFERROR(__xludf.DUMMYFUNCTION("""COMPUTED_VALUE"""),"ORGANICO")</f>
        <v>ORGANICO</v>
      </c>
      <c r="AY84" s="1">
        <f>IFERROR(__xludf.DUMMYFUNCTION("""COMPUTED_VALUE"""),1.0)</f>
        <v>1</v>
      </c>
      <c r="AZ84" s="1" t="str">
        <f>IFERROR(__xludf.DUMMYFUNCTION("""COMPUTED_VALUE"""),"Andrea Araujo Antara")</f>
        <v>Andrea Araujo Antara</v>
      </c>
      <c r="BA84" s="5">
        <f>IFERROR(__xludf.DUMMYFUNCTION("""COMPUTED_VALUE"""),1.0)</f>
        <v>1</v>
      </c>
      <c r="BB84" s="6">
        <f>IFERROR(__xludf.DUMMYFUNCTION("""COMPUTED_VALUE"""),750.0)</f>
        <v>750</v>
      </c>
      <c r="BC84" s="1">
        <f>IFERROR(__xludf.DUMMYFUNCTION("""COMPUTED_VALUE"""),0.0)</f>
        <v>0</v>
      </c>
      <c r="BD84" s="1" t="str">
        <f>IFERROR(__xludf.DUMMYFUNCTION("""COMPUTED_VALUE""")," -")</f>
        <v> -</v>
      </c>
      <c r="BE84" s="1">
        <f>IFERROR(__xludf.DUMMYFUNCTION("""COMPUTED_VALUE"""),0.0)</f>
        <v>0</v>
      </c>
      <c r="BF84" s="1">
        <f>IFERROR(__xludf.DUMMYFUNCTION("""COMPUTED_VALUE"""),0.0)</f>
        <v>0</v>
      </c>
      <c r="BG84" s="3">
        <f>IFERROR(__xludf.DUMMYFUNCTION("""COMPUTED_VALUE"""),45829.0)</f>
        <v>45829</v>
      </c>
      <c r="BH84" s="1"/>
      <c r="BI84" s="1">
        <f>IFERROR(__xludf.DUMMYFUNCTION("""COMPUTED_VALUE"""),0.0)</f>
        <v>0</v>
      </c>
      <c r="BJ84" s="1" t="str">
        <f>IFERROR(__xludf.DUMMYFUNCTION("""COMPUTED_VALUE"""),"NUEVO")</f>
        <v>NUEVO</v>
      </c>
    </row>
    <row r="85">
      <c r="A85" s="1">
        <f>IFERROR(__xludf.DUMMYFUNCTION("""COMPUTED_VALUE"""),84.0)</f>
        <v>84</v>
      </c>
      <c r="B85" s="1">
        <f>IFERROR(__xludf.DUMMYFUNCTION("""COMPUTED_VALUE"""),5259374.0)</f>
        <v>5259374</v>
      </c>
      <c r="C85" s="1" t="str">
        <f>IFERROR(__xludf.DUMMYFUNCTION("""COMPUTED_VALUE"""),"0000428895")</f>
        <v>0000428895</v>
      </c>
      <c r="D85" s="1" t="str">
        <f>IFERROR(__xludf.DUMMYFUNCTION("""COMPUTED_VALUE"""),"JOSE PABLO")</f>
        <v>JOSE PABLO</v>
      </c>
      <c r="E85" s="2" t="str">
        <f>IFERROR(__xludf.DUMMYFUNCTION("""COMPUTED_VALUE"""),"AGUILAR JOVE")</f>
        <v>AGUILAR JOVE</v>
      </c>
      <c r="F85" s="1">
        <f>IFERROR(__xludf.DUMMYFUNCTION("""COMPUTED_VALUE"""),7.661458E7)</f>
        <v>76614580</v>
      </c>
      <c r="G85" s="1">
        <f>IFERROR(__xludf.DUMMYFUNCTION("""COMPUTED_VALUE"""),9.12982349E8)</f>
        <v>912982349</v>
      </c>
      <c r="H85" s="1" t="str">
        <f>IFERROR(__xludf.DUMMYFUNCTION("""COMPUTED_VALUE"""),"josepabloaguilarjove@gmail.com")</f>
        <v>josepabloaguilarjove@gmail.com</v>
      </c>
      <c r="I85" s="1" t="str">
        <f>IFERROR(__xludf.DUMMYFUNCTION("""COMPUTED_VALUE"""),"Comunicación Audiovisual y Cine")</f>
        <v>Comunicación Audiovisual y Cine</v>
      </c>
      <c r="J85" s="1" t="str">
        <f>IFERROR(__xludf.DUMMYFUNCTION("""COMPUTED_VALUE"""),"Comunicaciones")</f>
        <v>Comunicaciones</v>
      </c>
      <c r="K85" s="1" t="str">
        <f>IFERROR(__xludf.DUMMYFUNCTION("""COMPUTED_VALUE"""),"Antigua")</f>
        <v>Antigua</v>
      </c>
      <c r="L85" s="1" t="str">
        <f>IFERROR(__xludf.DUMMYFUNCTION("""COMPUTED_VALUE"""),"Admisión Extraordinaria (Traslados)")</f>
        <v>Admisión Extraordinaria (Traslados)</v>
      </c>
      <c r="M85" s="1" t="str">
        <f>IFERROR(__xludf.DUMMYFUNCTION("""COMPUTED_VALUE"""),"Semi-presencial")</f>
        <v>Semi-presencial</v>
      </c>
      <c r="N85" s="1" t="str">
        <f>IFERROR(__xludf.DUMMYFUNCTION("""COMPUTED_VALUE"""),"Diurno")</f>
        <v>Diurno</v>
      </c>
      <c r="O85" s="1" t="str">
        <f>IFERROR(__xludf.DUMMYFUNCTION("""COMPUTED_VALUE"""),"TRASLADO SIN CONVA")</f>
        <v>TRASLADO SIN CONVA</v>
      </c>
      <c r="P85" s="1" t="str">
        <f>IFERROR(__xludf.DUMMYFUNCTION("""COMPUTED_VALUE"""),"ESCALA REGULAR")</f>
        <v>ESCALA REGULAR</v>
      </c>
      <c r="Q85" s="1" t="str">
        <f>IFERROR(__xludf.DUMMYFUNCTION("""COMPUTED_VALUE"""),"NINGUNO")</f>
        <v>NINGUNO</v>
      </c>
      <c r="R85" s="1" t="str">
        <f>IFERROR(__xludf.DUMMYFUNCTION("""COMPUTED_VALUE"""),"NINGUNO")</f>
        <v>NINGUNO</v>
      </c>
      <c r="S85" s="1" t="str">
        <f>IFERROR(__xludf.DUMMYFUNCTION("""COMPUTED_VALUE"""),"-")</f>
        <v>-</v>
      </c>
      <c r="T85" s="3">
        <f>IFERROR(__xludf.DUMMYFUNCTION("""COMPUTED_VALUE"""),45824.0)</f>
        <v>45824</v>
      </c>
      <c r="U85" s="1" t="str">
        <f>IFERROR(__xludf.DUMMYFUNCTION("""COMPUTED_VALUE"""),"CARGO")</f>
        <v>CARGO</v>
      </c>
      <c r="V85" s="1" t="str">
        <f>IFERROR(__xludf.DUMMYFUNCTION("""COMPUTED_VALUE"""),"PAGO COMPLETO")</f>
        <v>PAGO COMPLETO</v>
      </c>
      <c r="W85" s="4">
        <f>IFERROR(__xludf.DUMMYFUNCTION("""COMPUTED_VALUE"""),0.0)</f>
        <v>0</v>
      </c>
      <c r="X85" s="1" t="str">
        <f>IFERROR(__xludf.DUMMYFUNCTION("""COMPUTED_VALUE"""),"-")</f>
        <v>-</v>
      </c>
      <c r="Y85" s="2">
        <f>IFERROR(__xludf.DUMMYFUNCTION("""COMPUTED_VALUE"""),45824.0)</f>
        <v>45824</v>
      </c>
      <c r="Z85" s="1" t="str">
        <f>IFERROR(__xludf.DUMMYFUNCTION("""COMPUTED_VALUE"""),"PAGO COMPLETO")</f>
        <v>PAGO COMPLETO</v>
      </c>
      <c r="AA85" s="1"/>
      <c r="AB85" s="1"/>
      <c r="AC85" s="4">
        <f>IFERROR(__xludf.DUMMYFUNCTION("""COMPUTED_VALUE"""),0.0)</f>
        <v>0</v>
      </c>
      <c r="AD85" s="4">
        <f>IFERROR(__xludf.DUMMYFUNCTION("""COMPUTED_VALUE"""),0.0)</f>
        <v>0</v>
      </c>
      <c r="AE85" s="4">
        <f>IFERROR(__xludf.DUMMYFUNCTION("""COMPUTED_VALUE"""),1050.0)</f>
        <v>1050</v>
      </c>
      <c r="AF85" s="4">
        <f>IFERROR(__xludf.DUMMYFUNCTION("""COMPUTED_VALUE"""),1050.0)</f>
        <v>1050</v>
      </c>
      <c r="AG85" s="1">
        <f>IFERROR(__xludf.DUMMYFUNCTION("""COMPUTED_VALUE"""),0.0)</f>
        <v>0</v>
      </c>
      <c r="AH85" s="1">
        <f>IFERROR(__xludf.DUMMYFUNCTION("""COMPUTED_VALUE"""),0.0)</f>
        <v>0</v>
      </c>
      <c r="AI85" s="1">
        <f>IFERROR(__xludf.DUMMYFUNCTION("""COMPUTED_VALUE"""),0.0)</f>
        <v>0</v>
      </c>
      <c r="AJ85" s="1">
        <f>IFERROR(__xludf.DUMMYFUNCTION("""COMPUTED_VALUE"""),1651439.0)</f>
        <v>1651439</v>
      </c>
      <c r="AK85" s="1" t="str">
        <f>IFERROR(__xludf.DUMMYFUNCTION("""COMPUTED_VALUE"""),"Más de 15 kms")</f>
        <v>Más de 15 kms</v>
      </c>
      <c r="AL85" s="1" t="str">
        <f>IFERROR(__xludf.DUMMYFUNCTION("""COMPUTED_VALUE"""),"06 551 a 800")</f>
        <v>06 551 a 800</v>
      </c>
      <c r="AM85" s="1" t="str">
        <f>IFERROR(__xludf.DUMMYFUNCTION("""COMPUTED_VALUE"""),"Universidad Jaime Bausate y Meza")</f>
        <v>Universidad Jaime Bausate y Meza</v>
      </c>
      <c r="AN85" s="1" t="str">
        <f>IFERROR(__xludf.DUMMYFUNCTION("""COMPUTED_VALUE""")," ")</f>
        <v> </v>
      </c>
      <c r="AO85" s="1">
        <f>IFERROR(__xludf.DUMMYFUNCTION("""COMPUTED_VALUE"""),2021.0)</f>
        <v>2021</v>
      </c>
      <c r="AP85" s="3">
        <f>IFERROR(__xludf.DUMMYFUNCTION("""COMPUTED_VALUE"""),45809.0)</f>
        <v>45809</v>
      </c>
      <c r="AQ85" s="2">
        <f>IFERROR(__xludf.DUMMYFUNCTION("""COMPUTED_VALUE"""),45803.0)</f>
        <v>45803</v>
      </c>
      <c r="AR85" s="2">
        <f>IFERROR(__xludf.DUMMYFUNCTION("""COMPUTED_VALUE"""),45821.0)</f>
        <v>45821</v>
      </c>
      <c r="AS85" s="2">
        <f>IFERROR(__xludf.DUMMYFUNCTION("""COMPUTED_VALUE"""),45809.0)</f>
        <v>45809</v>
      </c>
      <c r="AT85" s="2">
        <f>IFERROR(__xludf.DUMMYFUNCTION("""COMPUTED_VALUE"""),45803.0)</f>
        <v>45803</v>
      </c>
      <c r="AU85" s="1">
        <f>IFERROR(__xludf.DUMMYFUNCTION("""COMPUTED_VALUE"""),3.0)</f>
        <v>3</v>
      </c>
      <c r="AV85" s="1" t="str">
        <f>IFERROR(__xludf.DUMMYFUNCTION("""COMPUTED_VALUE"""),"DIGITAL")</f>
        <v>DIGITAL</v>
      </c>
      <c r="AW85" s="1" t="str">
        <f>IFERROR(__xludf.DUMMYFUNCTION("""COMPUTED_VALUE"""),"FORMULARIO")</f>
        <v>FORMULARIO</v>
      </c>
      <c r="AX85" s="1" t="str">
        <f>IFERROR(__xludf.DUMMYFUNCTION("""COMPUTED_VALUE"""),"SEARCH MARCA")</f>
        <v>SEARCH MARCA</v>
      </c>
      <c r="AY85" s="1">
        <f>IFERROR(__xludf.DUMMYFUNCTION("""COMPUTED_VALUE"""),1.0)</f>
        <v>1</v>
      </c>
      <c r="AZ85" s="1" t="str">
        <f>IFERROR(__xludf.DUMMYFUNCTION("""COMPUTED_VALUE"""),"Andrea Araujo Antara")</f>
        <v>Andrea Araujo Antara</v>
      </c>
      <c r="BA85" s="5">
        <f>IFERROR(__xludf.DUMMYFUNCTION("""COMPUTED_VALUE"""),1.0)</f>
        <v>1</v>
      </c>
      <c r="BB85" s="6">
        <f>IFERROR(__xludf.DUMMYFUNCTION("""COMPUTED_VALUE"""),1050.0)</f>
        <v>1050</v>
      </c>
      <c r="BC85" s="1">
        <f>IFERROR(__xludf.DUMMYFUNCTION("""COMPUTED_VALUE"""),0.0)</f>
        <v>0</v>
      </c>
      <c r="BD85" s="1" t="str">
        <f>IFERROR(__xludf.DUMMYFUNCTION("""COMPUTED_VALUE""")," -")</f>
        <v> -</v>
      </c>
      <c r="BE85" s="1">
        <f>IFERROR(__xludf.DUMMYFUNCTION("""COMPUTED_VALUE"""),0.0)</f>
        <v>0</v>
      </c>
      <c r="BF85" s="1">
        <f>IFERROR(__xludf.DUMMYFUNCTION("""COMPUTED_VALUE"""),0.0)</f>
        <v>0</v>
      </c>
      <c r="BG85" s="3">
        <f>IFERROR(__xludf.DUMMYFUNCTION("""COMPUTED_VALUE"""),45829.0)</f>
        <v>45829</v>
      </c>
      <c r="BH85" s="1"/>
      <c r="BI85" s="1">
        <f>IFERROR(__xludf.DUMMYFUNCTION("""COMPUTED_VALUE"""),0.0)</f>
        <v>0</v>
      </c>
      <c r="BJ85" s="1" t="str">
        <f>IFERROR(__xludf.DUMMYFUNCTION("""COMPUTED_VALUE"""),"NUEVO")</f>
        <v>NUEVO</v>
      </c>
    </row>
    <row r="86">
      <c r="A86" s="1">
        <f>IFERROR(__xludf.DUMMYFUNCTION("""COMPUTED_VALUE"""),85.0)</f>
        <v>85</v>
      </c>
      <c r="B86" s="1">
        <f>IFERROR(__xludf.DUMMYFUNCTION("""COMPUTED_VALUE"""),5247398.0)</f>
        <v>5247398</v>
      </c>
      <c r="C86" s="1" t="str">
        <f>IFERROR(__xludf.DUMMYFUNCTION("""COMPUTED_VALUE"""),"0000428364")</f>
        <v>0000428364</v>
      </c>
      <c r="D86" s="1" t="str">
        <f>IFERROR(__xludf.DUMMYFUNCTION("""COMPUTED_VALUE"""),"DARIANA YARI")</f>
        <v>DARIANA YARI</v>
      </c>
      <c r="E86" s="2" t="str">
        <f>IFERROR(__xludf.DUMMYFUNCTION("""COMPUTED_VALUE"""),"DIOSES PURIZACA")</f>
        <v>DIOSES PURIZACA</v>
      </c>
      <c r="F86" s="1">
        <f>IFERROR(__xludf.DUMMYFUNCTION("""COMPUTED_VALUE"""),6.1323781E7)</f>
        <v>61323781</v>
      </c>
      <c r="G86" s="1">
        <f>IFERROR(__xludf.DUMMYFUNCTION("""COMPUTED_VALUE"""),9.40492517E8)</f>
        <v>940492517</v>
      </c>
      <c r="H86" s="1" t="str">
        <f>IFERROR(__xludf.DUMMYFUNCTION("""COMPUTED_VALUE"""),"yaridioses17@gmail.com")</f>
        <v>yaridioses17@gmail.com</v>
      </c>
      <c r="I86" s="1" t="str">
        <f>IFERROR(__xludf.DUMMYFUNCTION("""COMPUTED_VALUE"""),"Comunicación Audiovisual y Cine")</f>
        <v>Comunicación Audiovisual y Cine</v>
      </c>
      <c r="J86" s="1" t="str">
        <f>IFERROR(__xludf.DUMMYFUNCTION("""COMPUTED_VALUE"""),"Comunicaciones")</f>
        <v>Comunicaciones</v>
      </c>
      <c r="K86" s="1" t="str">
        <f>IFERROR(__xludf.DUMMYFUNCTION("""COMPUTED_VALUE"""),"Antigua")</f>
        <v>Antigua</v>
      </c>
      <c r="L86" s="1" t="str">
        <f>IFERROR(__xludf.DUMMYFUNCTION("""COMPUTED_VALUE"""),"Admisión de Alto Rendimiento")</f>
        <v>Admisión de Alto Rendimiento</v>
      </c>
      <c r="M86" s="1" t="str">
        <f>IFERROR(__xludf.DUMMYFUNCTION("""COMPUTED_VALUE"""),"Semi-presencial")</f>
        <v>Semi-presencial</v>
      </c>
      <c r="N86" s="1" t="str">
        <f>IFERROR(__xludf.DUMMYFUNCTION("""COMPUTED_VALUE"""),"Diurno")</f>
        <v>Diurno</v>
      </c>
      <c r="O86" s="1" t="str">
        <f>IFERROR(__xludf.DUMMYFUNCTION("""COMPUTED_VALUE"""),"NUEVO")</f>
        <v>NUEVO</v>
      </c>
      <c r="P86" s="1" t="str">
        <f>IFERROR(__xludf.DUMMYFUNCTION("""COMPUTED_VALUE"""),"BECA")</f>
        <v>BECA</v>
      </c>
      <c r="Q86" s="1" t="str">
        <f>IFERROR(__xludf.DUMMYFUNCTION("""COMPUTED_VALUE"""),"BECA CARRERAS CORE")</f>
        <v>BECA CARRERAS CORE</v>
      </c>
      <c r="R86" s="1" t="str">
        <f>IFERROR(__xludf.DUMMYFUNCTION("""COMPUTED_VALUE"""),"NINGUNO")</f>
        <v>NINGUNO</v>
      </c>
      <c r="S86" s="1" t="str">
        <f>IFERROR(__xludf.DUMMYFUNCTION("""COMPUTED_VALUE"""),"-")</f>
        <v>-</v>
      </c>
      <c r="T86" s="3">
        <f>IFERROR(__xludf.DUMMYFUNCTION("""COMPUTED_VALUE"""),45824.0)</f>
        <v>45824</v>
      </c>
      <c r="U86" s="1" t="str">
        <f>IFERROR(__xludf.DUMMYFUNCTION("""COMPUTED_VALUE"""),"CARGO")</f>
        <v>CARGO</v>
      </c>
      <c r="V86" s="1" t="str">
        <f>IFERROR(__xludf.DUMMYFUNCTION("""COMPUTED_VALUE"""),"PAGO COMPLETO")</f>
        <v>PAGO COMPLETO</v>
      </c>
      <c r="W86" s="4">
        <f>IFERROR(__xludf.DUMMYFUNCTION("""COMPUTED_VALUE"""),0.0)</f>
        <v>0</v>
      </c>
      <c r="X86" s="1" t="str">
        <f>IFERROR(__xludf.DUMMYFUNCTION("""COMPUTED_VALUE"""),"-")</f>
        <v>-</v>
      </c>
      <c r="Y86" s="2">
        <f>IFERROR(__xludf.DUMMYFUNCTION("""COMPUTED_VALUE"""),45824.0)</f>
        <v>45824</v>
      </c>
      <c r="Z86" s="1" t="str">
        <f>IFERROR(__xludf.DUMMYFUNCTION("""COMPUTED_VALUE"""),"PAGO COMPLETO")</f>
        <v>PAGO COMPLETO</v>
      </c>
      <c r="AA86" s="1"/>
      <c r="AB86" s="1"/>
      <c r="AC86" s="4">
        <f>IFERROR(__xludf.DUMMYFUNCTION("""COMPUTED_VALUE"""),50.0)</f>
        <v>50</v>
      </c>
      <c r="AD86" s="4">
        <f>IFERROR(__xludf.DUMMYFUNCTION("""COMPUTED_VALUE"""),95.0)</f>
        <v>95</v>
      </c>
      <c r="AE86" s="4">
        <f>IFERROR(__xludf.DUMMYFUNCTION("""COMPUTED_VALUE"""),1350.0)</f>
        <v>1350</v>
      </c>
      <c r="AF86" s="4">
        <f>IFERROR(__xludf.DUMMYFUNCTION("""COMPUTED_VALUE"""),1150.0)</f>
        <v>1150</v>
      </c>
      <c r="AG86" s="1">
        <f>IFERROR(__xludf.DUMMYFUNCTION("""COMPUTED_VALUE"""),0.0)</f>
        <v>0</v>
      </c>
      <c r="AH86" s="1">
        <f>IFERROR(__xludf.DUMMYFUNCTION("""COMPUTED_VALUE"""),0.0)</f>
        <v>0</v>
      </c>
      <c r="AI86" s="1">
        <f>IFERROR(__xludf.DUMMYFUNCTION("""COMPUTED_VALUE"""),0.0)</f>
        <v>0</v>
      </c>
      <c r="AJ86" s="1">
        <f>IFERROR(__xludf.DUMMYFUNCTION("""COMPUTED_VALUE"""),1739564.0)</f>
        <v>1739564</v>
      </c>
      <c r="AK86" s="1" t="str">
        <f>IFERROR(__xludf.DUMMYFUNCTION("""COMPUTED_VALUE"""),"Más de 15 kms")</f>
        <v>Más de 15 kms</v>
      </c>
      <c r="AL86" s="1" t="str">
        <f>IFERROR(__xludf.DUMMYFUNCTION("""COMPUTED_VALUE"""),"04 200 a 300")</f>
        <v>04 200 a 300</v>
      </c>
      <c r="AM86" s="1" t="str">
        <f>IFERROR(__xludf.DUMMYFUNCTION("""COMPUTED_VALUE"""),"-")</f>
        <v>-</v>
      </c>
      <c r="AN86" s="1" t="str">
        <f>IFERROR(__xludf.DUMMYFUNCTION("""COMPUTED_VALUE""")," -")</f>
        <v> -</v>
      </c>
      <c r="AO86" s="1">
        <f>IFERROR(__xludf.DUMMYFUNCTION("""COMPUTED_VALUE"""),2024.0)</f>
        <v>2024</v>
      </c>
      <c r="AP86" s="3">
        <f>IFERROR(__xludf.DUMMYFUNCTION("""COMPUTED_VALUE"""),45809.0)</f>
        <v>45809</v>
      </c>
      <c r="AQ86" s="2">
        <f>IFERROR(__xludf.DUMMYFUNCTION("""COMPUTED_VALUE"""),45803.0)</f>
        <v>45803</v>
      </c>
      <c r="AR86" s="2">
        <f>IFERROR(__xludf.DUMMYFUNCTION("""COMPUTED_VALUE"""),45814.0)</f>
        <v>45814</v>
      </c>
      <c r="AS86" s="2">
        <f>IFERROR(__xludf.DUMMYFUNCTION("""COMPUTED_VALUE"""),45809.0)</f>
        <v>45809</v>
      </c>
      <c r="AT86" s="2">
        <f>IFERROR(__xludf.DUMMYFUNCTION("""COMPUTED_VALUE"""),45803.0)</f>
        <v>45803</v>
      </c>
      <c r="AU86" s="1">
        <f>IFERROR(__xludf.DUMMYFUNCTION("""COMPUTED_VALUE"""),10.0)</f>
        <v>10</v>
      </c>
      <c r="AV86" s="1" t="str">
        <f>IFERROR(__xludf.DUMMYFUNCTION("""COMPUTED_VALUE"""),"OUTBOUND")</f>
        <v>OUTBOUND</v>
      </c>
      <c r="AW86" s="1" t="str">
        <f>IFERROR(__xludf.DUMMYFUNCTION("""COMPUTED_VALUE"""),"OUTBOUND")</f>
        <v>OUTBOUND</v>
      </c>
      <c r="AX86" s="1" t="str">
        <f>IFERROR(__xludf.DUMMYFUNCTION("""COMPUTED_VALUE"""),"OUTBOUND")</f>
        <v>OUTBOUND</v>
      </c>
      <c r="AY86" s="1">
        <f>IFERROR(__xludf.DUMMYFUNCTION("""COMPUTED_VALUE"""),1.0)</f>
        <v>1</v>
      </c>
      <c r="AZ86" s="1" t="str">
        <f>IFERROR(__xludf.DUMMYFUNCTION("""COMPUTED_VALUE"""),"Angelica Iparraguirre")</f>
        <v>Angelica Iparraguirre</v>
      </c>
      <c r="BA86" s="5">
        <f>IFERROR(__xludf.DUMMYFUNCTION("""COMPUTED_VALUE"""),1.0)</f>
        <v>1</v>
      </c>
      <c r="BB86" s="6">
        <f>IFERROR(__xludf.DUMMYFUNCTION("""COMPUTED_VALUE"""),1150.0)</f>
        <v>1150</v>
      </c>
      <c r="BC86" s="1">
        <f>IFERROR(__xludf.DUMMYFUNCTION("""COMPUTED_VALUE"""),0.0)</f>
        <v>0</v>
      </c>
      <c r="BD86" s="1" t="str">
        <f>IFERROR(__xludf.DUMMYFUNCTION("""COMPUTED_VALUE""")," -")</f>
        <v> -</v>
      </c>
      <c r="BE86" s="1">
        <f>IFERROR(__xludf.DUMMYFUNCTION("""COMPUTED_VALUE"""),0.0)</f>
        <v>0</v>
      </c>
      <c r="BF86" s="1">
        <f>IFERROR(__xludf.DUMMYFUNCTION("""COMPUTED_VALUE"""),0.0)</f>
        <v>0</v>
      </c>
      <c r="BG86" s="3">
        <f>IFERROR(__xludf.DUMMYFUNCTION("""COMPUTED_VALUE"""),45829.0)</f>
        <v>45829</v>
      </c>
      <c r="BH86" s="1"/>
      <c r="BI86" s="1">
        <f>IFERROR(__xludf.DUMMYFUNCTION("""COMPUTED_VALUE"""),0.0)</f>
        <v>0</v>
      </c>
      <c r="BJ86" s="1" t="str">
        <f>IFERROR(__xludf.DUMMYFUNCTION("""COMPUTED_VALUE"""),"NUEVO")</f>
        <v>NUEVO</v>
      </c>
    </row>
    <row r="87">
      <c r="A87" s="1">
        <f>IFERROR(__xludf.DUMMYFUNCTION("""COMPUTED_VALUE"""),86.0)</f>
        <v>86</v>
      </c>
      <c r="B87" s="1">
        <f>IFERROR(__xludf.DUMMYFUNCTION("""COMPUTED_VALUE"""),429020.0)</f>
        <v>429020</v>
      </c>
      <c r="C87" s="1"/>
      <c r="D87" s="1" t="str">
        <f>IFERROR(__xludf.DUMMYFUNCTION("""COMPUTED_VALUE"""),"YARETZI")</f>
        <v>YARETZI</v>
      </c>
      <c r="E87" s="2" t="str">
        <f>IFERROR(__xludf.DUMMYFUNCTION("""COMPUTED_VALUE"""),"QUINTANA WICHE")</f>
        <v>QUINTANA WICHE</v>
      </c>
      <c r="F87" s="1"/>
      <c r="G87" s="1"/>
      <c r="H87" s="1"/>
      <c r="I87" s="1" t="str">
        <f>IFERROR(__xludf.DUMMYFUNCTION("""COMPUTED_VALUE"""),"Comunicación Audiovisual y Cine")</f>
        <v>Comunicación Audiovisual y Cine</v>
      </c>
      <c r="J87" s="1" t="str">
        <f>IFERROR(__xludf.DUMMYFUNCTION("""COMPUTED_VALUE"""),"Comunicaciones")</f>
        <v>Comunicaciones</v>
      </c>
      <c r="K87" s="1" t="str">
        <f>IFERROR(__xludf.DUMMYFUNCTION("""COMPUTED_VALUE"""),"Antigua")</f>
        <v>Antigua</v>
      </c>
      <c r="L87" s="1" t="str">
        <f>IFERROR(__xludf.DUMMYFUNCTION("""COMPUTED_VALUE"""),"Admisión Extraordinaria (Traslados)")</f>
        <v>Admisión Extraordinaria (Traslados)</v>
      </c>
      <c r="M87" s="1" t="str">
        <f>IFERROR(__xludf.DUMMYFUNCTION("""COMPUTED_VALUE"""),"Semi-presencial")</f>
        <v>Semi-presencial</v>
      </c>
      <c r="N87" s="1" t="str">
        <f>IFERROR(__xludf.DUMMYFUNCTION("""COMPUTED_VALUE"""),"Diurno")</f>
        <v>Diurno</v>
      </c>
      <c r="O87" s="1" t="str">
        <f>IFERROR(__xludf.DUMMYFUNCTION("""COMPUTED_VALUE"""),"TRASLADO SIN CONVA")</f>
        <v>TRASLADO SIN CONVA</v>
      </c>
      <c r="P87" s="1" t="str">
        <f>IFERROR(__xludf.DUMMYFUNCTION("""COMPUTED_VALUE"""),"ESCALA REGULAR")</f>
        <v>ESCALA REGULAR</v>
      </c>
      <c r="Q87" s="1" t="str">
        <f>IFERROR(__xludf.DUMMYFUNCTION("""COMPUTED_VALUE"""),"NINGUNO")</f>
        <v>NINGUNO</v>
      </c>
      <c r="R87" s="1" t="str">
        <f>IFERROR(__xludf.DUMMYFUNCTION("""COMPUTED_VALUE"""),"Visita Guiada")</f>
        <v>Visita Guiada</v>
      </c>
      <c r="S87" s="1" t="str">
        <f>IFERROR(__xludf.DUMMYFUNCTION("""COMPUTED_VALUE"""),"RODRIGO")</f>
        <v>RODRIGO</v>
      </c>
      <c r="T87" s="3">
        <f>IFERROR(__xludf.DUMMYFUNCTION("""COMPUTED_VALUE"""),45825.0)</f>
        <v>45825</v>
      </c>
      <c r="U87" s="1" t="str">
        <f>IFERROR(__xludf.DUMMYFUNCTION("""COMPUTED_VALUE"""),"Pago Link")</f>
        <v>Pago Link</v>
      </c>
      <c r="V87" s="1" t="str">
        <f>IFERROR(__xludf.DUMMYFUNCTION("""COMPUTED_VALUE"""),"PAGO FRACCIONADO")</f>
        <v>PAGO FRACCIONADO</v>
      </c>
      <c r="W87" s="4">
        <f>IFERROR(__xludf.DUMMYFUNCTION("""COMPUTED_VALUE"""),700.0)</f>
        <v>700</v>
      </c>
      <c r="X87" s="1"/>
      <c r="Y87" s="1"/>
      <c r="Z87" s="1" t="str">
        <f>IFERROR(__xludf.DUMMYFUNCTION("""COMPUTED_VALUE"""),"PAGO FRACCIONADO")</f>
        <v>PAGO FRACCIONADO</v>
      </c>
      <c r="AA87" s="1"/>
      <c r="AB87" s="1"/>
      <c r="AC87" s="4">
        <f>IFERROR(__xludf.DUMMYFUNCTION("""COMPUTED_VALUE"""),0.0)</f>
        <v>0</v>
      </c>
      <c r="AD87" s="4">
        <f>IFERROR(__xludf.DUMMYFUNCTION("""COMPUTED_VALUE"""),0.0)</f>
        <v>0</v>
      </c>
      <c r="AE87" s="4">
        <f>IFERROR(__xludf.DUMMYFUNCTION("""COMPUTED_VALUE"""),1500.0)</f>
        <v>1500</v>
      </c>
      <c r="AF87" s="4">
        <f>IFERROR(__xludf.DUMMYFUNCTION("""COMPUTED_VALUE"""),1500.0)</f>
        <v>1500</v>
      </c>
      <c r="AG87" s="1">
        <f>IFERROR(__xludf.DUMMYFUNCTION("""COMPUTED_VALUE"""),0.0)</f>
        <v>0</v>
      </c>
      <c r="AH87" s="1">
        <f>IFERROR(__xludf.DUMMYFUNCTION("""COMPUTED_VALUE"""),0.0)</f>
        <v>0</v>
      </c>
      <c r="AI87" s="1">
        <f>IFERROR(__xludf.DUMMYFUNCTION("""COMPUTED_VALUE"""),0.0)</f>
        <v>0</v>
      </c>
      <c r="AJ87" s="1"/>
      <c r="AK87" s="1"/>
      <c r="AL87" s="1"/>
      <c r="AM87" s="1"/>
      <c r="AN87" s="1" t="str">
        <f>IFERROR(__xludf.DUMMYFUNCTION("""COMPUTED_VALUE""")," ")</f>
        <v> </v>
      </c>
      <c r="AO87" s="1"/>
      <c r="AP87" s="3">
        <f>IFERROR(__xludf.DUMMYFUNCTION("""COMPUTED_VALUE"""),45809.0)</f>
        <v>45809</v>
      </c>
      <c r="AQ87" s="2">
        <f>IFERROR(__xludf.DUMMYFUNCTION("""COMPUTED_VALUE"""),45803.0)</f>
        <v>45803</v>
      </c>
      <c r="AR87" s="1"/>
      <c r="AS87" s="1"/>
      <c r="AT87" s="1"/>
      <c r="AU87" s="1"/>
      <c r="AV87" s="1"/>
      <c r="AW87" s="1"/>
      <c r="AX87" s="1"/>
      <c r="AY87" s="1">
        <f>IFERROR(__xludf.DUMMYFUNCTION("""COMPUTED_VALUE"""),1.0)</f>
        <v>1</v>
      </c>
      <c r="AZ87" s="1" t="str">
        <f>IFERROR(__xludf.DUMMYFUNCTION("""COMPUTED_VALUE"""),"Juan Manuel Rodríguez")</f>
        <v>Juan Manuel Rodríguez</v>
      </c>
      <c r="BA87" s="5">
        <f>IFERROR(__xludf.DUMMYFUNCTION("""COMPUTED_VALUE"""),0.5)</f>
        <v>0.5</v>
      </c>
      <c r="BB87" s="6">
        <f>IFERROR(__xludf.DUMMYFUNCTION("""COMPUTED_VALUE"""),1480.0)</f>
        <v>1480</v>
      </c>
      <c r="BC87" s="1">
        <f>IFERROR(__xludf.DUMMYFUNCTION("""COMPUTED_VALUE"""),0.0)</f>
        <v>0</v>
      </c>
      <c r="BD87" s="1" t="str">
        <f>IFERROR(__xludf.DUMMYFUNCTION("""COMPUTED_VALUE""")," -")</f>
        <v> -</v>
      </c>
      <c r="BE87" s="1">
        <f>IFERROR(__xludf.DUMMYFUNCTION("""COMPUTED_VALUE"""),0.0)</f>
        <v>0</v>
      </c>
      <c r="BF87" s="1">
        <f>IFERROR(__xludf.DUMMYFUNCTION("""COMPUTED_VALUE"""),0.0)</f>
        <v>0</v>
      </c>
      <c r="BG87" s="3">
        <f>IFERROR(__xludf.DUMMYFUNCTION("""COMPUTED_VALUE"""),45829.0)</f>
        <v>45829</v>
      </c>
      <c r="BH87" s="1"/>
      <c r="BI87" s="1">
        <f>IFERROR(__xludf.DUMMYFUNCTION("""COMPUTED_VALUE"""),0.0)</f>
        <v>0</v>
      </c>
      <c r="BJ87" s="1" t="str">
        <f>IFERROR(__xludf.DUMMYFUNCTION("""COMPUTED_VALUE"""),"NUEVO")</f>
        <v>NUEVO</v>
      </c>
    </row>
    <row r="88">
      <c r="A88" s="1">
        <f>IFERROR(__xludf.DUMMYFUNCTION("""COMPUTED_VALUE"""),87.0)</f>
        <v>87</v>
      </c>
      <c r="B88" s="1">
        <f>IFERROR(__xludf.DUMMYFUNCTION("""COMPUTED_VALUE"""),5086478.0)</f>
        <v>5086478</v>
      </c>
      <c r="C88" s="1"/>
      <c r="D88" s="1" t="str">
        <f>IFERROR(__xludf.DUMMYFUNCTION("""COMPUTED_VALUE"""),"JAIME RAY ")</f>
        <v>JAIME RAY </v>
      </c>
      <c r="E88" s="2" t="str">
        <f>IFERROR(__xludf.DUMMYFUNCTION("""COMPUTED_VALUE"""),"SANCHEZ CHAVEZ")</f>
        <v>SANCHEZ CHAVEZ</v>
      </c>
      <c r="F88" s="1"/>
      <c r="G88" s="1"/>
      <c r="H88" s="1"/>
      <c r="I88" s="1" t="str">
        <f>IFERROR(__xludf.DUMMYFUNCTION("""COMPUTED_VALUE"""),"Comunicación Audiovisual y Cine")</f>
        <v>Comunicación Audiovisual y Cine</v>
      </c>
      <c r="J88" s="1" t="str">
        <f>IFERROR(__xludf.DUMMYFUNCTION("""COMPUTED_VALUE"""),"Comunicaciones")</f>
        <v>Comunicaciones</v>
      </c>
      <c r="K88" s="1" t="str">
        <f>IFERROR(__xludf.DUMMYFUNCTION("""COMPUTED_VALUE"""),"Antigua")</f>
        <v>Antigua</v>
      </c>
      <c r="L88" s="1" t="str">
        <f>IFERROR(__xludf.DUMMYFUNCTION("""COMPUTED_VALUE"""),"Admisión Ordinaria")</f>
        <v>Admisión Ordinaria</v>
      </c>
      <c r="M88" s="1" t="str">
        <f>IFERROR(__xludf.DUMMYFUNCTION("""COMPUTED_VALUE"""),"Semi-presencial")</f>
        <v>Semi-presencial</v>
      </c>
      <c r="N88" s="1" t="str">
        <f>IFERROR(__xludf.DUMMYFUNCTION("""COMPUTED_VALUE"""),"Diurno")</f>
        <v>Diurno</v>
      </c>
      <c r="O88" s="1" t="str">
        <f>IFERROR(__xludf.DUMMYFUNCTION("""COMPUTED_VALUE"""),"NUEVO")</f>
        <v>NUEVO</v>
      </c>
      <c r="P88" s="1" t="str">
        <f>IFERROR(__xludf.DUMMYFUNCTION("""COMPUTED_VALUE"""),"RECA-BECA")</f>
        <v>RECA-BECA</v>
      </c>
      <c r="Q88" s="1" t="str">
        <f>IFERROR(__xludf.DUMMYFUNCTION("""COMPUTED_VALUE"""),"NINGUNO")</f>
        <v>NINGUNO</v>
      </c>
      <c r="R88" s="1" t="str">
        <f>IFERROR(__xludf.DUMMYFUNCTION("""COMPUTED_VALUE"""),"Visita Guiada")</f>
        <v>Visita Guiada</v>
      </c>
      <c r="S88" s="1" t="str">
        <f>IFERROR(__xludf.DUMMYFUNCTION("""COMPUTED_VALUE"""),"RODRIGO")</f>
        <v>RODRIGO</v>
      </c>
      <c r="T88" s="3">
        <f>IFERROR(__xludf.DUMMYFUNCTION("""COMPUTED_VALUE"""),45825.0)</f>
        <v>45825</v>
      </c>
      <c r="U88" s="1" t="str">
        <f>IFERROR(__xludf.DUMMYFUNCTION("""COMPUTED_VALUE"""),"CARGO")</f>
        <v>CARGO</v>
      </c>
      <c r="V88" s="1" t="str">
        <f>IFERROR(__xludf.DUMMYFUNCTION("""COMPUTED_VALUE"""),"PAGO COMPLETO")</f>
        <v>PAGO COMPLETO</v>
      </c>
      <c r="W88" s="4">
        <f>IFERROR(__xludf.DUMMYFUNCTION("""COMPUTED_VALUE"""),0.0)</f>
        <v>0</v>
      </c>
      <c r="X88" s="1" t="str">
        <f>IFERROR(__xludf.DUMMYFUNCTION("""COMPUTED_VALUE"""),"-")</f>
        <v>-</v>
      </c>
      <c r="Y88" s="2">
        <f>IFERROR(__xludf.DUMMYFUNCTION("""COMPUTED_VALUE"""),45825.0)</f>
        <v>45825</v>
      </c>
      <c r="Z88" s="1" t="str">
        <f>IFERROR(__xludf.DUMMYFUNCTION("""COMPUTED_VALUE"""),"PAGO COMPLETO")</f>
        <v>PAGO COMPLETO</v>
      </c>
      <c r="AA88" s="1"/>
      <c r="AB88" s="1"/>
      <c r="AC88" s="4">
        <f>IFERROR(__xludf.DUMMYFUNCTION("""COMPUTED_VALUE"""),50.0)</f>
        <v>50</v>
      </c>
      <c r="AD88" s="4">
        <f>IFERROR(__xludf.DUMMYFUNCTION("""COMPUTED_VALUE"""),95.0)</f>
        <v>95</v>
      </c>
      <c r="AE88" s="4">
        <f>IFERROR(__xludf.DUMMYFUNCTION("""COMPUTED_VALUE"""),1200.0)</f>
        <v>1200</v>
      </c>
      <c r="AF88" s="4">
        <f>IFERROR(__xludf.DUMMYFUNCTION("""COMPUTED_VALUE"""),1050.0)</f>
        <v>1050</v>
      </c>
      <c r="AG88" s="1">
        <f>IFERROR(__xludf.DUMMYFUNCTION("""COMPUTED_VALUE"""),0.0)</f>
        <v>0</v>
      </c>
      <c r="AH88" s="1">
        <f>IFERROR(__xludf.DUMMYFUNCTION("""COMPUTED_VALUE"""),0.0)</f>
        <v>0</v>
      </c>
      <c r="AI88" s="1">
        <f>IFERROR(__xludf.DUMMYFUNCTION("""COMPUTED_VALUE"""),0.0)</f>
        <v>0</v>
      </c>
      <c r="AJ88" s="1"/>
      <c r="AK88" s="1" t="str">
        <f>IFERROR(__xludf.DUMMYFUNCTION("""COMPUTED_VALUE"""),"Más de 15 kms")</f>
        <v>Más de 15 kms</v>
      </c>
      <c r="AL88" s="1" t="str">
        <f>IFERROR(__xludf.DUMMYFUNCTION("""COMPUTED_VALUE"""),"05 301 a 550")</f>
        <v>05 301 a 550</v>
      </c>
      <c r="AM88" s="1"/>
      <c r="AN88" s="1" t="str">
        <f>IFERROR(__xludf.DUMMYFUNCTION("""COMPUTED_VALUE""")," -")</f>
        <v> -</v>
      </c>
      <c r="AO88" s="1"/>
      <c r="AP88" s="3">
        <f>IFERROR(__xludf.DUMMYFUNCTION("""COMPUTED_VALUE"""),45809.0)</f>
        <v>45809</v>
      </c>
      <c r="AQ88" s="2">
        <f>IFERROR(__xludf.DUMMYFUNCTION("""COMPUTED_VALUE"""),45803.0)</f>
        <v>45803</v>
      </c>
      <c r="AR88" s="2">
        <f>IFERROR(__xludf.DUMMYFUNCTION("""COMPUTED_VALUE"""),45808.0)</f>
        <v>45808</v>
      </c>
      <c r="AS88" s="2">
        <f>IFERROR(__xludf.DUMMYFUNCTION("""COMPUTED_VALUE"""),45778.0)</f>
        <v>45778</v>
      </c>
      <c r="AT88" s="2">
        <f>IFERROR(__xludf.DUMMYFUNCTION("""COMPUTED_VALUE"""),45775.0)</f>
        <v>45775</v>
      </c>
      <c r="AU88" s="1">
        <f>IFERROR(__xludf.DUMMYFUNCTION("""COMPUTED_VALUE"""),17.0)</f>
        <v>17</v>
      </c>
      <c r="AV88" s="1" t="str">
        <f>IFERROR(__xludf.DUMMYFUNCTION("""COMPUTED_VALUE"""),"TRADICIONAL")</f>
        <v>TRADICIONAL</v>
      </c>
      <c r="AW88" s="1" t="str">
        <f>IFERROR(__xludf.DUMMYFUNCTION("""COMPUTED_VALUE"""),"VISITA")</f>
        <v>VISITA</v>
      </c>
      <c r="AX88" s="1" t="str">
        <f>IFERROR(__xludf.DUMMYFUNCTION("""COMPUTED_VALUE"""),"VISITA")</f>
        <v>VISITA</v>
      </c>
      <c r="AY88" s="1">
        <f>IFERROR(__xludf.DUMMYFUNCTION("""COMPUTED_VALUE"""),1.0)</f>
        <v>1</v>
      </c>
      <c r="AZ88" s="1" t="str">
        <f>IFERROR(__xludf.DUMMYFUNCTION("""COMPUTED_VALUE"""),"Fiorella Lanegra")</f>
        <v>Fiorella Lanegra</v>
      </c>
      <c r="BA88" s="5">
        <f>IFERROR(__xludf.DUMMYFUNCTION("""COMPUTED_VALUE"""),1.0)</f>
        <v>1</v>
      </c>
      <c r="BB88" s="6">
        <f>IFERROR(__xludf.DUMMYFUNCTION("""COMPUTED_VALUE"""),1050.0)</f>
        <v>1050</v>
      </c>
      <c r="BC88" s="1">
        <f>IFERROR(__xludf.DUMMYFUNCTION("""COMPUTED_VALUE"""),0.0)</f>
        <v>0</v>
      </c>
      <c r="BD88" s="1" t="str">
        <f>IFERROR(__xludf.DUMMYFUNCTION("""COMPUTED_VALUE""")," -")</f>
        <v> -</v>
      </c>
      <c r="BE88" s="1">
        <f>IFERROR(__xludf.DUMMYFUNCTION("""COMPUTED_VALUE"""),0.0)</f>
        <v>0</v>
      </c>
      <c r="BF88" s="1">
        <f>IFERROR(__xludf.DUMMYFUNCTION("""COMPUTED_VALUE"""),0.0)</f>
        <v>0</v>
      </c>
      <c r="BG88" s="3">
        <f>IFERROR(__xludf.DUMMYFUNCTION("""COMPUTED_VALUE"""),45829.0)</f>
        <v>45829</v>
      </c>
      <c r="BH88" s="1"/>
      <c r="BI88" s="1">
        <f>IFERROR(__xludf.DUMMYFUNCTION("""COMPUTED_VALUE"""),0.0)</f>
        <v>0</v>
      </c>
      <c r="BJ88" s="1" t="str">
        <f>IFERROR(__xludf.DUMMYFUNCTION("""COMPUTED_VALUE"""),"NUEVO")</f>
        <v>NUEVO</v>
      </c>
    </row>
    <row r="89">
      <c r="A89" s="1" t="str">
        <f>IFERROR(__xludf.DUMMYFUNCTION("""COMPUTED_VALUE"""),"")</f>
        <v/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</row>
    <row r="90">
      <c r="A90" s="1" t="str">
        <f>IFERROR(__xludf.DUMMYFUNCTION("""COMPUTED_VALUE"""),"")</f>
        <v/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</row>
    <row r="91">
      <c r="A91" s="1" t="str">
        <f>IFERROR(__xludf.DUMMYFUNCTION("""COMPUTED_VALUE"""),"")</f>
        <v/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</row>
    <row r="92">
      <c r="A92" s="1" t="str">
        <f>IFERROR(__xludf.DUMMYFUNCTION("""COMPUTED_VALUE"""),"")</f>
        <v/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</row>
    <row r="93">
      <c r="A93" s="1" t="str">
        <f>IFERROR(__xludf.DUMMYFUNCTION("""COMPUTED_VALUE"""),"")</f>
        <v/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</row>
    <row r="94">
      <c r="A94" s="1" t="str">
        <f>IFERROR(__xludf.DUMMYFUNCTION("""COMPUTED_VALUE"""),"")</f>
        <v/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</row>
    <row r="95">
      <c r="A95" s="1" t="str">
        <f>IFERROR(__xludf.DUMMYFUNCTION("""COMPUTED_VALUE"""),"")</f>
        <v/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</row>
    <row r="96">
      <c r="A96" s="1" t="str">
        <f>IFERROR(__xludf.DUMMYFUNCTION("""COMPUTED_VALUE"""),"")</f>
        <v/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</row>
    <row r="97">
      <c r="A97" s="1" t="str">
        <f>IFERROR(__xludf.DUMMYFUNCTION("""COMPUTED_VALUE"""),"")</f>
        <v/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</row>
    <row r="98">
      <c r="A98" s="1" t="str">
        <f>IFERROR(__xludf.DUMMYFUNCTION("""COMPUTED_VALUE"""),"")</f>
        <v/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</row>
    <row r="99">
      <c r="A99" s="1" t="str">
        <f>IFERROR(__xludf.DUMMYFUNCTION("""COMPUTED_VALUE"""),"")</f>
        <v/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</row>
    <row r="100">
      <c r="A100" s="1" t="str">
        <f>IFERROR(__xludf.DUMMYFUNCTION("""COMPUTED_VALUE"""),"")</f>
        <v/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>
      <c r="A101" s="1" t="str">
        <f>IFERROR(__xludf.DUMMYFUNCTION("""COMPUTED_VALUE"""),"")</f>
        <v/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>
      <c r="A102" s="1" t="str">
        <f>IFERROR(__xludf.DUMMYFUNCTION("""COMPUTED_VALUE"""),"")</f>
        <v/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>
      <c r="A103" s="1" t="str">
        <f>IFERROR(__xludf.DUMMYFUNCTION("""COMPUTED_VALUE"""),"")</f>
        <v/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>
      <c r="A104" s="1" t="str">
        <f>IFERROR(__xludf.DUMMYFUNCTION("""COMPUTED_VALUE"""),"")</f>
        <v/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>
      <c r="A105" s="1" t="str">
        <f>IFERROR(__xludf.DUMMYFUNCTION("""COMPUTED_VALUE"""),"")</f>
        <v/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>
      <c r="A106" s="1" t="str">
        <f>IFERROR(__xludf.DUMMYFUNCTION("""COMPUTED_VALUE"""),"")</f>
        <v/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>
      <c r="A107" s="1" t="str">
        <f>IFERROR(__xludf.DUMMYFUNCTION("""COMPUTED_VALUE"""),"")</f>
        <v/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>
      <c r="A108" s="1" t="str">
        <f>IFERROR(__xludf.DUMMYFUNCTION("""COMPUTED_VALUE"""),"")</f>
        <v/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>
      <c r="A109" s="1" t="str">
        <f>IFERROR(__xludf.DUMMYFUNCTION("""COMPUTED_VALUE"""),"")</f>
        <v/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>
      <c r="A110" s="1" t="str">
        <f>IFERROR(__xludf.DUMMYFUNCTION("""COMPUTED_VALUE"""),"")</f>
        <v/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>
      <c r="A111" s="1" t="str">
        <f>IFERROR(__xludf.DUMMYFUNCTION("""COMPUTED_VALUE"""),"")</f>
        <v/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>
      <c r="A112" s="1" t="str">
        <f>IFERROR(__xludf.DUMMYFUNCTION("""COMPUTED_VALUE"""),"")</f>
        <v/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>
      <c r="A113" s="1" t="str">
        <f>IFERROR(__xludf.DUMMYFUNCTION("""COMPUTED_VALUE"""),"")</f>
        <v/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>
      <c r="A114" s="1" t="str">
        <f>IFERROR(__xludf.DUMMYFUNCTION("""COMPUTED_VALUE"""),"")</f>
        <v/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>
      <c r="A115" s="1" t="str">
        <f>IFERROR(__xludf.DUMMYFUNCTION("""COMPUTED_VALUE"""),"")</f>
        <v/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>
      <c r="A116" s="1" t="str">
        <f>IFERROR(__xludf.DUMMYFUNCTION("""COMPUTED_VALUE"""),"")</f>
        <v/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>
      <c r="A117" s="1" t="str">
        <f>IFERROR(__xludf.DUMMYFUNCTION("""COMPUTED_VALUE"""),"")</f>
        <v/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>
      <c r="A118" s="1" t="str">
        <f>IFERROR(__xludf.DUMMYFUNCTION("""COMPUTED_VALUE"""),"")</f>
        <v/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>
      <c r="A119" s="1" t="str">
        <f>IFERROR(__xludf.DUMMYFUNCTION("""COMPUTED_VALUE"""),"")</f>
        <v/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>
      <c r="A120" s="1" t="str">
        <f>IFERROR(__xludf.DUMMYFUNCTION("""COMPUTED_VALUE"""),"")</f>
        <v/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>
      <c r="A121" s="1" t="str">
        <f>IFERROR(__xludf.DUMMYFUNCTION("""COMPUTED_VALUE"""),"")</f>
        <v/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>
      <c r="A122" s="1" t="str">
        <f>IFERROR(__xludf.DUMMYFUNCTION("""COMPUTED_VALUE"""),"")</f>
        <v/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>
      <c r="A123" s="1" t="str">
        <f>IFERROR(__xludf.DUMMYFUNCTION("""COMPUTED_VALUE"""),"")</f>
        <v/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>
      <c r="A124" s="1" t="str">
        <f>IFERROR(__xludf.DUMMYFUNCTION("""COMPUTED_VALUE"""),"")</f>
        <v/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>
      <c r="A125" s="1" t="str">
        <f>IFERROR(__xludf.DUMMYFUNCTION("""COMPUTED_VALUE"""),"")</f>
        <v/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>
      <c r="A126" s="1" t="str">
        <f>IFERROR(__xludf.DUMMYFUNCTION("""COMPUTED_VALUE"""),"")</f>
        <v/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>
      <c r="A127" s="1" t="str">
        <f>IFERROR(__xludf.DUMMYFUNCTION("""COMPUTED_VALUE"""),"")</f>
        <v/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>
      <c r="A128" s="1" t="str">
        <f>IFERROR(__xludf.DUMMYFUNCTION("""COMPUTED_VALUE"""),"")</f>
        <v/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>
      <c r="A129" s="1" t="str">
        <f>IFERROR(__xludf.DUMMYFUNCTION("""COMPUTED_VALUE"""),"")</f>
        <v/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>
      <c r="A130" s="1" t="str">
        <f>IFERROR(__xludf.DUMMYFUNCTION("""COMPUTED_VALUE"""),"")</f>
        <v/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>
      <c r="A131" s="1" t="str">
        <f>IFERROR(__xludf.DUMMYFUNCTION("""COMPUTED_VALUE"""),"")</f>
        <v/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>
      <c r="A132" s="1" t="str">
        <f>IFERROR(__xludf.DUMMYFUNCTION("""COMPUTED_VALUE"""),"")</f>
        <v/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>
      <c r="A133" s="1" t="str">
        <f>IFERROR(__xludf.DUMMYFUNCTION("""COMPUTED_VALUE"""),"")</f>
        <v/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>
      <c r="A134" s="1" t="str">
        <f>IFERROR(__xludf.DUMMYFUNCTION("""COMPUTED_VALUE"""),"")</f>
        <v/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>
      <c r="A135" s="1" t="str">
        <f>IFERROR(__xludf.DUMMYFUNCTION("""COMPUTED_VALUE"""),"")</f>
        <v/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>
      <c r="A136" s="1" t="str">
        <f>IFERROR(__xludf.DUMMYFUNCTION("""COMPUTED_VALUE"""),"")</f>
        <v/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>
      <c r="A137" s="1" t="str">
        <f>IFERROR(__xludf.DUMMYFUNCTION("""COMPUTED_VALUE"""),"")</f>
        <v/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>
      <c r="A138" s="1" t="str">
        <f>IFERROR(__xludf.DUMMYFUNCTION("""COMPUTED_VALUE"""),"")</f>
        <v/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>
      <c r="A139" s="1" t="str">
        <f>IFERROR(__xludf.DUMMYFUNCTION("""COMPUTED_VALUE"""),"")</f>
        <v/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>
      <c r="A140" s="1" t="str">
        <f>IFERROR(__xludf.DUMMYFUNCTION("""COMPUTED_VALUE"""),"")</f>
        <v/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>
      <c r="A141" s="1" t="str">
        <f>IFERROR(__xludf.DUMMYFUNCTION("""COMPUTED_VALUE"""),"")</f>
        <v/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>
      <c r="A142" s="1" t="str">
        <f>IFERROR(__xludf.DUMMYFUNCTION("""COMPUTED_VALUE"""),"")</f>
        <v/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>
      <c r="A143" s="1" t="str">
        <f>IFERROR(__xludf.DUMMYFUNCTION("""COMPUTED_VALUE"""),"")</f>
        <v/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>
      <c r="A144" s="1" t="str">
        <f>IFERROR(__xludf.DUMMYFUNCTION("""COMPUTED_VALUE"""),"")</f>
        <v/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>
      <c r="A145" s="1" t="str">
        <f>IFERROR(__xludf.DUMMYFUNCTION("""COMPUTED_VALUE"""),"")</f>
        <v/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>
      <c r="A146" s="1" t="str">
        <f>IFERROR(__xludf.DUMMYFUNCTION("""COMPUTED_VALUE"""),"")</f>
        <v/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>
      <c r="A147" s="1" t="str">
        <f>IFERROR(__xludf.DUMMYFUNCTION("""COMPUTED_VALUE"""),"")</f>
        <v/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>
      <c r="A148" s="1" t="str">
        <f>IFERROR(__xludf.DUMMYFUNCTION("""COMPUTED_VALUE"""),"")</f>
        <v/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>
      <c r="A149" s="1" t="str">
        <f>IFERROR(__xludf.DUMMYFUNCTION("""COMPUTED_VALUE"""),"")</f>
        <v/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>
      <c r="A150" s="1" t="str">
        <f>IFERROR(__xludf.DUMMYFUNCTION("""COMPUTED_VALUE"""),"")</f>
        <v/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>
      <c r="A151" s="1" t="str">
        <f>IFERROR(__xludf.DUMMYFUNCTION("""COMPUTED_VALUE"""),"")</f>
        <v/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>
      <c r="A152" s="1" t="str">
        <f>IFERROR(__xludf.DUMMYFUNCTION("""COMPUTED_VALUE"""),"")</f>
        <v/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>
      <c r="A153" s="1" t="str">
        <f>IFERROR(__xludf.DUMMYFUNCTION("""COMPUTED_VALUE"""),"")</f>
        <v/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>
      <c r="A154" s="1" t="str">
        <f>IFERROR(__xludf.DUMMYFUNCTION("""COMPUTED_VALUE"""),"")</f>
        <v/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>
      <c r="A155" s="1" t="str">
        <f>IFERROR(__xludf.DUMMYFUNCTION("""COMPUTED_VALUE"""),"")</f>
        <v/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>
      <c r="A156" s="1" t="str">
        <f>IFERROR(__xludf.DUMMYFUNCTION("""COMPUTED_VALUE"""),"")</f>
        <v/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>
      <c r="A157" s="1" t="str">
        <f>IFERROR(__xludf.DUMMYFUNCTION("""COMPUTED_VALUE"""),"")</f>
        <v/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>
      <c r="A158" s="1" t="str">
        <f>IFERROR(__xludf.DUMMYFUNCTION("""COMPUTED_VALUE"""),"")</f>
        <v/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>
      <c r="A159" s="1" t="str">
        <f>IFERROR(__xludf.DUMMYFUNCTION("""COMPUTED_VALUE"""),"")</f>
        <v/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>
      <c r="A160" s="1" t="str">
        <f>IFERROR(__xludf.DUMMYFUNCTION("""COMPUTED_VALUE"""),"")</f>
        <v/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>
      <c r="A161" s="1" t="str">
        <f>IFERROR(__xludf.DUMMYFUNCTION("""COMPUTED_VALUE"""),"")</f>
        <v/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>
      <c r="A162" s="1" t="str">
        <f>IFERROR(__xludf.DUMMYFUNCTION("""COMPUTED_VALUE"""),"")</f>
        <v/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>
      <c r="A163" s="1" t="str">
        <f>IFERROR(__xludf.DUMMYFUNCTION("""COMPUTED_VALUE"""),"")</f>
        <v/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>
      <c r="A164" s="1" t="str">
        <f>IFERROR(__xludf.DUMMYFUNCTION("""COMPUTED_VALUE"""),"")</f>
        <v/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>
      <c r="A165" s="1" t="str">
        <f>IFERROR(__xludf.DUMMYFUNCTION("""COMPUTED_VALUE"""),"")</f>
        <v/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>
      <c r="A166" s="1" t="str">
        <f>IFERROR(__xludf.DUMMYFUNCTION("""COMPUTED_VALUE"""),"")</f>
        <v/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>
      <c r="A167" s="1" t="str">
        <f>IFERROR(__xludf.DUMMYFUNCTION("""COMPUTED_VALUE"""),"")</f>
        <v/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>
      <c r="A168" s="1" t="str">
        <f>IFERROR(__xludf.DUMMYFUNCTION("""COMPUTED_VALUE"""),"")</f>
        <v/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>
      <c r="A169" s="1" t="str">
        <f>IFERROR(__xludf.DUMMYFUNCTION("""COMPUTED_VALUE"""),"")</f>
        <v/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>
      <c r="A170" s="1" t="str">
        <f>IFERROR(__xludf.DUMMYFUNCTION("""COMPUTED_VALUE"""),"")</f>
        <v/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>
      <c r="A171" s="1" t="str">
        <f>IFERROR(__xludf.DUMMYFUNCTION("""COMPUTED_VALUE"""),"")</f>
        <v/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>
      <c r="A172" s="1" t="str">
        <f>IFERROR(__xludf.DUMMYFUNCTION("""COMPUTED_VALUE"""),"")</f>
        <v/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>
      <c r="A173" s="1" t="str">
        <f>IFERROR(__xludf.DUMMYFUNCTION("""COMPUTED_VALUE"""),"")</f>
        <v/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>
      <c r="A174" s="1" t="str">
        <f>IFERROR(__xludf.DUMMYFUNCTION("""COMPUTED_VALUE"""),"")</f>
        <v/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>
      <c r="A175" s="1" t="str">
        <f>IFERROR(__xludf.DUMMYFUNCTION("""COMPUTED_VALUE"""),"")</f>
        <v/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>
      <c r="A176" s="1" t="str">
        <f>IFERROR(__xludf.DUMMYFUNCTION("""COMPUTED_VALUE"""),"")</f>
        <v/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>
      <c r="A177" s="1" t="str">
        <f>IFERROR(__xludf.DUMMYFUNCTION("""COMPUTED_VALUE"""),"")</f>
        <v/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>
      <c r="A178" s="1" t="str">
        <f>IFERROR(__xludf.DUMMYFUNCTION("""COMPUTED_VALUE"""),"")</f>
        <v/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>
      <c r="A179" s="1" t="str">
        <f>IFERROR(__xludf.DUMMYFUNCTION("""COMPUTED_VALUE"""),"")</f>
        <v/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>
      <c r="A180" s="1" t="str">
        <f>IFERROR(__xludf.DUMMYFUNCTION("""COMPUTED_VALUE"""),"")</f>
        <v/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>
      <c r="A181" s="1" t="str">
        <f>IFERROR(__xludf.DUMMYFUNCTION("""COMPUTED_VALUE"""),"")</f>
        <v/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  <row r="182">
      <c r="A182" s="1" t="str">
        <f>IFERROR(__xludf.DUMMYFUNCTION("""COMPUTED_VALUE"""),"")</f>
        <v/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</row>
    <row r="183">
      <c r="A183" s="1" t="str">
        <f>IFERROR(__xludf.DUMMYFUNCTION("""COMPUTED_VALUE"""),"")</f>
        <v/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</row>
    <row r="184">
      <c r="A184" s="1" t="str">
        <f>IFERROR(__xludf.DUMMYFUNCTION("""COMPUTED_VALUE"""),"")</f>
        <v/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</row>
    <row r="185">
      <c r="A185" s="1" t="str">
        <f>IFERROR(__xludf.DUMMYFUNCTION("""COMPUTED_VALUE"""),"")</f>
        <v/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</row>
    <row r="186">
      <c r="A186" s="1" t="str">
        <f>IFERROR(__xludf.DUMMYFUNCTION("""COMPUTED_VALUE"""),"")</f>
        <v/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</row>
    <row r="187">
      <c r="A187" s="1" t="str">
        <f>IFERROR(__xludf.DUMMYFUNCTION("""COMPUTED_VALUE"""),"")</f>
        <v/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</row>
    <row r="188">
      <c r="A188" s="1" t="str">
        <f>IFERROR(__xludf.DUMMYFUNCTION("""COMPUTED_VALUE"""),"")</f>
        <v/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</row>
    <row r="189">
      <c r="A189" s="1" t="str">
        <f>IFERROR(__xludf.DUMMYFUNCTION("""COMPUTED_VALUE"""),"")</f>
        <v/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</row>
    <row r="190">
      <c r="A190" s="1" t="str">
        <f>IFERROR(__xludf.DUMMYFUNCTION("""COMPUTED_VALUE"""),"")</f>
        <v/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</row>
    <row r="191">
      <c r="A191" s="1" t="str">
        <f>IFERROR(__xludf.DUMMYFUNCTION("""COMPUTED_VALUE"""),"")</f>
        <v/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</row>
    <row r="192">
      <c r="A192" s="1" t="str">
        <f>IFERROR(__xludf.DUMMYFUNCTION("""COMPUTED_VALUE"""),"")</f>
        <v/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</row>
    <row r="193">
      <c r="A193" s="1" t="str">
        <f>IFERROR(__xludf.DUMMYFUNCTION("""COMPUTED_VALUE"""),"")</f>
        <v/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</row>
    <row r="194">
      <c r="A194" s="1" t="str">
        <f>IFERROR(__xludf.DUMMYFUNCTION("""COMPUTED_VALUE"""),"")</f>
        <v/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</row>
    <row r="195">
      <c r="A195" s="1" t="str">
        <f>IFERROR(__xludf.DUMMYFUNCTION("""COMPUTED_VALUE"""),"")</f>
        <v/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</row>
    <row r="196">
      <c r="A196" s="1" t="str">
        <f>IFERROR(__xludf.DUMMYFUNCTION("""COMPUTED_VALUE"""),"")</f>
        <v/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</row>
    <row r="197">
      <c r="A197" s="1" t="str">
        <f>IFERROR(__xludf.DUMMYFUNCTION("""COMPUTED_VALUE"""),"")</f>
        <v/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</row>
    <row r="198">
      <c r="A198" s="1" t="str">
        <f>IFERROR(__xludf.DUMMYFUNCTION("""COMPUTED_VALUE"""),"")</f>
        <v/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</row>
    <row r="199">
      <c r="A199" s="1" t="str">
        <f>IFERROR(__xludf.DUMMYFUNCTION("""COMPUTED_VALUE"""),"")</f>
        <v/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</row>
    <row r="200">
      <c r="A200" s="1" t="str">
        <f>IFERROR(__xludf.DUMMYFUNCTION("""COMPUTED_VALUE"""),"")</f>
        <v/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</row>
    <row r="201">
      <c r="A201" s="1" t="str">
        <f>IFERROR(__xludf.DUMMYFUNCTION("""COMPUTED_VALUE"""),"")</f>
        <v/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</row>
    <row r="202">
      <c r="A202" s="1" t="str">
        <f>IFERROR(__xludf.DUMMYFUNCTION("""COMPUTED_VALUE"""),"")</f>
        <v/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</row>
    <row r="203">
      <c r="A203" s="1" t="str">
        <f>IFERROR(__xludf.DUMMYFUNCTION("""COMPUTED_VALUE"""),"")</f>
        <v/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</row>
    <row r="204">
      <c r="A204" s="1" t="str">
        <f>IFERROR(__xludf.DUMMYFUNCTION("""COMPUTED_VALUE"""),"")</f>
        <v/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</row>
    <row r="205">
      <c r="A205" s="1" t="str">
        <f>IFERROR(__xludf.DUMMYFUNCTION("""COMPUTED_VALUE"""),"")</f>
        <v/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</row>
    <row r="206">
      <c r="A206" s="1" t="str">
        <f>IFERROR(__xludf.DUMMYFUNCTION("""COMPUTED_VALUE"""),"")</f>
        <v/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</row>
    <row r="207">
      <c r="A207" s="1" t="str">
        <f>IFERROR(__xludf.DUMMYFUNCTION("""COMPUTED_VALUE"""),"")</f>
        <v/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</row>
    <row r="208">
      <c r="A208" s="1" t="str">
        <f>IFERROR(__xludf.DUMMYFUNCTION("""COMPUTED_VALUE"""),"")</f>
        <v/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</row>
    <row r="209">
      <c r="A209" s="1" t="str">
        <f>IFERROR(__xludf.DUMMYFUNCTION("""COMPUTED_VALUE"""),"")</f>
        <v/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</row>
    <row r="210">
      <c r="A210" s="1" t="str">
        <f>IFERROR(__xludf.DUMMYFUNCTION("""COMPUTED_VALUE"""),"")</f>
        <v/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</row>
    <row r="211">
      <c r="A211" s="1" t="str">
        <f>IFERROR(__xludf.DUMMYFUNCTION("""COMPUTED_VALUE"""),"")</f>
        <v/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</row>
    <row r="212">
      <c r="A212" s="1" t="str">
        <f>IFERROR(__xludf.DUMMYFUNCTION("""COMPUTED_VALUE"""),"")</f>
        <v/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</row>
    <row r="213">
      <c r="A213" s="1" t="str">
        <f>IFERROR(__xludf.DUMMYFUNCTION("""COMPUTED_VALUE"""),"")</f>
        <v/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</row>
    <row r="214">
      <c r="A214" s="1" t="str">
        <f>IFERROR(__xludf.DUMMYFUNCTION("""COMPUTED_VALUE"""),"")</f>
        <v/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</row>
    <row r="215">
      <c r="A215" s="1" t="str">
        <f>IFERROR(__xludf.DUMMYFUNCTION("""COMPUTED_VALUE"""),"")</f>
        <v/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</row>
    <row r="216">
      <c r="A216" s="1" t="str">
        <f>IFERROR(__xludf.DUMMYFUNCTION("""COMPUTED_VALUE"""),"")</f>
        <v/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</row>
    <row r="217">
      <c r="A217" s="1" t="str">
        <f>IFERROR(__xludf.DUMMYFUNCTION("""COMPUTED_VALUE"""),"")</f>
        <v/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</row>
    <row r="218">
      <c r="A218" s="1" t="str">
        <f>IFERROR(__xludf.DUMMYFUNCTION("""COMPUTED_VALUE"""),"")</f>
        <v/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</row>
    <row r="219">
      <c r="A219" s="1" t="str">
        <f>IFERROR(__xludf.DUMMYFUNCTION("""COMPUTED_VALUE"""),"")</f>
        <v/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</row>
    <row r="220">
      <c r="A220" s="1" t="str">
        <f>IFERROR(__xludf.DUMMYFUNCTION("""COMPUTED_VALUE"""),"")</f>
        <v/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</row>
    <row r="221">
      <c r="A221" s="1" t="str">
        <f>IFERROR(__xludf.DUMMYFUNCTION("""COMPUTED_VALUE"""),"")</f>
        <v/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</row>
    <row r="222">
      <c r="A222" s="1" t="str">
        <f>IFERROR(__xludf.DUMMYFUNCTION("""COMPUTED_VALUE"""),"")</f>
        <v/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</row>
    <row r="223">
      <c r="A223" s="1" t="str">
        <f>IFERROR(__xludf.DUMMYFUNCTION("""COMPUTED_VALUE"""),"")</f>
        <v/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</row>
    <row r="224">
      <c r="A224" s="1" t="str">
        <f>IFERROR(__xludf.DUMMYFUNCTION("""COMPUTED_VALUE"""),"")</f>
        <v/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</row>
    <row r="225">
      <c r="A225" s="1" t="str">
        <f>IFERROR(__xludf.DUMMYFUNCTION("""COMPUTED_VALUE"""),"")</f>
        <v/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</row>
    <row r="226">
      <c r="A226" s="1" t="str">
        <f>IFERROR(__xludf.DUMMYFUNCTION("""COMPUTED_VALUE"""),"")</f>
        <v/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</row>
    <row r="227">
      <c r="A227" s="1" t="str">
        <f>IFERROR(__xludf.DUMMYFUNCTION("""COMPUTED_VALUE"""),"")</f>
        <v/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</row>
    <row r="228">
      <c r="A228" s="1" t="str">
        <f>IFERROR(__xludf.DUMMYFUNCTION("""COMPUTED_VALUE"""),"")</f>
        <v/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</row>
    <row r="229">
      <c r="A229" s="1" t="str">
        <f>IFERROR(__xludf.DUMMYFUNCTION("""COMPUTED_VALUE"""),"")</f>
        <v/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</row>
    <row r="230">
      <c r="A230" s="1" t="str">
        <f>IFERROR(__xludf.DUMMYFUNCTION("""COMPUTED_VALUE"""),"")</f>
        <v/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</row>
    <row r="231">
      <c r="A231" s="1" t="str">
        <f>IFERROR(__xludf.DUMMYFUNCTION("""COMPUTED_VALUE"""),"")</f>
        <v/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</row>
    <row r="232">
      <c r="A232" s="1" t="str">
        <f>IFERROR(__xludf.DUMMYFUNCTION("""COMPUTED_VALUE"""),"")</f>
        <v/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</row>
    <row r="233">
      <c r="A233" s="1" t="str">
        <f>IFERROR(__xludf.DUMMYFUNCTION("""COMPUTED_VALUE"""),"")</f>
        <v/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</row>
    <row r="234">
      <c r="A234" s="1" t="str">
        <f>IFERROR(__xludf.DUMMYFUNCTION("""COMPUTED_VALUE"""),"")</f>
        <v/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</row>
    <row r="235">
      <c r="A235" s="1" t="str">
        <f>IFERROR(__xludf.DUMMYFUNCTION("""COMPUTED_VALUE"""),"")</f>
        <v/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</row>
    <row r="236">
      <c r="A236" s="1" t="str">
        <f>IFERROR(__xludf.DUMMYFUNCTION("""COMPUTED_VALUE"""),"")</f>
        <v/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</row>
    <row r="237">
      <c r="A237" s="1" t="str">
        <f>IFERROR(__xludf.DUMMYFUNCTION("""COMPUTED_VALUE"""),"")</f>
        <v/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</row>
    <row r="238">
      <c r="A238" s="1" t="str">
        <f>IFERROR(__xludf.DUMMYFUNCTION("""COMPUTED_VALUE"""),"")</f>
        <v/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</row>
    <row r="239">
      <c r="A239" s="1" t="str">
        <f>IFERROR(__xludf.DUMMYFUNCTION("""COMPUTED_VALUE"""),"")</f>
        <v/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</row>
    <row r="240">
      <c r="A240" s="1" t="str">
        <f>IFERROR(__xludf.DUMMYFUNCTION("""COMPUTED_VALUE"""),"")</f>
        <v/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</row>
    <row r="241">
      <c r="A241" s="1" t="str">
        <f>IFERROR(__xludf.DUMMYFUNCTION("""COMPUTED_VALUE"""),"")</f>
        <v/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</row>
    <row r="242">
      <c r="A242" s="1" t="str">
        <f>IFERROR(__xludf.DUMMYFUNCTION("""COMPUTED_VALUE"""),"")</f>
        <v/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</row>
    <row r="243">
      <c r="A243" s="1" t="str">
        <f>IFERROR(__xludf.DUMMYFUNCTION("""COMPUTED_VALUE"""),"")</f>
        <v/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</row>
    <row r="244">
      <c r="A244" s="1" t="str">
        <f>IFERROR(__xludf.DUMMYFUNCTION("""COMPUTED_VALUE"""),"")</f>
        <v/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</row>
    <row r="245">
      <c r="A245" s="1" t="str">
        <f>IFERROR(__xludf.DUMMYFUNCTION("""COMPUTED_VALUE"""),"")</f>
        <v/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</row>
    <row r="246">
      <c r="A246" s="1" t="str">
        <f>IFERROR(__xludf.DUMMYFUNCTION("""COMPUTED_VALUE"""),"")</f>
        <v/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</row>
    <row r="247">
      <c r="A247" s="1" t="str">
        <f>IFERROR(__xludf.DUMMYFUNCTION("""COMPUTED_VALUE"""),"")</f>
        <v/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</row>
    <row r="248">
      <c r="A248" s="1" t="str">
        <f>IFERROR(__xludf.DUMMYFUNCTION("""COMPUTED_VALUE"""),"")</f>
        <v/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</row>
    <row r="249">
      <c r="A249" s="1" t="str">
        <f>IFERROR(__xludf.DUMMYFUNCTION("""COMPUTED_VALUE"""),"")</f>
        <v/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</row>
    <row r="250">
      <c r="A250" s="1" t="str">
        <f>IFERROR(__xludf.DUMMYFUNCTION("""COMPUTED_VALUE"""),"")</f>
        <v/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</row>
    <row r="251">
      <c r="A251" s="1" t="str">
        <f>IFERROR(__xludf.DUMMYFUNCTION("""COMPUTED_VALUE"""),"")</f>
        <v/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</row>
    <row r="252">
      <c r="A252" s="1" t="str">
        <f>IFERROR(__xludf.DUMMYFUNCTION("""COMPUTED_VALUE"""),"")</f>
        <v/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</row>
    <row r="253">
      <c r="A253" s="1" t="str">
        <f>IFERROR(__xludf.DUMMYFUNCTION("""COMPUTED_VALUE"""),"")</f>
        <v/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</row>
    <row r="254">
      <c r="A254" s="1" t="str">
        <f>IFERROR(__xludf.DUMMYFUNCTION("""COMPUTED_VALUE"""),"")</f>
        <v/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</row>
    <row r="255">
      <c r="A255" s="1" t="str">
        <f>IFERROR(__xludf.DUMMYFUNCTION("""COMPUTED_VALUE"""),"")</f>
        <v/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</row>
    <row r="256">
      <c r="A256" s="1" t="str">
        <f>IFERROR(__xludf.DUMMYFUNCTION("""COMPUTED_VALUE"""),"")</f>
        <v/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</row>
    <row r="257">
      <c r="A257" s="1" t="str">
        <f>IFERROR(__xludf.DUMMYFUNCTION("""COMPUTED_VALUE"""),"")</f>
        <v/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</row>
    <row r="258">
      <c r="A258" s="1" t="str">
        <f>IFERROR(__xludf.DUMMYFUNCTION("""COMPUTED_VALUE"""),"")</f>
        <v/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</row>
    <row r="259">
      <c r="A259" s="1" t="str">
        <f>IFERROR(__xludf.DUMMYFUNCTION("""COMPUTED_VALUE"""),"")</f>
        <v/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</row>
    <row r="260">
      <c r="A260" s="1" t="str">
        <f>IFERROR(__xludf.DUMMYFUNCTION("""COMPUTED_VALUE"""),"")</f>
        <v/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</row>
    <row r="261">
      <c r="A261" s="1" t="str">
        <f>IFERROR(__xludf.DUMMYFUNCTION("""COMPUTED_VALUE"""),"")</f>
        <v/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</row>
    <row r="262">
      <c r="A262" s="1" t="str">
        <f>IFERROR(__xludf.DUMMYFUNCTION("""COMPUTED_VALUE"""),"")</f>
        <v/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</row>
    <row r="263">
      <c r="A263" s="1" t="str">
        <f>IFERROR(__xludf.DUMMYFUNCTION("""COMPUTED_VALUE"""),"")</f>
        <v/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</row>
    <row r="264">
      <c r="A264" s="1" t="str">
        <f>IFERROR(__xludf.DUMMYFUNCTION("""COMPUTED_VALUE"""),"")</f>
        <v/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</row>
    <row r="265">
      <c r="A265" s="1" t="str">
        <f>IFERROR(__xludf.DUMMYFUNCTION("""COMPUTED_VALUE"""),"")</f>
        <v/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</row>
    <row r="266">
      <c r="A266" s="1" t="str">
        <f>IFERROR(__xludf.DUMMYFUNCTION("""COMPUTED_VALUE"""),"")</f>
        <v/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</row>
    <row r="267">
      <c r="A267" s="1" t="str">
        <f>IFERROR(__xludf.DUMMYFUNCTION("""COMPUTED_VALUE"""),"")</f>
        <v/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</row>
    <row r="268">
      <c r="A268" s="1" t="str">
        <f>IFERROR(__xludf.DUMMYFUNCTION("""COMPUTED_VALUE"""),"")</f>
        <v/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</row>
    <row r="269">
      <c r="A269" s="1" t="str">
        <f>IFERROR(__xludf.DUMMYFUNCTION("""COMPUTED_VALUE"""),"")</f>
        <v/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</row>
    <row r="270">
      <c r="A270" s="1" t="str">
        <f>IFERROR(__xludf.DUMMYFUNCTION("""COMPUTED_VALUE"""),"")</f>
        <v/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</row>
    <row r="271">
      <c r="A271" s="1" t="str">
        <f>IFERROR(__xludf.DUMMYFUNCTION("""COMPUTED_VALUE"""),"")</f>
        <v/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</row>
    <row r="272">
      <c r="A272" s="1" t="str">
        <f>IFERROR(__xludf.DUMMYFUNCTION("""COMPUTED_VALUE"""),"")</f>
        <v/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</row>
    <row r="273">
      <c r="A273" s="1" t="str">
        <f>IFERROR(__xludf.DUMMYFUNCTION("""COMPUTED_VALUE"""),"")</f>
        <v/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</row>
    <row r="274">
      <c r="A274" s="1" t="str">
        <f>IFERROR(__xludf.DUMMYFUNCTION("""COMPUTED_VALUE"""),"")</f>
        <v/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</row>
    <row r="275">
      <c r="A275" s="1" t="str">
        <f>IFERROR(__xludf.DUMMYFUNCTION("""COMPUTED_VALUE"""),"")</f>
        <v/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</row>
    <row r="276">
      <c r="A276" s="1" t="str">
        <f>IFERROR(__xludf.DUMMYFUNCTION("""COMPUTED_VALUE"""),"")</f>
        <v/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</row>
    <row r="277">
      <c r="A277" s="1" t="str">
        <f>IFERROR(__xludf.DUMMYFUNCTION("""COMPUTED_VALUE"""),"")</f>
        <v/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</row>
    <row r="278">
      <c r="A278" s="1" t="str">
        <f>IFERROR(__xludf.DUMMYFUNCTION("""COMPUTED_VALUE"""),"")</f>
        <v/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</row>
    <row r="279">
      <c r="A279" s="1" t="str">
        <f>IFERROR(__xludf.DUMMYFUNCTION("""COMPUTED_VALUE"""),"")</f>
        <v/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</row>
    <row r="280">
      <c r="A280" s="1" t="str">
        <f>IFERROR(__xludf.DUMMYFUNCTION("""COMPUTED_VALUE"""),"")</f>
        <v/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</row>
    <row r="281">
      <c r="A281" s="1" t="str">
        <f>IFERROR(__xludf.DUMMYFUNCTION("""COMPUTED_VALUE"""),"")</f>
        <v/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</row>
    <row r="282">
      <c r="A282" s="1" t="str">
        <f>IFERROR(__xludf.DUMMYFUNCTION("""COMPUTED_VALUE"""),"")</f>
        <v/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</row>
    <row r="283">
      <c r="A283" s="1" t="str">
        <f>IFERROR(__xludf.DUMMYFUNCTION("""COMPUTED_VALUE"""),"")</f>
        <v/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</row>
    <row r="284">
      <c r="A284" s="1" t="str">
        <f>IFERROR(__xludf.DUMMYFUNCTION("""COMPUTED_VALUE"""),"")</f>
        <v/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</row>
    <row r="285">
      <c r="A285" s="1" t="str">
        <f>IFERROR(__xludf.DUMMYFUNCTION("""COMPUTED_VALUE"""),"")</f>
        <v/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</row>
    <row r="286">
      <c r="A286" s="1" t="str">
        <f>IFERROR(__xludf.DUMMYFUNCTION("""COMPUTED_VALUE"""),"")</f>
        <v/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</row>
    <row r="287">
      <c r="A287" s="1" t="str">
        <f>IFERROR(__xludf.DUMMYFUNCTION("""COMPUTED_VALUE"""),"")</f>
        <v/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</row>
    <row r="288">
      <c r="A288" s="1" t="str">
        <f>IFERROR(__xludf.DUMMYFUNCTION("""COMPUTED_VALUE"""),"")</f>
        <v/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</row>
    <row r="289">
      <c r="A289" s="1" t="str">
        <f>IFERROR(__xludf.DUMMYFUNCTION("""COMPUTED_VALUE"""),"")</f>
        <v/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</row>
    <row r="290">
      <c r="A290" s="1" t="str">
        <f>IFERROR(__xludf.DUMMYFUNCTION("""COMPUTED_VALUE"""),"")</f>
        <v/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</row>
    <row r="291">
      <c r="A291" s="1" t="str">
        <f>IFERROR(__xludf.DUMMYFUNCTION("""COMPUTED_VALUE"""),"")</f>
        <v/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</row>
    <row r="292">
      <c r="A292" s="1" t="str">
        <f>IFERROR(__xludf.DUMMYFUNCTION("""COMPUTED_VALUE"""),"")</f>
        <v/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</row>
    <row r="293">
      <c r="A293" s="1" t="str">
        <f>IFERROR(__xludf.DUMMYFUNCTION("""COMPUTED_VALUE"""),"")</f>
        <v/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</row>
    <row r="294">
      <c r="A294" s="1" t="str">
        <f>IFERROR(__xludf.DUMMYFUNCTION("""COMPUTED_VALUE"""),"")</f>
        <v/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</row>
    <row r="295">
      <c r="A295" s="1" t="str">
        <f>IFERROR(__xludf.DUMMYFUNCTION("""COMPUTED_VALUE"""),"")</f>
        <v/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</row>
    <row r="296">
      <c r="A296" s="1" t="str">
        <f>IFERROR(__xludf.DUMMYFUNCTION("""COMPUTED_VALUE"""),"")</f>
        <v/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</row>
    <row r="297">
      <c r="A297" s="1" t="str">
        <f>IFERROR(__xludf.DUMMYFUNCTION("""COMPUTED_VALUE"""),"")</f>
        <v/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</row>
    <row r="298">
      <c r="A298" s="1" t="str">
        <f>IFERROR(__xludf.DUMMYFUNCTION("""COMPUTED_VALUE"""),"")</f>
        <v/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</row>
    <row r="299">
      <c r="A299" s="1" t="str">
        <f>IFERROR(__xludf.DUMMYFUNCTION("""COMPUTED_VALUE"""),"")</f>
        <v/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</row>
    <row r="300">
      <c r="A300" s="1" t="str">
        <f>IFERROR(__xludf.DUMMYFUNCTION("""COMPUTED_VALUE"""),"")</f>
        <v/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</row>
    <row r="301">
      <c r="A301" s="1" t="str">
        <f>IFERROR(__xludf.DUMMYFUNCTION("""COMPUTED_VALUE"""),"")</f>
        <v/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</row>
    <row r="302">
      <c r="A302" s="1" t="str">
        <f>IFERROR(__xludf.DUMMYFUNCTION("""COMPUTED_VALUE"""),"")</f>
        <v/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</row>
    <row r="303">
      <c r="A303" s="1" t="str">
        <f>IFERROR(__xludf.DUMMYFUNCTION("""COMPUTED_VALUE"""),"")</f>
        <v/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</row>
    <row r="304">
      <c r="A304" s="1" t="str">
        <f>IFERROR(__xludf.DUMMYFUNCTION("""COMPUTED_VALUE"""),"")</f>
        <v/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</row>
    <row r="305">
      <c r="A305" s="1" t="str">
        <f>IFERROR(__xludf.DUMMYFUNCTION("""COMPUTED_VALUE"""),"")</f>
        <v/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</row>
    <row r="306">
      <c r="A306" s="1" t="str">
        <f>IFERROR(__xludf.DUMMYFUNCTION("""COMPUTED_VALUE"""),"")</f>
        <v/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</row>
    <row r="307">
      <c r="A307" s="1" t="str">
        <f>IFERROR(__xludf.DUMMYFUNCTION("""COMPUTED_VALUE"""),"")</f>
        <v/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</row>
    <row r="308">
      <c r="A308" s="1" t="str">
        <f>IFERROR(__xludf.DUMMYFUNCTION("""COMPUTED_VALUE"""),"")</f>
        <v/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</row>
    <row r="309">
      <c r="A309" s="1" t="str">
        <f>IFERROR(__xludf.DUMMYFUNCTION("""COMPUTED_VALUE"""),"")</f>
        <v/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</row>
    <row r="310">
      <c r="A310" s="1" t="str">
        <f>IFERROR(__xludf.DUMMYFUNCTION("""COMPUTED_VALUE"""),"")</f>
        <v/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</row>
    <row r="311">
      <c r="A311" s="1" t="str">
        <f>IFERROR(__xludf.DUMMYFUNCTION("""COMPUTED_VALUE"""),"")</f>
        <v/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</row>
    <row r="312">
      <c r="A312" s="1" t="str">
        <f>IFERROR(__xludf.DUMMYFUNCTION("""COMPUTED_VALUE"""),"")</f>
        <v/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</row>
    <row r="313">
      <c r="A313" s="1" t="str">
        <f>IFERROR(__xludf.DUMMYFUNCTION("""COMPUTED_VALUE"""),"")</f>
        <v/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</row>
    <row r="314">
      <c r="A314" s="1" t="str">
        <f>IFERROR(__xludf.DUMMYFUNCTION("""COMPUTED_VALUE"""),"")</f>
        <v/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</row>
    <row r="315">
      <c r="A315" s="1" t="str">
        <f>IFERROR(__xludf.DUMMYFUNCTION("""COMPUTED_VALUE"""),"")</f>
        <v/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</row>
    <row r="316">
      <c r="A316" s="1" t="str">
        <f>IFERROR(__xludf.DUMMYFUNCTION("""COMPUTED_VALUE"""),"")</f>
        <v/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</row>
    <row r="317">
      <c r="A317" s="1" t="str">
        <f>IFERROR(__xludf.DUMMYFUNCTION("""COMPUTED_VALUE"""),"")</f>
        <v/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</row>
    <row r="318">
      <c r="A318" s="1" t="str">
        <f>IFERROR(__xludf.DUMMYFUNCTION("""COMPUTED_VALUE"""),"")</f>
        <v/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</row>
    <row r="319">
      <c r="A319" s="1" t="str">
        <f>IFERROR(__xludf.DUMMYFUNCTION("""COMPUTED_VALUE"""),"")</f>
        <v/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</row>
    <row r="320">
      <c r="A320" s="1" t="str">
        <f>IFERROR(__xludf.DUMMYFUNCTION("""COMPUTED_VALUE"""),"")</f>
        <v/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</row>
    <row r="321">
      <c r="A321" s="1" t="str">
        <f>IFERROR(__xludf.DUMMYFUNCTION("""COMPUTED_VALUE"""),"")</f>
        <v/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</row>
    <row r="322">
      <c r="A322" s="1" t="str">
        <f>IFERROR(__xludf.DUMMYFUNCTION("""COMPUTED_VALUE"""),"")</f>
        <v/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</row>
    <row r="323">
      <c r="A323" s="1" t="str">
        <f>IFERROR(__xludf.DUMMYFUNCTION("""COMPUTED_VALUE"""),"")</f>
        <v/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</row>
    <row r="324">
      <c r="A324" s="1" t="str">
        <f>IFERROR(__xludf.DUMMYFUNCTION("""COMPUTED_VALUE"""),"")</f>
        <v/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</row>
    <row r="325">
      <c r="A325" s="1" t="str">
        <f>IFERROR(__xludf.DUMMYFUNCTION("""COMPUTED_VALUE"""),"")</f>
        <v/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</row>
    <row r="326">
      <c r="A326" s="1" t="str">
        <f>IFERROR(__xludf.DUMMYFUNCTION("""COMPUTED_VALUE"""),"")</f>
        <v/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</row>
    <row r="327">
      <c r="A327" s="1" t="str">
        <f>IFERROR(__xludf.DUMMYFUNCTION("""COMPUTED_VALUE"""),"")</f>
        <v/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</row>
    <row r="328">
      <c r="A328" s="1" t="str">
        <f>IFERROR(__xludf.DUMMYFUNCTION("""COMPUTED_VALUE"""),"")</f>
        <v/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</row>
    <row r="329">
      <c r="A329" s="1" t="str">
        <f>IFERROR(__xludf.DUMMYFUNCTION("""COMPUTED_VALUE"""),"")</f>
        <v/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</row>
    <row r="330">
      <c r="A330" s="1" t="str">
        <f>IFERROR(__xludf.DUMMYFUNCTION("""COMPUTED_VALUE"""),"")</f>
        <v/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</row>
    <row r="331">
      <c r="A331" s="1" t="str">
        <f>IFERROR(__xludf.DUMMYFUNCTION("""COMPUTED_VALUE"""),"")</f>
        <v/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</row>
    <row r="332">
      <c r="A332" s="1" t="str">
        <f>IFERROR(__xludf.DUMMYFUNCTION("""COMPUTED_VALUE"""),"")</f>
        <v/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</row>
    <row r="333">
      <c r="A333" s="1" t="str">
        <f>IFERROR(__xludf.DUMMYFUNCTION("""COMPUTED_VALUE"""),"")</f>
        <v/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</row>
    <row r="334">
      <c r="A334" s="1" t="str">
        <f>IFERROR(__xludf.DUMMYFUNCTION("""COMPUTED_VALUE"""),"")</f>
        <v/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</row>
    <row r="335">
      <c r="A335" s="1" t="str">
        <f>IFERROR(__xludf.DUMMYFUNCTION("""COMPUTED_VALUE"""),"")</f>
        <v/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</row>
    <row r="336">
      <c r="A336" s="1" t="str">
        <f>IFERROR(__xludf.DUMMYFUNCTION("""COMPUTED_VALUE"""),"")</f>
        <v/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</row>
    <row r="337">
      <c r="A337" s="1" t="str">
        <f>IFERROR(__xludf.DUMMYFUNCTION("""COMPUTED_VALUE"""),"")</f>
        <v/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</row>
    <row r="338">
      <c r="A338" s="1" t="str">
        <f>IFERROR(__xludf.DUMMYFUNCTION("""COMPUTED_VALUE"""),"")</f>
        <v/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</row>
    <row r="339">
      <c r="A339" s="1" t="str">
        <f>IFERROR(__xludf.DUMMYFUNCTION("""COMPUTED_VALUE"""),"")</f>
        <v/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</row>
    <row r="340">
      <c r="A340" s="1" t="str">
        <f>IFERROR(__xludf.DUMMYFUNCTION("""COMPUTED_VALUE"""),"")</f>
        <v/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</row>
    <row r="341">
      <c r="A341" s="1" t="str">
        <f>IFERROR(__xludf.DUMMYFUNCTION("""COMPUTED_VALUE"""),"")</f>
        <v/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</row>
    <row r="342">
      <c r="A342" s="1" t="str">
        <f>IFERROR(__xludf.DUMMYFUNCTION("""COMPUTED_VALUE"""),"")</f>
        <v/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</row>
    <row r="343">
      <c r="A343" s="1" t="str">
        <f>IFERROR(__xludf.DUMMYFUNCTION("""COMPUTED_VALUE"""),"")</f>
        <v/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</row>
    <row r="344">
      <c r="A344" s="1" t="str">
        <f>IFERROR(__xludf.DUMMYFUNCTION("""COMPUTED_VALUE"""),"")</f>
        <v/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</row>
    <row r="345">
      <c r="A345" s="1" t="str">
        <f>IFERROR(__xludf.DUMMYFUNCTION("""COMPUTED_VALUE"""),"")</f>
        <v/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</row>
    <row r="346">
      <c r="A346" s="1" t="str">
        <f>IFERROR(__xludf.DUMMYFUNCTION("""COMPUTED_VALUE"""),"")</f>
        <v/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</row>
    <row r="347">
      <c r="A347" s="1" t="str">
        <f>IFERROR(__xludf.DUMMYFUNCTION("""COMPUTED_VALUE"""),"")</f>
        <v/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</row>
    <row r="348">
      <c r="A348" s="1" t="str">
        <f>IFERROR(__xludf.DUMMYFUNCTION("""COMPUTED_VALUE"""),"")</f>
        <v/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</row>
    <row r="349">
      <c r="A349" s="1" t="str">
        <f>IFERROR(__xludf.DUMMYFUNCTION("""COMPUTED_VALUE"""),"")</f>
        <v/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</row>
    <row r="350">
      <c r="A350" s="1" t="str">
        <f>IFERROR(__xludf.DUMMYFUNCTION("""COMPUTED_VALUE"""),"")</f>
        <v/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</row>
    <row r="351">
      <c r="A351" s="1" t="str">
        <f>IFERROR(__xludf.DUMMYFUNCTION("""COMPUTED_VALUE"""),"")</f>
        <v/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</row>
    <row r="352">
      <c r="A352" s="1" t="str">
        <f>IFERROR(__xludf.DUMMYFUNCTION("""COMPUTED_VALUE"""),"")</f>
        <v/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</row>
    <row r="353">
      <c r="A353" s="1" t="str">
        <f>IFERROR(__xludf.DUMMYFUNCTION("""COMPUTED_VALUE"""),"")</f>
        <v/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</row>
    <row r="354">
      <c r="A354" s="1" t="str">
        <f>IFERROR(__xludf.DUMMYFUNCTION("""COMPUTED_VALUE"""),"")</f>
        <v/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</row>
    <row r="355">
      <c r="A355" s="1" t="str">
        <f>IFERROR(__xludf.DUMMYFUNCTION("""COMPUTED_VALUE"""),"")</f>
        <v/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</row>
    <row r="356">
      <c r="A356" s="1" t="str">
        <f>IFERROR(__xludf.DUMMYFUNCTION("""COMPUTED_VALUE"""),"")</f>
        <v/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</row>
    <row r="357">
      <c r="A357" s="1" t="str">
        <f>IFERROR(__xludf.DUMMYFUNCTION("""COMPUTED_VALUE"""),"")</f>
        <v/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</row>
    <row r="358">
      <c r="A358" s="1" t="str">
        <f>IFERROR(__xludf.DUMMYFUNCTION("""COMPUTED_VALUE"""),"")</f>
        <v/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</row>
    <row r="359">
      <c r="A359" s="1" t="str">
        <f>IFERROR(__xludf.DUMMYFUNCTION("""COMPUTED_VALUE"""),"")</f>
        <v/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</row>
    <row r="360">
      <c r="A360" s="1" t="str">
        <f>IFERROR(__xludf.DUMMYFUNCTION("""COMPUTED_VALUE"""),"")</f>
        <v/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</row>
    <row r="361">
      <c r="A361" s="1" t="str">
        <f>IFERROR(__xludf.DUMMYFUNCTION("""COMPUTED_VALUE"""),"")</f>
        <v/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</row>
    <row r="362">
      <c r="A362" s="1" t="str">
        <f>IFERROR(__xludf.DUMMYFUNCTION("""COMPUTED_VALUE"""),"")</f>
        <v/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</row>
    <row r="363">
      <c r="A363" s="1" t="str">
        <f>IFERROR(__xludf.DUMMYFUNCTION("""COMPUTED_VALUE"""),"")</f>
        <v/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</row>
    <row r="364">
      <c r="A364" s="1" t="str">
        <f>IFERROR(__xludf.DUMMYFUNCTION("""COMPUTED_VALUE"""),"")</f>
        <v/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</row>
    <row r="365">
      <c r="A365" s="1" t="str">
        <f>IFERROR(__xludf.DUMMYFUNCTION("""COMPUTED_VALUE"""),"")</f>
        <v/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</row>
    <row r="366">
      <c r="A366" s="1" t="str">
        <f>IFERROR(__xludf.DUMMYFUNCTION("""COMPUTED_VALUE"""),"")</f>
        <v/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</row>
    <row r="367">
      <c r="A367" s="1" t="str">
        <f>IFERROR(__xludf.DUMMYFUNCTION("""COMPUTED_VALUE"""),"")</f>
        <v/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</row>
    <row r="368">
      <c r="A368" s="1" t="str">
        <f>IFERROR(__xludf.DUMMYFUNCTION("""COMPUTED_VALUE"""),"")</f>
        <v/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</row>
    <row r="369">
      <c r="A369" s="1" t="str">
        <f>IFERROR(__xludf.DUMMYFUNCTION("""COMPUTED_VALUE"""),"")</f>
        <v/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</row>
    <row r="370">
      <c r="A370" s="1" t="str">
        <f>IFERROR(__xludf.DUMMYFUNCTION("""COMPUTED_VALUE"""),"")</f>
        <v/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</row>
    <row r="371">
      <c r="A371" s="1" t="str">
        <f>IFERROR(__xludf.DUMMYFUNCTION("""COMPUTED_VALUE"""),"")</f>
        <v/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</row>
    <row r="372">
      <c r="A372" s="1" t="str">
        <f>IFERROR(__xludf.DUMMYFUNCTION("""COMPUTED_VALUE"""),"")</f>
        <v/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</row>
    <row r="373">
      <c r="A373" s="1" t="str">
        <f>IFERROR(__xludf.DUMMYFUNCTION("""COMPUTED_VALUE"""),"")</f>
        <v/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</row>
    <row r="374">
      <c r="A374" s="1" t="str">
        <f>IFERROR(__xludf.DUMMYFUNCTION("""COMPUTED_VALUE"""),"")</f>
        <v/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</row>
    <row r="375">
      <c r="A375" s="1" t="str">
        <f>IFERROR(__xludf.DUMMYFUNCTION("""COMPUTED_VALUE"""),"")</f>
        <v/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</row>
    <row r="376">
      <c r="A376" s="1" t="str">
        <f>IFERROR(__xludf.DUMMYFUNCTION("""COMPUTED_VALUE"""),"")</f>
        <v/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</row>
    <row r="377">
      <c r="A377" s="1" t="str">
        <f>IFERROR(__xludf.DUMMYFUNCTION("""COMPUTED_VALUE"""),"")</f>
        <v/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</row>
    <row r="378">
      <c r="A378" s="1" t="str">
        <f>IFERROR(__xludf.DUMMYFUNCTION("""COMPUTED_VALUE"""),"")</f>
        <v/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</row>
    <row r="379">
      <c r="A379" s="1" t="str">
        <f>IFERROR(__xludf.DUMMYFUNCTION("""COMPUTED_VALUE"""),"")</f>
        <v/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</row>
    <row r="380">
      <c r="A380" s="1" t="str">
        <f>IFERROR(__xludf.DUMMYFUNCTION("""COMPUTED_VALUE"""),"")</f>
        <v/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</row>
    <row r="381">
      <c r="A381" s="1" t="str">
        <f>IFERROR(__xludf.DUMMYFUNCTION("""COMPUTED_VALUE"""),"")</f>
        <v/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</row>
    <row r="382">
      <c r="A382" s="1" t="str">
        <f>IFERROR(__xludf.DUMMYFUNCTION("""COMPUTED_VALUE"""),"")</f>
        <v/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</row>
    <row r="383">
      <c r="A383" s="1" t="str">
        <f>IFERROR(__xludf.DUMMYFUNCTION("""COMPUTED_VALUE"""),"")</f>
        <v/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</row>
    <row r="384">
      <c r="A384" s="1" t="str">
        <f>IFERROR(__xludf.DUMMYFUNCTION("""COMPUTED_VALUE"""),"")</f>
        <v/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</row>
    <row r="385">
      <c r="A385" s="1" t="str">
        <f>IFERROR(__xludf.DUMMYFUNCTION("""COMPUTED_VALUE"""),"")</f>
        <v/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</row>
    <row r="386">
      <c r="A386" s="1" t="str">
        <f>IFERROR(__xludf.DUMMYFUNCTION("""COMPUTED_VALUE"""),"")</f>
        <v/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</row>
    <row r="387">
      <c r="A387" s="1" t="str">
        <f>IFERROR(__xludf.DUMMYFUNCTION("""COMPUTED_VALUE"""),"")</f>
        <v/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</row>
    <row r="388">
      <c r="A388" s="1" t="str">
        <f>IFERROR(__xludf.DUMMYFUNCTION("""COMPUTED_VALUE"""),"")</f>
        <v/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</row>
    <row r="389">
      <c r="A389" s="1" t="str">
        <f>IFERROR(__xludf.DUMMYFUNCTION("""COMPUTED_VALUE"""),"")</f>
        <v/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</row>
    <row r="390">
      <c r="A390" s="1" t="str">
        <f>IFERROR(__xludf.DUMMYFUNCTION("""COMPUTED_VALUE"""),"")</f>
        <v/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</row>
    <row r="391">
      <c r="A391" s="1" t="str">
        <f>IFERROR(__xludf.DUMMYFUNCTION("""COMPUTED_VALUE"""),"")</f>
        <v/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</row>
    <row r="392">
      <c r="A392" s="1" t="str">
        <f>IFERROR(__xludf.DUMMYFUNCTION("""COMPUTED_VALUE"""),"")</f>
        <v/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</row>
    <row r="393">
      <c r="A393" s="1" t="str">
        <f>IFERROR(__xludf.DUMMYFUNCTION("""COMPUTED_VALUE"""),"")</f>
        <v/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</row>
    <row r="394">
      <c r="A394" s="1" t="str">
        <f>IFERROR(__xludf.DUMMYFUNCTION("""COMPUTED_VALUE"""),"")</f>
        <v/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</row>
    <row r="395">
      <c r="A395" s="1" t="str">
        <f>IFERROR(__xludf.DUMMYFUNCTION("""COMPUTED_VALUE"""),"")</f>
        <v/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</row>
    <row r="396">
      <c r="A396" s="1" t="str">
        <f>IFERROR(__xludf.DUMMYFUNCTION("""COMPUTED_VALUE"""),"")</f>
        <v/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</row>
    <row r="397">
      <c r="A397" s="1" t="str">
        <f>IFERROR(__xludf.DUMMYFUNCTION("""COMPUTED_VALUE"""),"")</f>
        <v/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</row>
    <row r="398">
      <c r="A398" s="1" t="str">
        <f>IFERROR(__xludf.DUMMYFUNCTION("""COMPUTED_VALUE"""),"")</f>
        <v/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</row>
    <row r="399">
      <c r="A399" s="1" t="str">
        <f>IFERROR(__xludf.DUMMYFUNCTION("""COMPUTED_VALUE"""),"")</f>
        <v/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</row>
    <row r="400">
      <c r="A400" s="1" t="str">
        <f>IFERROR(__xludf.DUMMYFUNCTION("""COMPUTED_VALUE"""),"")</f>
        <v/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</row>
    <row r="401">
      <c r="A401" s="1" t="str">
        <f>IFERROR(__xludf.DUMMYFUNCTION("""COMPUTED_VALUE"""),"")</f>
        <v/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</row>
    <row r="402">
      <c r="A402" s="1" t="str">
        <f>IFERROR(__xludf.DUMMYFUNCTION("""COMPUTED_VALUE"""),"")</f>
        <v/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</row>
    <row r="403">
      <c r="A403" s="1" t="str">
        <f>IFERROR(__xludf.DUMMYFUNCTION("""COMPUTED_VALUE"""),"")</f>
        <v/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</row>
    <row r="404">
      <c r="A404" s="1" t="str">
        <f>IFERROR(__xludf.DUMMYFUNCTION("""COMPUTED_VALUE"""),"")</f>
        <v/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</row>
    <row r="405">
      <c r="A405" s="1" t="str">
        <f>IFERROR(__xludf.DUMMYFUNCTION("""COMPUTED_VALUE"""),"")</f>
        <v/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</row>
    <row r="406">
      <c r="A406" s="1" t="str">
        <f>IFERROR(__xludf.DUMMYFUNCTION("""COMPUTED_VALUE"""),"")</f>
        <v/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</row>
    <row r="407">
      <c r="A407" s="1" t="str">
        <f>IFERROR(__xludf.DUMMYFUNCTION("""COMPUTED_VALUE"""),"")</f>
        <v/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</row>
    <row r="408">
      <c r="A408" s="1" t="str">
        <f>IFERROR(__xludf.DUMMYFUNCTION("""COMPUTED_VALUE"""),"")</f>
        <v/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</row>
    <row r="409">
      <c r="A409" s="1" t="str">
        <f>IFERROR(__xludf.DUMMYFUNCTION("""COMPUTED_VALUE"""),"")</f>
        <v/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</row>
    <row r="410">
      <c r="A410" s="1" t="str">
        <f>IFERROR(__xludf.DUMMYFUNCTION("""COMPUTED_VALUE"""),"")</f>
        <v/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</row>
    <row r="411">
      <c r="A411" s="1" t="str">
        <f>IFERROR(__xludf.DUMMYFUNCTION("""COMPUTED_VALUE"""),"")</f>
        <v/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</row>
    <row r="412">
      <c r="A412" s="1" t="str">
        <f>IFERROR(__xludf.DUMMYFUNCTION("""COMPUTED_VALUE"""),"")</f>
        <v/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</row>
    <row r="413">
      <c r="A413" s="1" t="str">
        <f>IFERROR(__xludf.DUMMYFUNCTION("""COMPUTED_VALUE"""),"")</f>
        <v/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</row>
    <row r="414">
      <c r="A414" s="1" t="str">
        <f>IFERROR(__xludf.DUMMYFUNCTION("""COMPUTED_VALUE"""),"")</f>
        <v/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</row>
    <row r="415">
      <c r="A415" s="1" t="str">
        <f>IFERROR(__xludf.DUMMYFUNCTION("""COMPUTED_VALUE"""),"")</f>
        <v/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</row>
    <row r="416">
      <c r="A416" s="1" t="str">
        <f>IFERROR(__xludf.DUMMYFUNCTION("""COMPUTED_VALUE"""),"")</f>
        <v/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</row>
    <row r="417">
      <c r="A417" s="1" t="str">
        <f>IFERROR(__xludf.DUMMYFUNCTION("""COMPUTED_VALUE"""),"")</f>
        <v/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</row>
    <row r="418">
      <c r="A418" s="1" t="str">
        <f>IFERROR(__xludf.DUMMYFUNCTION("""COMPUTED_VALUE"""),"")</f>
        <v/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</row>
    <row r="419">
      <c r="A419" s="1" t="str">
        <f>IFERROR(__xludf.DUMMYFUNCTION("""COMPUTED_VALUE"""),"")</f>
        <v/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</row>
    <row r="420">
      <c r="A420" s="1" t="str">
        <f>IFERROR(__xludf.DUMMYFUNCTION("""COMPUTED_VALUE"""),"")</f>
        <v/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</row>
    <row r="421">
      <c r="A421" s="1" t="str">
        <f>IFERROR(__xludf.DUMMYFUNCTION("""COMPUTED_VALUE"""),"")</f>
        <v/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</row>
    <row r="422">
      <c r="A422" s="1" t="str">
        <f>IFERROR(__xludf.DUMMYFUNCTION("""COMPUTED_VALUE"""),"")</f>
        <v/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</row>
    <row r="423">
      <c r="A423" s="1" t="str">
        <f>IFERROR(__xludf.DUMMYFUNCTION("""COMPUTED_VALUE"""),"")</f>
        <v/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</row>
    <row r="424">
      <c r="A424" s="1" t="str">
        <f>IFERROR(__xludf.DUMMYFUNCTION("""COMPUTED_VALUE"""),"")</f>
        <v/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</row>
    <row r="425">
      <c r="A425" s="1" t="str">
        <f>IFERROR(__xludf.DUMMYFUNCTION("""COMPUTED_VALUE"""),"")</f>
        <v/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</row>
    <row r="426">
      <c r="A426" s="1" t="str">
        <f>IFERROR(__xludf.DUMMYFUNCTION("""COMPUTED_VALUE"""),"")</f>
        <v/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</row>
    <row r="427">
      <c r="A427" s="1" t="str">
        <f>IFERROR(__xludf.DUMMYFUNCTION("""COMPUTED_VALUE"""),"")</f>
        <v/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</row>
    <row r="428">
      <c r="A428" s="1" t="str">
        <f>IFERROR(__xludf.DUMMYFUNCTION("""COMPUTED_VALUE"""),"")</f>
        <v/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</row>
    <row r="429">
      <c r="A429" s="1" t="str">
        <f>IFERROR(__xludf.DUMMYFUNCTION("""COMPUTED_VALUE"""),"")</f>
        <v/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</row>
    <row r="430">
      <c r="A430" s="1" t="str">
        <f>IFERROR(__xludf.DUMMYFUNCTION("""COMPUTED_VALUE"""),"")</f>
        <v/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</row>
    <row r="431">
      <c r="A431" s="1" t="str">
        <f>IFERROR(__xludf.DUMMYFUNCTION("""COMPUTED_VALUE"""),"")</f>
        <v/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</row>
    <row r="432">
      <c r="A432" s="1" t="str">
        <f>IFERROR(__xludf.DUMMYFUNCTION("""COMPUTED_VALUE"""),"")</f>
        <v/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</row>
    <row r="433">
      <c r="A433" s="1" t="str">
        <f>IFERROR(__xludf.DUMMYFUNCTION("""COMPUTED_VALUE"""),"")</f>
        <v/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</row>
    <row r="434">
      <c r="A434" s="1" t="str">
        <f>IFERROR(__xludf.DUMMYFUNCTION("""COMPUTED_VALUE"""),"")</f>
        <v/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</row>
    <row r="435">
      <c r="A435" s="1" t="str">
        <f>IFERROR(__xludf.DUMMYFUNCTION("""COMPUTED_VALUE"""),"")</f>
        <v/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</row>
    <row r="436">
      <c r="A436" s="1" t="str">
        <f>IFERROR(__xludf.DUMMYFUNCTION("""COMPUTED_VALUE"""),"")</f>
        <v/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</row>
    <row r="437">
      <c r="A437" s="1" t="str">
        <f>IFERROR(__xludf.DUMMYFUNCTION("""COMPUTED_VALUE"""),"")</f>
        <v/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</row>
    <row r="438">
      <c r="A438" s="1" t="str">
        <f>IFERROR(__xludf.DUMMYFUNCTION("""COMPUTED_VALUE"""),"")</f>
        <v/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</row>
    <row r="439">
      <c r="A439" s="1" t="str">
        <f>IFERROR(__xludf.DUMMYFUNCTION("""COMPUTED_VALUE"""),"")</f>
        <v/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</row>
    <row r="440">
      <c r="A440" s="1" t="str">
        <f>IFERROR(__xludf.DUMMYFUNCTION("""COMPUTED_VALUE"""),"")</f>
        <v/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</row>
    <row r="441">
      <c r="A441" s="1" t="str">
        <f>IFERROR(__xludf.DUMMYFUNCTION("""COMPUTED_VALUE"""),"")</f>
        <v/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</row>
    <row r="442">
      <c r="A442" s="1" t="str">
        <f>IFERROR(__xludf.DUMMYFUNCTION("""COMPUTED_VALUE"""),"")</f>
        <v/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</row>
    <row r="443">
      <c r="A443" s="1" t="str">
        <f>IFERROR(__xludf.DUMMYFUNCTION("""COMPUTED_VALUE"""),"")</f>
        <v/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</row>
    <row r="444">
      <c r="A444" s="1" t="str">
        <f>IFERROR(__xludf.DUMMYFUNCTION("""COMPUTED_VALUE"""),"")</f>
        <v/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</row>
    <row r="445">
      <c r="A445" s="1" t="str">
        <f>IFERROR(__xludf.DUMMYFUNCTION("""COMPUTED_VALUE"""),"")</f>
        <v/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</row>
    <row r="446">
      <c r="A446" s="1" t="str">
        <f>IFERROR(__xludf.DUMMYFUNCTION("""COMPUTED_VALUE"""),"")</f>
        <v/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</row>
    <row r="447">
      <c r="A447" s="1" t="str">
        <f>IFERROR(__xludf.DUMMYFUNCTION("""COMPUTED_VALUE"""),"")</f>
        <v/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</row>
    <row r="448">
      <c r="A448" s="1" t="str">
        <f>IFERROR(__xludf.DUMMYFUNCTION("""COMPUTED_VALUE"""),"")</f>
        <v/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</row>
    <row r="449">
      <c r="A449" s="1" t="str">
        <f>IFERROR(__xludf.DUMMYFUNCTION("""COMPUTED_VALUE"""),"")</f>
        <v/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</row>
    <row r="450">
      <c r="A450" s="1" t="str">
        <f>IFERROR(__xludf.DUMMYFUNCTION("""COMPUTED_VALUE"""),"")</f>
        <v/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</row>
    <row r="451">
      <c r="A451" s="1" t="str">
        <f>IFERROR(__xludf.DUMMYFUNCTION("""COMPUTED_VALUE"""),"")</f>
        <v/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</row>
    <row r="452">
      <c r="A452" s="1" t="str">
        <f>IFERROR(__xludf.DUMMYFUNCTION("""COMPUTED_VALUE"""),"")</f>
        <v/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</row>
    <row r="453">
      <c r="A453" s="1" t="str">
        <f>IFERROR(__xludf.DUMMYFUNCTION("""COMPUTED_VALUE"""),"")</f>
        <v/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</row>
    <row r="454">
      <c r="A454" s="1" t="str">
        <f>IFERROR(__xludf.DUMMYFUNCTION("""COMPUTED_VALUE"""),"")</f>
        <v/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</row>
    <row r="455">
      <c r="A455" s="1" t="str">
        <f>IFERROR(__xludf.DUMMYFUNCTION("""COMPUTED_VALUE"""),"")</f>
        <v/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</row>
    <row r="456">
      <c r="A456" s="1" t="str">
        <f>IFERROR(__xludf.DUMMYFUNCTION("""COMPUTED_VALUE"""),"")</f>
        <v/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</row>
    <row r="457">
      <c r="A457" s="1" t="str">
        <f>IFERROR(__xludf.DUMMYFUNCTION("""COMPUTED_VALUE"""),"")</f>
        <v/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</row>
    <row r="458">
      <c r="A458" s="1" t="str">
        <f>IFERROR(__xludf.DUMMYFUNCTION("""COMPUTED_VALUE"""),"")</f>
        <v/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</row>
    <row r="459">
      <c r="A459" s="1" t="str">
        <f>IFERROR(__xludf.DUMMYFUNCTION("""COMPUTED_VALUE"""),"")</f>
        <v/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</row>
    <row r="460">
      <c r="A460" s="1" t="str">
        <f>IFERROR(__xludf.DUMMYFUNCTION("""COMPUTED_VALUE"""),"")</f>
        <v/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</row>
    <row r="461">
      <c r="A461" s="1" t="str">
        <f>IFERROR(__xludf.DUMMYFUNCTION("""COMPUTED_VALUE"""),"")</f>
        <v/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</row>
    <row r="462">
      <c r="A462" s="1" t="str">
        <f>IFERROR(__xludf.DUMMYFUNCTION("""COMPUTED_VALUE"""),"")</f>
        <v/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</row>
    <row r="463">
      <c r="A463" s="1" t="str">
        <f>IFERROR(__xludf.DUMMYFUNCTION("""COMPUTED_VALUE"""),"")</f>
        <v/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</row>
    <row r="464">
      <c r="A464" s="1" t="str">
        <f>IFERROR(__xludf.DUMMYFUNCTION("""COMPUTED_VALUE"""),"")</f>
        <v/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</row>
    <row r="465">
      <c r="A465" s="1" t="str">
        <f>IFERROR(__xludf.DUMMYFUNCTION("""COMPUTED_VALUE"""),"")</f>
        <v/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</row>
    <row r="466">
      <c r="A466" s="1" t="str">
        <f>IFERROR(__xludf.DUMMYFUNCTION("""COMPUTED_VALUE"""),"")</f>
        <v/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</row>
    <row r="467">
      <c r="A467" s="1" t="str">
        <f>IFERROR(__xludf.DUMMYFUNCTION("""COMPUTED_VALUE"""),"")</f>
        <v/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</row>
    <row r="468">
      <c r="A468" s="1" t="str">
        <f>IFERROR(__xludf.DUMMYFUNCTION("""COMPUTED_VALUE"""),"")</f>
        <v/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</row>
    <row r="469">
      <c r="A469" s="1" t="str">
        <f>IFERROR(__xludf.DUMMYFUNCTION("""COMPUTED_VALUE"""),"")</f>
        <v/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</row>
    <row r="470">
      <c r="A470" s="1" t="str">
        <f>IFERROR(__xludf.DUMMYFUNCTION("""COMPUTED_VALUE"""),"")</f>
        <v/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</row>
    <row r="471">
      <c r="A471" s="1" t="str">
        <f>IFERROR(__xludf.DUMMYFUNCTION("""COMPUTED_VALUE"""),"")</f>
        <v/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</row>
    <row r="472">
      <c r="A472" s="1" t="str">
        <f>IFERROR(__xludf.DUMMYFUNCTION("""COMPUTED_VALUE"""),"")</f>
        <v/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</row>
    <row r="473">
      <c r="A473" s="1" t="str">
        <f>IFERROR(__xludf.DUMMYFUNCTION("""COMPUTED_VALUE"""),"")</f>
        <v/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</row>
    <row r="474">
      <c r="A474" s="1" t="str">
        <f>IFERROR(__xludf.DUMMYFUNCTION("""COMPUTED_VALUE"""),"")</f>
        <v/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</row>
    <row r="475">
      <c r="A475" s="1" t="str">
        <f>IFERROR(__xludf.DUMMYFUNCTION("""COMPUTED_VALUE"""),"")</f>
        <v/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</row>
    <row r="476">
      <c r="A476" s="1" t="str">
        <f>IFERROR(__xludf.DUMMYFUNCTION("""COMPUTED_VALUE"""),"")</f>
        <v/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</row>
    <row r="477">
      <c r="A477" s="1" t="str">
        <f>IFERROR(__xludf.DUMMYFUNCTION("""COMPUTED_VALUE"""),"")</f>
        <v/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</row>
    <row r="478">
      <c r="A478" s="1" t="str">
        <f>IFERROR(__xludf.DUMMYFUNCTION("""COMPUTED_VALUE"""),"")</f>
        <v/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</row>
    <row r="479">
      <c r="A479" s="1" t="str">
        <f>IFERROR(__xludf.DUMMYFUNCTION("""COMPUTED_VALUE"""),"")</f>
        <v/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</row>
    <row r="480">
      <c r="A480" s="1" t="str">
        <f>IFERROR(__xludf.DUMMYFUNCTION("""COMPUTED_VALUE"""),"")</f>
        <v/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</row>
    <row r="481">
      <c r="A481" s="1" t="str">
        <f>IFERROR(__xludf.DUMMYFUNCTION("""COMPUTED_VALUE"""),"")</f>
        <v/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</row>
    <row r="482">
      <c r="A482" s="1" t="str">
        <f>IFERROR(__xludf.DUMMYFUNCTION("""COMPUTED_VALUE"""),"")</f>
        <v/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</row>
    <row r="483">
      <c r="A483" s="1" t="str">
        <f>IFERROR(__xludf.DUMMYFUNCTION("""COMPUTED_VALUE"""),"")</f>
        <v/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</row>
    <row r="484">
      <c r="A484" s="1" t="str">
        <f>IFERROR(__xludf.DUMMYFUNCTION("""COMPUTED_VALUE"""),"")</f>
        <v/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</row>
    <row r="485">
      <c r="A485" s="1" t="str">
        <f>IFERROR(__xludf.DUMMYFUNCTION("""COMPUTED_VALUE"""),"")</f>
        <v/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</row>
    <row r="486">
      <c r="A486" s="1" t="str">
        <f>IFERROR(__xludf.DUMMYFUNCTION("""COMPUTED_VALUE"""),"")</f>
        <v/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</row>
    <row r="487">
      <c r="A487" s="1" t="str">
        <f>IFERROR(__xludf.DUMMYFUNCTION("""COMPUTED_VALUE"""),"")</f>
        <v/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</row>
    <row r="488">
      <c r="A488" s="1" t="str">
        <f>IFERROR(__xludf.DUMMYFUNCTION("""COMPUTED_VALUE"""),"")</f>
        <v/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</row>
    <row r="489">
      <c r="A489" s="1" t="str">
        <f>IFERROR(__xludf.DUMMYFUNCTION("""COMPUTED_VALUE"""),"")</f>
        <v/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</row>
    <row r="490">
      <c r="A490" s="1" t="str">
        <f>IFERROR(__xludf.DUMMYFUNCTION("""COMPUTED_VALUE"""),"")</f>
        <v/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</row>
    <row r="491">
      <c r="A491" s="1" t="str">
        <f>IFERROR(__xludf.DUMMYFUNCTION("""COMPUTED_VALUE"""),"")</f>
        <v/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</row>
    <row r="492">
      <c r="A492" s="1" t="str">
        <f>IFERROR(__xludf.DUMMYFUNCTION("""COMPUTED_VALUE"""),"")</f>
        <v/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</row>
    <row r="493">
      <c r="A493" s="1" t="str">
        <f>IFERROR(__xludf.DUMMYFUNCTION("""COMPUTED_VALUE"""),"")</f>
        <v/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</row>
    <row r="494">
      <c r="A494" s="1" t="str">
        <f>IFERROR(__xludf.DUMMYFUNCTION("""COMPUTED_VALUE"""),"")</f>
        <v/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</row>
    <row r="495">
      <c r="A495" s="1" t="str">
        <f>IFERROR(__xludf.DUMMYFUNCTION("""COMPUTED_VALUE"""),"")</f>
        <v/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</row>
    <row r="496">
      <c r="A496" s="1" t="str">
        <f>IFERROR(__xludf.DUMMYFUNCTION("""COMPUTED_VALUE"""),"")</f>
        <v/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</row>
    <row r="497">
      <c r="A497" s="1" t="str">
        <f>IFERROR(__xludf.DUMMYFUNCTION("""COMPUTED_VALUE"""),"")</f>
        <v/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</row>
    <row r="498">
      <c r="A498" s="1" t="str">
        <f>IFERROR(__xludf.DUMMYFUNCTION("""COMPUTED_VALUE"""),"")</f>
        <v/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</row>
    <row r="499">
      <c r="A499" s="1" t="str">
        <f>IFERROR(__xludf.DUMMYFUNCTION("""COMPUTED_VALUE"""),"")</f>
        <v/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</row>
    <row r="500">
      <c r="A500" s="1" t="str">
        <f>IFERROR(__xludf.DUMMYFUNCTION("""COMPUTED_VALUE"""),"")</f>
        <v/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</row>
    <row r="501">
      <c r="A501" s="1" t="str">
        <f>IFERROR(__xludf.DUMMYFUNCTION("""COMPUTED_VALUE"""),"")</f>
        <v/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</row>
    <row r="502">
      <c r="A502" s="1" t="str">
        <f>IFERROR(__xludf.DUMMYFUNCTION("""COMPUTED_VALUE"""),"")</f>
        <v/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</row>
    <row r="503">
      <c r="A503" s="1" t="str">
        <f>IFERROR(__xludf.DUMMYFUNCTION("""COMPUTED_VALUE"""),"")</f>
        <v/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</row>
    <row r="504">
      <c r="A504" s="1" t="str">
        <f>IFERROR(__xludf.DUMMYFUNCTION("""COMPUTED_VALUE"""),"")</f>
        <v/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</row>
    <row r="505">
      <c r="A505" s="1" t="str">
        <f>IFERROR(__xludf.DUMMYFUNCTION("""COMPUTED_VALUE"""),"")</f>
        <v/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</row>
    <row r="506">
      <c r="A506" s="1" t="str">
        <f>IFERROR(__xludf.DUMMYFUNCTION("""COMPUTED_VALUE"""),"")</f>
        <v/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</row>
    <row r="507">
      <c r="A507" s="1" t="str">
        <f>IFERROR(__xludf.DUMMYFUNCTION("""COMPUTED_VALUE"""),"")</f>
        <v/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</row>
    <row r="508">
      <c r="A508" s="1" t="str">
        <f>IFERROR(__xludf.DUMMYFUNCTION("""COMPUTED_VALUE"""),"")</f>
        <v/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</row>
    <row r="509">
      <c r="A509" s="1" t="str">
        <f>IFERROR(__xludf.DUMMYFUNCTION("""COMPUTED_VALUE"""),"")</f>
        <v/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</row>
    <row r="510">
      <c r="A510" s="1" t="str">
        <f>IFERROR(__xludf.DUMMYFUNCTION("""COMPUTED_VALUE"""),"")</f>
        <v/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</row>
    <row r="511">
      <c r="A511" s="1" t="str">
        <f>IFERROR(__xludf.DUMMYFUNCTION("""COMPUTED_VALUE"""),"")</f>
        <v/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</row>
    <row r="512">
      <c r="A512" s="1" t="str">
        <f>IFERROR(__xludf.DUMMYFUNCTION("""COMPUTED_VALUE"""),"")</f>
        <v/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</row>
    <row r="513">
      <c r="A513" s="1" t="str">
        <f>IFERROR(__xludf.DUMMYFUNCTION("""COMPUTED_VALUE"""),"")</f>
        <v/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</row>
    <row r="514">
      <c r="A514" s="1" t="str">
        <f>IFERROR(__xludf.DUMMYFUNCTION("""COMPUTED_VALUE"""),"")</f>
        <v/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</row>
    <row r="515">
      <c r="A515" s="1" t="str">
        <f>IFERROR(__xludf.DUMMYFUNCTION("""COMPUTED_VALUE"""),"")</f>
        <v/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</row>
    <row r="516">
      <c r="A516" s="1" t="str">
        <f>IFERROR(__xludf.DUMMYFUNCTION("""COMPUTED_VALUE"""),"")</f>
        <v/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</row>
    <row r="517">
      <c r="A517" s="1" t="str">
        <f>IFERROR(__xludf.DUMMYFUNCTION("""COMPUTED_VALUE"""),"")</f>
        <v/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</row>
    <row r="518">
      <c r="A518" s="1" t="str">
        <f>IFERROR(__xludf.DUMMYFUNCTION("""COMPUTED_VALUE"""),"")</f>
        <v/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</row>
    <row r="519">
      <c r="A519" s="1" t="str">
        <f>IFERROR(__xludf.DUMMYFUNCTION("""COMPUTED_VALUE"""),"")</f>
        <v/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</row>
    <row r="520">
      <c r="A520" s="1" t="str">
        <f>IFERROR(__xludf.DUMMYFUNCTION("""COMPUTED_VALUE"""),"")</f>
        <v/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</row>
    <row r="521">
      <c r="A521" s="1" t="str">
        <f>IFERROR(__xludf.DUMMYFUNCTION("""COMPUTED_VALUE"""),"")</f>
        <v/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</row>
    <row r="522">
      <c r="A522" s="1" t="str">
        <f>IFERROR(__xludf.DUMMYFUNCTION("""COMPUTED_VALUE"""),"")</f>
        <v/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</row>
    <row r="523">
      <c r="A523" s="1" t="str">
        <f>IFERROR(__xludf.DUMMYFUNCTION("""COMPUTED_VALUE"""),"")</f>
        <v/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</row>
    <row r="524">
      <c r="A524" s="1" t="str">
        <f>IFERROR(__xludf.DUMMYFUNCTION("""COMPUTED_VALUE"""),"")</f>
        <v/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</row>
    <row r="525">
      <c r="A525" s="1" t="str">
        <f>IFERROR(__xludf.DUMMYFUNCTION("""COMPUTED_VALUE"""),"")</f>
        <v/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</row>
    <row r="526">
      <c r="A526" s="1" t="str">
        <f>IFERROR(__xludf.DUMMYFUNCTION("""COMPUTED_VALUE"""),"")</f>
        <v/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</row>
    <row r="527">
      <c r="A527" s="1" t="str">
        <f>IFERROR(__xludf.DUMMYFUNCTION("""COMPUTED_VALUE"""),"")</f>
        <v/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</row>
    <row r="528">
      <c r="A528" s="1" t="str">
        <f>IFERROR(__xludf.DUMMYFUNCTION("""COMPUTED_VALUE"""),"")</f>
        <v/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</row>
    <row r="529">
      <c r="A529" s="1" t="str">
        <f>IFERROR(__xludf.DUMMYFUNCTION("""COMPUTED_VALUE"""),"")</f>
        <v/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</row>
    <row r="530">
      <c r="A530" s="1" t="str">
        <f>IFERROR(__xludf.DUMMYFUNCTION("""COMPUTED_VALUE"""),"")</f>
        <v/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</row>
    <row r="531">
      <c r="A531" s="1" t="str">
        <f>IFERROR(__xludf.DUMMYFUNCTION("""COMPUTED_VALUE"""),"")</f>
        <v/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</row>
    <row r="532">
      <c r="A532" s="1" t="str">
        <f>IFERROR(__xludf.DUMMYFUNCTION("""COMPUTED_VALUE"""),"")</f>
        <v/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</row>
    <row r="533">
      <c r="A533" s="1" t="str">
        <f>IFERROR(__xludf.DUMMYFUNCTION("""COMPUTED_VALUE"""),"")</f>
        <v/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</row>
    <row r="534">
      <c r="A534" s="1" t="str">
        <f>IFERROR(__xludf.DUMMYFUNCTION("""COMPUTED_VALUE"""),"")</f>
        <v/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</row>
    <row r="535">
      <c r="A535" s="1" t="str">
        <f>IFERROR(__xludf.DUMMYFUNCTION("""COMPUTED_VALUE"""),"")</f>
        <v/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</row>
    <row r="536">
      <c r="A536" s="1" t="str">
        <f>IFERROR(__xludf.DUMMYFUNCTION("""COMPUTED_VALUE"""),"")</f>
        <v/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</row>
    <row r="537">
      <c r="A537" s="1" t="str">
        <f>IFERROR(__xludf.DUMMYFUNCTION("""COMPUTED_VALUE"""),"")</f>
        <v/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</row>
    <row r="538">
      <c r="A538" s="1" t="str">
        <f>IFERROR(__xludf.DUMMYFUNCTION("""COMPUTED_VALUE"""),"")</f>
        <v/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</row>
    <row r="539">
      <c r="A539" s="1" t="str">
        <f>IFERROR(__xludf.DUMMYFUNCTION("""COMPUTED_VALUE"""),"")</f>
        <v/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</row>
    <row r="540">
      <c r="A540" s="1" t="str">
        <f>IFERROR(__xludf.DUMMYFUNCTION("""COMPUTED_VALUE"""),"")</f>
        <v/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</row>
    <row r="541">
      <c r="A541" s="1" t="str">
        <f>IFERROR(__xludf.DUMMYFUNCTION("""COMPUTED_VALUE"""),"")</f>
        <v/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</row>
    <row r="542">
      <c r="A542" s="1" t="str">
        <f>IFERROR(__xludf.DUMMYFUNCTION("""COMPUTED_VALUE"""),"")</f>
        <v/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</row>
    <row r="543">
      <c r="A543" s="1" t="str">
        <f>IFERROR(__xludf.DUMMYFUNCTION("""COMPUTED_VALUE"""),"")</f>
        <v/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</row>
    <row r="544">
      <c r="A544" s="1" t="str">
        <f>IFERROR(__xludf.DUMMYFUNCTION("""COMPUTED_VALUE"""),"")</f>
        <v/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</row>
    <row r="545">
      <c r="A545" s="1" t="str">
        <f>IFERROR(__xludf.DUMMYFUNCTION("""COMPUTED_VALUE"""),"")</f>
        <v/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</row>
    <row r="546">
      <c r="A546" s="1" t="str">
        <f>IFERROR(__xludf.DUMMYFUNCTION("""COMPUTED_VALUE"""),"")</f>
        <v/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</row>
    <row r="547">
      <c r="A547" s="1" t="str">
        <f>IFERROR(__xludf.DUMMYFUNCTION("""COMPUTED_VALUE"""),"")</f>
        <v/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</row>
    <row r="548">
      <c r="A548" s="1" t="str">
        <f>IFERROR(__xludf.DUMMYFUNCTION("""COMPUTED_VALUE"""),"")</f>
        <v/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</row>
    <row r="549">
      <c r="A549" s="1" t="str">
        <f>IFERROR(__xludf.DUMMYFUNCTION("""COMPUTED_VALUE"""),"")</f>
        <v/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</row>
    <row r="550">
      <c r="A550" s="1" t="str">
        <f>IFERROR(__xludf.DUMMYFUNCTION("""COMPUTED_VALUE"""),"")</f>
        <v/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</row>
    <row r="551">
      <c r="A551" s="1" t="str">
        <f>IFERROR(__xludf.DUMMYFUNCTION("""COMPUTED_VALUE"""),"")</f>
        <v/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</row>
    <row r="552">
      <c r="A552" s="1" t="str">
        <f>IFERROR(__xludf.DUMMYFUNCTION("""COMPUTED_VALUE"""),"")</f>
        <v/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</row>
    <row r="553">
      <c r="A553" s="1" t="str">
        <f>IFERROR(__xludf.DUMMYFUNCTION("""COMPUTED_VALUE"""),"")</f>
        <v/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</row>
    <row r="554">
      <c r="A554" s="1" t="str">
        <f>IFERROR(__xludf.DUMMYFUNCTION("""COMPUTED_VALUE"""),"")</f>
        <v/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</row>
    <row r="555">
      <c r="A555" s="1" t="str">
        <f>IFERROR(__xludf.DUMMYFUNCTION("""COMPUTED_VALUE"""),"")</f>
        <v/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</row>
    <row r="556">
      <c r="A556" s="1" t="str">
        <f>IFERROR(__xludf.DUMMYFUNCTION("""COMPUTED_VALUE"""),"")</f>
        <v/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</row>
    <row r="557">
      <c r="A557" s="1" t="str">
        <f>IFERROR(__xludf.DUMMYFUNCTION("""COMPUTED_VALUE"""),"")</f>
        <v/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</row>
    <row r="558">
      <c r="A558" s="1" t="str">
        <f>IFERROR(__xludf.DUMMYFUNCTION("""COMPUTED_VALUE"""),"")</f>
        <v/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</row>
    <row r="559">
      <c r="A559" s="1" t="str">
        <f>IFERROR(__xludf.DUMMYFUNCTION("""COMPUTED_VALUE"""),"")</f>
        <v/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</row>
    <row r="560">
      <c r="A560" s="1" t="str">
        <f>IFERROR(__xludf.DUMMYFUNCTION("""COMPUTED_VALUE"""),"")</f>
        <v/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</row>
    <row r="561">
      <c r="A561" s="1" t="str">
        <f>IFERROR(__xludf.DUMMYFUNCTION("""COMPUTED_VALUE"""),"")</f>
        <v/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</row>
    <row r="562">
      <c r="A562" s="1" t="str">
        <f>IFERROR(__xludf.DUMMYFUNCTION("""COMPUTED_VALUE"""),"")</f>
        <v/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</row>
    <row r="563">
      <c r="A563" s="1" t="str">
        <f>IFERROR(__xludf.DUMMYFUNCTION("""COMPUTED_VALUE"""),"")</f>
        <v/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</row>
    <row r="564">
      <c r="A564" s="1" t="str">
        <f>IFERROR(__xludf.DUMMYFUNCTION("""COMPUTED_VALUE"""),"")</f>
        <v/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</row>
    <row r="565">
      <c r="A565" s="1" t="str">
        <f>IFERROR(__xludf.DUMMYFUNCTION("""COMPUTED_VALUE"""),"")</f>
        <v/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</row>
    <row r="566">
      <c r="A566" s="1" t="str">
        <f>IFERROR(__xludf.DUMMYFUNCTION("""COMPUTED_VALUE"""),"")</f>
        <v/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</row>
    <row r="567">
      <c r="A567" s="1" t="str">
        <f>IFERROR(__xludf.DUMMYFUNCTION("""COMPUTED_VALUE"""),"")</f>
        <v/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</row>
    <row r="568">
      <c r="A568" s="1" t="str">
        <f>IFERROR(__xludf.DUMMYFUNCTION("""COMPUTED_VALUE"""),"")</f>
        <v/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</row>
    <row r="569">
      <c r="A569" s="1" t="str">
        <f>IFERROR(__xludf.DUMMYFUNCTION("""COMPUTED_VALUE"""),"")</f>
        <v/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</row>
    <row r="570">
      <c r="A570" s="1" t="str">
        <f>IFERROR(__xludf.DUMMYFUNCTION("""COMPUTED_VALUE"""),"")</f>
        <v/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</row>
    <row r="571">
      <c r="A571" s="1" t="str">
        <f>IFERROR(__xludf.DUMMYFUNCTION("""COMPUTED_VALUE"""),"")</f>
        <v/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</row>
    <row r="572">
      <c r="A572" s="1" t="str">
        <f>IFERROR(__xludf.DUMMYFUNCTION("""COMPUTED_VALUE"""),"")</f>
        <v/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</row>
    <row r="573">
      <c r="A573" s="1" t="str">
        <f>IFERROR(__xludf.DUMMYFUNCTION("""COMPUTED_VALUE"""),"")</f>
        <v/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</row>
    <row r="574">
      <c r="A574" s="1" t="str">
        <f>IFERROR(__xludf.DUMMYFUNCTION("""COMPUTED_VALUE"""),"")</f>
        <v/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</row>
    <row r="575">
      <c r="A575" s="1" t="str">
        <f>IFERROR(__xludf.DUMMYFUNCTION("""COMPUTED_VALUE"""),"")</f>
        <v/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</row>
    <row r="576">
      <c r="A576" s="1" t="str">
        <f>IFERROR(__xludf.DUMMYFUNCTION("""COMPUTED_VALUE"""),"")</f>
        <v/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</row>
    <row r="577">
      <c r="A577" s="1" t="str">
        <f>IFERROR(__xludf.DUMMYFUNCTION("""COMPUTED_VALUE"""),"")</f>
        <v/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</row>
    <row r="578">
      <c r="A578" s="1" t="str">
        <f>IFERROR(__xludf.DUMMYFUNCTION("""COMPUTED_VALUE"""),"")</f>
        <v/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</row>
    <row r="579">
      <c r="A579" s="1" t="str">
        <f>IFERROR(__xludf.DUMMYFUNCTION("""COMPUTED_VALUE"""),"")</f>
        <v/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</row>
    <row r="580">
      <c r="A580" s="1" t="str">
        <f>IFERROR(__xludf.DUMMYFUNCTION("""COMPUTED_VALUE"""),"")</f>
        <v/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</row>
    <row r="581">
      <c r="A581" s="1" t="str">
        <f>IFERROR(__xludf.DUMMYFUNCTION("""COMPUTED_VALUE"""),"")</f>
        <v/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</row>
    <row r="582">
      <c r="A582" s="1" t="str">
        <f>IFERROR(__xludf.DUMMYFUNCTION("""COMPUTED_VALUE"""),"")</f>
        <v/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</row>
    <row r="583">
      <c r="A583" s="1" t="str">
        <f>IFERROR(__xludf.DUMMYFUNCTION("""COMPUTED_VALUE"""),"")</f>
        <v/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</row>
    <row r="584">
      <c r="A584" s="1" t="str">
        <f>IFERROR(__xludf.DUMMYFUNCTION("""COMPUTED_VALUE"""),"")</f>
        <v/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</row>
    <row r="585">
      <c r="A585" s="1" t="str">
        <f>IFERROR(__xludf.DUMMYFUNCTION("""COMPUTED_VALUE"""),"")</f>
        <v/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</row>
    <row r="586">
      <c r="A586" s="1" t="str">
        <f>IFERROR(__xludf.DUMMYFUNCTION("""COMPUTED_VALUE"""),"")</f>
        <v/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</row>
    <row r="587">
      <c r="A587" s="1" t="str">
        <f>IFERROR(__xludf.DUMMYFUNCTION("""COMPUTED_VALUE"""),"")</f>
        <v/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</row>
    <row r="588">
      <c r="A588" s="1" t="str">
        <f>IFERROR(__xludf.DUMMYFUNCTION("""COMPUTED_VALUE"""),"")</f>
        <v/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</row>
    <row r="589">
      <c r="A589" s="1" t="str">
        <f>IFERROR(__xludf.DUMMYFUNCTION("""COMPUTED_VALUE"""),"")</f>
        <v/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</row>
    <row r="590">
      <c r="A590" s="1" t="str">
        <f>IFERROR(__xludf.DUMMYFUNCTION("""COMPUTED_VALUE"""),"")</f>
        <v/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</row>
    <row r="591">
      <c r="A591" s="1" t="str">
        <f>IFERROR(__xludf.DUMMYFUNCTION("""COMPUTED_VALUE"""),"")</f>
        <v/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</row>
    <row r="592">
      <c r="A592" s="1" t="str">
        <f>IFERROR(__xludf.DUMMYFUNCTION("""COMPUTED_VALUE"""),"")</f>
        <v/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</row>
    <row r="593">
      <c r="A593" s="1" t="str">
        <f>IFERROR(__xludf.DUMMYFUNCTION("""COMPUTED_VALUE"""),"")</f>
        <v/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</row>
    <row r="594">
      <c r="A594" s="1" t="str">
        <f>IFERROR(__xludf.DUMMYFUNCTION("""COMPUTED_VALUE"""),"")</f>
        <v/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</row>
    <row r="595">
      <c r="A595" s="1" t="str">
        <f>IFERROR(__xludf.DUMMYFUNCTION("""COMPUTED_VALUE"""),"")</f>
        <v/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</row>
    <row r="596">
      <c r="A596" s="1" t="str">
        <f>IFERROR(__xludf.DUMMYFUNCTION("""COMPUTED_VALUE"""),"")</f>
        <v/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</row>
    <row r="597">
      <c r="A597" s="1" t="str">
        <f>IFERROR(__xludf.DUMMYFUNCTION("""COMPUTED_VALUE"""),"")</f>
        <v/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</row>
    <row r="598">
      <c r="A598" s="1" t="str">
        <f>IFERROR(__xludf.DUMMYFUNCTION("""COMPUTED_VALUE"""),"")</f>
        <v/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</row>
    <row r="599">
      <c r="A599" s="1" t="str">
        <f>IFERROR(__xludf.DUMMYFUNCTION("""COMPUTED_VALUE"""),"")</f>
        <v/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</row>
    <row r="600">
      <c r="A600" s="1" t="str">
        <f>IFERROR(__xludf.DUMMYFUNCTION("""COMPUTED_VALUE"""),"")</f>
        <v/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</row>
    <row r="601">
      <c r="A601" s="1" t="str">
        <f>IFERROR(__xludf.DUMMYFUNCTION("""COMPUTED_VALUE"""),"")</f>
        <v/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</row>
    <row r="602">
      <c r="A602" s="1" t="str">
        <f>IFERROR(__xludf.DUMMYFUNCTION("""COMPUTED_VALUE"""),"")</f>
        <v/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</row>
    <row r="603">
      <c r="A603" s="1" t="str">
        <f>IFERROR(__xludf.DUMMYFUNCTION("""COMPUTED_VALUE"""),"")</f>
        <v/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</row>
    <row r="604">
      <c r="A604" s="1" t="str">
        <f>IFERROR(__xludf.DUMMYFUNCTION("""COMPUTED_VALUE"""),"")</f>
        <v/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</row>
    <row r="605">
      <c r="A605" s="1" t="str">
        <f>IFERROR(__xludf.DUMMYFUNCTION("""COMPUTED_VALUE"""),"")</f>
        <v/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</row>
    <row r="606">
      <c r="A606" s="1" t="str">
        <f>IFERROR(__xludf.DUMMYFUNCTION("""COMPUTED_VALUE"""),"")</f>
        <v/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</row>
    <row r="607">
      <c r="A607" s="1" t="str">
        <f>IFERROR(__xludf.DUMMYFUNCTION("""COMPUTED_VALUE"""),"")</f>
        <v/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</row>
    <row r="608">
      <c r="A608" s="1" t="str">
        <f>IFERROR(__xludf.DUMMYFUNCTION("""COMPUTED_VALUE"""),"")</f>
        <v/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</row>
    <row r="609">
      <c r="A609" s="1" t="str">
        <f>IFERROR(__xludf.DUMMYFUNCTION("""COMPUTED_VALUE"""),"")</f>
        <v/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</row>
    <row r="610">
      <c r="A610" s="1" t="str">
        <f>IFERROR(__xludf.DUMMYFUNCTION("""COMPUTED_VALUE"""),"")</f>
        <v/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</row>
    <row r="611">
      <c r="A611" s="1" t="str">
        <f>IFERROR(__xludf.DUMMYFUNCTION("""COMPUTED_VALUE"""),"")</f>
        <v/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</row>
    <row r="612">
      <c r="A612" s="1" t="str">
        <f>IFERROR(__xludf.DUMMYFUNCTION("""COMPUTED_VALUE"""),"")</f>
        <v/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</row>
    <row r="613">
      <c r="A613" s="1" t="str">
        <f>IFERROR(__xludf.DUMMYFUNCTION("""COMPUTED_VALUE"""),"")</f>
        <v/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</row>
    <row r="614">
      <c r="A614" s="1" t="str">
        <f>IFERROR(__xludf.DUMMYFUNCTION("""COMPUTED_VALUE"""),"")</f>
        <v/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</row>
    <row r="615">
      <c r="A615" s="1" t="str">
        <f>IFERROR(__xludf.DUMMYFUNCTION("""COMPUTED_VALUE"""),"")</f>
        <v/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</row>
    <row r="616">
      <c r="A616" s="1" t="str">
        <f>IFERROR(__xludf.DUMMYFUNCTION("""COMPUTED_VALUE"""),"")</f>
        <v/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</row>
    <row r="617">
      <c r="A617" s="1" t="str">
        <f>IFERROR(__xludf.DUMMYFUNCTION("""COMPUTED_VALUE"""),"")</f>
        <v/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</row>
    <row r="618">
      <c r="A618" s="1" t="str">
        <f>IFERROR(__xludf.DUMMYFUNCTION("""COMPUTED_VALUE"""),"")</f>
        <v/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</row>
    <row r="619">
      <c r="A619" s="1" t="str">
        <f>IFERROR(__xludf.DUMMYFUNCTION("""COMPUTED_VALUE"""),"")</f>
        <v/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</row>
    <row r="620">
      <c r="A620" s="1" t="str">
        <f>IFERROR(__xludf.DUMMYFUNCTION("""COMPUTED_VALUE"""),"")</f>
        <v/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</row>
    <row r="621">
      <c r="A621" s="1" t="str">
        <f>IFERROR(__xludf.DUMMYFUNCTION("""COMPUTED_VALUE"""),"")</f>
        <v/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</row>
    <row r="622">
      <c r="A622" s="1" t="str">
        <f>IFERROR(__xludf.DUMMYFUNCTION("""COMPUTED_VALUE"""),"")</f>
        <v/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</row>
    <row r="623">
      <c r="A623" s="1" t="str">
        <f>IFERROR(__xludf.DUMMYFUNCTION("""COMPUTED_VALUE"""),"")</f>
        <v/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</row>
    <row r="624">
      <c r="A624" s="1" t="str">
        <f>IFERROR(__xludf.DUMMYFUNCTION("""COMPUTED_VALUE"""),"")</f>
        <v/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</row>
    <row r="625">
      <c r="A625" s="1" t="str">
        <f>IFERROR(__xludf.DUMMYFUNCTION("""COMPUTED_VALUE"""),"")</f>
        <v/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</row>
    <row r="626">
      <c r="A626" s="1" t="str">
        <f>IFERROR(__xludf.DUMMYFUNCTION("""COMPUTED_VALUE"""),"")</f>
        <v/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</row>
    <row r="627">
      <c r="A627" s="1" t="str">
        <f>IFERROR(__xludf.DUMMYFUNCTION("""COMPUTED_VALUE"""),"")</f>
        <v/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</row>
    <row r="628">
      <c r="A628" s="1" t="str">
        <f>IFERROR(__xludf.DUMMYFUNCTION("""COMPUTED_VALUE"""),"")</f>
        <v/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</row>
    <row r="629">
      <c r="A629" s="1" t="str">
        <f>IFERROR(__xludf.DUMMYFUNCTION("""COMPUTED_VALUE"""),"")</f>
        <v/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</row>
    <row r="630">
      <c r="A630" s="1" t="str">
        <f>IFERROR(__xludf.DUMMYFUNCTION("""COMPUTED_VALUE"""),"")</f>
        <v/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</row>
    <row r="631">
      <c r="A631" s="1" t="str">
        <f>IFERROR(__xludf.DUMMYFUNCTION("""COMPUTED_VALUE"""),"")</f>
        <v/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</row>
    <row r="632">
      <c r="A632" s="1" t="str">
        <f>IFERROR(__xludf.DUMMYFUNCTION("""COMPUTED_VALUE"""),"")</f>
        <v/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</row>
    <row r="633">
      <c r="A633" s="1" t="str">
        <f>IFERROR(__xludf.DUMMYFUNCTION("""COMPUTED_VALUE"""),"")</f>
        <v/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</row>
    <row r="634">
      <c r="A634" s="1" t="str">
        <f>IFERROR(__xludf.DUMMYFUNCTION("""COMPUTED_VALUE"""),"")</f>
        <v/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</row>
    <row r="635">
      <c r="A635" s="1" t="str">
        <f>IFERROR(__xludf.DUMMYFUNCTION("""COMPUTED_VALUE"""),"")</f>
        <v/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</row>
    <row r="636">
      <c r="A636" s="1" t="str">
        <f>IFERROR(__xludf.DUMMYFUNCTION("""COMPUTED_VALUE"""),"")</f>
        <v/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</row>
    <row r="637">
      <c r="A637" s="1" t="str">
        <f>IFERROR(__xludf.DUMMYFUNCTION("""COMPUTED_VALUE"""),"")</f>
        <v/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</row>
    <row r="638">
      <c r="A638" s="1" t="str">
        <f>IFERROR(__xludf.DUMMYFUNCTION("""COMPUTED_VALUE"""),"")</f>
        <v/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</row>
    <row r="639">
      <c r="A639" s="1" t="str">
        <f>IFERROR(__xludf.DUMMYFUNCTION("""COMPUTED_VALUE"""),"")</f>
        <v/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</row>
    <row r="640">
      <c r="A640" s="1" t="str">
        <f>IFERROR(__xludf.DUMMYFUNCTION("""COMPUTED_VALUE"""),"")</f>
        <v/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</row>
    <row r="641">
      <c r="A641" s="1" t="str">
        <f>IFERROR(__xludf.DUMMYFUNCTION("""COMPUTED_VALUE"""),"")</f>
        <v/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</row>
    <row r="642">
      <c r="A642" s="1" t="str">
        <f>IFERROR(__xludf.DUMMYFUNCTION("""COMPUTED_VALUE"""),"")</f>
        <v/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</row>
    <row r="643">
      <c r="A643" s="1" t="str">
        <f>IFERROR(__xludf.DUMMYFUNCTION("""COMPUTED_VALUE"""),"")</f>
        <v/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</row>
    <row r="644">
      <c r="A644" s="1" t="str">
        <f>IFERROR(__xludf.DUMMYFUNCTION("""COMPUTED_VALUE"""),"")</f>
        <v/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</row>
    <row r="645">
      <c r="A645" s="1" t="str">
        <f>IFERROR(__xludf.DUMMYFUNCTION("""COMPUTED_VALUE"""),"")</f>
        <v/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</row>
    <row r="646">
      <c r="A646" s="1" t="str">
        <f>IFERROR(__xludf.DUMMYFUNCTION("""COMPUTED_VALUE"""),"")</f>
        <v/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</row>
    <row r="647">
      <c r="A647" s="1" t="str">
        <f>IFERROR(__xludf.DUMMYFUNCTION("""COMPUTED_VALUE"""),"")</f>
        <v/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</row>
    <row r="648">
      <c r="A648" s="1" t="str">
        <f>IFERROR(__xludf.DUMMYFUNCTION("""COMPUTED_VALUE"""),"")</f>
        <v/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</row>
    <row r="649">
      <c r="A649" s="1" t="str">
        <f>IFERROR(__xludf.DUMMYFUNCTION("""COMPUTED_VALUE"""),"")</f>
        <v/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</row>
    <row r="650">
      <c r="A650" s="1" t="str">
        <f>IFERROR(__xludf.DUMMYFUNCTION("""COMPUTED_VALUE"""),"")</f>
        <v/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</row>
    <row r="651">
      <c r="A651" s="1" t="str">
        <f>IFERROR(__xludf.DUMMYFUNCTION("""COMPUTED_VALUE"""),"")</f>
        <v/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</row>
    <row r="652">
      <c r="A652" s="1" t="str">
        <f>IFERROR(__xludf.DUMMYFUNCTION("""COMPUTED_VALUE"""),"")</f>
        <v/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</row>
    <row r="653">
      <c r="A653" s="1" t="str">
        <f>IFERROR(__xludf.DUMMYFUNCTION("""COMPUTED_VALUE"""),"")</f>
        <v/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</row>
    <row r="654">
      <c r="A654" s="1" t="str">
        <f>IFERROR(__xludf.DUMMYFUNCTION("""COMPUTED_VALUE"""),"")</f>
        <v/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</row>
    <row r="655">
      <c r="A655" s="1" t="str">
        <f>IFERROR(__xludf.DUMMYFUNCTION("""COMPUTED_VALUE"""),"")</f>
        <v/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</row>
    <row r="656">
      <c r="A656" s="1" t="str">
        <f>IFERROR(__xludf.DUMMYFUNCTION("""COMPUTED_VALUE"""),"")</f>
        <v/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</row>
    <row r="657">
      <c r="A657" s="1" t="str">
        <f>IFERROR(__xludf.DUMMYFUNCTION("""COMPUTED_VALUE"""),"")</f>
        <v/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</row>
    <row r="658">
      <c r="A658" s="1" t="str">
        <f>IFERROR(__xludf.DUMMYFUNCTION("""COMPUTED_VALUE"""),"")</f>
        <v/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</row>
    <row r="659">
      <c r="A659" s="1" t="str">
        <f>IFERROR(__xludf.DUMMYFUNCTION("""COMPUTED_VALUE"""),"")</f>
        <v/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</row>
    <row r="660">
      <c r="A660" s="1" t="str">
        <f>IFERROR(__xludf.DUMMYFUNCTION("""COMPUTED_VALUE"""),"")</f>
        <v/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</row>
    <row r="661">
      <c r="A661" s="1" t="str">
        <f>IFERROR(__xludf.DUMMYFUNCTION("""COMPUTED_VALUE"""),"")</f>
        <v/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</row>
    <row r="662">
      <c r="A662" s="1" t="str">
        <f>IFERROR(__xludf.DUMMYFUNCTION("""COMPUTED_VALUE"""),"")</f>
        <v/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</row>
    <row r="663">
      <c r="A663" s="1" t="str">
        <f>IFERROR(__xludf.DUMMYFUNCTION("""COMPUTED_VALUE"""),"")</f>
        <v/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</row>
    <row r="664">
      <c r="A664" s="1" t="str">
        <f>IFERROR(__xludf.DUMMYFUNCTION("""COMPUTED_VALUE"""),"")</f>
        <v/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</row>
    <row r="665">
      <c r="A665" s="1" t="str">
        <f>IFERROR(__xludf.DUMMYFUNCTION("""COMPUTED_VALUE"""),"")</f>
        <v/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</row>
    <row r="666">
      <c r="A666" s="1" t="str">
        <f>IFERROR(__xludf.DUMMYFUNCTION("""COMPUTED_VALUE"""),"")</f>
        <v/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</row>
    <row r="667">
      <c r="A667" s="1" t="str">
        <f>IFERROR(__xludf.DUMMYFUNCTION("""COMPUTED_VALUE"""),"")</f>
        <v/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</row>
    <row r="668">
      <c r="A668" s="1" t="str">
        <f>IFERROR(__xludf.DUMMYFUNCTION("""COMPUTED_VALUE"""),"")</f>
        <v/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</row>
    <row r="669">
      <c r="A669" s="1" t="str">
        <f>IFERROR(__xludf.DUMMYFUNCTION("""COMPUTED_VALUE"""),"")</f>
        <v/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</row>
    <row r="670">
      <c r="A670" s="1" t="str">
        <f>IFERROR(__xludf.DUMMYFUNCTION("""COMPUTED_VALUE"""),"")</f>
        <v/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</row>
    <row r="671">
      <c r="A671" s="1" t="str">
        <f>IFERROR(__xludf.DUMMYFUNCTION("""COMPUTED_VALUE"""),"")</f>
        <v/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</row>
    <row r="672">
      <c r="A672" s="1" t="str">
        <f>IFERROR(__xludf.DUMMYFUNCTION("""COMPUTED_VALUE"""),"")</f>
        <v/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</row>
    <row r="673">
      <c r="A673" s="1" t="str">
        <f>IFERROR(__xludf.DUMMYFUNCTION("""COMPUTED_VALUE"""),"")</f>
        <v/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</row>
    <row r="674">
      <c r="A674" s="1" t="str">
        <f>IFERROR(__xludf.DUMMYFUNCTION("""COMPUTED_VALUE"""),"")</f>
        <v/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</row>
    <row r="675">
      <c r="A675" s="1" t="str">
        <f>IFERROR(__xludf.DUMMYFUNCTION("""COMPUTED_VALUE"""),"")</f>
        <v/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</row>
    <row r="676">
      <c r="A676" s="1" t="str">
        <f>IFERROR(__xludf.DUMMYFUNCTION("""COMPUTED_VALUE"""),"")</f>
        <v/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</row>
    <row r="677">
      <c r="A677" s="1" t="str">
        <f>IFERROR(__xludf.DUMMYFUNCTION("""COMPUTED_VALUE"""),"")</f>
        <v/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</row>
    <row r="678">
      <c r="A678" s="1" t="str">
        <f>IFERROR(__xludf.DUMMYFUNCTION("""COMPUTED_VALUE"""),"")</f>
        <v/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</row>
    <row r="679">
      <c r="A679" s="1" t="str">
        <f>IFERROR(__xludf.DUMMYFUNCTION("""COMPUTED_VALUE"""),"")</f>
        <v/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</row>
    <row r="680">
      <c r="A680" s="1" t="str">
        <f>IFERROR(__xludf.DUMMYFUNCTION("""COMPUTED_VALUE"""),"")</f>
        <v/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</row>
    <row r="681">
      <c r="A681" s="1" t="str">
        <f>IFERROR(__xludf.DUMMYFUNCTION("""COMPUTED_VALUE"""),"")</f>
        <v/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</row>
    <row r="682">
      <c r="A682" s="1" t="str">
        <f>IFERROR(__xludf.DUMMYFUNCTION("""COMPUTED_VALUE"""),"")</f>
        <v/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</row>
    <row r="683">
      <c r="A683" s="1" t="str">
        <f>IFERROR(__xludf.DUMMYFUNCTION("""COMPUTED_VALUE"""),"")</f>
        <v/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</row>
    <row r="684">
      <c r="A684" s="1" t="str">
        <f>IFERROR(__xludf.DUMMYFUNCTION("""COMPUTED_VALUE"""),"")</f>
        <v/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</row>
    <row r="685">
      <c r="A685" s="1" t="str">
        <f>IFERROR(__xludf.DUMMYFUNCTION("""COMPUTED_VALUE"""),"")</f>
        <v/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</row>
    <row r="686">
      <c r="A686" s="1" t="str">
        <f>IFERROR(__xludf.DUMMYFUNCTION("""COMPUTED_VALUE"""),"")</f>
        <v/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</row>
    <row r="687">
      <c r="A687" s="1" t="str">
        <f>IFERROR(__xludf.DUMMYFUNCTION("""COMPUTED_VALUE"""),"")</f>
        <v/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</row>
    <row r="688">
      <c r="A688" s="1" t="str">
        <f>IFERROR(__xludf.DUMMYFUNCTION("""COMPUTED_VALUE"""),"")</f>
        <v/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</row>
    <row r="689">
      <c r="A689" s="1" t="str">
        <f>IFERROR(__xludf.DUMMYFUNCTION("""COMPUTED_VALUE"""),"")</f>
        <v/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</row>
    <row r="690">
      <c r="A690" s="1" t="str">
        <f>IFERROR(__xludf.DUMMYFUNCTION("""COMPUTED_VALUE"""),"")</f>
        <v/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</row>
    <row r="691">
      <c r="A691" s="1" t="str">
        <f>IFERROR(__xludf.DUMMYFUNCTION("""COMPUTED_VALUE"""),"")</f>
        <v/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</row>
    <row r="692">
      <c r="A692" s="1" t="str">
        <f>IFERROR(__xludf.DUMMYFUNCTION("""COMPUTED_VALUE"""),"")</f>
        <v/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</row>
    <row r="693">
      <c r="A693" s="1" t="str">
        <f>IFERROR(__xludf.DUMMYFUNCTION("""COMPUTED_VALUE"""),"")</f>
        <v/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</row>
    <row r="694">
      <c r="A694" s="1" t="str">
        <f>IFERROR(__xludf.DUMMYFUNCTION("""COMPUTED_VALUE"""),"")</f>
        <v/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</row>
    <row r="695">
      <c r="A695" s="1" t="str">
        <f>IFERROR(__xludf.DUMMYFUNCTION("""COMPUTED_VALUE"""),"")</f>
        <v/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</row>
    <row r="696">
      <c r="A696" s="1" t="str">
        <f>IFERROR(__xludf.DUMMYFUNCTION("""COMPUTED_VALUE"""),"")</f>
        <v/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</row>
    <row r="697">
      <c r="A697" s="1" t="str">
        <f>IFERROR(__xludf.DUMMYFUNCTION("""COMPUTED_VALUE"""),"")</f>
        <v/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</row>
    <row r="698">
      <c r="A698" s="1" t="str">
        <f>IFERROR(__xludf.DUMMYFUNCTION("""COMPUTED_VALUE"""),"")</f>
        <v/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</row>
    <row r="699">
      <c r="A699" s="1" t="str">
        <f>IFERROR(__xludf.DUMMYFUNCTION("""COMPUTED_VALUE"""),"")</f>
        <v/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</row>
    <row r="700">
      <c r="A700" s="1" t="str">
        <f>IFERROR(__xludf.DUMMYFUNCTION("""COMPUTED_VALUE"""),"")</f>
        <v/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</row>
  </sheetData>
  <autoFilter ref="$A$1:$BC$49"/>
  <drawing r:id="rId1"/>
</worksheet>
</file>