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C:\Data\Qtest_shinyApp\"/>
    </mc:Choice>
  </mc:AlternateContent>
  <bookViews>
    <workbookView xWindow="0" yWindow="0" windowWidth="28800" windowHeight="11985" activeTab="2"/>
  </bookViews>
  <sheets>
    <sheet name="Quick Test Mass Balance Tool" sheetId="1" r:id="rId1"/>
    <sheet name="Soil parameters" sheetId="4" r:id="rId2"/>
    <sheet name="Crop parameters" sheetId="6" r:id="rId3"/>
    <sheet name="Crop N Graphing" sheetId="7" r:id="rId4"/>
    <sheet name="Mineral N graphing" sheetId="10" r:id="rId5"/>
    <sheet name="AMN Input" sheetId="11" r:id="rId6"/>
    <sheet name="Tool Information" sheetId="13" r:id="rId7"/>
  </sheets>
  <definedNames>
    <definedName name="Ammonium_N_factor">'Soil parameters'!$K$15</definedName>
    <definedName name="Baby_Spinach">'Crop parameters'!$B$122:$B$140</definedName>
    <definedName name="Barley_Autumn">'Crop parameters'!$D$180:$D$189</definedName>
    <definedName name="Barley_Spring">'Crop parameters'!$D$190:$D$199</definedName>
    <definedName name="Broccoli_Summer">'Crop parameters'!$B$66:$B$79</definedName>
    <definedName name="Broccoli_Winter">'Crop parameters'!$B$52:$B$65</definedName>
    <definedName name="Buffer_Value">'Quick Test Mass Balance Tool'!$X$13</definedName>
    <definedName name="Cabbage_Summer">'Crop parameters'!$B$94:$B$107</definedName>
    <definedName name="Cabbage_Winter">'Crop parameters'!$B$108:$B$121</definedName>
    <definedName name="Crop">'Crop parameters'!$L$10:$L$17</definedName>
    <definedName name="Lettuce">'Crop parameters'!$B$39:$B$51</definedName>
    <definedName name="Maize">'Crop parameters'!$B$20:$B$38</definedName>
    <definedName name="Onions">'Crop parameters'!$B$80:$B$93</definedName>
    <definedName name="Potatoes">'Crop parameters'!$B$3:$B$19</definedName>
    <definedName name="Sweetcorn">'Crop parameters'!$B$166:$B$179</definedName>
    <definedName name="Wheat_Autumn">'Crop parameters'!$B$141:$B$153</definedName>
    <definedName name="Wheat_Spring">'Crop parameters'!$B$154:$B$165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 i="1" l="1"/>
  <c r="P19" i="1"/>
  <c r="O19" i="1"/>
  <c r="A1" i="10"/>
  <c r="Q20" i="1" l="1"/>
  <c r="O21" i="1"/>
  <c r="AA15" i="1" l="1"/>
  <c r="AA14" i="1"/>
  <c r="AA13" i="1"/>
  <c r="AA10" i="1"/>
  <c r="C181" i="6" l="1"/>
  <c r="C182" i="6"/>
  <c r="C183" i="6"/>
  <c r="C184" i="6"/>
  <c r="C185" i="6"/>
  <c r="C186" i="6"/>
  <c r="C187" i="6"/>
  <c r="C188" i="6"/>
  <c r="C189" i="6"/>
  <c r="C190" i="6"/>
  <c r="C191" i="6"/>
  <c r="C192" i="6"/>
  <c r="C193" i="6"/>
  <c r="C194" i="6"/>
  <c r="C195" i="6"/>
  <c r="C196" i="6"/>
  <c r="C197" i="6"/>
  <c r="C198" i="6"/>
  <c r="C199" i="6"/>
  <c r="C180" i="6"/>
  <c r="E190" i="6" l="1"/>
  <c r="E191" i="6"/>
  <c r="E192" i="6"/>
  <c r="E193" i="6"/>
  <c r="E194" i="6"/>
  <c r="E195" i="6"/>
  <c r="E196" i="6"/>
  <c r="E197" i="6"/>
  <c r="E198" i="6"/>
  <c r="E199" i="6"/>
  <c r="J13" i="1"/>
  <c r="J12" i="1"/>
  <c r="E180" i="6"/>
  <c r="E181" i="6"/>
  <c r="E182" i="6"/>
  <c r="E183" i="6"/>
  <c r="E184" i="6"/>
  <c r="E185" i="6"/>
  <c r="E186" i="6"/>
  <c r="E187" i="6"/>
  <c r="E188" i="6"/>
  <c r="E189" i="6"/>
  <c r="P11" i="1" l="1"/>
  <c r="C35" i="6" l="1"/>
  <c r="C36" i="6"/>
  <c r="C37" i="6"/>
  <c r="C38" i="6"/>
  <c r="C20" i="6"/>
  <c r="E167" i="6" l="1"/>
  <c r="E168" i="6"/>
  <c r="E169" i="6"/>
  <c r="E170" i="6"/>
  <c r="E171" i="6"/>
  <c r="E172" i="6"/>
  <c r="E173" i="6"/>
  <c r="E174" i="6"/>
  <c r="E175" i="6"/>
  <c r="E176" i="6"/>
  <c r="E177" i="6"/>
  <c r="E178" i="6"/>
  <c r="E179" i="6"/>
  <c r="C167" i="6"/>
  <c r="C168" i="6"/>
  <c r="C169" i="6"/>
  <c r="C170" i="6"/>
  <c r="C171" i="6"/>
  <c r="C172" i="6"/>
  <c r="C173" i="6"/>
  <c r="C174" i="6"/>
  <c r="C175" i="6"/>
  <c r="C176" i="6"/>
  <c r="C177" i="6"/>
  <c r="C178" i="6"/>
  <c r="C179" i="6"/>
  <c r="C166" i="6"/>
  <c r="E166" i="6"/>
  <c r="E155" i="6" l="1"/>
  <c r="E156" i="6"/>
  <c r="E157" i="6"/>
  <c r="E158" i="6"/>
  <c r="E159" i="6"/>
  <c r="E160" i="6"/>
  <c r="E161" i="6"/>
  <c r="E162" i="6"/>
  <c r="E163" i="6"/>
  <c r="E164" i="6"/>
  <c r="E165" i="6"/>
  <c r="C154" i="6"/>
  <c r="C155" i="6"/>
  <c r="C156" i="6"/>
  <c r="C157" i="6"/>
  <c r="C158" i="6"/>
  <c r="C159" i="6"/>
  <c r="C160" i="6"/>
  <c r="C161" i="6"/>
  <c r="C162" i="6"/>
  <c r="C163" i="6"/>
  <c r="C164" i="6"/>
  <c r="C165" i="6"/>
  <c r="E154" i="6"/>
  <c r="K204" i="7" l="1"/>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E142" i="6" l="1"/>
  <c r="E143" i="6"/>
  <c r="E144" i="6"/>
  <c r="E145" i="6"/>
  <c r="E146" i="6"/>
  <c r="E147" i="6"/>
  <c r="E148" i="6"/>
  <c r="E149" i="6"/>
  <c r="E150" i="6"/>
  <c r="E151" i="6"/>
  <c r="E152" i="6"/>
  <c r="E153" i="6"/>
  <c r="C142" i="6"/>
  <c r="C143" i="6"/>
  <c r="C144" i="6"/>
  <c r="C145" i="6"/>
  <c r="C146" i="6"/>
  <c r="C147" i="6"/>
  <c r="C148" i="6"/>
  <c r="C149" i="6"/>
  <c r="C150" i="6"/>
  <c r="C151" i="6"/>
  <c r="C152" i="6"/>
  <c r="C153" i="6"/>
  <c r="C141" i="6"/>
  <c r="E141" i="6"/>
  <c r="O11" i="1" l="1"/>
  <c r="X8" i="1" l="1"/>
  <c r="X15" i="1"/>
  <c r="AA12" i="1"/>
  <c r="L205" i="7" l="1"/>
  <c r="L207" i="7"/>
  <c r="L209" i="7"/>
  <c r="L211" i="7"/>
  <c r="L213" i="7"/>
  <c r="L215" i="7"/>
  <c r="L217" i="7"/>
  <c r="L219" i="7"/>
  <c r="L221" i="7"/>
  <c r="L223" i="7"/>
  <c r="L225" i="7"/>
  <c r="L227" i="7"/>
  <c r="L229" i="7"/>
  <c r="L231" i="7"/>
  <c r="L233" i="7"/>
  <c r="L235" i="7"/>
  <c r="L237" i="7"/>
  <c r="L239" i="7"/>
  <c r="L241" i="7"/>
  <c r="L243" i="7"/>
  <c r="L245" i="7"/>
  <c r="L247" i="7"/>
  <c r="L249" i="7"/>
  <c r="L251" i="7"/>
  <c r="L253" i="7"/>
  <c r="L255" i="7"/>
  <c r="L257" i="7"/>
  <c r="L259" i="7"/>
  <c r="L261" i="7"/>
  <c r="L263" i="7"/>
  <c r="L265" i="7"/>
  <c r="L267" i="7"/>
  <c r="L269" i="7"/>
  <c r="L271" i="7"/>
  <c r="L273" i="7"/>
  <c r="L275" i="7"/>
  <c r="L277" i="7"/>
  <c r="L279" i="7"/>
  <c r="L281" i="7"/>
  <c r="L283" i="7"/>
  <c r="L204" i="7"/>
  <c r="L206" i="7"/>
  <c r="L208" i="7"/>
  <c r="L210" i="7"/>
  <c r="L212" i="7"/>
  <c r="L214" i="7"/>
  <c r="L216" i="7"/>
  <c r="L218" i="7"/>
  <c r="L220" i="7"/>
  <c r="L222" i="7"/>
  <c r="L224" i="7"/>
  <c r="L228" i="7"/>
  <c r="L230" i="7"/>
  <c r="L232" i="7"/>
  <c r="L234" i="7"/>
  <c r="L236" i="7"/>
  <c r="L238" i="7"/>
  <c r="L240" i="7"/>
  <c r="L242" i="7"/>
  <c r="L244" i="7"/>
  <c r="L246" i="7"/>
  <c r="L248" i="7"/>
  <c r="L250" i="7"/>
  <c r="L252" i="7"/>
  <c r="L254" i="7"/>
  <c r="L256" i="7"/>
  <c r="L258" i="7"/>
  <c r="L260" i="7"/>
  <c r="L262" i="7"/>
  <c r="L264" i="7"/>
  <c r="L266" i="7"/>
  <c r="L268" i="7"/>
  <c r="L270" i="7"/>
  <c r="L272" i="7"/>
  <c r="L274" i="7"/>
  <c r="L276" i="7"/>
  <c r="L278" i="7"/>
  <c r="L280" i="7"/>
  <c r="L282" i="7"/>
  <c r="E122" i="6"/>
  <c r="E123" i="6"/>
  <c r="E124" i="6"/>
  <c r="E125" i="6"/>
  <c r="E126" i="6"/>
  <c r="E127" i="6"/>
  <c r="E128" i="6"/>
  <c r="E129" i="6"/>
  <c r="E130" i="6"/>
  <c r="E131" i="6"/>
  <c r="E132" i="6"/>
  <c r="E133" i="6"/>
  <c r="E134" i="6"/>
  <c r="E135" i="6"/>
  <c r="E136" i="6"/>
  <c r="E137" i="6"/>
  <c r="E138" i="6"/>
  <c r="E139" i="6"/>
  <c r="E140" i="6"/>
  <c r="C123" i="6"/>
  <c r="C124" i="6"/>
  <c r="C125" i="6"/>
  <c r="C126" i="6"/>
  <c r="C127" i="6"/>
  <c r="C128" i="6"/>
  <c r="C129" i="6"/>
  <c r="C130" i="6"/>
  <c r="C131" i="6"/>
  <c r="C132" i="6"/>
  <c r="C133" i="6"/>
  <c r="C134" i="6"/>
  <c r="C135" i="6"/>
  <c r="C136" i="6"/>
  <c r="C137" i="6"/>
  <c r="C138" i="6"/>
  <c r="C139" i="6"/>
  <c r="C140" i="6"/>
  <c r="C122" i="6"/>
  <c r="B3" i="7" s="1"/>
  <c r="E80" i="6" l="1"/>
  <c r="E81" i="6"/>
  <c r="E82" i="6"/>
  <c r="E83" i="6"/>
  <c r="E84" i="6"/>
  <c r="E85" i="6"/>
  <c r="E86" i="6"/>
  <c r="E87" i="6"/>
  <c r="E88" i="6"/>
  <c r="E89" i="6"/>
  <c r="E90" i="6"/>
  <c r="E91" i="6"/>
  <c r="E92" i="6"/>
  <c r="E93" i="6"/>
  <c r="C108" i="6"/>
  <c r="D108" i="6"/>
  <c r="E108" i="6" s="1"/>
  <c r="C109" i="6"/>
  <c r="D109" i="6"/>
  <c r="E109" i="6" s="1"/>
  <c r="C110" i="6"/>
  <c r="D110" i="6"/>
  <c r="E110" i="6" s="1"/>
  <c r="C111" i="6"/>
  <c r="D111" i="6"/>
  <c r="E111" i="6" s="1"/>
  <c r="C112" i="6"/>
  <c r="D112" i="6"/>
  <c r="E112" i="6" s="1"/>
  <c r="C113" i="6"/>
  <c r="D113" i="6"/>
  <c r="E113" i="6" s="1"/>
  <c r="C114" i="6"/>
  <c r="D114" i="6"/>
  <c r="E114" i="6" s="1"/>
  <c r="C115" i="6"/>
  <c r="D115" i="6"/>
  <c r="E115" i="6" s="1"/>
  <c r="C116" i="6"/>
  <c r="D116" i="6"/>
  <c r="E116" i="6" s="1"/>
  <c r="C117" i="6"/>
  <c r="D117" i="6"/>
  <c r="E117" i="6" s="1"/>
  <c r="C118" i="6"/>
  <c r="D118" i="6"/>
  <c r="E118" i="6" s="1"/>
  <c r="C119" i="6"/>
  <c r="D119" i="6"/>
  <c r="E119" i="6" s="1"/>
  <c r="C120" i="6"/>
  <c r="D120" i="6"/>
  <c r="E120" i="6" s="1"/>
  <c r="C121" i="6"/>
  <c r="D121" i="6"/>
  <c r="E121" i="6" s="1"/>
  <c r="D95" i="6" l="1"/>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94" i="6"/>
  <c r="E94" i="6" s="1"/>
  <c r="C94" i="6"/>
  <c r="C95" i="6"/>
  <c r="C96" i="6"/>
  <c r="C97" i="6"/>
  <c r="C98" i="6"/>
  <c r="C99" i="6"/>
  <c r="C100" i="6"/>
  <c r="C101" i="6"/>
  <c r="C102" i="6"/>
  <c r="C103" i="6"/>
  <c r="C104" i="6"/>
  <c r="C105" i="6"/>
  <c r="C106" i="6"/>
  <c r="C107" i="6"/>
  <c r="D79" i="6" l="1"/>
  <c r="E79" i="6" s="1"/>
  <c r="C79" i="6"/>
  <c r="D78" i="6"/>
  <c r="E78" i="6" s="1"/>
  <c r="C78" i="6"/>
  <c r="D77" i="6"/>
  <c r="E77" i="6" s="1"/>
  <c r="C77" i="6"/>
  <c r="D76" i="6"/>
  <c r="E76" i="6" s="1"/>
  <c r="C76" i="6"/>
  <c r="D75" i="6"/>
  <c r="E75" i="6" s="1"/>
  <c r="C75" i="6"/>
  <c r="D74" i="6"/>
  <c r="E74" i="6" s="1"/>
  <c r="C74" i="6"/>
  <c r="D73" i="6"/>
  <c r="E73" i="6" s="1"/>
  <c r="C73" i="6"/>
  <c r="D72" i="6"/>
  <c r="E72" i="6" s="1"/>
  <c r="C72" i="6"/>
  <c r="D71" i="6"/>
  <c r="E71" i="6" s="1"/>
  <c r="C71" i="6"/>
  <c r="D70" i="6"/>
  <c r="E70" i="6" s="1"/>
  <c r="C70" i="6"/>
  <c r="D69" i="6"/>
  <c r="E69" i="6" s="1"/>
  <c r="C69" i="6"/>
  <c r="D68" i="6"/>
  <c r="E68" i="6" s="1"/>
  <c r="C68" i="6"/>
  <c r="D67" i="6"/>
  <c r="E67" i="6" s="1"/>
  <c r="C67" i="6"/>
  <c r="D66" i="6"/>
  <c r="E66" i="6" s="1"/>
  <c r="C66" i="6"/>
  <c r="C61" i="6"/>
  <c r="C62" i="6"/>
  <c r="C63" i="6"/>
  <c r="C64" i="6"/>
  <c r="C65" i="6"/>
  <c r="D61" i="6"/>
  <c r="E61" i="6" s="1"/>
  <c r="D62" i="6"/>
  <c r="E62" i="6" s="1"/>
  <c r="D63" i="6"/>
  <c r="E63" i="6" s="1"/>
  <c r="D64" i="6"/>
  <c r="E64" i="6" s="1"/>
  <c r="D65" i="6"/>
  <c r="E65"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K102" i="7" l="1"/>
  <c r="K154" i="7" l="1"/>
  <c r="K155" i="7"/>
  <c r="K156" i="7"/>
  <c r="K157" i="7"/>
  <c r="K158" i="7"/>
  <c r="K159" i="7"/>
  <c r="K160" i="7"/>
  <c r="K161" i="7"/>
  <c r="K162" i="7"/>
  <c r="K163" i="7"/>
  <c r="K164" i="7"/>
  <c r="K165" i="7"/>
  <c r="K166" i="7"/>
  <c r="K168" i="7"/>
  <c r="K169" i="7"/>
  <c r="K170" i="7"/>
  <c r="K171" i="7"/>
  <c r="K172" i="7"/>
  <c r="K173" i="7"/>
  <c r="K174" i="7"/>
  <c r="K175" i="7"/>
  <c r="K176" i="7"/>
  <c r="K177" i="7"/>
  <c r="K178" i="7"/>
  <c r="K179" i="7"/>
  <c r="K180" i="7"/>
  <c r="K181" i="7"/>
  <c r="K182" i="7"/>
  <c r="K183" i="7"/>
  <c r="K184" i="7"/>
  <c r="K185" i="7"/>
  <c r="K186" i="7"/>
  <c r="K187" i="7"/>
  <c r="K188" i="7"/>
  <c r="K190" i="7"/>
  <c r="K191" i="7"/>
  <c r="K192" i="7"/>
  <c r="K193" i="7"/>
  <c r="K194" i="7"/>
  <c r="K195" i="7"/>
  <c r="K196" i="7"/>
  <c r="K197" i="7"/>
  <c r="K198" i="7"/>
  <c r="K199" i="7"/>
  <c r="K200" i="7"/>
  <c r="K201" i="7"/>
  <c r="K202" i="7"/>
  <c r="K203" i="7"/>
  <c r="C80" i="6"/>
  <c r="C81" i="6"/>
  <c r="C82" i="6"/>
  <c r="C83" i="6"/>
  <c r="C84" i="6"/>
  <c r="C85" i="6"/>
  <c r="C86" i="6"/>
  <c r="C87" i="6"/>
  <c r="C88" i="6"/>
  <c r="C89" i="6"/>
  <c r="C90" i="6"/>
  <c r="C91" i="6"/>
  <c r="C92" i="6"/>
  <c r="C93" i="6"/>
  <c r="K189" i="7" l="1"/>
  <c r="L154" i="7" l="1"/>
  <c r="L156" i="7"/>
  <c r="L158" i="7"/>
  <c r="L160" i="7"/>
  <c r="L162" i="7"/>
  <c r="L164" i="7"/>
  <c r="L168" i="7"/>
  <c r="L170" i="7"/>
  <c r="L172" i="7"/>
  <c r="L174" i="7"/>
  <c r="L176" i="7"/>
  <c r="L178" i="7"/>
  <c r="L180" i="7"/>
  <c r="L182" i="7"/>
  <c r="L184" i="7"/>
  <c r="L186" i="7"/>
  <c r="L188" i="7"/>
  <c r="L190" i="7"/>
  <c r="L192" i="7"/>
  <c r="L194" i="7"/>
  <c r="L196" i="7"/>
  <c r="L198" i="7"/>
  <c r="L200" i="7"/>
  <c r="L202" i="7"/>
  <c r="L155" i="7"/>
  <c r="L159" i="7"/>
  <c r="L161" i="7"/>
  <c r="L163" i="7"/>
  <c r="L165" i="7"/>
  <c r="L169" i="7"/>
  <c r="L171" i="7"/>
  <c r="L173" i="7"/>
  <c r="L175" i="7"/>
  <c r="L177" i="7"/>
  <c r="L179" i="7"/>
  <c r="L181" i="7"/>
  <c r="L183" i="7"/>
  <c r="L185" i="7"/>
  <c r="L187" i="7"/>
  <c r="L189" i="7"/>
  <c r="L191" i="7"/>
  <c r="L193" i="7"/>
  <c r="L195" i="7"/>
  <c r="L197" i="7"/>
  <c r="L199" i="7"/>
  <c r="L201" i="7"/>
  <c r="L203" i="7"/>
  <c r="L15" i="7"/>
  <c r="Q11" i="1"/>
  <c r="O22" i="1"/>
  <c r="O23" i="1" s="1"/>
  <c r="O20" i="1" s="1"/>
  <c r="L147" i="7" l="1"/>
  <c r="L131" i="7"/>
  <c r="L115" i="7"/>
  <c r="L99" i="7"/>
  <c r="L83" i="7"/>
  <c r="L67" i="7"/>
  <c r="L51" i="7"/>
  <c r="L35" i="7"/>
  <c r="L146" i="7"/>
  <c r="L130" i="7"/>
  <c r="L114" i="7"/>
  <c r="L98" i="7"/>
  <c r="L82" i="7"/>
  <c r="L66" i="7"/>
  <c r="L50" i="7"/>
  <c r="L139" i="7"/>
  <c r="L123" i="7"/>
  <c r="L107" i="7"/>
  <c r="L91" i="7"/>
  <c r="L75" i="7"/>
  <c r="L59" i="7"/>
  <c r="L43" i="7"/>
  <c r="L19" i="7"/>
  <c r="L3" i="7"/>
  <c r="L122" i="7"/>
  <c r="L106" i="7"/>
  <c r="L58" i="7"/>
  <c r="L42" i="7"/>
  <c r="L4" i="7"/>
  <c r="L8" i="7"/>
  <c r="L12" i="7"/>
  <c r="L16" i="7"/>
  <c r="L20" i="7"/>
  <c r="L24" i="7"/>
  <c r="L32" i="7"/>
  <c r="L36" i="7"/>
  <c r="L40" i="7"/>
  <c r="L48" i="7"/>
  <c r="L56" i="7"/>
  <c r="L64" i="7"/>
  <c r="L68" i="7"/>
  <c r="L72" i="7"/>
  <c r="L76" i="7"/>
  <c r="L84" i="7"/>
  <c r="L88" i="7"/>
  <c r="L92" i="7"/>
  <c r="L96" i="7"/>
  <c r="L100" i="7"/>
  <c r="L104" i="7"/>
  <c r="L108" i="7"/>
  <c r="L112" i="7"/>
  <c r="L116" i="7"/>
  <c r="L120" i="7"/>
  <c r="L124" i="7"/>
  <c r="L128" i="7"/>
  <c r="L132" i="7"/>
  <c r="L140" i="7"/>
  <c r="L144" i="7"/>
  <c r="L148" i="7"/>
  <c r="L152" i="7"/>
  <c r="L9" i="7"/>
  <c r="L13" i="7"/>
  <c r="L21" i="7"/>
  <c r="L25" i="7"/>
  <c r="L29" i="7"/>
  <c r="L37" i="7"/>
  <c r="L41" i="7"/>
  <c r="L45" i="7"/>
  <c r="L49" i="7"/>
  <c r="L61" i="7"/>
  <c r="L69" i="7"/>
  <c r="L73" i="7"/>
  <c r="L77" i="7"/>
  <c r="L85" i="7"/>
  <c r="L89" i="7"/>
  <c r="L93" i="7"/>
  <c r="L97" i="7"/>
  <c r="L101" i="7"/>
  <c r="L105" i="7"/>
  <c r="L109" i="7"/>
  <c r="L113" i="7"/>
  <c r="L117" i="7"/>
  <c r="L121" i="7"/>
  <c r="L125" i="7"/>
  <c r="L129" i="7"/>
  <c r="L133" i="7"/>
  <c r="L137" i="7"/>
  <c r="L141" i="7"/>
  <c r="L145" i="7"/>
  <c r="L149" i="7"/>
  <c r="L153" i="7"/>
  <c r="L6" i="7"/>
  <c r="L10" i="7"/>
  <c r="L14" i="7"/>
  <c r="L18" i="7"/>
  <c r="L26" i="7"/>
  <c r="L30" i="7"/>
  <c r="L34" i="7"/>
  <c r="L151" i="7"/>
  <c r="L143" i="7"/>
  <c r="L135" i="7"/>
  <c r="L127" i="7"/>
  <c r="L119" i="7"/>
  <c r="L111" i="7"/>
  <c r="L103" i="7"/>
  <c r="L87" i="7"/>
  <c r="L71" i="7"/>
  <c r="L63" i="7"/>
  <c r="L55" i="7"/>
  <c r="L11" i="7"/>
  <c r="L150" i="7"/>
  <c r="L142" i="7"/>
  <c r="L134" i="7"/>
  <c r="L118" i="7"/>
  <c r="L110" i="7"/>
  <c r="L102" i="7"/>
  <c r="L94" i="7"/>
  <c r="L86" i="7"/>
  <c r="L78" i="7"/>
  <c r="L54" i="7"/>
  <c r="L46" i="7"/>
  <c r="L38" i="7"/>
  <c r="L23" i="7"/>
  <c r="L7" i="7"/>
  <c r="D52" i="6" l="1"/>
  <c r="E52" i="6" s="1"/>
  <c r="D53" i="6"/>
  <c r="E53" i="6" s="1"/>
  <c r="D54" i="6"/>
  <c r="E54" i="6" s="1"/>
  <c r="D55" i="6"/>
  <c r="E55" i="6" s="1"/>
  <c r="D56" i="6"/>
  <c r="E56" i="6" s="1"/>
  <c r="D57" i="6"/>
  <c r="E57" i="6" s="1"/>
  <c r="D58" i="6"/>
  <c r="E58" i="6" s="1"/>
  <c r="D59" i="6"/>
  <c r="E59" i="6" s="1"/>
  <c r="D60" i="6"/>
  <c r="E60" i="6" s="1"/>
  <c r="C53" i="6"/>
  <c r="C54" i="6"/>
  <c r="C55" i="6"/>
  <c r="C56" i="6"/>
  <c r="C57" i="6"/>
  <c r="C58" i="6"/>
  <c r="C59" i="6"/>
  <c r="C60" i="6"/>
  <c r="C52" i="6"/>
  <c r="C40" i="6" l="1"/>
  <c r="C41" i="6"/>
  <c r="C42" i="6"/>
  <c r="C43" i="6"/>
  <c r="C44" i="6"/>
  <c r="C45" i="6"/>
  <c r="C46" i="6"/>
  <c r="C47" i="6"/>
  <c r="C48" i="6"/>
  <c r="C49" i="6"/>
  <c r="C50" i="6"/>
  <c r="C51" i="6"/>
  <c r="C39" i="6"/>
  <c r="Q27" i="1" l="1"/>
  <c r="P27" i="1" l="1"/>
  <c r="D1" i="10" l="1"/>
  <c r="C1" i="10" l="1"/>
  <c r="B1" i="10" l="1"/>
  <c r="C21" i="6"/>
  <c r="C22" i="6"/>
  <c r="C23" i="6"/>
  <c r="C24" i="6"/>
  <c r="C25" i="6"/>
  <c r="C26" i="6"/>
  <c r="C27" i="6"/>
  <c r="C28" i="6"/>
  <c r="C29" i="6"/>
  <c r="C30" i="6"/>
  <c r="C31" i="6"/>
  <c r="C32" i="6"/>
  <c r="C33" i="6"/>
  <c r="C34" i="6"/>
  <c r="K5" i="7" l="1"/>
  <c r="K6" i="7"/>
  <c r="K11" i="7"/>
  <c r="K13" i="7"/>
  <c r="K14" i="7"/>
  <c r="K17" i="7"/>
  <c r="K18" i="7"/>
  <c r="K21" i="7"/>
  <c r="K23" i="7"/>
  <c r="K24" i="7"/>
  <c r="K25" i="7"/>
  <c r="K27" i="7"/>
  <c r="K31" i="7"/>
  <c r="K32" i="7"/>
  <c r="K34" i="7"/>
  <c r="K35" i="7"/>
  <c r="K36" i="7"/>
  <c r="K37" i="7"/>
  <c r="K40" i="7"/>
  <c r="K42" i="7"/>
  <c r="K43" i="7"/>
  <c r="K46" i="7"/>
  <c r="K47" i="7"/>
  <c r="K48" i="7"/>
  <c r="K50" i="7"/>
  <c r="K51" i="7"/>
  <c r="K52" i="7"/>
  <c r="K53" i="7"/>
  <c r="K56" i="7"/>
  <c r="K57" i="7"/>
  <c r="K58" i="7"/>
  <c r="K59" i="7"/>
  <c r="K61" i="7"/>
  <c r="K62" i="7"/>
  <c r="K63" i="7"/>
  <c r="K64" i="7"/>
  <c r="K66" i="7"/>
  <c r="K67" i="7"/>
  <c r="K68" i="7"/>
  <c r="K70" i="7"/>
  <c r="K71" i="7"/>
  <c r="K72" i="7"/>
  <c r="K73" i="7"/>
  <c r="K75" i="7"/>
  <c r="K76" i="7"/>
  <c r="K77" i="7"/>
  <c r="K78" i="7"/>
  <c r="K80" i="7"/>
  <c r="K81" i="7"/>
  <c r="K82" i="7"/>
  <c r="K83" i="7"/>
  <c r="K84" i="7"/>
  <c r="K85" i="7"/>
  <c r="K86" i="7"/>
  <c r="K87" i="7"/>
  <c r="K88" i="7"/>
  <c r="K89" i="7"/>
  <c r="K90" i="7"/>
  <c r="K92" i="7"/>
  <c r="K93" i="7"/>
  <c r="K94" i="7"/>
  <c r="K96" i="7"/>
  <c r="K97" i="7"/>
  <c r="K99" i="7"/>
  <c r="K100" i="7"/>
  <c r="K101"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C3" i="6" l="1"/>
  <c r="C4" i="6"/>
  <c r="C5" i="6"/>
  <c r="C6" i="6"/>
  <c r="K49" i="7" l="1"/>
  <c r="K39" i="7"/>
  <c r="K69" i="7"/>
  <c r="K22" i="7"/>
  <c r="K91" i="7"/>
  <c r="K79" i="7"/>
  <c r="C8" i="6"/>
  <c r="C9" i="6"/>
  <c r="C10" i="6"/>
  <c r="C11" i="6"/>
  <c r="C12" i="6"/>
  <c r="C13" i="6"/>
  <c r="C14" i="6"/>
  <c r="C15" i="6"/>
  <c r="C16" i="6"/>
  <c r="C17" i="6"/>
  <c r="C18" i="6"/>
  <c r="C19" i="6"/>
  <c r="C7" i="6"/>
  <c r="K13" i="1" s="1"/>
  <c r="B209" i="7" l="1"/>
  <c r="E225" i="7"/>
  <c r="D241" i="7"/>
  <c r="C257" i="7"/>
  <c r="B273" i="7"/>
  <c r="E208" i="7"/>
  <c r="B230" i="7"/>
  <c r="B252" i="7"/>
  <c r="C273" i="7"/>
  <c r="D214" i="7"/>
  <c r="C235" i="7"/>
  <c r="B245" i="7"/>
  <c r="E272" i="7"/>
  <c r="C229" i="7"/>
  <c r="D259" i="7"/>
  <c r="E213" i="7"/>
  <c r="D263" i="7"/>
  <c r="E234" i="7"/>
  <c r="B251" i="7"/>
  <c r="E268" i="7"/>
  <c r="E215" i="7"/>
  <c r="B206" i="7"/>
  <c r="E222" i="7"/>
  <c r="D238" i="7"/>
  <c r="C254" i="7"/>
  <c r="B270" i="7"/>
  <c r="C206" i="7"/>
  <c r="B226" i="7"/>
  <c r="B248" i="7"/>
  <c r="C269" i="7"/>
  <c r="D210" i="7"/>
  <c r="C231" i="7"/>
  <c r="E239" i="7"/>
  <c r="D267" i="7"/>
  <c r="C221" i="7"/>
  <c r="B254" i="7"/>
  <c r="D205" i="7"/>
  <c r="B253" i="7"/>
  <c r="D272" i="7"/>
  <c r="E240" i="7"/>
  <c r="E247" i="7"/>
  <c r="B207" i="7"/>
  <c r="D243" i="7"/>
  <c r="C251" i="7"/>
  <c r="E283" i="7"/>
  <c r="B243" i="7"/>
  <c r="D206" i="7"/>
  <c r="C233" i="7"/>
  <c r="D213" i="7"/>
  <c r="E278" i="7"/>
  <c r="D251" i="7"/>
  <c r="C212" i="7"/>
  <c r="C255" i="7"/>
  <c r="D249" i="7"/>
  <c r="D255" i="7"/>
  <c r="D208" i="7"/>
  <c r="B255" i="7"/>
  <c r="E280" i="7"/>
  <c r="E271" i="7"/>
  <c r="C271" i="7"/>
  <c r="D260" i="7"/>
  <c r="B212" i="7"/>
  <c r="C260" i="7"/>
  <c r="E212" i="7"/>
  <c r="B256" i="7"/>
  <c r="C218" i="7"/>
  <c r="B250" i="7"/>
  <c r="E236" i="7"/>
  <c r="D221" i="7"/>
  <c r="E252" i="7"/>
  <c r="E214" i="7"/>
  <c r="E279" i="7"/>
  <c r="B281" i="7"/>
  <c r="C283" i="7"/>
  <c r="D222" i="7"/>
  <c r="E220" i="7"/>
  <c r="D207" i="7"/>
  <c r="D223" i="7"/>
  <c r="D226" i="7"/>
  <c r="D280" i="7"/>
  <c r="B213" i="7"/>
  <c r="E229" i="7"/>
  <c r="D245" i="7"/>
  <c r="C261" i="7"/>
  <c r="B277" i="7"/>
  <c r="E221" i="7"/>
  <c r="C253" i="7"/>
  <c r="C205" i="7"/>
  <c r="B235" i="7"/>
  <c r="E262" i="7"/>
  <c r="C209" i="7"/>
  <c r="B215" i="7"/>
  <c r="B259" i="7"/>
  <c r="D218" i="7"/>
  <c r="C268" i="7"/>
  <c r="E235" i="7"/>
  <c r="D265" i="7"/>
  <c r="E264" i="7"/>
  <c r="C263" i="7"/>
  <c r="D239" i="7"/>
  <c r="E226" i="7"/>
  <c r="D246" i="7"/>
  <c r="B266" i="7"/>
  <c r="C210" i="7"/>
  <c r="C236" i="7"/>
  <c r="E263" i="7"/>
  <c r="D215" i="7"/>
  <c r="D217" i="7"/>
  <c r="E260" i="7"/>
  <c r="E231" i="7"/>
  <c r="E269" i="7"/>
  <c r="C239" i="7"/>
  <c r="C242" i="7"/>
  <c r="D268" i="7"/>
  <c r="C270" i="7"/>
  <c r="B208" i="7"/>
  <c r="B267" i="7"/>
  <c r="C232" i="7"/>
  <c r="B217" i="7"/>
  <c r="D262" i="7"/>
  <c r="D264" i="7"/>
  <c r="B246" i="7"/>
  <c r="D277" i="7"/>
  <c r="C227" i="7"/>
  <c r="D269" i="7"/>
  <c r="C279" i="7"/>
  <c r="B264" i="7"/>
  <c r="C213" i="7"/>
  <c r="D273" i="7"/>
  <c r="B262" i="7"/>
  <c r="B268" i="7"/>
  <c r="E233" i="7"/>
  <c r="E207" i="7"/>
  <c r="C264" i="7"/>
  <c r="C266" i="7"/>
  <c r="D258" i="7"/>
  <c r="E216" i="7"/>
  <c r="E237" i="7"/>
  <c r="C241" i="7"/>
  <c r="E273" i="7"/>
  <c r="C256" i="7"/>
  <c r="C282" i="7"/>
  <c r="E257" i="7"/>
  <c r="D256" i="7"/>
  <c r="K14" i="1"/>
  <c r="D233" i="7"/>
  <c r="B265" i="7"/>
  <c r="C214" i="7"/>
  <c r="C240" i="7"/>
  <c r="E267" i="7"/>
  <c r="D219" i="7"/>
  <c r="D225" i="7"/>
  <c r="E265" i="7"/>
  <c r="C238" i="7"/>
  <c r="C275" i="7"/>
  <c r="E249" i="7"/>
  <c r="E259" i="7"/>
  <c r="B279" i="7"/>
  <c r="B211" i="7"/>
  <c r="B210" i="7"/>
  <c r="E230" i="7"/>
  <c r="C250" i="7"/>
  <c r="B274" i="7"/>
  <c r="C215" i="7"/>
  <c r="E241" i="7"/>
  <c r="D274" i="7"/>
  <c r="B221" i="7"/>
  <c r="C228" i="7"/>
  <c r="E274" i="7"/>
  <c r="B240" i="7"/>
  <c r="D237" i="7"/>
  <c r="C219" i="7"/>
  <c r="D278" i="7"/>
  <c r="B238" i="7"/>
  <c r="C245" i="7"/>
  <c r="E277" i="7"/>
  <c r="B241" i="7"/>
  <c r="B214" i="7"/>
  <c r="C258" i="7"/>
  <c r="D220" i="7"/>
  <c r="D279" i="7"/>
  <c r="E246" i="7"/>
  <c r="B247" i="7"/>
  <c r="C217" i="7"/>
  <c r="E266" i="7"/>
  <c r="C276" i="7"/>
  <c r="D231" i="7"/>
  <c r="B275" i="7"/>
  <c r="C265" i="7"/>
  <c r="D248" i="7"/>
  <c r="B219" i="7"/>
  <c r="B258" i="7"/>
  <c r="E205" i="7"/>
  <c r="B224" i="7"/>
  <c r="B204" i="7"/>
  <c r="E250" i="7"/>
  <c r="C211" i="7"/>
  <c r="D244" i="7"/>
  <c r="C223" i="7"/>
  <c r="B229" i="7"/>
  <c r="B216" i="7"/>
  <c r="C274" i="7"/>
  <c r="C247" i="7"/>
  <c r="E211" i="7"/>
  <c r="C225" i="7"/>
  <c r="B272" i="7"/>
  <c r="B257" i="7"/>
  <c r="D275" i="7"/>
  <c r="C249" i="7"/>
  <c r="D224" i="7"/>
  <c r="D283" i="7"/>
  <c r="E251" i="7"/>
  <c r="D252" i="7"/>
  <c r="C237" i="7"/>
  <c r="D229" i="7"/>
  <c r="E218" i="7"/>
  <c r="C262" i="7"/>
  <c r="B231" i="7"/>
  <c r="D204" i="7"/>
  <c r="E253" i="7"/>
  <c r="B261" i="7"/>
  <c r="C267" i="7"/>
  <c r="B220" i="7"/>
  <c r="E238" i="7"/>
  <c r="E224" i="7"/>
  <c r="D211" i="7"/>
  <c r="E275" i="7"/>
  <c r="D276" i="7"/>
  <c r="E242" i="7"/>
  <c r="B283" i="7"/>
  <c r="D270" i="7"/>
  <c r="E255" i="7"/>
  <c r="C248" i="7"/>
  <c r="B234" i="7"/>
  <c r="C224" i="7"/>
  <c r="C252" i="7"/>
  <c r="C244" i="7"/>
  <c r="D212" i="7"/>
  <c r="D250" i="7"/>
  <c r="B232" i="7"/>
  <c r="B263" i="7"/>
  <c r="E232" i="7"/>
  <c r="C272" i="7"/>
  <c r="B239" i="7"/>
  <c r="E204" i="7"/>
  <c r="B205" i="7"/>
  <c r="B269" i="7"/>
  <c r="E245" i="7"/>
  <c r="B225" i="7"/>
  <c r="B280" i="7"/>
  <c r="B282" i="7"/>
  <c r="D209" i="7"/>
  <c r="E227" i="7"/>
  <c r="D234" i="7"/>
  <c r="B278" i="7"/>
  <c r="D253" i="7"/>
  <c r="C226" i="7"/>
  <c r="D281" i="7"/>
  <c r="E276" i="7"/>
  <c r="C281" i="7"/>
  <c r="D254" i="7"/>
  <c r="E219" i="7"/>
  <c r="D240" i="7"/>
  <c r="B222" i="7"/>
  <c r="D227" i="7"/>
  <c r="C234" i="7"/>
  <c r="E270" i="7"/>
  <c r="D232" i="7"/>
  <c r="C222" i="7"/>
  <c r="E256" i="7"/>
  <c r="B218" i="7"/>
  <c r="C243" i="7"/>
  <c r="D247" i="7"/>
  <c r="B276" i="7"/>
  <c r="D266" i="7"/>
  <c r="B236" i="7"/>
  <c r="C280" i="7"/>
  <c r="E261" i="7"/>
  <c r="D216" i="7"/>
  <c r="B242" i="7"/>
  <c r="B249" i="7"/>
  <c r="D261" i="7"/>
  <c r="D230" i="7"/>
  <c r="E217" i="7"/>
  <c r="E281" i="7"/>
  <c r="D257" i="7"/>
  <c r="C230" i="7"/>
  <c r="C208" i="7"/>
  <c r="E206" i="7"/>
  <c r="B237" i="7"/>
  <c r="D235" i="7"/>
  <c r="D242" i="7"/>
  <c r="E282" i="7"/>
  <c r="E258" i="7"/>
  <c r="C207" i="7"/>
  <c r="E210" i="7"/>
  <c r="C216" i="7"/>
  <c r="E244" i="7"/>
  <c r="D282" i="7"/>
  <c r="E223" i="7"/>
  <c r="C259" i="7"/>
  <c r="E254" i="7"/>
  <c r="E209" i="7"/>
  <c r="E248" i="7"/>
  <c r="B227" i="7"/>
  <c r="B271" i="7"/>
  <c r="C220" i="7"/>
  <c r="B244" i="7"/>
  <c r="D228" i="7"/>
  <c r="E243" i="7"/>
  <c r="E228" i="7"/>
  <c r="C204" i="7"/>
  <c r="C277" i="7"/>
  <c r="C278" i="7"/>
  <c r="C246" i="7"/>
  <c r="B233" i="7"/>
  <c r="B260" i="7"/>
  <c r="D271" i="7"/>
  <c r="D236" i="7"/>
  <c r="B223" i="7"/>
  <c r="B228" i="7"/>
  <c r="C133" i="7"/>
  <c r="E101" i="7"/>
  <c r="E102" i="7"/>
  <c r="B101" i="7"/>
  <c r="B8" i="7"/>
  <c r="D167" i="7"/>
  <c r="D23" i="7"/>
  <c r="X12" i="1"/>
  <c r="E104" i="7"/>
  <c r="C67" i="7"/>
  <c r="D135" i="7"/>
  <c r="E49" i="7"/>
  <c r="C94" i="7"/>
  <c r="B55" i="7"/>
  <c r="D11" i="7"/>
  <c r="D132" i="7"/>
  <c r="D71" i="7"/>
  <c r="B17" i="7"/>
  <c r="D131" i="7"/>
  <c r="E20" i="7"/>
  <c r="E37" i="7"/>
  <c r="C53" i="7"/>
  <c r="B24" i="7"/>
  <c r="E60" i="7"/>
  <c r="C9" i="7"/>
  <c r="E3" i="7"/>
  <c r="E114" i="7"/>
  <c r="D34" i="7"/>
  <c r="C85" i="7"/>
  <c r="B158" i="7"/>
  <c r="B47" i="7"/>
  <c r="D110" i="7"/>
  <c r="D4" i="7"/>
  <c r="D19" i="7"/>
  <c r="D157" i="7"/>
  <c r="B107" i="7"/>
  <c r="C122" i="7"/>
  <c r="D84" i="7"/>
  <c r="E147" i="7"/>
  <c r="D200" i="7"/>
  <c r="D77" i="7"/>
  <c r="D44" i="7"/>
  <c r="D45" i="7"/>
  <c r="B45" i="7"/>
  <c r="C74" i="7"/>
  <c r="B167" i="7"/>
  <c r="E119" i="7"/>
  <c r="C200" i="7"/>
  <c r="D49" i="7"/>
  <c r="B109" i="7"/>
  <c r="D128" i="7"/>
  <c r="D55" i="7"/>
  <c r="D125" i="7"/>
  <c r="C196" i="7"/>
  <c r="D114" i="7"/>
  <c r="E32" i="7"/>
  <c r="C165" i="7"/>
  <c r="E108" i="7"/>
  <c r="E86" i="7"/>
  <c r="B122" i="7"/>
  <c r="C57" i="7"/>
  <c r="E180" i="7"/>
  <c r="E15" i="7"/>
  <c r="D82" i="7"/>
  <c r="E163" i="7"/>
  <c r="E179" i="7"/>
  <c r="E195" i="7"/>
  <c r="B161" i="7"/>
  <c r="B177" i="7"/>
  <c r="D163" i="7"/>
  <c r="C193" i="7"/>
  <c r="C170" i="7"/>
  <c r="D197" i="7"/>
  <c r="D176" i="7"/>
  <c r="B202" i="7"/>
  <c r="C183" i="7"/>
  <c r="C4" i="7"/>
  <c r="C20" i="7"/>
  <c r="C36" i="7"/>
  <c r="C52" i="7"/>
  <c r="C68" i="7"/>
  <c r="C84" i="7"/>
  <c r="C100" i="7"/>
  <c r="C116" i="7"/>
  <c r="C132" i="7"/>
  <c r="E161" i="7"/>
  <c r="E182" i="7"/>
  <c r="B154" i="7"/>
  <c r="B175" i="7"/>
  <c r="D169" i="7"/>
  <c r="C156" i="7"/>
  <c r="B195" i="7"/>
  <c r="D182" i="7"/>
  <c r="C169" i="7"/>
  <c r="D203" i="7"/>
  <c r="C23" i="7"/>
  <c r="C45" i="7"/>
  <c r="C66" i="7"/>
  <c r="C87" i="7"/>
  <c r="C109" i="7"/>
  <c r="C130" i="7"/>
  <c r="C149" i="7"/>
  <c r="D13" i="7"/>
  <c r="B18" i="7"/>
  <c r="E40" i="7"/>
  <c r="B62" i="7"/>
  <c r="D83" i="7"/>
  <c r="E112" i="7"/>
  <c r="D22" i="7"/>
  <c r="E43" i="7"/>
  <c r="B65" i="7"/>
  <c r="D86" i="7"/>
  <c r="E107" i="7"/>
  <c r="B129" i="7"/>
  <c r="D150" i="7"/>
  <c r="D25" i="7"/>
  <c r="E46" i="7"/>
  <c r="B68" i="7"/>
  <c r="D89" i="7"/>
  <c r="E110" i="7"/>
  <c r="B132" i="7"/>
  <c r="D153" i="7"/>
  <c r="E29" i="7"/>
  <c r="B51" i="7"/>
  <c r="D72" i="7"/>
  <c r="E93" i="7"/>
  <c r="B115" i="7"/>
  <c r="D136" i="7"/>
  <c r="E178" i="7"/>
  <c r="B156" i="7"/>
  <c r="B184" i="7"/>
  <c r="B200" i="7"/>
  <c r="B199" i="7"/>
  <c r="B198" i="7"/>
  <c r="C198" i="7"/>
  <c r="C26" i="7"/>
  <c r="C54" i="7"/>
  <c r="C83" i="7"/>
  <c r="C111" i="7"/>
  <c r="C139" i="7"/>
  <c r="D10" i="7"/>
  <c r="B22" i="7"/>
  <c r="B50" i="7"/>
  <c r="D79" i="7"/>
  <c r="D119" i="7"/>
  <c r="E31" i="7"/>
  <c r="B61" i="7"/>
  <c r="B89" i="7"/>
  <c r="B117" i="7"/>
  <c r="D146" i="7"/>
  <c r="B28" i="7"/>
  <c r="B56" i="7"/>
  <c r="D85" i="7"/>
  <c r="D113" i="7"/>
  <c r="D141" i="7"/>
  <c r="E25" i="7"/>
  <c r="E53" i="7"/>
  <c r="E81" i="7"/>
  <c r="B111" i="7"/>
  <c r="B139" i="7"/>
  <c r="B106" i="7"/>
  <c r="E148" i="7"/>
  <c r="E158" i="7"/>
  <c r="E186" i="7"/>
  <c r="B166" i="7"/>
  <c r="D165" i="7"/>
  <c r="C164" i="7"/>
  <c r="D164" i="7"/>
  <c r="C163" i="7"/>
  <c r="C6" i="7"/>
  <c r="C35" i="7"/>
  <c r="C63" i="7"/>
  <c r="C91" i="7"/>
  <c r="C121" i="7"/>
  <c r="C147" i="7"/>
  <c r="D16" i="7"/>
  <c r="D31" i="7"/>
  <c r="D59" i="7"/>
  <c r="D87" i="7"/>
  <c r="E8" i="7"/>
  <c r="B41" i="7"/>
  <c r="B69" i="7"/>
  <c r="D98" i="7"/>
  <c r="D126" i="7"/>
  <c r="C3" i="7"/>
  <c r="D37" i="7"/>
  <c r="D65" i="7"/>
  <c r="D93" i="7"/>
  <c r="E122" i="7"/>
  <c r="E150" i="7"/>
  <c r="E33" i="7"/>
  <c r="B63" i="7"/>
  <c r="B91" i="7"/>
  <c r="B119" i="7"/>
  <c r="E145" i="7"/>
  <c r="B118" i="7"/>
  <c r="B150" i="7"/>
  <c r="E168" i="7"/>
  <c r="E196" i="7"/>
  <c r="B174" i="7"/>
  <c r="D183" i="7"/>
  <c r="C182" i="7"/>
  <c r="D180" i="7"/>
  <c r="C181" i="7"/>
  <c r="C15" i="7"/>
  <c r="C43" i="7"/>
  <c r="C73" i="7"/>
  <c r="C101" i="7"/>
  <c r="C129" i="7"/>
  <c r="D3" i="7"/>
  <c r="B6" i="7"/>
  <c r="D39" i="7"/>
  <c r="E68" i="7"/>
  <c r="B176" i="7"/>
  <c r="C185" i="7"/>
  <c r="C102" i="7"/>
  <c r="B42" i="7"/>
  <c r="E10" i="7"/>
  <c r="E71" i="7"/>
  <c r="E127" i="7"/>
  <c r="E38" i="7"/>
  <c r="B96" i="7"/>
  <c r="B152" i="7"/>
  <c r="D64" i="7"/>
  <c r="E121" i="7"/>
  <c r="E120" i="7"/>
  <c r="B155" i="7"/>
  <c r="C195" i="7"/>
  <c r="C81" i="7"/>
  <c r="B20" i="7"/>
  <c r="E116" i="7"/>
  <c r="D58" i="7"/>
  <c r="E115" i="7"/>
  <c r="E26" i="7"/>
  <c r="E82" i="7"/>
  <c r="B140" i="7"/>
  <c r="D52" i="7"/>
  <c r="D108" i="7"/>
  <c r="D103" i="7"/>
  <c r="E154" i="7"/>
  <c r="C158" i="7"/>
  <c r="C31" i="7"/>
  <c r="C144" i="7"/>
  <c r="B82" i="7"/>
  <c r="E35" i="7"/>
  <c r="B93" i="7"/>
  <c r="B149" i="7"/>
  <c r="B60" i="7"/>
  <c r="D117" i="7"/>
  <c r="D28" i="7"/>
  <c r="E85" i="7"/>
  <c r="E141" i="7"/>
  <c r="B134" i="7"/>
  <c r="B168" i="7"/>
  <c r="C171" i="7"/>
  <c r="C95" i="7"/>
  <c r="B34" i="7"/>
  <c r="B130" i="7"/>
  <c r="D66" i="7"/>
  <c r="D122" i="7"/>
  <c r="D33" i="7"/>
  <c r="E90" i="7"/>
  <c r="E146" i="7"/>
  <c r="B59" i="7"/>
  <c r="D116" i="7"/>
  <c r="B114" i="7"/>
  <c r="E167" i="7"/>
  <c r="E183" i="7"/>
  <c r="E199" i="7"/>
  <c r="B165" i="7"/>
  <c r="B181" i="7"/>
  <c r="D171" i="7"/>
  <c r="D198" i="7"/>
  <c r="C178" i="7"/>
  <c r="B203" i="7"/>
  <c r="D184" i="7"/>
  <c r="C159" i="7"/>
  <c r="C190" i="7"/>
  <c r="C8" i="7"/>
  <c r="C24" i="7"/>
  <c r="C40" i="7"/>
  <c r="C56" i="7"/>
  <c r="C72" i="7"/>
  <c r="C88" i="7"/>
  <c r="C104" i="7"/>
  <c r="C120" i="7"/>
  <c r="C136" i="7"/>
  <c r="E166" i="7"/>
  <c r="E188" i="7"/>
  <c r="B159" i="7"/>
  <c r="B180" i="7"/>
  <c r="D181" i="7"/>
  <c r="C166" i="7"/>
  <c r="D201" i="7"/>
  <c r="D192" i="7"/>
  <c r="C179" i="7"/>
  <c r="C7" i="7"/>
  <c r="C29" i="7"/>
  <c r="C50" i="7"/>
  <c r="C71" i="7"/>
  <c r="C93" i="7"/>
  <c r="C114" i="7"/>
  <c r="C135" i="7"/>
  <c r="C153" i="7"/>
  <c r="D17" i="7"/>
  <c r="E24" i="7"/>
  <c r="B46" i="7"/>
  <c r="D67" i="7"/>
  <c r="E88" i="7"/>
  <c r="E124" i="7"/>
  <c r="E27" i="7"/>
  <c r="B49" i="7"/>
  <c r="D70" i="7"/>
  <c r="E91" i="7"/>
  <c r="B113" i="7"/>
  <c r="D134" i="7"/>
  <c r="X9" i="1"/>
  <c r="E30" i="7"/>
  <c r="B52" i="7"/>
  <c r="D73" i="7"/>
  <c r="E94" i="7"/>
  <c r="B116" i="7"/>
  <c r="D137" i="7"/>
  <c r="E9" i="7"/>
  <c r="B35" i="7"/>
  <c r="D56" i="7"/>
  <c r="E77" i="7"/>
  <c r="B99" i="7"/>
  <c r="D120" i="7"/>
  <c r="E157" i="7"/>
  <c r="E185" i="7"/>
  <c r="B163" i="7"/>
  <c r="D161" i="7"/>
  <c r="C160" i="7"/>
  <c r="D158" i="7"/>
  <c r="C161" i="7"/>
  <c r="C5" i="7"/>
  <c r="C33" i="7"/>
  <c r="C62" i="7"/>
  <c r="C90" i="7"/>
  <c r="C118" i="7"/>
  <c r="C146" i="7"/>
  <c r="D15" i="7"/>
  <c r="E28" i="7"/>
  <c r="B58" i="7"/>
  <c r="B86" i="7"/>
  <c r="E4" i="7"/>
  <c r="E39" i="7"/>
  <c r="E67" i="7"/>
  <c r="E95" i="7"/>
  <c r="B125" i="7"/>
  <c r="B153" i="7"/>
  <c r="E34" i="7"/>
  <c r="B64" i="7"/>
  <c r="B92" i="7"/>
  <c r="B120" i="7"/>
  <c r="D149" i="7"/>
  <c r="D32" i="7"/>
  <c r="D60" i="7"/>
  <c r="E89" i="7"/>
  <c r="E117" i="7"/>
  <c r="D144" i="7"/>
  <c r="D115" i="7"/>
  <c r="E144" i="7"/>
  <c r="E165" i="7"/>
  <c r="E194" i="7"/>
  <c r="B172" i="7"/>
  <c r="D177" i="7"/>
  <c r="C180" i="7"/>
  <c r="D178" i="7"/>
  <c r="C177" i="7"/>
  <c r="C14" i="7"/>
  <c r="C42" i="7"/>
  <c r="C70" i="7"/>
  <c r="C99" i="7"/>
  <c r="C127" i="7"/>
  <c r="C152" i="7"/>
  <c r="B4" i="7"/>
  <c r="B38" i="7"/>
  <c r="B66" i="7"/>
  <c r="D95" i="7"/>
  <c r="E18" i="7"/>
  <c r="E47" i="7"/>
  <c r="B77" i="7"/>
  <c r="B105" i="7"/>
  <c r="B133" i="7"/>
  <c r="B13" i="7"/>
  <c r="B44" i="7"/>
  <c r="B72" i="7"/>
  <c r="D101" i="7"/>
  <c r="D129" i="7"/>
  <c r="E7" i="7"/>
  <c r="E41" i="7"/>
  <c r="E69" i="7"/>
  <c r="E97" i="7"/>
  <c r="B127" i="7"/>
  <c r="B151" i="7"/>
  <c r="E128" i="7"/>
  <c r="B146" i="7"/>
  <c r="E174" i="7"/>
  <c r="E202" i="7"/>
  <c r="B182" i="7"/>
  <c r="D194" i="7"/>
  <c r="D193" i="7"/>
  <c r="B194" i="7"/>
  <c r="B193" i="7"/>
  <c r="C22" i="7"/>
  <c r="C51" i="7"/>
  <c r="C79" i="7"/>
  <c r="C107" i="7"/>
  <c r="C137" i="7"/>
  <c r="D7" i="7"/>
  <c r="B16" i="7"/>
  <c r="D47" i="7"/>
  <c r="D75" i="7"/>
  <c r="D185" i="7"/>
  <c r="C17" i="7"/>
  <c r="C131" i="7"/>
  <c r="B70" i="7"/>
  <c r="B29" i="7"/>
  <c r="B85" i="7"/>
  <c r="D142" i="7"/>
  <c r="D53" i="7"/>
  <c r="D109" i="7"/>
  <c r="E21" i="7"/>
  <c r="B79" i="7"/>
  <c r="B135" i="7"/>
  <c r="B138" i="7"/>
  <c r="B183" i="7"/>
  <c r="C194" i="7"/>
  <c r="C110" i="7"/>
  <c r="E48" i="7"/>
  <c r="E12" i="7"/>
  <c r="B73" i="7"/>
  <c r="D130" i="7"/>
  <c r="B40" i="7"/>
  <c r="D97" i="7"/>
  <c r="E65" i="7"/>
  <c r="B123" i="7"/>
  <c r="D123" i="7"/>
  <c r="E184" i="7"/>
  <c r="D156" i="7"/>
  <c r="C59" i="7"/>
  <c r="D14" i="7"/>
  <c r="B98" i="7"/>
  <c r="D50" i="7"/>
  <c r="D106" i="7"/>
  <c r="B15" i="7"/>
  <c r="E74" i="7"/>
  <c r="E130" i="7"/>
  <c r="B43" i="7"/>
  <c r="D100" i="7"/>
  <c r="D152" i="7"/>
  <c r="D151" i="7"/>
  <c r="D173" i="7"/>
  <c r="C10" i="7"/>
  <c r="C123" i="7"/>
  <c r="D63" i="7"/>
  <c r="E23" i="7"/>
  <c r="E79" i="7"/>
  <c r="B137" i="7"/>
  <c r="B48" i="7"/>
  <c r="B104" i="7"/>
  <c r="E13" i="7"/>
  <c r="E73" i="7"/>
  <c r="E129" i="7"/>
  <c r="E136" i="7"/>
  <c r="E155" i="7"/>
  <c r="E171" i="7"/>
  <c r="E187" i="7"/>
  <c r="E203" i="7"/>
  <c r="B169" i="7"/>
  <c r="B185" i="7"/>
  <c r="D179" i="7"/>
  <c r="C154" i="7"/>
  <c r="C186" i="7"/>
  <c r="D160" i="7"/>
  <c r="C191" i="7"/>
  <c r="C167" i="7"/>
  <c r="D195" i="7"/>
  <c r="C12" i="7"/>
  <c r="C28" i="7"/>
  <c r="C44" i="7"/>
  <c r="C60" i="7"/>
  <c r="C76" i="7"/>
  <c r="C92" i="7"/>
  <c r="C108" i="7"/>
  <c r="C124" i="7"/>
  <c r="C140" i="7"/>
  <c r="E172" i="7"/>
  <c r="E193" i="7"/>
  <c r="B164" i="7"/>
  <c r="B186" i="7"/>
  <c r="D190" i="7"/>
  <c r="C176" i="7"/>
  <c r="D162" i="7"/>
  <c r="C199" i="7"/>
  <c r="B189" i="7"/>
  <c r="C13" i="7"/>
  <c r="C34" i="7"/>
  <c r="C55" i="7"/>
  <c r="C77" i="7"/>
  <c r="C98" i="7"/>
  <c r="C119" i="7"/>
  <c r="C141" i="7"/>
  <c r="D5" i="7"/>
  <c r="D21" i="7"/>
  <c r="B30" i="7"/>
  <c r="D51" i="7"/>
  <c r="E72" i="7"/>
  <c r="B94" i="7"/>
  <c r="E6" i="7"/>
  <c r="B33" i="7"/>
  <c r="D54" i="7"/>
  <c r="E75" i="7"/>
  <c r="B97" i="7"/>
  <c r="D118" i="7"/>
  <c r="E139" i="7"/>
  <c r="B11" i="7"/>
  <c r="B36" i="7"/>
  <c r="D57" i="7"/>
  <c r="E78" i="7"/>
  <c r="B100" i="7"/>
  <c r="D121" i="7"/>
  <c r="E142" i="7"/>
  <c r="E17" i="7"/>
  <c r="D40" i="7"/>
  <c r="E61" i="7"/>
  <c r="B83" i="7"/>
  <c r="D104" i="7"/>
  <c r="E125" i="7"/>
  <c r="E164" i="7"/>
  <c r="E192" i="7"/>
  <c r="B171" i="7"/>
  <c r="D175" i="7"/>
  <c r="C174" i="7"/>
  <c r="D174" i="7"/>
  <c r="C173" i="7"/>
  <c r="C11" i="7"/>
  <c r="C41" i="7"/>
  <c r="C69" i="7"/>
  <c r="C97" i="7"/>
  <c r="C126" i="7"/>
  <c r="C151" i="7"/>
  <c r="D20" i="7"/>
  <c r="E36" i="7"/>
  <c r="E64" i="7"/>
  <c r="E92" i="7"/>
  <c r="E16" i="7"/>
  <c r="D46" i="7"/>
  <c r="D74" i="7"/>
  <c r="E103" i="7"/>
  <c r="E131" i="7"/>
  <c r="B9" i="7"/>
  <c r="E42" i="7"/>
  <c r="E70" i="7"/>
  <c r="E98" i="7"/>
  <c r="B128" i="7"/>
  <c r="E5" i="7"/>
  <c r="B39" i="7"/>
  <c r="D68" i="7"/>
  <c r="D96" i="7"/>
  <c r="D124" i="7"/>
  <c r="E149" i="7"/>
  <c r="B126" i="7"/>
  <c r="E140" i="7"/>
  <c r="E173" i="7"/>
  <c r="E201" i="7"/>
  <c r="B179" i="7"/>
  <c r="B192" i="7"/>
  <c r="B191" i="7"/>
  <c r="B190" i="7"/>
  <c r="D191" i="7"/>
  <c r="C21" i="7"/>
  <c r="C49" i="7"/>
  <c r="C78" i="7"/>
  <c r="C106" i="7"/>
  <c r="C134" i="7"/>
  <c r="D6" i="7"/>
  <c r="B14" i="7"/>
  <c r="E44" i="7"/>
  <c r="B74" i="7"/>
  <c r="D107" i="7"/>
  <c r="D26" i="7"/>
  <c r="E55" i="7"/>
  <c r="E83" i="7"/>
  <c r="E111" i="7"/>
  <c r="B141" i="7"/>
  <c r="E22" i="7"/>
  <c r="E50" i="7"/>
  <c r="B80" i="7"/>
  <c r="B108" i="7"/>
  <c r="B136" i="7"/>
  <c r="E19" i="7"/>
  <c r="D48" i="7"/>
  <c r="D76" i="7"/>
  <c r="E105" i="7"/>
  <c r="E133" i="7"/>
  <c r="E96" i="7"/>
  <c r="E132" i="7"/>
  <c r="E181" i="7"/>
  <c r="B160" i="7"/>
  <c r="B188" i="7"/>
  <c r="D202" i="7"/>
  <c r="D154" i="7"/>
  <c r="C203" i="7"/>
  <c r="C202" i="7"/>
  <c r="C30" i="7"/>
  <c r="C58" i="7"/>
  <c r="C86" i="7"/>
  <c r="C115" i="7"/>
  <c r="C143" i="7"/>
  <c r="D12" i="7"/>
  <c r="B26" i="7"/>
  <c r="B54" i="7"/>
  <c r="E169" i="7"/>
  <c r="C184" i="7"/>
  <c r="C46" i="7"/>
  <c r="X11" i="1"/>
  <c r="B90" i="7"/>
  <c r="D42" i="7"/>
  <c r="E99" i="7"/>
  <c r="B5" i="7"/>
  <c r="E66" i="7"/>
  <c r="B124" i="7"/>
  <c r="D36" i="7"/>
  <c r="D92" i="7"/>
  <c r="B147" i="7"/>
  <c r="X10" i="1"/>
  <c r="B196" i="7"/>
  <c r="C25" i="7"/>
  <c r="C138" i="7"/>
  <c r="E76" i="7"/>
  <c r="D30" i="7"/>
  <c r="E87" i="7"/>
  <c r="E143" i="7"/>
  <c r="E54" i="7"/>
  <c r="B112" i="7"/>
  <c r="B23" i="7"/>
  <c r="D80" i="7"/>
  <c r="E137" i="7"/>
  <c r="D143" i="7"/>
  <c r="B162" i="7"/>
  <c r="C155" i="7"/>
  <c r="C89" i="7"/>
  <c r="D27" i="7"/>
  <c r="D127" i="7"/>
  <c r="E63" i="7"/>
  <c r="B121" i="7"/>
  <c r="B32" i="7"/>
  <c r="B88" i="7"/>
  <c r="D145" i="7"/>
  <c r="E57" i="7"/>
  <c r="E113" i="7"/>
  <c r="D111" i="7"/>
  <c r="E162" i="7"/>
  <c r="C172" i="7"/>
  <c r="C38" i="7"/>
  <c r="C150" i="7"/>
  <c r="E84" i="7"/>
  <c r="B37" i="7"/>
  <c r="D94" i="7"/>
  <c r="E151" i="7"/>
  <c r="D61" i="7"/>
  <c r="E118" i="7"/>
  <c r="B31" i="7"/>
  <c r="B87" i="7"/>
  <c r="B143" i="7"/>
  <c r="D139" i="7"/>
  <c r="E159" i="7"/>
  <c r="E175" i="7"/>
  <c r="E191" i="7"/>
  <c r="B157" i="7"/>
  <c r="B173" i="7"/>
  <c r="D155" i="7"/>
  <c r="D187" i="7"/>
  <c r="C162" i="7"/>
  <c r="C192" i="7"/>
  <c r="D168" i="7"/>
  <c r="D196" i="7"/>
  <c r="C175" i="7"/>
  <c r="B201" i="7"/>
  <c r="C16" i="7"/>
  <c r="C32" i="7"/>
  <c r="C48" i="7"/>
  <c r="C64" i="7"/>
  <c r="C80" i="7"/>
  <c r="C96" i="7"/>
  <c r="C112" i="7"/>
  <c r="C128" i="7"/>
  <c r="E156" i="7"/>
  <c r="E177" i="7"/>
  <c r="E198" i="7"/>
  <c r="B170" i="7"/>
  <c r="D159" i="7"/>
  <c r="C197" i="7"/>
  <c r="C188" i="7"/>
  <c r="D172" i="7"/>
  <c r="C157" i="7"/>
  <c r="B197" i="7"/>
  <c r="C18" i="7"/>
  <c r="C39" i="7"/>
  <c r="C61" i="7"/>
  <c r="C82" i="7"/>
  <c r="C103" i="7"/>
  <c r="C125" i="7"/>
  <c r="C145" i="7"/>
  <c r="D9" i="7"/>
  <c r="B10" i="7"/>
  <c r="D35" i="7"/>
  <c r="E56" i="7"/>
  <c r="B78" i="7"/>
  <c r="B102" i="7"/>
  <c r="E14" i="7"/>
  <c r="D38" i="7"/>
  <c r="E59" i="7"/>
  <c r="B81" i="7"/>
  <c r="D102" i="7"/>
  <c r="E123" i="7"/>
  <c r="B145" i="7"/>
  <c r="B19" i="7"/>
  <c r="D41" i="7"/>
  <c r="E62" i="7"/>
  <c r="B84" i="7"/>
  <c r="D105" i="7"/>
  <c r="E126" i="7"/>
  <c r="B148" i="7"/>
  <c r="D24" i="7"/>
  <c r="E45" i="7"/>
  <c r="B67" i="7"/>
  <c r="D88" i="7"/>
  <c r="E109" i="7"/>
  <c r="B131" i="7"/>
  <c r="E170" i="7"/>
  <c r="E200" i="7"/>
  <c r="B178" i="7"/>
  <c r="C189" i="7"/>
  <c r="D189" i="7"/>
  <c r="D188" i="7"/>
  <c r="C187" i="7"/>
  <c r="C19" i="7"/>
  <c r="C47" i="7"/>
  <c r="C75" i="7"/>
  <c r="C105" i="7"/>
  <c r="B142" i="7"/>
  <c r="D133" i="7"/>
  <c r="E51" i="7"/>
  <c r="D170" i="7"/>
  <c r="B71" i="7"/>
  <c r="E135" i="7"/>
  <c r="C117" i="7"/>
  <c r="D148" i="7"/>
  <c r="D69" i="7"/>
  <c r="D91" i="7"/>
  <c r="E176" i="7"/>
  <c r="E138" i="7"/>
  <c r="B57" i="7"/>
  <c r="D186" i="7"/>
  <c r="D18" i="7"/>
  <c r="C65" i="7"/>
  <c r="D166" i="7"/>
  <c r="E189" i="7"/>
  <c r="D140" i="7"/>
  <c r="B27" i="7"/>
  <c r="E58" i="7"/>
  <c r="D90" i="7"/>
  <c r="E80" i="7"/>
  <c r="C142" i="7"/>
  <c r="C27" i="7"/>
  <c r="C201" i="7"/>
  <c r="E152" i="7"/>
  <c r="B103" i="7"/>
  <c r="E134" i="7"/>
  <c r="B21" i="7"/>
  <c r="B53" i="7"/>
  <c r="D43" i="7"/>
  <c r="E153" i="7"/>
  <c r="B76" i="7"/>
  <c r="D99" i="7"/>
  <c r="E190" i="7"/>
  <c r="E11" i="7"/>
  <c r="D78" i="7"/>
  <c r="B95" i="7"/>
  <c r="B7" i="7"/>
  <c r="D8" i="7"/>
  <c r="E100" i="7"/>
  <c r="D81" i="7"/>
  <c r="B110" i="7"/>
  <c r="E197" i="7"/>
  <c r="C148" i="7"/>
  <c r="C37" i="7"/>
  <c r="C168" i="7"/>
  <c r="E160" i="7"/>
  <c r="D112" i="7"/>
  <c r="B144" i="7"/>
  <c r="D29" i="7"/>
  <c r="D62" i="7"/>
  <c r="E52" i="7"/>
  <c r="C113" i="7"/>
  <c r="D199" i="7"/>
  <c r="B187" i="7"/>
  <c r="D147" i="7"/>
  <c r="B75" i="7"/>
  <c r="E106" i="7"/>
  <c r="D138" i="7"/>
  <c r="B25" i="7"/>
  <c r="B12" i="7"/>
  <c r="K41" i="7"/>
  <c r="P22" i="1"/>
  <c r="Q22" i="1"/>
  <c r="K18" i="1" l="1"/>
  <c r="K26" i="1" s="1"/>
  <c r="F50" i="7"/>
  <c r="G50" i="7" s="1"/>
  <c r="J50" i="7" s="1"/>
  <c r="I50" i="7" s="1"/>
  <c r="F3" i="7"/>
  <c r="F119" i="7"/>
  <c r="G119" i="7" s="1"/>
  <c r="F118" i="7"/>
  <c r="G118" i="7" s="1"/>
  <c r="J118" i="7" s="1"/>
  <c r="I118" i="7" s="1"/>
  <c r="F270" i="7"/>
  <c r="G270" i="7" s="1"/>
  <c r="J270" i="7" s="1"/>
  <c r="I270" i="7" s="1"/>
  <c r="F228" i="7"/>
  <c r="G228" i="7" s="1"/>
  <c r="J228" i="7" s="1"/>
  <c r="I228" i="7" s="1"/>
  <c r="F209" i="7"/>
  <c r="G209" i="7" s="1"/>
  <c r="J209" i="7" s="1"/>
  <c r="I209" i="7" s="1"/>
  <c r="F214" i="7"/>
  <c r="G214" i="7" s="1"/>
  <c r="J214" i="7" s="1"/>
  <c r="I214" i="7" s="1"/>
  <c r="F254" i="7"/>
  <c r="G254" i="7" s="1"/>
  <c r="J254" i="7" s="1"/>
  <c r="I254" i="7" s="1"/>
  <c r="F244" i="7"/>
  <c r="G244" i="7" s="1"/>
  <c r="J244" i="7" s="1"/>
  <c r="I244" i="7" s="1"/>
  <c r="F256" i="7"/>
  <c r="G256" i="7" s="1"/>
  <c r="J256" i="7" s="1"/>
  <c r="I256" i="7" s="1"/>
  <c r="F232" i="7"/>
  <c r="G232" i="7" s="1"/>
  <c r="J232" i="7" s="1"/>
  <c r="I232" i="7" s="1"/>
  <c r="F252" i="7"/>
  <c r="G252" i="7" s="1"/>
  <c r="J252" i="7" s="1"/>
  <c r="I252" i="7" s="1"/>
  <c r="F208" i="7"/>
  <c r="G208" i="7" s="1"/>
  <c r="J208" i="7" s="1"/>
  <c r="I208" i="7" s="1"/>
  <c r="F225" i="7"/>
  <c r="G225" i="7" s="1"/>
  <c r="J225" i="7" s="1"/>
  <c r="I225" i="7" s="1"/>
  <c r="F276" i="7"/>
  <c r="G276" i="7" s="1"/>
  <c r="J276" i="7" s="1"/>
  <c r="I276" i="7" s="1"/>
  <c r="F275" i="7"/>
  <c r="G275" i="7" s="1"/>
  <c r="J275" i="7" s="1"/>
  <c r="I275" i="7" s="1"/>
  <c r="F271" i="7"/>
  <c r="G271" i="7" s="1"/>
  <c r="J271" i="7" s="1"/>
  <c r="I271" i="7" s="1"/>
  <c r="F273" i="7"/>
  <c r="G273" i="7" s="1"/>
  <c r="J273" i="7" s="1"/>
  <c r="I273" i="7" s="1"/>
  <c r="F257" i="7"/>
  <c r="G257" i="7" s="1"/>
  <c r="J257" i="7" s="1"/>
  <c r="I257" i="7" s="1"/>
  <c r="F269" i="7"/>
  <c r="G269" i="7" s="1"/>
  <c r="J269" i="7" s="1"/>
  <c r="I269" i="7" s="1"/>
  <c r="F222" i="7"/>
  <c r="G222" i="7" s="1"/>
  <c r="J222" i="7" s="1"/>
  <c r="I222" i="7" s="1"/>
  <c r="F248" i="7"/>
  <c r="G248" i="7" s="1"/>
  <c r="J248" i="7" s="1"/>
  <c r="I248" i="7" s="1"/>
  <c r="F223" i="7"/>
  <c r="G223" i="7" s="1"/>
  <c r="J223" i="7" s="1"/>
  <c r="I223" i="7" s="1"/>
  <c r="F210" i="7"/>
  <c r="G210" i="7" s="1"/>
  <c r="J210" i="7" s="1"/>
  <c r="I210" i="7" s="1"/>
  <c r="F217" i="7"/>
  <c r="G217" i="7" s="1"/>
  <c r="J217" i="7" s="1"/>
  <c r="I217" i="7" s="1"/>
  <c r="F245" i="7"/>
  <c r="G245" i="7" s="1"/>
  <c r="J245" i="7" s="1"/>
  <c r="I245" i="7" s="1"/>
  <c r="F255" i="7"/>
  <c r="G255" i="7" s="1"/>
  <c r="J255" i="7" s="1"/>
  <c r="I255" i="7" s="1"/>
  <c r="F238" i="7"/>
  <c r="G238" i="7" s="1"/>
  <c r="J238" i="7" s="1"/>
  <c r="I238" i="7" s="1"/>
  <c r="F253" i="7"/>
  <c r="G253" i="7" s="1"/>
  <c r="J253" i="7" s="1"/>
  <c r="I253" i="7" s="1"/>
  <c r="F218" i="7"/>
  <c r="G218" i="7" s="1"/>
  <c r="J218" i="7" s="1"/>
  <c r="I218" i="7" s="1"/>
  <c r="F251" i="7"/>
  <c r="G251" i="7" s="1"/>
  <c r="J251" i="7" s="1"/>
  <c r="I251" i="7" s="1"/>
  <c r="F211" i="7"/>
  <c r="G211" i="7" s="1"/>
  <c r="J211" i="7" s="1"/>
  <c r="I211" i="7" s="1"/>
  <c r="F250" i="7"/>
  <c r="G250" i="7" s="1"/>
  <c r="J250" i="7" s="1"/>
  <c r="I250" i="7" s="1"/>
  <c r="F277" i="7"/>
  <c r="G277" i="7" s="1"/>
  <c r="J277" i="7" s="1"/>
  <c r="I277" i="7" s="1"/>
  <c r="F249" i="7"/>
  <c r="G249" i="7" s="1"/>
  <c r="J249" i="7" s="1"/>
  <c r="I249" i="7" s="1"/>
  <c r="F233" i="7"/>
  <c r="G233" i="7" s="1"/>
  <c r="J233" i="7" s="1"/>
  <c r="I233" i="7" s="1"/>
  <c r="F235" i="7"/>
  <c r="G235" i="7" s="1"/>
  <c r="J235" i="7" s="1"/>
  <c r="I235" i="7" s="1"/>
  <c r="F220" i="7"/>
  <c r="G220" i="7" s="1"/>
  <c r="J220" i="7" s="1"/>
  <c r="I220" i="7" s="1"/>
  <c r="F279" i="7"/>
  <c r="G279" i="7" s="1"/>
  <c r="J279" i="7" s="1"/>
  <c r="I279" i="7" s="1"/>
  <c r="F236" i="7"/>
  <c r="G236" i="7" s="1"/>
  <c r="J236" i="7" s="1"/>
  <c r="I236" i="7" s="1"/>
  <c r="F212" i="7"/>
  <c r="G212" i="7" s="1"/>
  <c r="J212" i="7" s="1"/>
  <c r="I212" i="7" s="1"/>
  <c r="F240" i="7"/>
  <c r="G240" i="7" s="1"/>
  <c r="J240" i="7" s="1"/>
  <c r="I240" i="7" s="1"/>
  <c r="F268" i="7"/>
  <c r="G268" i="7" s="1"/>
  <c r="J268" i="7" s="1"/>
  <c r="I268" i="7" s="1"/>
  <c r="F213" i="7"/>
  <c r="G213" i="7" s="1"/>
  <c r="J213" i="7" s="1"/>
  <c r="I213" i="7" s="1"/>
  <c r="F243" i="7"/>
  <c r="G243" i="7" s="1"/>
  <c r="J243" i="7" s="1"/>
  <c r="I243" i="7" s="1"/>
  <c r="F258" i="7"/>
  <c r="G258" i="7" s="1"/>
  <c r="J258" i="7" s="1"/>
  <c r="I258" i="7" s="1"/>
  <c r="F261" i="7"/>
  <c r="G261" i="7" s="1"/>
  <c r="J261" i="7" s="1"/>
  <c r="I261" i="7" s="1"/>
  <c r="F219" i="7"/>
  <c r="G219" i="7" s="1"/>
  <c r="J219" i="7" s="1"/>
  <c r="I219" i="7" s="1"/>
  <c r="F246" i="7"/>
  <c r="G246" i="7" s="1"/>
  <c r="J246" i="7" s="1"/>
  <c r="I246" i="7" s="1"/>
  <c r="F267" i="7"/>
  <c r="G267" i="7" s="1"/>
  <c r="J267" i="7" s="1"/>
  <c r="I267" i="7" s="1"/>
  <c r="F237" i="7"/>
  <c r="G237" i="7" s="1"/>
  <c r="J237" i="7" s="1"/>
  <c r="I237" i="7" s="1"/>
  <c r="F231" i="7"/>
  <c r="G231" i="7" s="1"/>
  <c r="J231" i="7" s="1"/>
  <c r="I231" i="7" s="1"/>
  <c r="F263" i="7"/>
  <c r="G263" i="7" s="1"/>
  <c r="J263" i="7" s="1"/>
  <c r="I263" i="7" s="1"/>
  <c r="F264" i="7"/>
  <c r="G264" i="7" s="1"/>
  <c r="J264" i="7" s="1"/>
  <c r="I264" i="7" s="1"/>
  <c r="F262" i="7"/>
  <c r="G262" i="7" s="1"/>
  <c r="J262" i="7" s="1"/>
  <c r="I262" i="7" s="1"/>
  <c r="F221" i="7"/>
  <c r="G221" i="7" s="1"/>
  <c r="J221" i="7" s="1"/>
  <c r="I221" i="7" s="1"/>
  <c r="F229" i="7"/>
  <c r="G229" i="7" s="1"/>
  <c r="J229" i="7" s="1"/>
  <c r="I229" i="7" s="1"/>
  <c r="F280" i="7"/>
  <c r="G280" i="7" s="1"/>
  <c r="J280" i="7" s="1"/>
  <c r="I280" i="7" s="1"/>
  <c r="F278" i="7"/>
  <c r="G278" i="7" s="1"/>
  <c r="J278" i="7" s="1"/>
  <c r="I278" i="7" s="1"/>
  <c r="F234" i="7"/>
  <c r="G234" i="7" s="1"/>
  <c r="J234" i="7" s="1"/>
  <c r="I234" i="7" s="1"/>
  <c r="F282" i="7"/>
  <c r="G282" i="7" s="1"/>
  <c r="J282" i="7" s="1"/>
  <c r="I282" i="7" s="1"/>
  <c r="F206" i="7"/>
  <c r="G206" i="7" s="1"/>
  <c r="J206" i="7" s="1"/>
  <c r="I206" i="7" s="1"/>
  <c r="F281" i="7"/>
  <c r="G281" i="7" s="1"/>
  <c r="J281" i="7" s="1"/>
  <c r="I281" i="7" s="1"/>
  <c r="F227" i="7"/>
  <c r="G227" i="7" s="1"/>
  <c r="J227" i="7" s="1"/>
  <c r="I227" i="7" s="1"/>
  <c r="F204" i="7"/>
  <c r="G204" i="7" s="1"/>
  <c r="J204" i="7" s="1"/>
  <c r="I204" i="7" s="1"/>
  <c r="F242" i="7"/>
  <c r="G242" i="7" s="1"/>
  <c r="J242" i="7" s="1"/>
  <c r="I242" i="7" s="1"/>
  <c r="F224" i="7"/>
  <c r="G224" i="7" s="1"/>
  <c r="J224" i="7" s="1"/>
  <c r="I224" i="7" s="1"/>
  <c r="F205" i="7"/>
  <c r="G205" i="7" s="1"/>
  <c r="J205" i="7" s="1"/>
  <c r="I205" i="7" s="1"/>
  <c r="F266" i="7"/>
  <c r="G266" i="7" s="1"/>
  <c r="J266" i="7" s="1"/>
  <c r="I266" i="7" s="1"/>
  <c r="F274" i="7"/>
  <c r="G274" i="7" s="1"/>
  <c r="J274" i="7" s="1"/>
  <c r="I274" i="7" s="1"/>
  <c r="F241" i="7"/>
  <c r="G241" i="7" s="1"/>
  <c r="J241" i="7" s="1"/>
  <c r="I241" i="7" s="1"/>
  <c r="F230" i="7"/>
  <c r="G230" i="7" s="1"/>
  <c r="J230" i="7" s="1"/>
  <c r="I230" i="7" s="1"/>
  <c r="F259" i="7"/>
  <c r="G259" i="7" s="1"/>
  <c r="J259" i="7" s="1"/>
  <c r="I259" i="7" s="1"/>
  <c r="F265" i="7"/>
  <c r="G265" i="7" s="1"/>
  <c r="J265" i="7" s="1"/>
  <c r="I265" i="7" s="1"/>
  <c r="F216" i="7"/>
  <c r="G216" i="7" s="1"/>
  <c r="J216" i="7" s="1"/>
  <c r="I216" i="7" s="1"/>
  <c r="F207" i="7"/>
  <c r="G207" i="7" s="1"/>
  <c r="J207" i="7" s="1"/>
  <c r="I207" i="7" s="1"/>
  <c r="F260" i="7"/>
  <c r="G260" i="7" s="1"/>
  <c r="J260" i="7" s="1"/>
  <c r="I260" i="7" s="1"/>
  <c r="F226" i="7"/>
  <c r="F283" i="7"/>
  <c r="G283" i="7" s="1"/>
  <c r="J283" i="7" s="1"/>
  <c r="I283" i="7" s="1"/>
  <c r="F247" i="7"/>
  <c r="G247" i="7" s="1"/>
  <c r="J247" i="7" s="1"/>
  <c r="I247" i="7" s="1"/>
  <c r="F239" i="7"/>
  <c r="G239" i="7" s="1"/>
  <c r="J239" i="7" s="1"/>
  <c r="I239" i="7" s="1"/>
  <c r="F215" i="7"/>
  <c r="G215" i="7" s="1"/>
  <c r="J215" i="7" s="1"/>
  <c r="I215" i="7" s="1"/>
  <c r="F272" i="7"/>
  <c r="G272" i="7" s="1"/>
  <c r="J272" i="7" s="1"/>
  <c r="I272" i="7" s="1"/>
  <c r="F16" i="7"/>
  <c r="F200" i="7"/>
  <c r="G200" i="7" s="1"/>
  <c r="J200" i="7" s="1"/>
  <c r="I200" i="7" s="1"/>
  <c r="F127" i="7"/>
  <c r="G127" i="7" s="1"/>
  <c r="J127" i="7" s="1"/>
  <c r="I127" i="7" s="1"/>
  <c r="F132" i="7"/>
  <c r="G132" i="7" s="1"/>
  <c r="J132" i="7" s="1"/>
  <c r="I132" i="7" s="1"/>
  <c r="F39" i="7"/>
  <c r="F122" i="7"/>
  <c r="G122" i="7" s="1"/>
  <c r="J122" i="7" s="1"/>
  <c r="I122" i="7" s="1"/>
  <c r="F137" i="7"/>
  <c r="F83" i="7"/>
  <c r="G83" i="7" s="1"/>
  <c r="J83" i="7" s="1"/>
  <c r="I83" i="7" s="1"/>
  <c r="F25" i="7"/>
  <c r="G25" i="7" s="1"/>
  <c r="F94" i="7"/>
  <c r="G94" i="7" s="1"/>
  <c r="J94" i="7" s="1"/>
  <c r="I94" i="7" s="1"/>
  <c r="F152" i="7"/>
  <c r="G152" i="7" s="1"/>
  <c r="J152" i="7" s="1"/>
  <c r="I152" i="7" s="1"/>
  <c r="F66" i="7"/>
  <c r="G66" i="7" s="1"/>
  <c r="J66" i="7" s="1"/>
  <c r="I66" i="7" s="1"/>
  <c r="F142" i="7"/>
  <c r="G142" i="7" s="1"/>
  <c r="J142" i="7" s="1"/>
  <c r="I142" i="7" s="1"/>
  <c r="F65" i="7"/>
  <c r="L65" i="7" s="1"/>
  <c r="F153" i="7"/>
  <c r="G153" i="7" s="1"/>
  <c r="J153" i="7" s="1"/>
  <c r="I153" i="7" s="1"/>
  <c r="F58" i="7"/>
  <c r="G58" i="7" s="1"/>
  <c r="J58" i="7" s="1"/>
  <c r="I58" i="7" s="1"/>
  <c r="F47" i="7"/>
  <c r="F82" i="7"/>
  <c r="G82" i="7" s="1"/>
  <c r="J82" i="7" s="1"/>
  <c r="I82" i="7" s="1"/>
  <c r="F116" i="7"/>
  <c r="G116" i="7" s="1"/>
  <c r="F86" i="7"/>
  <c r="G86" i="7" s="1"/>
  <c r="J86" i="7" s="1"/>
  <c r="I86" i="7" s="1"/>
  <c r="F138" i="7"/>
  <c r="F109" i="7"/>
  <c r="G109" i="7" s="1"/>
  <c r="J109" i="7" s="1"/>
  <c r="I109" i="7" s="1"/>
  <c r="F55" i="7"/>
  <c r="G55" i="7" s="1"/>
  <c r="J55" i="7" s="1"/>
  <c r="I55" i="7" s="1"/>
  <c r="F44" i="7"/>
  <c r="F26" i="7"/>
  <c r="F114" i="7"/>
  <c r="G114" i="7" s="1"/>
  <c r="J114" i="7" s="1"/>
  <c r="I114" i="7" s="1"/>
  <c r="F131" i="7"/>
  <c r="G131" i="7" s="1"/>
  <c r="J131" i="7" s="1"/>
  <c r="I131" i="7" s="1"/>
  <c r="F136" i="7"/>
  <c r="F69" i="7"/>
  <c r="G69" i="7" s="1"/>
  <c r="J69" i="7" s="1"/>
  <c r="I69" i="7" s="1"/>
  <c r="F32" i="7"/>
  <c r="G32" i="7" s="1"/>
  <c r="F95" i="7"/>
  <c r="L95" i="7" s="1"/>
  <c r="F24" i="7"/>
  <c r="G24" i="7" s="1"/>
  <c r="F84" i="7"/>
  <c r="G84" i="7" s="1"/>
  <c r="J84" i="7" s="1"/>
  <c r="I84" i="7" s="1"/>
  <c r="F43" i="7"/>
  <c r="G43" i="7" s="1"/>
  <c r="J43" i="7" s="1"/>
  <c r="I43" i="7" s="1"/>
  <c r="F101" i="7"/>
  <c r="G101" i="7" s="1"/>
  <c r="J101" i="7" s="1"/>
  <c r="I101" i="7" s="1"/>
  <c r="F147" i="7"/>
  <c r="G147" i="7" s="1"/>
  <c r="J147" i="7" s="1"/>
  <c r="I147" i="7" s="1"/>
  <c r="F52" i="7"/>
  <c r="F112" i="7"/>
  <c r="G112" i="7" s="1"/>
  <c r="J112" i="7" s="1"/>
  <c r="I112" i="7" s="1"/>
  <c r="F100" i="7"/>
  <c r="G100" i="7" s="1"/>
  <c r="J100" i="7" s="1"/>
  <c r="I100" i="7" s="1"/>
  <c r="F99" i="7"/>
  <c r="G99" i="7" s="1"/>
  <c r="J99" i="7" s="1"/>
  <c r="I99" i="7" s="1"/>
  <c r="F53" i="7"/>
  <c r="F80" i="7"/>
  <c r="G80" i="7" s="1"/>
  <c r="J80" i="7" s="1"/>
  <c r="I80" i="7" s="1"/>
  <c r="F140" i="7"/>
  <c r="G140" i="7" s="1"/>
  <c r="J140" i="7" s="1"/>
  <c r="I140" i="7" s="1"/>
  <c r="F18" i="7"/>
  <c r="G18" i="7" s="1"/>
  <c r="F176" i="7"/>
  <c r="G176" i="7" s="1"/>
  <c r="J176" i="7" s="1"/>
  <c r="I176" i="7" s="1"/>
  <c r="F51" i="7"/>
  <c r="G51" i="7" s="1"/>
  <c r="J51" i="7" s="1"/>
  <c r="I51" i="7" s="1"/>
  <c r="F75" i="7"/>
  <c r="G75" i="7" s="1"/>
  <c r="J75" i="7" s="1"/>
  <c r="I75" i="7" s="1"/>
  <c r="F62" i="7"/>
  <c r="F123" i="7"/>
  <c r="G123" i="7" s="1"/>
  <c r="J123" i="7" s="1"/>
  <c r="I123" i="7" s="1"/>
  <c r="F56" i="7"/>
  <c r="G56" i="7" s="1"/>
  <c r="J56" i="7" s="1"/>
  <c r="I56" i="7" s="1"/>
  <c r="F145" i="7"/>
  <c r="G145" i="7" s="1"/>
  <c r="J145" i="7" s="1"/>
  <c r="I145" i="7" s="1"/>
  <c r="F156" i="7"/>
  <c r="G156" i="7" s="1"/>
  <c r="J156" i="7" s="1"/>
  <c r="I156" i="7" s="1"/>
  <c r="F175" i="7"/>
  <c r="G175" i="7" s="1"/>
  <c r="J175" i="7" s="1"/>
  <c r="I175" i="7" s="1"/>
  <c r="F151" i="7"/>
  <c r="G151" i="7" s="1"/>
  <c r="J151" i="7" s="1"/>
  <c r="I151" i="7" s="1"/>
  <c r="F150" i="7"/>
  <c r="G150" i="7" s="1"/>
  <c r="J150" i="7" s="1"/>
  <c r="I150" i="7" s="1"/>
  <c r="F5" i="7"/>
  <c r="G5" i="7" s="1"/>
  <c r="F108" i="7"/>
  <c r="G108" i="7" s="1"/>
  <c r="J108" i="7" s="1"/>
  <c r="I108" i="7" s="1"/>
  <c r="F141" i="7"/>
  <c r="G141" i="7" s="1"/>
  <c r="J141" i="7" s="1"/>
  <c r="I141" i="7" s="1"/>
  <c r="F78" i="7"/>
  <c r="G78" i="7" s="1"/>
  <c r="J78" i="7" s="1"/>
  <c r="I78" i="7" s="1"/>
  <c r="F201" i="7"/>
  <c r="G201" i="7" s="1"/>
  <c r="J201" i="7" s="1"/>
  <c r="I201" i="7" s="1"/>
  <c r="F149" i="7"/>
  <c r="G149" i="7" s="1"/>
  <c r="J149" i="7" s="1"/>
  <c r="I149" i="7" s="1"/>
  <c r="F70" i="7"/>
  <c r="F103" i="7"/>
  <c r="G103" i="7" s="1"/>
  <c r="J103" i="7" s="1"/>
  <c r="I103" i="7" s="1"/>
  <c r="F164" i="7"/>
  <c r="G164" i="7" s="1"/>
  <c r="J164" i="7" s="1"/>
  <c r="I164" i="7" s="1"/>
  <c r="F36" i="7"/>
  <c r="G36" i="7" s="1"/>
  <c r="F6" i="7"/>
  <c r="G6" i="7" s="1"/>
  <c r="F30" i="7"/>
  <c r="F124" i="7"/>
  <c r="G124" i="7" s="1"/>
  <c r="J124" i="7" s="1"/>
  <c r="I124" i="7" s="1"/>
  <c r="F13" i="7"/>
  <c r="G13" i="7" s="1"/>
  <c r="F79" i="7"/>
  <c r="G79" i="7" s="1"/>
  <c r="J79" i="7" s="1"/>
  <c r="I79" i="7" s="1"/>
  <c r="F15" i="7"/>
  <c r="F12" i="7"/>
  <c r="F21" i="7"/>
  <c r="G21" i="7" s="1"/>
  <c r="F85" i="7"/>
  <c r="G85" i="7" s="1"/>
  <c r="J85" i="7" s="1"/>
  <c r="I85" i="7" s="1"/>
  <c r="F105" i="7"/>
  <c r="G105" i="7" s="1"/>
  <c r="J105" i="7" s="1"/>
  <c r="I105" i="7" s="1"/>
  <c r="F165" i="7"/>
  <c r="G165" i="7" s="1"/>
  <c r="J165" i="7" s="1"/>
  <c r="I165" i="7" s="1"/>
  <c r="F117" i="7"/>
  <c r="G117" i="7" s="1"/>
  <c r="J117" i="7" s="1"/>
  <c r="I117" i="7" s="1"/>
  <c r="F67" i="7"/>
  <c r="G67" i="7" s="1"/>
  <c r="J67" i="7" s="1"/>
  <c r="I67" i="7" s="1"/>
  <c r="F120" i="7"/>
  <c r="F93" i="7"/>
  <c r="G93" i="7" s="1"/>
  <c r="J93" i="7" s="1"/>
  <c r="I93" i="7" s="1"/>
  <c r="F33" i="7"/>
  <c r="F35" i="7"/>
  <c r="G35" i="7" s="1"/>
  <c r="F68" i="7"/>
  <c r="G68" i="7" s="1"/>
  <c r="J68" i="7" s="1"/>
  <c r="I68" i="7" s="1"/>
  <c r="F129" i="7"/>
  <c r="G129" i="7" s="1"/>
  <c r="J129" i="7" s="1"/>
  <c r="I129" i="7" s="1"/>
  <c r="F91" i="7"/>
  <c r="G91" i="7" s="1"/>
  <c r="J91" i="7" s="1"/>
  <c r="I91" i="7" s="1"/>
  <c r="F31" i="7"/>
  <c r="F178" i="7"/>
  <c r="G178" i="7" s="1"/>
  <c r="J178" i="7" s="1"/>
  <c r="I178" i="7" s="1"/>
  <c r="F72" i="7"/>
  <c r="G72" i="7" s="1"/>
  <c r="J72" i="7" s="1"/>
  <c r="I72" i="7" s="1"/>
  <c r="F46" i="7"/>
  <c r="G46" i="7" s="1"/>
  <c r="J46" i="7" s="1"/>
  <c r="I46" i="7" s="1"/>
  <c r="F107" i="7"/>
  <c r="G107" i="7" s="1"/>
  <c r="J107" i="7" s="1"/>
  <c r="I107" i="7" s="1"/>
  <c r="F22" i="7"/>
  <c r="F130" i="7"/>
  <c r="G130" i="7" s="1"/>
  <c r="J130" i="7" s="1"/>
  <c r="I130" i="7" s="1"/>
  <c r="F45" i="7"/>
  <c r="G45" i="7" s="1"/>
  <c r="J45" i="7" s="1"/>
  <c r="I45" i="7" s="1"/>
  <c r="F57" i="7"/>
  <c r="F125" i="7"/>
  <c r="G125" i="7" s="1"/>
  <c r="J125" i="7" s="1"/>
  <c r="I125" i="7" s="1"/>
  <c r="F4" i="7"/>
  <c r="F104" i="7"/>
  <c r="G104" i="7" s="1"/>
  <c r="J104" i="7" s="1"/>
  <c r="I104" i="7" s="1"/>
  <c r="F160" i="7"/>
  <c r="G160" i="7" s="1"/>
  <c r="J160" i="7" s="1"/>
  <c r="I160" i="7" s="1"/>
  <c r="F90" i="7"/>
  <c r="F135" i="7"/>
  <c r="G135" i="7" s="1"/>
  <c r="J135" i="7" s="1"/>
  <c r="I135" i="7" s="1"/>
  <c r="F133" i="7"/>
  <c r="G133" i="7" s="1"/>
  <c r="J133" i="7" s="1"/>
  <c r="I133" i="7" s="1"/>
  <c r="F170" i="7"/>
  <c r="G170" i="7" s="1"/>
  <c r="J170" i="7" s="1"/>
  <c r="I170" i="7" s="1"/>
  <c r="F126" i="7"/>
  <c r="F102" i="7"/>
  <c r="G102" i="7" s="1"/>
  <c r="J102" i="7" s="1"/>
  <c r="I102" i="7" s="1"/>
  <c r="F14" i="7"/>
  <c r="G14" i="7" s="1"/>
  <c r="F113" i="7"/>
  <c r="G113" i="7" s="1"/>
  <c r="J113" i="7" s="1"/>
  <c r="I113" i="7" s="1"/>
  <c r="F143" i="7"/>
  <c r="G143" i="7" s="1"/>
  <c r="F96" i="7"/>
  <c r="G96" i="7" s="1"/>
  <c r="J96" i="7" s="1"/>
  <c r="I96" i="7" s="1"/>
  <c r="F111" i="7"/>
  <c r="G111" i="7" s="1"/>
  <c r="J111" i="7" s="1"/>
  <c r="I111" i="7" s="1"/>
  <c r="F64" i="7"/>
  <c r="G64" i="7" s="1"/>
  <c r="J64" i="7" s="1"/>
  <c r="I64" i="7" s="1"/>
  <c r="F11" i="7"/>
  <c r="G11" i="7" s="1"/>
  <c r="F98" i="7"/>
  <c r="G98" i="7" s="1"/>
  <c r="J98" i="7" s="1"/>
  <c r="I98" i="7" s="1"/>
  <c r="F193" i="7"/>
  <c r="G193" i="7" s="1"/>
  <c r="J193" i="7" s="1"/>
  <c r="I193" i="7" s="1"/>
  <c r="F23" i="7"/>
  <c r="G23" i="7" s="1"/>
  <c r="F144" i="7"/>
  <c r="G144" i="7" s="1"/>
  <c r="F89" i="7"/>
  <c r="G89" i="7" s="1"/>
  <c r="J89" i="7" s="1"/>
  <c r="I89" i="7" s="1"/>
  <c r="F73" i="7"/>
  <c r="G73" i="7" s="1"/>
  <c r="J73" i="7" s="1"/>
  <c r="I73" i="7" s="1"/>
  <c r="F59" i="7"/>
  <c r="G59" i="7" s="1"/>
  <c r="J59" i="7" s="1"/>
  <c r="I59" i="7" s="1"/>
  <c r="F8" i="7"/>
  <c r="F20" i="7"/>
  <c r="G20" i="7" s="1"/>
  <c r="F49" i="7"/>
  <c r="G49" i="7" s="1"/>
  <c r="J49" i="7" s="1"/>
  <c r="I49" i="7" s="1"/>
  <c r="F148" i="7"/>
  <c r="G148" i="7" s="1"/>
  <c r="J148" i="7" s="1"/>
  <c r="I148" i="7" s="1"/>
  <c r="F87" i="7"/>
  <c r="G87" i="7" s="1"/>
  <c r="J87" i="7" s="1"/>
  <c r="I87" i="7" s="1"/>
  <c r="F61" i="7"/>
  <c r="G61" i="7" s="1"/>
  <c r="J61" i="7" s="1"/>
  <c r="I61" i="7" s="1"/>
  <c r="F121" i="7"/>
  <c r="G121" i="7" s="1"/>
  <c r="J121" i="7" s="1"/>
  <c r="I121" i="7" s="1"/>
  <c r="F10" i="7"/>
  <c r="F7" i="7"/>
  <c r="G7" i="7" s="1"/>
  <c r="F92" i="7"/>
  <c r="G92" i="7" s="1"/>
  <c r="J92" i="7" s="1"/>
  <c r="I92" i="7" s="1"/>
  <c r="F34" i="7"/>
  <c r="G34" i="7" s="1"/>
  <c r="F88" i="7"/>
  <c r="G88" i="7" s="1"/>
  <c r="J88" i="7" s="1"/>
  <c r="I88" i="7" s="1"/>
  <c r="F38" i="7"/>
  <c r="G38" i="7" s="1"/>
  <c r="J38" i="7" s="1"/>
  <c r="I38" i="7" s="1"/>
  <c r="F106" i="7"/>
  <c r="G106" i="7" s="1"/>
  <c r="J106" i="7" s="1"/>
  <c r="I106" i="7" s="1"/>
  <c r="F29" i="7"/>
  <c r="F110" i="7"/>
  <c r="G110" i="7" s="1"/>
  <c r="J110" i="7" s="1"/>
  <c r="I110" i="7" s="1"/>
  <c r="F134" i="7"/>
  <c r="G134" i="7" s="1"/>
  <c r="J134" i="7" s="1"/>
  <c r="I134" i="7" s="1"/>
  <c r="F27" i="7"/>
  <c r="F81" i="7"/>
  <c r="G81" i="7" s="1"/>
  <c r="J81" i="7" s="1"/>
  <c r="I81" i="7" s="1"/>
  <c r="F48" i="7"/>
  <c r="G48" i="7" s="1"/>
  <c r="J48" i="7" s="1"/>
  <c r="I48" i="7" s="1"/>
  <c r="F37" i="7"/>
  <c r="G37" i="7" s="1"/>
  <c r="J37" i="7" s="1"/>
  <c r="I37" i="7" s="1"/>
  <c r="F54" i="7"/>
  <c r="F76" i="7"/>
  <c r="G76" i="7" s="1"/>
  <c r="J76" i="7" s="1"/>
  <c r="I76" i="7" s="1"/>
  <c r="F42" i="7"/>
  <c r="G42" i="7" s="1"/>
  <c r="J42" i="7" s="1"/>
  <c r="I42" i="7" s="1"/>
  <c r="F181" i="7"/>
  <c r="G181" i="7" s="1"/>
  <c r="J181" i="7" s="1"/>
  <c r="I181" i="7" s="1"/>
  <c r="F19" i="7"/>
  <c r="F128" i="7"/>
  <c r="G128" i="7" s="1"/>
  <c r="J128" i="7" s="1"/>
  <c r="I128" i="7" s="1"/>
  <c r="F9" i="7"/>
  <c r="F17" i="7"/>
  <c r="F139" i="7"/>
  <c r="G139" i="7" s="1"/>
  <c r="J139" i="7" s="1"/>
  <c r="I139" i="7" s="1"/>
  <c r="F63" i="7"/>
  <c r="G63" i="7" s="1"/>
  <c r="J63" i="7" s="1"/>
  <c r="I63" i="7" s="1"/>
  <c r="F97" i="7"/>
  <c r="G97" i="7" s="1"/>
  <c r="J97" i="7" s="1"/>
  <c r="I97" i="7" s="1"/>
  <c r="F185" i="7"/>
  <c r="G185" i="7" s="1"/>
  <c r="J185" i="7" s="1"/>
  <c r="I185" i="7" s="1"/>
  <c r="F77" i="7"/>
  <c r="G77" i="7" s="1"/>
  <c r="J77" i="7" s="1"/>
  <c r="I77" i="7" s="1"/>
  <c r="F167" i="7"/>
  <c r="F146" i="7"/>
  <c r="G146" i="7" s="1"/>
  <c r="J146" i="7" s="1"/>
  <c r="I146" i="7" s="1"/>
  <c r="F71" i="7"/>
  <c r="G71" i="7" s="1"/>
  <c r="J71" i="7" s="1"/>
  <c r="I71" i="7" s="1"/>
  <c r="F180" i="7"/>
  <c r="G180" i="7" s="1"/>
  <c r="J180" i="7" s="1"/>
  <c r="I180" i="7" s="1"/>
  <c r="F28" i="7"/>
  <c r="F115" i="7"/>
  <c r="G115" i="7" s="1"/>
  <c r="J115" i="7" s="1"/>
  <c r="I115" i="7" s="1"/>
  <c r="F40" i="7"/>
  <c r="G40" i="7" s="1"/>
  <c r="J40" i="7" s="1"/>
  <c r="I40" i="7" s="1"/>
  <c r="F74" i="7"/>
  <c r="G74" i="7" s="1"/>
  <c r="J74" i="7" s="1"/>
  <c r="I74" i="7" s="1"/>
  <c r="F155" i="7"/>
  <c r="G155" i="7" s="1"/>
  <c r="J155" i="7" s="1"/>
  <c r="I155" i="7" s="1"/>
  <c r="F198" i="7"/>
  <c r="G198" i="7" s="1"/>
  <c r="J198" i="7" s="1"/>
  <c r="I198" i="7" s="1"/>
  <c r="F172" i="7"/>
  <c r="G172" i="7" s="1"/>
  <c r="J172" i="7" s="1"/>
  <c r="I172" i="7" s="1"/>
  <c r="F187" i="7"/>
  <c r="G187" i="7" s="1"/>
  <c r="J187" i="7" s="1"/>
  <c r="I187" i="7" s="1"/>
  <c r="F196" i="7"/>
  <c r="G196" i="7" s="1"/>
  <c r="J196" i="7" s="1"/>
  <c r="I196" i="7" s="1"/>
  <c r="F158" i="7"/>
  <c r="G158" i="7" s="1"/>
  <c r="J158" i="7" s="1"/>
  <c r="I158" i="7" s="1"/>
  <c r="F182" i="7"/>
  <c r="G182" i="7" s="1"/>
  <c r="J182" i="7" s="1"/>
  <c r="I182" i="7" s="1"/>
  <c r="F195" i="7"/>
  <c r="G195" i="7" s="1"/>
  <c r="J195" i="7" s="1"/>
  <c r="I195" i="7" s="1"/>
  <c r="F190" i="7"/>
  <c r="G190" i="7" s="1"/>
  <c r="J190" i="7" s="1"/>
  <c r="I190" i="7" s="1"/>
  <c r="F177" i="7"/>
  <c r="G177" i="7" s="1"/>
  <c r="J177" i="7" s="1"/>
  <c r="I177" i="7" s="1"/>
  <c r="F191" i="7"/>
  <c r="G191" i="7" s="1"/>
  <c r="J191" i="7" s="1"/>
  <c r="I191" i="7" s="1"/>
  <c r="F162" i="7"/>
  <c r="G162" i="7" s="1"/>
  <c r="J162" i="7" s="1"/>
  <c r="I162" i="7" s="1"/>
  <c r="F169" i="7"/>
  <c r="G169" i="7" s="1"/>
  <c r="J169" i="7" s="1"/>
  <c r="I169" i="7" s="1"/>
  <c r="F192" i="7"/>
  <c r="G192" i="7" s="1"/>
  <c r="J192" i="7" s="1"/>
  <c r="I192" i="7" s="1"/>
  <c r="F171" i="7"/>
  <c r="G171" i="7" s="1"/>
  <c r="J171" i="7" s="1"/>
  <c r="I171" i="7" s="1"/>
  <c r="F184" i="7"/>
  <c r="G184" i="7" s="1"/>
  <c r="J184" i="7" s="1"/>
  <c r="I184" i="7" s="1"/>
  <c r="F194" i="7"/>
  <c r="G194" i="7" s="1"/>
  <c r="J194" i="7" s="1"/>
  <c r="I194" i="7" s="1"/>
  <c r="F157" i="7"/>
  <c r="F168" i="7"/>
  <c r="G168" i="7" s="1"/>
  <c r="J168" i="7" s="1"/>
  <c r="I168" i="7" s="1"/>
  <c r="F161" i="7"/>
  <c r="G161" i="7" s="1"/>
  <c r="J161" i="7" s="1"/>
  <c r="I161" i="7" s="1"/>
  <c r="F179" i="7"/>
  <c r="G179" i="7" s="1"/>
  <c r="J179" i="7" s="1"/>
  <c r="I179" i="7" s="1"/>
  <c r="F202" i="7"/>
  <c r="G202" i="7" s="1"/>
  <c r="J202" i="7" s="1"/>
  <c r="I202" i="7" s="1"/>
  <c r="F41" i="7"/>
  <c r="G41" i="7" s="1"/>
  <c r="J41" i="7" s="1"/>
  <c r="I41" i="7" s="1"/>
  <c r="F188" i="7"/>
  <c r="G188" i="7" s="1"/>
  <c r="J188" i="7" s="1"/>
  <c r="I188" i="7" s="1"/>
  <c r="F199" i="7"/>
  <c r="G199" i="7" s="1"/>
  <c r="J199" i="7" s="1"/>
  <c r="I199" i="7" s="1"/>
  <c r="F163" i="7"/>
  <c r="G163" i="7" s="1"/>
  <c r="J163" i="7" s="1"/>
  <c r="I163" i="7" s="1"/>
  <c r="F197" i="7"/>
  <c r="G197" i="7" s="1"/>
  <c r="J197" i="7" s="1"/>
  <c r="I197" i="7" s="1"/>
  <c r="F189" i="7"/>
  <c r="G189" i="7" s="1"/>
  <c r="J189" i="7" s="1"/>
  <c r="I189" i="7" s="1"/>
  <c r="F159" i="7"/>
  <c r="G159" i="7" s="1"/>
  <c r="J159" i="7" s="1"/>
  <c r="I159" i="7" s="1"/>
  <c r="F173" i="7"/>
  <c r="G173" i="7" s="1"/>
  <c r="J173" i="7" s="1"/>
  <c r="I173" i="7" s="1"/>
  <c r="F203" i="7"/>
  <c r="G203" i="7" s="1"/>
  <c r="J203" i="7" s="1"/>
  <c r="I203" i="7" s="1"/>
  <c r="F174" i="7"/>
  <c r="G174" i="7" s="1"/>
  <c r="J174" i="7" s="1"/>
  <c r="I174" i="7" s="1"/>
  <c r="F166" i="7"/>
  <c r="F183" i="7"/>
  <c r="G183" i="7" s="1"/>
  <c r="J183" i="7" s="1"/>
  <c r="I183" i="7" s="1"/>
  <c r="F154" i="7"/>
  <c r="G154" i="7" s="1"/>
  <c r="J154" i="7" s="1"/>
  <c r="I154" i="7" s="1"/>
  <c r="F186" i="7"/>
  <c r="G186" i="7" s="1"/>
  <c r="J186" i="7" s="1"/>
  <c r="I186" i="7" s="1"/>
  <c r="L74" i="7"/>
  <c r="A2" i="10"/>
  <c r="Q21" i="1"/>
  <c r="P21" i="1"/>
  <c r="G22" i="7" l="1"/>
  <c r="L22" i="7"/>
  <c r="K20" i="7"/>
  <c r="G8" i="7"/>
  <c r="J8" i="7" s="1"/>
  <c r="I8" i="7" s="1"/>
  <c r="K8" i="7"/>
  <c r="G29" i="7"/>
  <c r="J29" i="7" s="1"/>
  <c r="I29" i="7" s="1"/>
  <c r="K29" i="7"/>
  <c r="G4" i="7"/>
  <c r="J4" i="7" s="1"/>
  <c r="I4" i="7" s="1"/>
  <c r="K4" i="7"/>
  <c r="G226" i="7"/>
  <c r="J226" i="7" s="1"/>
  <c r="I226" i="7" s="1"/>
  <c r="L226" i="7"/>
  <c r="J116" i="7"/>
  <c r="I116" i="7" s="1"/>
  <c r="G90" i="7"/>
  <c r="J90" i="7" s="1"/>
  <c r="I90" i="7" s="1"/>
  <c r="L90" i="7"/>
  <c r="G157" i="7"/>
  <c r="J157" i="7" s="1"/>
  <c r="I157" i="7" s="1"/>
  <c r="L157" i="7"/>
  <c r="G54" i="7"/>
  <c r="J54" i="7" s="1"/>
  <c r="I54" i="7" s="1"/>
  <c r="K54" i="7"/>
  <c r="G70" i="7"/>
  <c r="J70" i="7" s="1"/>
  <c r="I70" i="7" s="1"/>
  <c r="L70" i="7"/>
  <c r="G167" i="7"/>
  <c r="J167" i="7" s="1"/>
  <c r="I167" i="7" s="1"/>
  <c r="K167" i="7"/>
  <c r="L167" i="7"/>
  <c r="J144" i="7"/>
  <c r="I144" i="7" s="1"/>
  <c r="J143" i="7"/>
  <c r="I143" i="7" s="1"/>
  <c r="G138" i="7"/>
  <c r="J138" i="7" s="1"/>
  <c r="I138" i="7" s="1"/>
  <c r="G137" i="7"/>
  <c r="J137" i="7" s="1"/>
  <c r="I137" i="7" s="1"/>
  <c r="J119" i="7"/>
  <c r="I119" i="7" s="1"/>
  <c r="G120" i="7"/>
  <c r="J120" i="7" s="1"/>
  <c r="I120" i="7" s="1"/>
  <c r="G30" i="7"/>
  <c r="J30" i="7" s="1"/>
  <c r="I30" i="7" s="1"/>
  <c r="K30" i="7"/>
  <c r="G44" i="7"/>
  <c r="J44" i="7" s="1"/>
  <c r="I44" i="7" s="1"/>
  <c r="L44" i="7"/>
  <c r="G57" i="7"/>
  <c r="J57" i="7" s="1"/>
  <c r="I57" i="7" s="1"/>
  <c r="L57" i="7"/>
  <c r="G19" i="7"/>
  <c r="J19" i="7" s="1"/>
  <c r="I19" i="7" s="1"/>
  <c r="K19" i="7"/>
  <c r="G33" i="7"/>
  <c r="J33" i="7" s="1"/>
  <c r="I33" i="7" s="1"/>
  <c r="L33" i="7"/>
  <c r="G39" i="7"/>
  <c r="J39" i="7" s="1"/>
  <c r="I39" i="7" s="1"/>
  <c r="L39" i="7"/>
  <c r="G53" i="7"/>
  <c r="J53" i="7" s="1"/>
  <c r="I53" i="7" s="1"/>
  <c r="L53" i="7"/>
  <c r="G52" i="7"/>
  <c r="J52" i="7" s="1"/>
  <c r="I52" i="7" s="1"/>
  <c r="L52" i="7"/>
  <c r="G10" i="7"/>
  <c r="J10" i="7" s="1"/>
  <c r="I10" i="7" s="1"/>
  <c r="K10" i="7"/>
  <c r="G15" i="7"/>
  <c r="J15" i="7" s="1"/>
  <c r="I15" i="7" s="1"/>
  <c r="K15" i="7"/>
  <c r="G9" i="7"/>
  <c r="J9" i="7" s="1"/>
  <c r="I9" i="7" s="1"/>
  <c r="K9" i="7"/>
  <c r="G3" i="7"/>
  <c r="J3" i="7" s="1"/>
  <c r="I3" i="7" s="1"/>
  <c r="K3" i="7"/>
  <c r="P23" i="1"/>
  <c r="G62" i="7"/>
  <c r="J62" i="7" s="1"/>
  <c r="I62" i="7" s="1"/>
  <c r="L62" i="7"/>
  <c r="G95" i="7"/>
  <c r="J95" i="7" s="1"/>
  <c r="I95" i="7" s="1"/>
  <c r="K95" i="7"/>
  <c r="G126" i="7"/>
  <c r="J126" i="7" s="1"/>
  <c r="I126" i="7" s="1"/>
  <c r="L126" i="7"/>
  <c r="G17" i="7"/>
  <c r="J17" i="7" s="1"/>
  <c r="I17" i="7" s="1"/>
  <c r="L17" i="7"/>
  <c r="G12" i="7"/>
  <c r="J12" i="7" s="1"/>
  <c r="I12" i="7" s="1"/>
  <c r="K12" i="7"/>
  <c r="G166" i="7"/>
  <c r="L166" i="7"/>
  <c r="G136" i="7"/>
  <c r="J136" i="7" s="1"/>
  <c r="I136" i="7" s="1"/>
  <c r="L136" i="7"/>
  <c r="G65" i="7"/>
  <c r="J65" i="7" s="1"/>
  <c r="I65" i="7" s="1"/>
  <c r="K65" i="7"/>
  <c r="G47" i="7"/>
  <c r="J47" i="7" s="1"/>
  <c r="I47" i="7" s="1"/>
  <c r="L47" i="7"/>
  <c r="G31" i="7"/>
  <c r="J31" i="7" s="1"/>
  <c r="I31" i="7" s="1"/>
  <c r="L31" i="7"/>
  <c r="Q23" i="1"/>
  <c r="C2" i="10" s="1"/>
  <c r="G28" i="7"/>
  <c r="J28" i="7" s="1"/>
  <c r="I28" i="7" s="1"/>
  <c r="L28" i="7"/>
  <c r="G16" i="7"/>
  <c r="J16" i="7" s="1"/>
  <c r="I16" i="7" s="1"/>
  <c r="K16" i="7"/>
  <c r="G26" i="7"/>
  <c r="J26" i="7" s="1"/>
  <c r="I26" i="7" s="1"/>
  <c r="K26" i="7"/>
  <c r="G27" i="7"/>
  <c r="J27" i="7" s="1"/>
  <c r="I27" i="7" s="1"/>
  <c r="L27" i="7"/>
  <c r="J20" i="7"/>
  <c r="I20" i="7" s="1"/>
  <c r="J14" i="7"/>
  <c r="I14" i="7" s="1"/>
  <c r="K45" i="7"/>
  <c r="J35" i="7"/>
  <c r="I35" i="7" s="1"/>
  <c r="J24" i="7"/>
  <c r="I24" i="7" s="1"/>
  <c r="K44" i="7"/>
  <c r="K38" i="7"/>
  <c r="K7" i="7"/>
  <c r="J7" i="7"/>
  <c r="I7" i="7" s="1"/>
  <c r="K98" i="7"/>
  <c r="K33" i="7"/>
  <c r="L79" i="7"/>
  <c r="J6" i="7"/>
  <c r="I6" i="7" s="1"/>
  <c r="L80" i="7"/>
  <c r="K55" i="7"/>
  <c r="J11" i="7"/>
  <c r="I11" i="7" s="1"/>
  <c r="J22" i="7"/>
  <c r="I22" i="7" s="1"/>
  <c r="J21" i="7"/>
  <c r="I21" i="7" s="1"/>
  <c r="J13" i="7"/>
  <c r="I13" i="7" s="1"/>
  <c r="J36" i="7"/>
  <c r="I36" i="7" s="1"/>
  <c r="J32" i="7"/>
  <c r="I32" i="7" s="1"/>
  <c r="K74" i="7"/>
  <c r="K28" i="7"/>
  <c r="L81" i="7"/>
  <c r="J34" i="7"/>
  <c r="I34" i="7" s="1"/>
  <c r="J23" i="7"/>
  <c r="I23" i="7" s="1"/>
  <c r="L5" i="7"/>
  <c r="J5" i="7"/>
  <c r="I5" i="7" s="1"/>
  <c r="J18" i="7"/>
  <c r="I18" i="7" s="1"/>
  <c r="L138" i="7"/>
  <c r="J25" i="7"/>
  <c r="I25" i="7" s="1"/>
  <c r="P20" i="1" l="1"/>
  <c r="B2" i="10" s="1"/>
  <c r="J166" i="7"/>
  <c r="I166" i="7" s="1"/>
  <c r="R20" i="1" l="1"/>
  <c r="D3" i="10"/>
  <c r="K60" i="7"/>
  <c r="F60" i="7"/>
  <c r="G60" i="7" l="1"/>
  <c r="J60" i="7" s="1"/>
  <c r="I60" i="7" s="1"/>
  <c r="AA9" i="1" s="1"/>
  <c r="L60" i="7"/>
  <c r="AA11" i="1" l="1"/>
  <c r="AA16" i="1"/>
  <c r="O27" i="1" l="1"/>
  <c r="R27" i="1" s="1"/>
  <c r="AA17" i="1"/>
  <c r="K17" i="1" l="1"/>
  <c r="K27" i="1" s="1"/>
  <c r="K19" i="1" l="1"/>
</calcChain>
</file>

<file path=xl/sharedStrings.xml><?xml version="1.0" encoding="utf-8"?>
<sst xmlns="http://schemas.openxmlformats.org/spreadsheetml/2006/main" count="1096" uniqueCount="331">
  <si>
    <t>Sampling depth start (cm)</t>
  </si>
  <si>
    <t>Sampling depth end (cm)</t>
  </si>
  <si>
    <t>Soil texture</t>
  </si>
  <si>
    <t>Soil moisture</t>
  </si>
  <si>
    <t>Mineral N supply (kg/ha)</t>
  </si>
  <si>
    <t>Crop</t>
  </si>
  <si>
    <t>Planting date</t>
  </si>
  <si>
    <t>Clay</t>
  </si>
  <si>
    <t>Clay loam</t>
  </si>
  <si>
    <t>Loam</t>
  </si>
  <si>
    <t>Loamy sand</t>
  </si>
  <si>
    <t>Sand</t>
  </si>
  <si>
    <t>Sandy clay</t>
  </si>
  <si>
    <t>Sandy clay loam</t>
  </si>
  <si>
    <t>Sandy loam</t>
  </si>
  <si>
    <t>Silt</t>
  </si>
  <si>
    <t>Silt loam</t>
  </si>
  <si>
    <t>Silty clay</t>
  </si>
  <si>
    <t>Silty clay loam</t>
  </si>
  <si>
    <t>Dry</t>
  </si>
  <si>
    <t>Wet</t>
  </si>
  <si>
    <t>0-30</t>
  </si>
  <si>
    <t>Texture</t>
  </si>
  <si>
    <t>BD</t>
  </si>
  <si>
    <t>Moist-Dry</t>
  </si>
  <si>
    <t>Moist</t>
  </si>
  <si>
    <t>Moist-Wet</t>
  </si>
  <si>
    <t>30-60</t>
  </si>
  <si>
    <t>Helper</t>
  </si>
  <si>
    <t>Sampling Depth (cm)</t>
  </si>
  <si>
    <t>Bulk density (g/cm3)</t>
  </si>
  <si>
    <t xml:space="preserve">Moisture </t>
  </si>
  <si>
    <t>Moisture value (%v/v)</t>
  </si>
  <si>
    <t>CF (mg NO3-N/kg OD soil)</t>
  </si>
  <si>
    <t>60-90</t>
  </si>
  <si>
    <t>Soil Texture INPUT</t>
  </si>
  <si>
    <t>CF</t>
  </si>
  <si>
    <t>CF2</t>
  </si>
  <si>
    <t>Target yield (t DW/ha)</t>
  </si>
  <si>
    <t>Yield paramater</t>
  </si>
  <si>
    <t>Target yield (t FW/ha)</t>
  </si>
  <si>
    <t>Seasonal N uptake (kg/ha)</t>
  </si>
  <si>
    <t>Estimated seasonal N uptake (kg/ha)</t>
  </si>
  <si>
    <t>DAP</t>
  </si>
  <si>
    <t>Sampling date</t>
  </si>
  <si>
    <t>Remaining N Requirement</t>
  </si>
  <si>
    <t>N Uptake Graphing</t>
  </si>
  <si>
    <t>Total</t>
  </si>
  <si>
    <t>kg N/ha</t>
  </si>
  <si>
    <t>ClayDry0-30</t>
  </si>
  <si>
    <t>ClayMoist-Dry0-30</t>
  </si>
  <si>
    <t>ClayMoist0-30</t>
  </si>
  <si>
    <t>ClayMoist-Wet0-30</t>
  </si>
  <si>
    <t>ClayWet0-30</t>
  </si>
  <si>
    <t>ClayDry30-60</t>
  </si>
  <si>
    <t>ClayMoist-Dry30-60</t>
  </si>
  <si>
    <t>ClayMoist30-60</t>
  </si>
  <si>
    <t>ClayMoist-Wet30-60</t>
  </si>
  <si>
    <t>ClayWet30-60</t>
  </si>
  <si>
    <t>ClayDry60-90</t>
  </si>
  <si>
    <t>ClayMoist-Dry60-90</t>
  </si>
  <si>
    <t>ClayMoist60-90</t>
  </si>
  <si>
    <t>ClayMoist-Wet60-90</t>
  </si>
  <si>
    <t>ClayWet60-90</t>
  </si>
  <si>
    <t>Clay loamDry0-30</t>
  </si>
  <si>
    <t>Clay loamMoist-Dry0-30</t>
  </si>
  <si>
    <t>Clay loamMoist0-30</t>
  </si>
  <si>
    <t>Clay loamMoist-Wet0-30</t>
  </si>
  <si>
    <t>Clay loamWet0-30</t>
  </si>
  <si>
    <t>Clay loamDry30-60</t>
  </si>
  <si>
    <t>Clay loamMoist-Dry30-60</t>
  </si>
  <si>
    <t>Clay loamMoist30-60</t>
  </si>
  <si>
    <t>Clay loamMoist-Wet30-60</t>
  </si>
  <si>
    <t>Clay loamWet30-60</t>
  </si>
  <si>
    <t>Clay loamDry60-90</t>
  </si>
  <si>
    <t>Clay loamMoist-Dry60-90</t>
  </si>
  <si>
    <t>Clay loamMoist60-90</t>
  </si>
  <si>
    <t>Clay loamMoist-Wet60-90</t>
  </si>
  <si>
    <t>Clay loamWet60-90</t>
  </si>
  <si>
    <t>LoamDry0-30</t>
  </si>
  <si>
    <t>LoamMoist-Dry0-30</t>
  </si>
  <si>
    <t>LoamMoist0-30</t>
  </si>
  <si>
    <t>LoamMoist-Wet0-30</t>
  </si>
  <si>
    <t>LoamWet0-30</t>
  </si>
  <si>
    <t>LoamDry30-60</t>
  </si>
  <si>
    <t>LoamMoist-Dry30-60</t>
  </si>
  <si>
    <t>LoamMoist30-60</t>
  </si>
  <si>
    <t>LoamMoist-Wet30-60</t>
  </si>
  <si>
    <t>LoamWet30-60</t>
  </si>
  <si>
    <t>LoamDry60-90</t>
  </si>
  <si>
    <t>LoamMoist-Dry60-90</t>
  </si>
  <si>
    <t>LoamMoist60-90</t>
  </si>
  <si>
    <t>LoamMoist-Wet60-90</t>
  </si>
  <si>
    <t>LoamWet60-90</t>
  </si>
  <si>
    <t>Loamy sandDry0-30</t>
  </si>
  <si>
    <t>Loamy sandMoist-Dry0-30</t>
  </si>
  <si>
    <t>Loamy sandMoist0-30</t>
  </si>
  <si>
    <t>Loamy sandMoist-Wet0-30</t>
  </si>
  <si>
    <t>Loamy sandWet0-30</t>
  </si>
  <si>
    <t>Loamy sandDry30-60</t>
  </si>
  <si>
    <t>Loamy sandMoist-Dry30-60</t>
  </si>
  <si>
    <t>Loamy sandMoist30-60</t>
  </si>
  <si>
    <t>Loamy sandMoist-Wet30-60</t>
  </si>
  <si>
    <t>Loamy sandWet30-60</t>
  </si>
  <si>
    <t>Loamy sandDry60-90</t>
  </si>
  <si>
    <t>Loamy sandMoist-Dry60-90</t>
  </si>
  <si>
    <t>Loamy sandMoist60-90</t>
  </si>
  <si>
    <t>Loamy sandMoist-Wet60-90</t>
  </si>
  <si>
    <t>Loamy sandWet60-90</t>
  </si>
  <si>
    <t>SandDry0-30</t>
  </si>
  <si>
    <t>SandMoist-Dry0-30</t>
  </si>
  <si>
    <t>SandMoist0-30</t>
  </si>
  <si>
    <t>SandMoist-Wet0-30</t>
  </si>
  <si>
    <t>SandWet0-30</t>
  </si>
  <si>
    <t>SandDry30-60</t>
  </si>
  <si>
    <t>SandMoist-Dry30-60</t>
  </si>
  <si>
    <t>SandMoist30-60</t>
  </si>
  <si>
    <t>SandMoist-Wet30-60</t>
  </si>
  <si>
    <t>SandWet30-60</t>
  </si>
  <si>
    <t>SandDry60-90</t>
  </si>
  <si>
    <t>SandMoist-Dry60-90</t>
  </si>
  <si>
    <t>SandMoist60-90</t>
  </si>
  <si>
    <t>SandMoist-Wet60-90</t>
  </si>
  <si>
    <t>SandWet60-90</t>
  </si>
  <si>
    <t>Sandy clayDry0-30</t>
  </si>
  <si>
    <t>Sandy clayMoist-Dry0-30</t>
  </si>
  <si>
    <t>Sandy clayMoist0-30</t>
  </si>
  <si>
    <t>Sandy clayMoist-Wet0-30</t>
  </si>
  <si>
    <t>Sandy clayWet0-30</t>
  </si>
  <si>
    <t>Sandy clayDry30-60</t>
  </si>
  <si>
    <t>Sandy clayMoist-Dry30-60</t>
  </si>
  <si>
    <t>Sandy clayMoist30-60</t>
  </si>
  <si>
    <t>Sandy clayMoist-Wet30-60</t>
  </si>
  <si>
    <t>Sandy clayWet30-60</t>
  </si>
  <si>
    <t>Sandy clayDry60-90</t>
  </si>
  <si>
    <t>Sandy clayMoist-Dry60-90</t>
  </si>
  <si>
    <t>Sandy clayMoist60-90</t>
  </si>
  <si>
    <t>Sandy clayMoist-Wet60-90</t>
  </si>
  <si>
    <t>Sandy clayWet60-90</t>
  </si>
  <si>
    <t>Sandy clay loamDry0-30</t>
  </si>
  <si>
    <t>Sandy clay loamMoist-Dry0-30</t>
  </si>
  <si>
    <t>Sandy clay loamMoist0-30</t>
  </si>
  <si>
    <t>Sandy clay loamMoist-Wet0-30</t>
  </si>
  <si>
    <t>Sandy clay loamWet0-30</t>
  </si>
  <si>
    <t>Sandy clay loamDry30-60</t>
  </si>
  <si>
    <t>Sandy clay loamMoist-Dry30-60</t>
  </si>
  <si>
    <t>Sandy clay loamMoist30-60</t>
  </si>
  <si>
    <t>Sandy clay loamMoist-Wet30-60</t>
  </si>
  <si>
    <t>Sandy clay loamWet30-60</t>
  </si>
  <si>
    <t>Sandy clay loamDry60-90</t>
  </si>
  <si>
    <t>Sandy clay loamMoist-Dry60-90</t>
  </si>
  <si>
    <t>Sandy clay loamMoist60-90</t>
  </si>
  <si>
    <t>Sandy clay loamMoist-Wet60-90</t>
  </si>
  <si>
    <t>Sandy clay loamWet60-90</t>
  </si>
  <si>
    <t>Sandy loamDry0-30</t>
  </si>
  <si>
    <t>Sandy loamMoist-Dry0-30</t>
  </si>
  <si>
    <t>Sandy loamMoist0-30</t>
  </si>
  <si>
    <t>Sandy loamMoist-Wet0-30</t>
  </si>
  <si>
    <t>Sandy loamWet0-30</t>
  </si>
  <si>
    <t>Sandy loamDry30-60</t>
  </si>
  <si>
    <t>Sandy loamMoist-Dry30-60</t>
  </si>
  <si>
    <t>Sandy loamMoist30-60</t>
  </si>
  <si>
    <t>Sandy loamMoist-Wet30-60</t>
  </si>
  <si>
    <t>Sandy loamWet30-60</t>
  </si>
  <si>
    <t>Sandy loamDry60-90</t>
  </si>
  <si>
    <t>Sandy loamMoist-Dry60-90</t>
  </si>
  <si>
    <t>Sandy loamMoist60-90</t>
  </si>
  <si>
    <t>Sandy loamMoist-Wet60-90</t>
  </si>
  <si>
    <t>Sandy loamWet60-90</t>
  </si>
  <si>
    <t>SiltDry0-30</t>
  </si>
  <si>
    <t>SiltMoist-Dry0-30</t>
  </si>
  <si>
    <t>SiltMoist0-30</t>
  </si>
  <si>
    <t>SiltMoist-Wet0-30</t>
  </si>
  <si>
    <t>SiltWet0-30</t>
  </si>
  <si>
    <t>SiltDry30-60</t>
  </si>
  <si>
    <t>SiltMoist-Dry30-60</t>
  </si>
  <si>
    <t>SiltMoist30-60</t>
  </si>
  <si>
    <t>SiltMoist-Wet30-60</t>
  </si>
  <si>
    <t>SiltWet30-60</t>
  </si>
  <si>
    <t>SiltDry60-90</t>
  </si>
  <si>
    <t>SiltMoist-Dry60-90</t>
  </si>
  <si>
    <t>SiltMoist60-90</t>
  </si>
  <si>
    <t>SiltMoist-Wet60-90</t>
  </si>
  <si>
    <t>SiltWet60-90</t>
  </si>
  <si>
    <t>Silt loamDry0-30</t>
  </si>
  <si>
    <t>Silt loamMoist-Dry0-30</t>
  </si>
  <si>
    <t>Silt loamMoist0-30</t>
  </si>
  <si>
    <t>Silt loamMoist-Wet0-30</t>
  </si>
  <si>
    <t>Silt loamWet0-30</t>
  </si>
  <si>
    <t>Silt loamDry30-60</t>
  </si>
  <si>
    <t>Silt loamMoist-Dry30-60</t>
  </si>
  <si>
    <t>Silt loamMoist30-60</t>
  </si>
  <si>
    <t>Silt loamMoist-Wet30-60</t>
  </si>
  <si>
    <t>Silt loamWet30-60</t>
  </si>
  <si>
    <t>Silt loamDry60-90</t>
  </si>
  <si>
    <t>Silt loamMoist-Dry60-90</t>
  </si>
  <si>
    <t>Silt loamMoist60-90</t>
  </si>
  <si>
    <t>Silt loamMoist-Wet60-90</t>
  </si>
  <si>
    <t>Silt loamWet60-90</t>
  </si>
  <si>
    <t>Silty clayDry0-30</t>
  </si>
  <si>
    <t>Silty clayMoist-Dry0-30</t>
  </si>
  <si>
    <t>Silty clayMoist0-30</t>
  </si>
  <si>
    <t>Silty clayMoist-Wet0-30</t>
  </si>
  <si>
    <t>Silty clayWet0-30</t>
  </si>
  <si>
    <t>Silty clayDry30-60</t>
  </si>
  <si>
    <t>Silty clayMoist-Dry30-60</t>
  </si>
  <si>
    <t>Silty clayMoist30-60</t>
  </si>
  <si>
    <t>Silty clayMoist-Wet30-60</t>
  </si>
  <si>
    <t>Silty clayWet30-60</t>
  </si>
  <si>
    <t>Silty clayDry60-90</t>
  </si>
  <si>
    <t>Silty clayMoist-Dry60-90</t>
  </si>
  <si>
    <t>Silty clayMoist60-90</t>
  </si>
  <si>
    <t>Silty clayMoist-Wet60-90</t>
  </si>
  <si>
    <t>Silty clayWet60-90</t>
  </si>
  <si>
    <t>Silty clay loamDry0-30</t>
  </si>
  <si>
    <t>Silty clay loamMoist-Dry0-30</t>
  </si>
  <si>
    <t>Silty clay loamMoist0-30</t>
  </si>
  <si>
    <t>Silty clay loamMoist-Wet0-30</t>
  </si>
  <si>
    <t>Silty clay loamWet0-30</t>
  </si>
  <si>
    <t>Silty clay loamDry30-60</t>
  </si>
  <si>
    <t>Silty clay loamMoist-Dry30-60</t>
  </si>
  <si>
    <t>Silty clay loamMoist30-60</t>
  </si>
  <si>
    <t>Silty clay loamMoist-Wet30-60</t>
  </si>
  <si>
    <t>Silty clay loamWet30-60</t>
  </si>
  <si>
    <t>Silty clay loamDry60-90</t>
  </si>
  <si>
    <t>Silty clay loamMoist-Dry60-90</t>
  </si>
  <si>
    <t>Silty clay loamMoist60-90</t>
  </si>
  <si>
    <t>Silty clay loamMoist-Wet60-90</t>
  </si>
  <si>
    <t>Silty clay loamWet60-90</t>
  </si>
  <si>
    <t>Predicted N Uptake</t>
  </si>
  <si>
    <t>----- Graph inputs -----</t>
  </si>
  <si>
    <t>The Nitrate Quick Test Mass Balance Tool</t>
  </si>
  <si>
    <t>Days</t>
  </si>
  <si>
    <t>Mixed cropping/arable</t>
  </si>
  <si>
    <t>Intensive vegetable production</t>
  </si>
  <si>
    <t>Pasture conversion</t>
  </si>
  <si>
    <t>System</t>
  </si>
  <si>
    <t xml:space="preserve">Crop </t>
  </si>
  <si>
    <t>AMN (kg/ha)</t>
  </si>
  <si>
    <t>----------- Notes</t>
  </si>
  <si>
    <t>---&gt; AMN lab input value may need to be adjusted to account for soil depth if different from 15 cm</t>
  </si>
  <si>
    <t>A + C/(1 + EXP(-B*(X - M)))</t>
  </si>
  <si>
    <t>A</t>
  </si>
  <si>
    <t>C</t>
  </si>
  <si>
    <t>B</t>
  </si>
  <si>
    <t>M</t>
  </si>
  <si>
    <t>N balance parameters</t>
  </si>
  <si>
    <t>Curve parameters:  A + C/(1 + EXP(-B*(X - M)))</t>
  </si>
  <si>
    <t>Harvested parameter</t>
  </si>
  <si>
    <t>Total yield (t FW/ha)</t>
  </si>
  <si>
    <t>Total Yield (t FW/ha)</t>
  </si>
  <si>
    <t>Harvested component (t FW/ha)</t>
  </si>
  <si>
    <t>Yield value</t>
  </si>
  <si>
    <t>Harvested value</t>
  </si>
  <si>
    <t>Helper 2</t>
  </si>
  <si>
    <t>Particle density (g/cm3)</t>
  </si>
  <si>
    <t>Soil Nitrogen</t>
  </si>
  <si>
    <t>Sampling Date</t>
  </si>
  <si>
    <t>N scheduling</t>
  </si>
  <si>
    <t>Seasonal N Balance</t>
  </si>
  <si>
    <t>Crop N Requirement until next SD (kg/ha)</t>
  </si>
  <si>
    <t>Onions</t>
  </si>
  <si>
    <t>Cabbage_Summer</t>
  </si>
  <si>
    <t>Cabbage_Winter</t>
  </si>
  <si>
    <t>AMN DEFAULT</t>
  </si>
  <si>
    <t>Default Supply Rate (kg N/day)</t>
  </si>
  <si>
    <t>Data supply rate (kg N/day)</t>
  </si>
  <si>
    <t>AMN Result</t>
  </si>
  <si>
    <t>Crop period</t>
  </si>
  <si>
    <t>Mineralisation parameters</t>
  </si>
  <si>
    <t>AMN supply until next SD</t>
  </si>
  <si>
    <t>---&gt; Assume a linear release of ON. OK for the purposes of this tool</t>
  </si>
  <si>
    <t>Target yield (t FW/ha at 14% moist)</t>
  </si>
  <si>
    <t>Sweetcorn</t>
  </si>
  <si>
    <t>Harvested component (t FW/ha at 72% moist)</t>
  </si>
  <si>
    <t>Notes</t>
  </si>
  <si>
    <t>Grain @ 14% Moist</t>
  </si>
  <si>
    <t>Net (kg/ha)</t>
  </si>
  <si>
    <t>Next sampling date (SD)</t>
  </si>
  <si>
    <t>Potatoes</t>
  </si>
  <si>
    <t>Cultivar</t>
  </si>
  <si>
    <t>Russet Burbank</t>
  </si>
  <si>
    <t>Maize</t>
  </si>
  <si>
    <t>Lettuce</t>
  </si>
  <si>
    <t xml:space="preserve">Head </t>
  </si>
  <si>
    <t>Broccoli_Winter</t>
  </si>
  <si>
    <t>Broccoli_Summer</t>
  </si>
  <si>
    <t>Wheat_Autumn</t>
  </si>
  <si>
    <t>Wheat_Spring</t>
  </si>
  <si>
    <t>Next sampling date</t>
  </si>
  <si>
    <t>Nitrate Quick Test</t>
  </si>
  <si>
    <t>Quick test nitrate (mg/L)</t>
  </si>
  <si>
    <t>Quick test nitrate-N (mg/kg DM)</t>
  </si>
  <si>
    <t>Barley_Autumn</t>
  </si>
  <si>
    <t>Barley_Spring</t>
  </si>
  <si>
    <t>Version 1.2</t>
  </si>
  <si>
    <t>AMN Test</t>
  </si>
  <si>
    <t>Next SD</t>
  </si>
  <si>
    <t xml:space="preserve">Test value (kg/ha) </t>
  </si>
  <si>
    <t xml:space="preserve">&lt;---- Anaerobically Mineralisable Nitrogen, sometimes called 'available N' </t>
  </si>
  <si>
    <t>Crop N requirement at the time of soil testing  ---&gt;</t>
  </si>
  <si>
    <t xml:space="preserve">Soil N supply </t>
  </si>
  <si>
    <t xml:space="preserve">Remaining crop N requirement </t>
  </si>
  <si>
    <t xml:space="preserve">Net </t>
  </si>
  <si>
    <t>Soil mineral N supply + potential future supply from organic N pool  ---&gt;</t>
  </si>
  <si>
    <t>Consider split applications where 'Net' values are greater than 70 kg/ha ---&gt;</t>
  </si>
  <si>
    <t xml:space="preserve">Remaining ON supply (kg/ha) </t>
  </si>
  <si>
    <t>Baby_Spinach</t>
  </si>
  <si>
    <t>AMN availability &gt; 100</t>
  </si>
  <si>
    <t>AMN availability &lt; 40</t>
  </si>
  <si>
    <t>AMN availability  40-100</t>
  </si>
  <si>
    <t>AMN Availability &gt;100</t>
  </si>
  <si>
    <t>AMN Availability 40-100</t>
  </si>
  <si>
    <t>AMN Availability &lt;40</t>
  </si>
  <si>
    <t>&lt;--- Ensure input values represent the QT sampling depth. AMN results are typically reported on a 0-15 cm soil core basis.</t>
  </si>
  <si>
    <t>Ammonium-N factor</t>
  </si>
  <si>
    <t>&lt;--- Correction to acccount for N supply from ammonium-N</t>
  </si>
  <si>
    <t>---&gt; Model assumes that for crops with a growing length of &gt; 100 days, 90% of AMN supply will become available; 50% for 40-100 and 30% for &lt; 40 days.</t>
  </si>
  <si>
    <t>&lt;--- Remaining organic N (ON) supply for the period between most recent soil test and final harvest</t>
  </si>
  <si>
    <t>Version 2.1</t>
  </si>
  <si>
    <t>Updated 24 June 2019</t>
  </si>
  <si>
    <t xml:space="preserve">MPI’s Sustainable Farming Fund was the main funder for the three year programme of work, with co-funding and in-kind support from; FAR, HortNZ’s VR&amp;I Board, Waikato Regional Council, Ravensdown, Ballance Agri-nutrients and Hawkes Bay Regional Council.  </t>
  </si>
  <si>
    <t>The aim of the MPI SFF project Nitrogen – Measure it and Manage it was to develop a nitrate quick test management tool to assist with N fertiliser decisions for arable and vegetable crops.</t>
  </si>
  <si>
    <t xml:space="preserve">Disclaimer </t>
  </si>
  <si>
    <t>This publication is copyright to the Foundation for Arable Research (“FAR”) and may not be reproduced or copied in any form whatsoever without FAR’s written permission.</t>
  </si>
  <si>
    <t>This publication is intended to provide accurate and adequate information relating to the subject matters contained in it and is based on information current at the time of publication.</t>
  </si>
  <si>
    <t>Information contained in this publication is general in nature and not intended as a substitute for specific professional advice on any matter and should not be relied upon for that purpose.</t>
  </si>
  <si>
    <t>It has been prepared and made available to all persons and entities strictly on the basis that FAR, its researchers and authors are fully excluded from any liability for damages arising out of any reliance in part or in full upon any of the information for any purpose.</t>
  </si>
  <si>
    <t>The collaborating research organisation delivering the science programme was Plant &amp; Food Research.</t>
  </si>
  <si>
    <t>For intructions on using the QTMB tool consult the 'Quick Test Mass Balance User Guide' which may be downloaded from the FAR website (https://www.far.org.nz/)</t>
  </si>
  <si>
    <t>Acknowledgements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</si>
</sst>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3"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b/>
      <sz val="28"/>
      <color theme="1"/>
      <name val="Calibri"/>
      <family val="2"/>
      <scheme val="minor"/>
    </font>
    <font>
      <sz val="9"/>
      <color theme="1"/>
      <name val="Calibri"/>
      <family val="2"/>
      <scheme val="minor"/>
    </font>
    <font>
      <u/>
      <sz val="11"/>
      <color theme="10"/>
      <name val="Calibri"/>
      <family val="2"/>
      <scheme val="minor"/>
    </font>
    <font>
      <b/>
      <i/>
      <sz val="11"/>
      <color theme="1"/>
      <name val="Calibri"/>
      <family val="2"/>
      <scheme val="minor"/>
    </font>
    <font>
      <b/>
      <i/>
      <sz val="9"/>
      <color theme="1"/>
      <name val="Calibri"/>
      <family val="2"/>
      <scheme val="minor"/>
    </font>
    <font>
      <b/>
      <i/>
      <sz val="26"/>
      <color theme="1"/>
      <name val="Arial"/>
      <family val="2"/>
    </font>
    <font>
      <b/>
      <sz val="11"/>
      <color rgb="FFFF0000"/>
      <name val="Calibri"/>
      <family val="2"/>
      <scheme val="minor"/>
    </font>
    <font>
      <sz val="9.5"/>
      <color theme="1"/>
      <name val="Calibri"/>
      <family val="2"/>
      <scheme val="minor"/>
    </font>
    <font>
      <b/>
      <sz val="9.5"/>
      <color theme="1"/>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3">
    <xf numFmtId="0" fontId="0" fillId="0" borderId="0" xfId="0"/>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center" wrapText="1"/>
    </xf>
    <xf numFmtId="1" fontId="0" fillId="0" borderId="0" xfId="0" applyNumberFormat="1" applyAlignment="1">
      <alignment horizontal="left"/>
    </xf>
    <xf numFmtId="0" fontId="0" fillId="2" borderId="0" xfId="0" applyFill="1"/>
    <xf numFmtId="0" fontId="0" fillId="2" borderId="0" xfId="0" applyFill="1" applyAlignment="1">
      <alignment vertical="center" wrapText="1"/>
    </xf>
    <xf numFmtId="0" fontId="0" fillId="4" borderId="0" xfId="0" applyFill="1" applyProtection="1">
      <protection hidden="1"/>
    </xf>
    <xf numFmtId="0" fontId="0" fillId="4" borderId="0" xfId="0" applyFill="1" applyAlignment="1" applyProtection="1">
      <alignment horizontal="left"/>
      <protection hidden="1"/>
    </xf>
    <xf numFmtId="0" fontId="0" fillId="4" borderId="3" xfId="0" applyFill="1" applyBorder="1" applyProtection="1">
      <protection hidden="1"/>
    </xf>
    <xf numFmtId="0" fontId="0" fillId="4" borderId="5" xfId="0" applyFill="1" applyBorder="1" applyProtection="1">
      <protection hidden="1"/>
    </xf>
    <xf numFmtId="0" fontId="0" fillId="3" borderId="0" xfId="0" applyFill="1" applyAlignment="1" applyProtection="1">
      <alignment horizontal="left"/>
      <protection hidden="1"/>
    </xf>
    <xf numFmtId="0" fontId="0" fillId="0" borderId="0" xfId="0" applyAlignment="1" applyProtection="1">
      <alignment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horizontal="left"/>
      <protection hidden="1"/>
    </xf>
    <xf numFmtId="0" fontId="0" fillId="0" borderId="0" xfId="0" applyProtection="1">
      <protection hidden="1"/>
    </xf>
    <xf numFmtId="0" fontId="0" fillId="0" borderId="0" xfId="0" applyFont="1" applyProtection="1">
      <protection hidden="1"/>
    </xf>
    <xf numFmtId="0" fontId="0" fillId="0" borderId="0" xfId="0" applyFont="1" applyAlignment="1" applyProtection="1">
      <alignment horizontal="left"/>
      <protection hidden="1"/>
    </xf>
    <xf numFmtId="0" fontId="1" fillId="0" borderId="0" xfId="0" applyFont="1" applyProtection="1">
      <protection hidden="1"/>
    </xf>
    <xf numFmtId="1" fontId="0" fillId="0" borderId="0" xfId="0" applyNumberFormat="1"/>
    <xf numFmtId="0" fontId="0" fillId="2" borderId="0" xfId="0" applyFill="1" applyAlignment="1">
      <alignment horizontal="left"/>
    </xf>
    <xf numFmtId="0" fontId="0" fillId="2" borderId="0" xfId="0" applyFill="1" applyAlignment="1">
      <alignment horizontal="left" vertical="center" wrapText="1"/>
    </xf>
    <xf numFmtId="0" fontId="4" fillId="4" borderId="0" xfId="0" applyFont="1" applyFill="1" applyAlignment="1" applyProtection="1">
      <alignment horizontal="left" vertical="center"/>
      <protection hidden="1"/>
    </xf>
    <xf numFmtId="0" fontId="1" fillId="4" borderId="0" xfId="0" quotePrefix="1" applyFont="1" applyFill="1" applyProtection="1">
      <protection hidden="1"/>
    </xf>
    <xf numFmtId="0" fontId="5" fillId="4" borderId="0" xfId="0" applyFont="1" applyFill="1" applyProtection="1">
      <protection hidden="1"/>
    </xf>
    <xf numFmtId="0" fontId="6" fillId="4" borderId="0" xfId="1" applyFill="1" applyProtection="1">
      <protection hidden="1"/>
    </xf>
    <xf numFmtId="0" fontId="0" fillId="4" borderId="0" xfId="0" applyFill="1" applyBorder="1" applyAlignment="1" applyProtection="1">
      <alignment horizontal="left"/>
      <protection hidden="1"/>
    </xf>
    <xf numFmtId="0" fontId="0" fillId="4" borderId="4" xfId="0" applyFill="1" applyBorder="1" applyAlignment="1" applyProtection="1">
      <alignment horizontal="left"/>
      <protection hidden="1"/>
    </xf>
    <xf numFmtId="0" fontId="1" fillId="4" borderId="0" xfId="0" applyFont="1" applyFill="1" applyBorder="1" applyAlignment="1" applyProtection="1">
      <alignment horizontal="left"/>
      <protection hidden="1"/>
    </xf>
    <xf numFmtId="0" fontId="0" fillId="4" borderId="2" xfId="0" applyFill="1" applyBorder="1" applyProtection="1">
      <protection hidden="1"/>
    </xf>
    <xf numFmtId="0" fontId="0" fillId="4" borderId="4" xfId="0" applyFill="1" applyBorder="1" applyProtection="1">
      <protection hidden="1"/>
    </xf>
    <xf numFmtId="0" fontId="0" fillId="0" borderId="0" xfId="0" quotePrefix="1"/>
    <xf numFmtId="0" fontId="1" fillId="4" borderId="4" xfId="0" applyFont="1" applyFill="1" applyBorder="1" applyAlignment="1" applyProtection="1">
      <alignment horizontal="left"/>
      <protection hidden="1"/>
    </xf>
    <xf numFmtId="165" fontId="0" fillId="0" borderId="0" xfId="0" applyNumberFormat="1" applyAlignment="1">
      <alignment horizontal="left"/>
    </xf>
    <xf numFmtId="0" fontId="1" fillId="4" borderId="0" xfId="0" applyFont="1" applyFill="1" applyProtection="1">
      <protection hidden="1"/>
    </xf>
    <xf numFmtId="164" fontId="0" fillId="0" borderId="0" xfId="0" applyNumberFormat="1" applyAlignment="1">
      <alignment horizontal="left"/>
    </xf>
    <xf numFmtId="164" fontId="0" fillId="0" borderId="0" xfId="0" applyNumberFormat="1" applyFont="1" applyFill="1" applyAlignment="1" applyProtection="1">
      <alignment horizontal="left"/>
      <protection hidden="1"/>
    </xf>
    <xf numFmtId="164" fontId="0" fillId="0" borderId="0" xfId="0" applyNumberFormat="1" applyFill="1" applyAlignment="1" applyProtection="1">
      <alignment horizontal="left"/>
      <protection hidden="1"/>
    </xf>
    <xf numFmtId="0" fontId="2" fillId="4" borderId="8" xfId="0" applyFont="1" applyFill="1" applyBorder="1" applyProtection="1">
      <protection hidden="1"/>
    </xf>
    <xf numFmtId="0" fontId="0" fillId="4" borderId="9" xfId="0" applyFill="1" applyBorder="1" applyAlignment="1" applyProtection="1">
      <alignment horizontal="left"/>
      <protection hidden="1"/>
    </xf>
    <xf numFmtId="0" fontId="0" fillId="4" borderId="10" xfId="0" applyFill="1" applyBorder="1" applyAlignment="1" applyProtection="1">
      <alignment horizontal="left"/>
      <protection hidden="1"/>
    </xf>
    <xf numFmtId="0" fontId="7" fillId="4" borderId="3" xfId="0" applyFont="1" applyFill="1" applyBorder="1" applyProtection="1">
      <protection hidden="1"/>
    </xf>
    <xf numFmtId="0" fontId="0" fillId="4" borderId="10" xfId="0" applyFill="1" applyBorder="1" applyProtection="1">
      <protection hidden="1"/>
    </xf>
    <xf numFmtId="0" fontId="1" fillId="4" borderId="3" xfId="0" applyFont="1" applyFill="1" applyBorder="1" applyProtection="1">
      <protection hidden="1"/>
    </xf>
    <xf numFmtId="0" fontId="1" fillId="4" borderId="1" xfId="0" applyFont="1" applyFill="1" applyBorder="1" applyProtection="1">
      <protection hidden="1"/>
    </xf>
    <xf numFmtId="1" fontId="3" fillId="4" borderId="7" xfId="0" applyNumberFormat="1" applyFont="1" applyFill="1" applyBorder="1" applyAlignment="1" applyProtection="1">
      <alignment horizontal="right"/>
      <protection hidden="1"/>
    </xf>
    <xf numFmtId="1" fontId="2" fillId="4" borderId="8" xfId="0" applyNumberFormat="1" applyFont="1" applyFill="1" applyBorder="1" applyAlignment="1" applyProtection="1">
      <alignment horizontal="left"/>
      <protection hidden="1"/>
    </xf>
    <xf numFmtId="0" fontId="0" fillId="0" borderId="0" xfId="0" applyAlignment="1">
      <alignment horizontal="left" vertical="center" wrapText="1"/>
    </xf>
    <xf numFmtId="0" fontId="0" fillId="0" borderId="0" xfId="0" applyNumberFormat="1" applyAlignment="1">
      <alignment horizontal="left"/>
    </xf>
    <xf numFmtId="0" fontId="0" fillId="0" borderId="0" xfId="0" applyFill="1" applyAlignment="1">
      <alignment horizontal="left"/>
    </xf>
    <xf numFmtId="0" fontId="0" fillId="0" borderId="0" xfId="0" applyAlignment="1">
      <alignment horizontal="left"/>
    </xf>
    <xf numFmtId="14" fontId="0" fillId="4" borderId="0" xfId="0" applyNumberFormat="1" applyFill="1" applyAlignment="1" applyProtection="1">
      <alignment horizontal="left"/>
      <protection hidden="1"/>
    </xf>
    <xf numFmtId="1" fontId="0" fillId="4" borderId="0" xfId="0" applyNumberFormat="1" applyFill="1" applyProtection="1">
      <protection hidden="1"/>
    </xf>
    <xf numFmtId="0" fontId="0" fillId="4" borderId="7" xfId="0" applyFill="1" applyBorder="1" applyProtection="1">
      <protection hidden="1"/>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xf>
    <xf numFmtId="0" fontId="0" fillId="0" borderId="0" xfId="0" applyAlignment="1">
      <alignment vertical="center"/>
    </xf>
    <xf numFmtId="0" fontId="0" fillId="0" borderId="0" xfId="0" applyAlignment="1">
      <alignment horizontal="left"/>
    </xf>
    <xf numFmtId="1" fontId="0" fillId="4" borderId="4" xfId="0" applyNumberFormat="1" applyFont="1" applyFill="1" applyBorder="1" applyAlignment="1" applyProtection="1">
      <alignment horizontal="left"/>
      <protection hidden="1"/>
    </xf>
    <xf numFmtId="0" fontId="0" fillId="6" borderId="0" xfId="0" applyFill="1" applyProtection="1">
      <protection hidden="1"/>
    </xf>
    <xf numFmtId="0" fontId="0" fillId="6" borderId="0" xfId="0" applyFill="1" applyBorder="1" applyProtection="1">
      <protection hidden="1"/>
    </xf>
    <xf numFmtId="0" fontId="8" fillId="6" borderId="0" xfId="0" applyFont="1" applyFill="1" applyProtection="1">
      <protection hidden="1"/>
    </xf>
    <xf numFmtId="0" fontId="5" fillId="6" borderId="0" xfId="0" applyFont="1" applyFill="1" applyProtection="1">
      <protection hidden="1"/>
    </xf>
    <xf numFmtId="0" fontId="0" fillId="6" borderId="0" xfId="0" applyFill="1" applyAlignment="1" applyProtection="1">
      <alignment horizontal="left"/>
      <protection hidden="1"/>
    </xf>
    <xf numFmtId="0" fontId="0" fillId="6" borderId="0" xfId="0" applyFill="1" applyBorder="1" applyAlignment="1" applyProtection="1">
      <alignment horizontal="left"/>
      <protection hidden="1"/>
    </xf>
    <xf numFmtId="0" fontId="1" fillId="4" borderId="3" xfId="0" applyFont="1" applyFill="1" applyBorder="1" applyAlignment="1" applyProtection="1">
      <alignment horizontal="left"/>
      <protection hidden="1"/>
    </xf>
    <xf numFmtId="0" fontId="1" fillId="4" borderId="5" xfId="0" applyFont="1" applyFill="1" applyBorder="1" applyProtection="1">
      <protection hidden="1"/>
    </xf>
    <xf numFmtId="1" fontId="1" fillId="4" borderId="3" xfId="0" applyNumberFormat="1" applyFont="1" applyFill="1" applyBorder="1" applyAlignment="1" applyProtection="1">
      <alignment horizontal="left"/>
      <protection hidden="1"/>
    </xf>
    <xf numFmtId="0" fontId="9" fillId="4" borderId="0" xfId="0" applyFont="1" applyFill="1" applyAlignment="1" applyProtection="1">
      <alignment horizontal="left" vertical="center"/>
      <protection hidden="1"/>
    </xf>
    <xf numFmtId="0" fontId="0" fillId="5" borderId="0" xfId="0" applyFont="1" applyFill="1" applyBorder="1" applyAlignment="1" applyProtection="1">
      <alignment horizontal="left"/>
      <protection locked="0"/>
    </xf>
    <xf numFmtId="14" fontId="0" fillId="5" borderId="0" xfId="0" applyNumberFormat="1" applyFont="1" applyFill="1" applyBorder="1" applyAlignment="1" applyProtection="1">
      <alignment horizontal="left"/>
      <protection locked="0"/>
    </xf>
    <xf numFmtId="0" fontId="0" fillId="4" borderId="0" xfId="0" applyFont="1" applyFill="1" applyBorder="1" applyAlignment="1" applyProtection="1">
      <alignment horizontal="left"/>
      <protection hidden="1"/>
    </xf>
    <xf numFmtId="0" fontId="0" fillId="4" borderId="4" xfId="0" applyFont="1" applyFill="1" applyBorder="1" applyAlignment="1" applyProtection="1">
      <alignment horizontal="left"/>
      <protection hidden="1"/>
    </xf>
    <xf numFmtId="1" fontId="0" fillId="4" borderId="0" xfId="0" applyNumberFormat="1" applyFont="1" applyFill="1" applyBorder="1" applyAlignment="1" applyProtection="1">
      <alignment horizontal="left"/>
      <protection hidden="1"/>
    </xf>
    <xf numFmtId="1" fontId="1" fillId="4" borderId="4" xfId="0" applyNumberFormat="1" applyFont="1" applyFill="1" applyBorder="1" applyAlignment="1" applyProtection="1">
      <alignment horizontal="left"/>
      <protection hidden="1"/>
    </xf>
    <xf numFmtId="2" fontId="0" fillId="4" borderId="0" xfId="0" applyNumberFormat="1" applyFont="1" applyFill="1" applyBorder="1" applyAlignment="1" applyProtection="1">
      <alignment horizontal="left"/>
      <protection hidden="1"/>
    </xf>
    <xf numFmtId="2" fontId="0" fillId="4" borderId="4" xfId="0" applyNumberFormat="1" applyFont="1" applyFill="1" applyBorder="1" applyAlignment="1" applyProtection="1">
      <alignment horizontal="left"/>
      <protection hidden="1"/>
    </xf>
    <xf numFmtId="1" fontId="0" fillId="4" borderId="6" xfId="0" applyNumberFormat="1" applyFont="1" applyFill="1" applyBorder="1" applyAlignment="1" applyProtection="1">
      <alignment horizontal="left"/>
      <protection hidden="1"/>
    </xf>
    <xf numFmtId="1" fontId="1" fillId="4" borderId="7" xfId="0" applyNumberFormat="1" applyFont="1" applyFill="1" applyBorder="1" applyAlignment="1" applyProtection="1">
      <alignment horizontal="left"/>
      <protection hidden="1"/>
    </xf>
    <xf numFmtId="0" fontId="0" fillId="5" borderId="4" xfId="0" applyFont="1" applyFill="1" applyBorder="1" applyAlignment="1" applyProtection="1">
      <alignment horizontal="left"/>
      <protection locked="0"/>
    </xf>
    <xf numFmtId="14" fontId="0" fillId="5" borderId="4" xfId="0" applyNumberFormat="1" applyFont="1" applyFill="1" applyBorder="1" applyAlignment="1" applyProtection="1">
      <alignment horizontal="left"/>
      <protection locked="0"/>
    </xf>
    <xf numFmtId="1" fontId="0" fillId="4" borderId="7" xfId="0" applyNumberFormat="1" applyFont="1" applyFill="1" applyBorder="1" applyAlignment="1" applyProtection="1">
      <alignment horizontal="left"/>
      <protection hidden="1"/>
    </xf>
    <xf numFmtId="1" fontId="0" fillId="6" borderId="0" xfId="0" applyNumberFormat="1" applyFont="1" applyFill="1" applyBorder="1" applyAlignment="1" applyProtection="1">
      <alignment horizontal="left"/>
      <protection hidden="1"/>
    </xf>
    <xf numFmtId="0" fontId="0" fillId="4" borderId="10" xfId="0" applyFont="1" applyFill="1" applyBorder="1" applyAlignment="1" applyProtection="1">
      <alignment horizontal="left"/>
      <protection hidden="1"/>
    </xf>
    <xf numFmtId="0" fontId="0" fillId="6" borderId="0" xfId="0" applyFont="1" applyFill="1" applyAlignment="1" applyProtection="1">
      <alignment horizontal="left"/>
      <protection hidden="1"/>
    </xf>
    <xf numFmtId="0" fontId="0" fillId="3" borderId="0" xfId="0" applyFont="1" applyFill="1" applyAlignment="1" applyProtection="1">
      <alignment horizontal="left"/>
      <protection hidden="1"/>
    </xf>
    <xf numFmtId="0" fontId="0" fillId="0" borderId="0" xfId="0" applyAlignment="1">
      <alignment horizontal="left"/>
    </xf>
    <xf numFmtId="1" fontId="0" fillId="5" borderId="4" xfId="0" applyNumberFormat="1" applyFont="1" applyFill="1" applyBorder="1" applyAlignment="1" applyProtection="1">
      <alignment horizontal="left"/>
      <protection locked="0"/>
    </xf>
    <xf numFmtId="0" fontId="0" fillId="5" borderId="0" xfId="0" applyFill="1" applyAlignment="1">
      <alignment horizontal="left"/>
    </xf>
    <xf numFmtId="0" fontId="6" fillId="4" borderId="0" xfId="1" applyFill="1" applyProtection="1">
      <protection locked="0" hidden="1"/>
    </xf>
    <xf numFmtId="0" fontId="10" fillId="5" borderId="0" xfId="0" applyFont="1" applyFill="1" applyBorder="1" applyAlignment="1" applyProtection="1">
      <alignment horizontal="left"/>
      <protection locked="0"/>
    </xf>
    <xf numFmtId="0" fontId="2" fillId="4" borderId="5" xfId="0" applyFont="1" applyFill="1" applyBorder="1" applyProtection="1">
      <protection hidden="1"/>
    </xf>
    <xf numFmtId="1" fontId="2" fillId="7" borderId="11" xfId="0" applyNumberFormat="1" applyFont="1" applyFill="1" applyBorder="1" applyAlignment="1" applyProtection="1">
      <alignment horizontal="left"/>
      <protection hidden="1"/>
    </xf>
    <xf numFmtId="0" fontId="0" fillId="4" borderId="0" xfId="0" quotePrefix="1" applyFill="1" applyProtection="1">
      <protection hidden="1"/>
    </xf>
    <xf numFmtId="0" fontId="3" fillId="4" borderId="0" xfId="0" applyFont="1" applyFill="1" applyProtection="1">
      <protection hidden="1"/>
    </xf>
    <xf numFmtId="0" fontId="11" fillId="4" borderId="0" xfId="0" applyFont="1" applyFill="1" applyProtection="1">
      <protection hidden="1"/>
    </xf>
    <xf numFmtId="0" fontId="11" fillId="6" borderId="0" xfId="0" applyFont="1" applyFill="1" applyBorder="1" applyProtection="1">
      <protection hidden="1"/>
    </xf>
    <xf numFmtId="1" fontId="12" fillId="4" borderId="0" xfId="0" applyNumberFormat="1" applyFont="1" applyFill="1" applyProtection="1">
      <protection hidden="1"/>
    </xf>
    <xf numFmtId="0" fontId="12" fillId="4" borderId="0" xfId="0" applyFont="1" applyFill="1" applyProtection="1">
      <protection hidden="1"/>
    </xf>
    <xf numFmtId="0" fontId="0" fillId="4" borderId="0" xfId="0" applyFont="1" applyFill="1" applyProtection="1">
      <protection hidden="1"/>
    </xf>
    <xf numFmtId="0" fontId="0" fillId="0" borderId="0" xfId="0" applyAlignment="1">
      <alignment horizontal="left"/>
    </xf>
    <xf numFmtId="0" fontId="0" fillId="0" borderId="0" xfId="0" quotePrefix="1" applyProtection="1">
      <protection hidden="1"/>
    </xf>
    <xf numFmtId="0" fontId="1" fillId="0" borderId="0" xfId="0" applyFont="1" applyAlignment="1" applyProtection="1">
      <alignment vertical="center" wrapText="1"/>
      <protection hidden="1"/>
    </xf>
    <xf numFmtId="0" fontId="1" fillId="0" borderId="0" xfId="0" applyFont="1" applyAlignment="1" applyProtection="1">
      <alignment horizontal="left" vertical="center" wrapText="1"/>
      <protection hidden="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xf>
    <xf numFmtId="0" fontId="1" fillId="0" borderId="0" xfId="0" applyFont="1"/>
    <xf numFmtId="0" fontId="1" fillId="2" borderId="0" xfId="0" applyFont="1" applyFill="1" applyAlignment="1">
      <alignment horizontal="left"/>
    </xf>
    <xf numFmtId="0" fontId="1" fillId="0" borderId="0" xfId="0" applyFont="1" applyFill="1" applyAlignment="1">
      <alignment horizontal="left"/>
    </xf>
    <xf numFmtId="0" fontId="1" fillId="2" borderId="0" xfId="0"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quotePrefix="1" applyFont="1"/>
    <xf numFmtId="0" fontId="0" fillId="0" borderId="0" xfId="0" applyFont="1"/>
    <xf numFmtId="0" fontId="1" fillId="0" borderId="0" xfId="0" quotePrefix="1" applyFont="1" applyAlignment="1">
      <alignment horizontal="center"/>
    </xf>
    <xf numFmtId="0" fontId="1" fillId="0" borderId="0" xfId="0" quotePrefix="1" applyFont="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E2EFDA"/>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Estimated  soil mineral N supply (from nitrate</a:t>
            </a:r>
            <a:r>
              <a:rPr lang="en-US" sz="1600" b="1" baseline="0"/>
              <a:t> QT)</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'Quick Test Mass Balance Tool'!$O$11:$Q$11</c:f>
              <c:strCache>
                <c:ptCount val="3"/>
                <c:pt idx="0">
                  <c:v>0-15 cm</c:v>
                </c:pt>
                <c:pt idx="1">
                  <c:v>15-30 cm</c:v>
                </c:pt>
                <c:pt idx="2">
                  <c:v>-</c:v>
                </c:pt>
              </c:strCache>
            </c:strRef>
          </c:tx>
          <c:spPr>
            <a:solidFill>
              <a:srgbClr val="92D050">
                <a:alpha val="56000"/>
              </a:srgbClr>
            </a:solidFill>
            <a:ln>
              <a:solidFill>
                <a:schemeClr val="accent1"/>
              </a:solidFill>
            </a:ln>
            <a:effectLst/>
          </c:spPr>
          <c:invertIfNegative val="0"/>
          <c:cat>
            <c:strRef>
              <c:f>'Mineral N graphing'!$A$1:$D$1</c:f>
              <c:strCache>
                <c:ptCount val="4"/>
                <c:pt idx="0">
                  <c:v>0-15 cm</c:v>
                </c:pt>
                <c:pt idx="1">
                  <c:v>15-30 cm</c:v>
                </c:pt>
                <c:pt idx="2">
                  <c:v>-</c:v>
                </c:pt>
                <c:pt idx="3">
                  <c:v>Total</c:v>
                </c:pt>
              </c:strCache>
            </c:strRef>
          </c:cat>
          <c:val>
            <c:numRef>
              <c:f>'Mineral N graphing'!$A$2:$D$2</c:f>
              <c:numCache>
                <c:formatCode>0</c:formatCode>
                <c:ptCount val="4"/>
                <c:pt idx="0">
                  <c:v>56.670460028605966</c:v>
                </c:pt>
                <c:pt idx="1">
                  <c:v>22.893237181519005</c:v>
                </c:pt>
                <c:pt idx="2">
                  <c:v>0</c:v>
                </c:pt>
                <c:pt idx="3" formatCode="General">
                  <c:v>0</c:v>
                </c:pt>
              </c:numCache>
            </c:numRef>
          </c:val>
        </c:ser>
        <c:ser>
          <c:idx val="1"/>
          <c:order val="1"/>
          <c:tx>
            <c:strRef>
              <c:f>'Quick Test Mass Balance Tool'!$R$11</c:f>
              <c:strCache>
                <c:ptCount val="1"/>
                <c:pt idx="0">
                  <c:v>Total</c:v>
                </c:pt>
              </c:strCache>
            </c:strRef>
          </c:tx>
          <c:spPr>
            <a:solidFill>
              <a:srgbClr val="00B050">
                <a:alpha val="73000"/>
              </a:srgbClr>
            </a:solidFill>
            <a:ln>
              <a:solidFill>
                <a:schemeClr val="accent1"/>
              </a:solidFill>
            </a:ln>
            <a:effectLst/>
          </c:spPr>
          <c:invertIfNegative val="0"/>
          <c:cat>
            <c:strRef>
              <c:f>'Mineral N graphing'!$A$1:$D$1</c:f>
              <c:strCache>
                <c:ptCount val="4"/>
                <c:pt idx="0">
                  <c:v>0-15 cm</c:v>
                </c:pt>
                <c:pt idx="1">
                  <c:v>15-30 cm</c:v>
                </c:pt>
                <c:pt idx="2">
                  <c:v>-</c:v>
                </c:pt>
                <c:pt idx="3">
                  <c:v>Total</c:v>
                </c:pt>
              </c:strCache>
            </c:strRef>
          </c:cat>
          <c:val>
            <c:numRef>
              <c:f>'Mineral N graphing'!$A$3:$D$3</c:f>
              <c:numCache>
                <c:formatCode>General</c:formatCode>
                <c:ptCount val="4"/>
                <c:pt idx="0">
                  <c:v>0</c:v>
                </c:pt>
                <c:pt idx="1">
                  <c:v>0</c:v>
                </c:pt>
                <c:pt idx="2">
                  <c:v>0</c:v>
                </c:pt>
                <c:pt idx="3" formatCode="0">
                  <c:v>79.563697210124971</c:v>
                </c:pt>
              </c:numCache>
            </c:numRef>
          </c:val>
        </c:ser>
        <c:dLbls>
          <c:showLegendKey val="0"/>
          <c:showVal val="0"/>
          <c:showCatName val="0"/>
          <c:showSerName val="0"/>
          <c:showPercent val="0"/>
          <c:showBubbleSize val="0"/>
        </c:dLbls>
        <c:gapWidth val="222"/>
        <c:overlap val="100"/>
        <c:axId val="422634968"/>
        <c:axId val="422627520"/>
      </c:barChart>
      <c:catAx>
        <c:axId val="42263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627520"/>
        <c:crosses val="autoZero"/>
        <c:auto val="1"/>
        <c:lblAlgn val="ctr"/>
        <c:lblOffset val="100"/>
        <c:noMultiLvlLbl val="0"/>
      </c:catAx>
      <c:valAx>
        <c:axId val="42262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sz="1200" b="1"/>
                  <a:t>Soil mineral N supply (kg/ha)</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34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NZ" sz="1600" b="1" i="0" baseline="0">
                <a:effectLst/>
              </a:rPr>
              <a:t>Estimated whole crop  N uptake</a:t>
            </a:r>
            <a:endParaRPr lang="en-NZ"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'Crop N Graphing'!$F$2</c:f>
              <c:strCache>
                <c:ptCount val="1"/>
                <c:pt idx="0">
                  <c:v>Predicted N Uptake</c:v>
                </c:pt>
              </c:strCache>
            </c:strRef>
          </c:tx>
          <c:spPr>
            <a:ln w="22225" cap="rnd">
              <a:solidFill>
                <a:schemeClr val="accent1"/>
              </a:solidFill>
              <a:round/>
            </a:ln>
            <a:effectLst/>
          </c:spPr>
          <c:marker>
            <c:symbol val="none"/>
          </c:marker>
          <c:xVal>
            <c:strRef>
              <c:f>'Crop N Graphing'!$I$3:$I$283</c:f>
              <c:strCach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xVal>
          <c:yVal>
            <c:numRef>
              <c:f>'Crop N Graphing'!$J$3:$J$283</c:f>
              <c:numCache>
                <c:formatCode>General</c:formatCode>
                <c:ptCount val="281"/>
                <c:pt idx="0">
                  <c:v>0</c:v>
                </c:pt>
                <c:pt idx="1">
                  <c:v>0.14956945187549175</c:v>
                </c:pt>
                <c:pt idx="2">
                  <c:v>0.39853501014344794</c:v>
                </c:pt>
                <c:pt idx="3">
                  <c:v>0.69349396415628495</c:v>
                </c:pt>
                <c:pt idx="4">
                  <c:v>1.0427596668930939</c:v>
                </c:pt>
                <c:pt idx="5">
                  <c:v>1.4560739204019533</c:v>
                </c:pt>
                <c:pt idx="6">
                  <c:v>1.9448224129861122</c:v>
                </c:pt>
                <c:pt idx="7">
                  <c:v>2.5222703292899449</c:v>
                </c:pt>
                <c:pt idx="8">
                  <c:v>3.2038145534952487</c:v>
                </c:pt>
                <c:pt idx="9">
                  <c:v>4.0072458021928661</c:v>
                </c:pt>
                <c:pt idx="10">
                  <c:v>4.9530097420207007</c:v>
                </c:pt>
                <c:pt idx="11">
                  <c:v>6.0644503978062918</c:v>
                </c:pt>
                <c:pt idx="12">
                  <c:v>7.3680117044061912</c:v>
                </c:pt>
                <c:pt idx="13">
                  <c:v>8.8933637803392038</c:v>
                </c:pt>
                <c:pt idx="14">
                  <c:v>10.673409531382415</c:v>
                </c:pt>
                <c:pt idx="15">
                  <c:v>12.744115095431267</c:v>
                </c:pt>
                <c:pt idx="16">
                  <c:v>15.144095681330738</c:v>
                </c:pt>
                <c:pt idx="17">
                  <c:v>17.913878795359796</c:v>
                </c:pt>
                <c:pt idx="18">
                  <c:v>21.094763218907005</c:v>
                </c:pt>
                <c:pt idx="19">
                  <c:v>24.727199302385991</c:v>
                </c:pt>
                <c:pt idx="20">
                  <c:v>28.848640161134242</c:v>
                </c:pt>
                <c:pt idx="21">
                  <c:v>33.490860290023143</c:v>
                </c:pt>
                <c:pt idx="22">
                  <c:v>38.676812197448911</c:v>
                </c:pt>
                <c:pt idx="23">
                  <c:v>44.417192310311364</c:v>
                </c:pt>
                <c:pt idx="24">
                  <c:v>50.707005665189563</c:v>
                </c:pt>
                <c:pt idx="25">
                  <c:v>57.522534642431502</c:v>
                </c:pt>
                <c:pt idx="26">
                  <c:v>64.819198931201598</c:v>
                </c:pt>
                <c:pt idx="27">
                  <c:v>72.530804749146526</c:v>
                </c:pt>
                <c:pt idx="28">
                  <c:v>80.570589080822131</c:v>
                </c:pt>
                <c:pt idx="29">
                  <c:v>88.834257930510674</c:v>
                </c:pt>
                <c:pt idx="30">
                  <c:v>97.20491874015427</c:v>
                </c:pt>
                <c:pt idx="31">
                  <c:v>105.55947546352951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numCache>
            </c:numRef>
          </c:yVal>
          <c:smooth val="0"/>
        </c:ser>
        <c:ser>
          <c:idx val="1"/>
          <c:order val="1"/>
          <c:tx>
            <c:strRef>
              <c:f>'Crop N Graphing'!$K$2</c:f>
              <c:strCache>
                <c:ptCount val="1"/>
                <c:pt idx="0">
                  <c:v>Sampling date</c:v>
                </c:pt>
              </c:strCache>
            </c:strRef>
          </c:tx>
          <c:spPr>
            <a:ln w="25400" cap="rnd">
              <a:noFill/>
              <a:round/>
            </a:ln>
            <a:effectLst/>
          </c:spPr>
          <c:marker>
            <c:symbol val="circle"/>
            <c:size val="5"/>
            <c:spPr>
              <a:solidFill>
                <a:schemeClr val="accent2"/>
              </a:solidFill>
              <a:ln w="9525">
                <a:solidFill>
                  <a:schemeClr val="accent2"/>
                </a:solidFill>
              </a:ln>
              <a:effectLst/>
            </c:spPr>
          </c:marker>
          <c:xVal>
            <c:strRef>
              <c:f>'Crop N Graphing'!$I$3:$I$283</c:f>
              <c:strCach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xVal>
          <c:yVal>
            <c:numRef>
              <c:f>'Crop N Graphing'!$K$3:$K$283</c:f>
              <c:numCache>
                <c:formatCode>General</c:formatCode>
                <c:ptCount val="28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97.20491874015427</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numCache>
            </c:numRef>
          </c:yVal>
          <c:smooth val="0"/>
        </c:ser>
        <c:ser>
          <c:idx val="2"/>
          <c:order val="2"/>
          <c:tx>
            <c:strRef>
              <c:f>'Crop N Graphing'!$L$2</c:f>
              <c:strCache>
                <c:ptCount val="1"/>
                <c:pt idx="0">
                  <c:v>Next sampling date</c:v>
                </c:pt>
              </c:strCache>
            </c:strRef>
          </c:tx>
          <c:spPr>
            <a:ln w="25400" cap="rnd">
              <a:noFill/>
              <a:round/>
            </a:ln>
            <a:effectLst/>
          </c:spPr>
          <c:marker>
            <c:symbol val="x"/>
            <c:size val="8"/>
            <c:spPr>
              <a:noFill/>
              <a:ln w="9525">
                <a:solidFill>
                  <a:schemeClr val="tx1"/>
                </a:solidFill>
              </a:ln>
              <a:effectLst/>
            </c:spPr>
          </c:marker>
          <c:xVal>
            <c:strRef>
              <c:f>'Crop N Graphing'!$I$3:$I$283</c:f>
              <c:strCache>
                <c:ptCount val="3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xVal>
          <c:yVal>
            <c:numRef>
              <c:f>'Crop N Graphing'!$L$3:$L$283</c:f>
              <c:numCache>
                <c:formatCode>General</c:formatCode>
                <c:ptCount val="28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24.727199302385991</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pt idx="88">
                  <c:v>-50</c:v>
                </c:pt>
                <c:pt idx="89">
                  <c:v>-50</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-50</c:v>
                </c:pt>
                <c:pt idx="106">
                  <c:v>-50</c:v>
                </c:pt>
                <c:pt idx="107">
                  <c:v>-50</c:v>
                </c:pt>
                <c:pt idx="108">
                  <c:v>-50</c:v>
                </c:pt>
                <c:pt idx="109">
                  <c:v>-50</c:v>
                </c:pt>
                <c:pt idx="110">
                  <c:v>-50</c:v>
                </c:pt>
                <c:pt idx="111">
                  <c:v>-50</c:v>
                </c:pt>
                <c:pt idx="112">
                  <c:v>-50</c:v>
                </c:pt>
                <c:pt idx="113">
                  <c:v>-50</c:v>
                </c:pt>
                <c:pt idx="114">
                  <c:v>-50</c:v>
                </c:pt>
                <c:pt idx="115">
                  <c:v>-50</c:v>
                </c:pt>
                <c:pt idx="116">
                  <c:v>-50</c:v>
                </c:pt>
                <c:pt idx="117">
                  <c:v>-50</c:v>
                </c:pt>
                <c:pt idx="118">
                  <c:v>-50</c:v>
                </c:pt>
                <c:pt idx="119">
                  <c:v>-50</c:v>
                </c:pt>
                <c:pt idx="120">
                  <c:v>-50</c:v>
                </c:pt>
                <c:pt idx="121">
                  <c:v>-50</c:v>
                </c:pt>
                <c:pt idx="122">
                  <c:v>-50</c:v>
                </c:pt>
                <c:pt idx="123">
                  <c:v>-50</c:v>
                </c:pt>
                <c:pt idx="124">
                  <c:v>-50</c:v>
                </c:pt>
                <c:pt idx="125">
                  <c:v>-50</c:v>
                </c:pt>
                <c:pt idx="126">
                  <c:v>-50</c:v>
                </c:pt>
                <c:pt idx="127">
                  <c:v>-50</c:v>
                </c:pt>
                <c:pt idx="128">
                  <c:v>-50</c:v>
                </c:pt>
                <c:pt idx="129">
                  <c:v>-50</c:v>
                </c:pt>
                <c:pt idx="130">
                  <c:v>-50</c:v>
                </c:pt>
                <c:pt idx="131">
                  <c:v>-50</c:v>
                </c:pt>
                <c:pt idx="132">
                  <c:v>-50</c:v>
                </c:pt>
                <c:pt idx="133">
                  <c:v>-50</c:v>
                </c:pt>
                <c:pt idx="134">
                  <c:v>-50</c:v>
                </c:pt>
                <c:pt idx="135">
                  <c:v>-50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-50</c:v>
                </c:pt>
                <c:pt idx="160">
                  <c:v>-50</c:v>
                </c:pt>
                <c:pt idx="161">
                  <c:v>-50</c:v>
                </c:pt>
                <c:pt idx="162">
                  <c:v>-50</c:v>
                </c:pt>
                <c:pt idx="163">
                  <c:v>-50</c:v>
                </c:pt>
                <c:pt idx="164">
                  <c:v>-50</c:v>
                </c:pt>
                <c:pt idx="165">
                  <c:v>-50</c:v>
                </c:pt>
                <c:pt idx="166">
                  <c:v>-50</c:v>
                </c:pt>
                <c:pt idx="167">
                  <c:v>-50</c:v>
                </c:pt>
                <c:pt idx="168">
                  <c:v>-50</c:v>
                </c:pt>
                <c:pt idx="169">
                  <c:v>-50</c:v>
                </c:pt>
                <c:pt idx="170">
                  <c:v>-50</c:v>
                </c:pt>
                <c:pt idx="171">
                  <c:v>-50</c:v>
                </c:pt>
                <c:pt idx="172">
                  <c:v>-50</c:v>
                </c:pt>
                <c:pt idx="173">
                  <c:v>-50</c:v>
                </c:pt>
                <c:pt idx="174">
                  <c:v>-50</c:v>
                </c:pt>
                <c:pt idx="175">
                  <c:v>-50</c:v>
                </c:pt>
                <c:pt idx="176">
                  <c:v>-50</c:v>
                </c:pt>
                <c:pt idx="177">
                  <c:v>-50</c:v>
                </c:pt>
                <c:pt idx="178">
                  <c:v>-50</c:v>
                </c:pt>
                <c:pt idx="179">
                  <c:v>-50</c:v>
                </c:pt>
                <c:pt idx="180">
                  <c:v>-50</c:v>
                </c:pt>
                <c:pt idx="181">
                  <c:v>-50</c:v>
                </c:pt>
                <c:pt idx="182">
                  <c:v>-50</c:v>
                </c:pt>
                <c:pt idx="183">
                  <c:v>-50</c:v>
                </c:pt>
                <c:pt idx="184">
                  <c:v>-50</c:v>
                </c:pt>
                <c:pt idx="185">
                  <c:v>-50</c:v>
                </c:pt>
                <c:pt idx="186">
                  <c:v>-50</c:v>
                </c:pt>
                <c:pt idx="187">
                  <c:v>-50</c:v>
                </c:pt>
                <c:pt idx="188">
                  <c:v>-50</c:v>
                </c:pt>
                <c:pt idx="189">
                  <c:v>-50</c:v>
                </c:pt>
                <c:pt idx="190">
                  <c:v>-50</c:v>
                </c:pt>
                <c:pt idx="191">
                  <c:v>-50</c:v>
                </c:pt>
                <c:pt idx="192">
                  <c:v>-50</c:v>
                </c:pt>
                <c:pt idx="193">
                  <c:v>-50</c:v>
                </c:pt>
                <c:pt idx="194">
                  <c:v>-50</c:v>
                </c:pt>
                <c:pt idx="195">
                  <c:v>-50</c:v>
                </c:pt>
                <c:pt idx="196">
                  <c:v>-50</c:v>
                </c:pt>
                <c:pt idx="197">
                  <c:v>-50</c:v>
                </c:pt>
                <c:pt idx="198">
                  <c:v>-50</c:v>
                </c:pt>
                <c:pt idx="199">
                  <c:v>-50</c:v>
                </c:pt>
                <c:pt idx="200">
                  <c:v>-50</c:v>
                </c:pt>
                <c:pt idx="201">
                  <c:v>-50</c:v>
                </c:pt>
                <c:pt idx="202">
                  <c:v>-50</c:v>
                </c:pt>
                <c:pt idx="203">
                  <c:v>-50</c:v>
                </c:pt>
                <c:pt idx="204">
                  <c:v>-50</c:v>
                </c:pt>
                <c:pt idx="205">
                  <c:v>-50</c:v>
                </c:pt>
                <c:pt idx="206">
                  <c:v>-50</c:v>
                </c:pt>
                <c:pt idx="207">
                  <c:v>-50</c:v>
                </c:pt>
                <c:pt idx="208">
                  <c:v>-50</c:v>
                </c:pt>
                <c:pt idx="209">
                  <c:v>-50</c:v>
                </c:pt>
                <c:pt idx="210">
                  <c:v>-50</c:v>
                </c:pt>
                <c:pt idx="211">
                  <c:v>-50</c:v>
                </c:pt>
                <c:pt idx="212">
                  <c:v>-50</c:v>
                </c:pt>
                <c:pt idx="213">
                  <c:v>-50</c:v>
                </c:pt>
                <c:pt idx="214">
                  <c:v>-50</c:v>
                </c:pt>
                <c:pt idx="215">
                  <c:v>-50</c:v>
                </c:pt>
                <c:pt idx="216">
                  <c:v>-50</c:v>
                </c:pt>
                <c:pt idx="217">
                  <c:v>-50</c:v>
                </c:pt>
                <c:pt idx="218">
                  <c:v>-50</c:v>
                </c:pt>
                <c:pt idx="219">
                  <c:v>-50</c:v>
                </c:pt>
                <c:pt idx="220">
                  <c:v>-50</c:v>
                </c:pt>
                <c:pt idx="221">
                  <c:v>-50</c:v>
                </c:pt>
                <c:pt idx="222">
                  <c:v>-50</c:v>
                </c:pt>
                <c:pt idx="223">
                  <c:v>-50</c:v>
                </c:pt>
                <c:pt idx="224">
                  <c:v>-50</c:v>
                </c:pt>
                <c:pt idx="225">
                  <c:v>-50</c:v>
                </c:pt>
                <c:pt idx="226">
                  <c:v>-50</c:v>
                </c:pt>
                <c:pt idx="227">
                  <c:v>-50</c:v>
                </c:pt>
                <c:pt idx="228">
                  <c:v>-50</c:v>
                </c:pt>
                <c:pt idx="229">
                  <c:v>-50</c:v>
                </c:pt>
                <c:pt idx="230">
                  <c:v>-50</c:v>
                </c:pt>
                <c:pt idx="231">
                  <c:v>-50</c:v>
                </c:pt>
                <c:pt idx="232">
                  <c:v>-50</c:v>
                </c:pt>
                <c:pt idx="233">
                  <c:v>-50</c:v>
                </c:pt>
                <c:pt idx="234">
                  <c:v>-50</c:v>
                </c:pt>
                <c:pt idx="235">
                  <c:v>-50</c:v>
                </c:pt>
                <c:pt idx="236">
                  <c:v>-50</c:v>
                </c:pt>
                <c:pt idx="237">
                  <c:v>-50</c:v>
                </c:pt>
                <c:pt idx="238">
                  <c:v>-50</c:v>
                </c:pt>
                <c:pt idx="239">
                  <c:v>-50</c:v>
                </c:pt>
                <c:pt idx="240">
                  <c:v>-50</c:v>
                </c:pt>
                <c:pt idx="241">
                  <c:v>-50</c:v>
                </c:pt>
                <c:pt idx="242">
                  <c:v>-50</c:v>
                </c:pt>
                <c:pt idx="243">
                  <c:v>-50</c:v>
                </c:pt>
                <c:pt idx="244">
                  <c:v>-50</c:v>
                </c:pt>
                <c:pt idx="245">
                  <c:v>-50</c:v>
                </c:pt>
                <c:pt idx="246">
                  <c:v>-50</c:v>
                </c:pt>
                <c:pt idx="247">
                  <c:v>-50</c:v>
                </c:pt>
                <c:pt idx="248">
                  <c:v>-50</c:v>
                </c:pt>
                <c:pt idx="249">
                  <c:v>-50</c:v>
                </c:pt>
                <c:pt idx="250">
                  <c:v>-50</c:v>
                </c:pt>
                <c:pt idx="251">
                  <c:v>-50</c:v>
                </c:pt>
                <c:pt idx="252">
                  <c:v>-50</c:v>
                </c:pt>
                <c:pt idx="253">
                  <c:v>-50</c:v>
                </c:pt>
                <c:pt idx="254">
                  <c:v>-50</c:v>
                </c:pt>
                <c:pt idx="255">
                  <c:v>-50</c:v>
                </c:pt>
                <c:pt idx="256">
                  <c:v>-50</c:v>
                </c:pt>
                <c:pt idx="257">
                  <c:v>-50</c:v>
                </c:pt>
                <c:pt idx="258">
                  <c:v>-50</c:v>
                </c:pt>
                <c:pt idx="259">
                  <c:v>-50</c:v>
                </c:pt>
                <c:pt idx="260">
                  <c:v>-50</c:v>
                </c:pt>
                <c:pt idx="261">
                  <c:v>-50</c:v>
                </c:pt>
                <c:pt idx="262">
                  <c:v>-50</c:v>
                </c:pt>
                <c:pt idx="263">
                  <c:v>-50</c:v>
                </c:pt>
                <c:pt idx="264">
                  <c:v>-50</c:v>
                </c:pt>
                <c:pt idx="265">
                  <c:v>-50</c:v>
                </c:pt>
                <c:pt idx="266">
                  <c:v>-50</c:v>
                </c:pt>
                <c:pt idx="267">
                  <c:v>-50</c:v>
                </c:pt>
                <c:pt idx="268">
                  <c:v>-50</c:v>
                </c:pt>
                <c:pt idx="269">
                  <c:v>-50</c:v>
                </c:pt>
                <c:pt idx="270">
                  <c:v>-50</c:v>
                </c:pt>
                <c:pt idx="271">
                  <c:v>-50</c:v>
                </c:pt>
                <c:pt idx="272">
                  <c:v>-50</c:v>
                </c:pt>
                <c:pt idx="273">
                  <c:v>-50</c:v>
                </c:pt>
                <c:pt idx="274">
                  <c:v>-50</c:v>
                </c:pt>
                <c:pt idx="275">
                  <c:v>-50</c:v>
                </c:pt>
                <c:pt idx="276">
                  <c:v>-50</c:v>
                </c:pt>
                <c:pt idx="277">
                  <c:v>-50</c:v>
                </c:pt>
                <c:pt idx="278">
                  <c:v>-50</c:v>
                </c:pt>
                <c:pt idx="279">
                  <c:v>-50</c:v>
                </c:pt>
                <c:pt idx="280">
                  <c:v>-50</c:v>
                </c:pt>
              </c:numCache>
            </c:numRef>
          </c:yVal>
          <c:smooth val="0"/>
        </c:ser>
        <c:dLbls>
          <c:showLegendKey val="0"/>
          <c:showVal val="0"/>
          <c:showCatName val="0"/>
          <c:showSerName val="0"/>
          <c:showPercent val="0"/>
          <c:showBubbleSize val="0"/>
        </c:dLbls>
        <c:axId val="422636928"/>
        <c:axId val="422637320"/>
      </c:scatterChart>
      <c:valAx>
        <c:axId val="422636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t>Days</a:t>
                </a:r>
                <a:r>
                  <a:rPr lang="en-NZ" b="1" baseline="0"/>
                  <a:t> after planting</a:t>
                </a:r>
                <a:endParaRPr lang="en-NZ"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37320"/>
        <c:crosses val="autoZero"/>
        <c:crossBetween val="midCat"/>
      </c:valAx>
      <c:valAx>
        <c:axId val="4226373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sz="1200" b="1"/>
                  <a:t>Whole crop N uptake (kg/ha)</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369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jpeg"/><Relationship Id="rId7" Type="http://schemas.openxmlformats.org/officeDocument/2006/relationships/image" Target="../media/image7.wmf"/><Relationship Id="rId2" Type="http://schemas.openxmlformats.org/officeDocument/2006/relationships/image" Target="../media/image2.wmf"/><Relationship Id="rId1" Type="http://schemas.openxmlformats.org/officeDocument/2006/relationships/image" Target="../media/image1.wmf"/><Relationship Id="rId6" Type="http://schemas.openxmlformats.org/officeDocument/2006/relationships/image" Target="../media/image6.wmf"/><Relationship Id="rId5" Type="http://schemas.openxmlformats.org/officeDocument/2006/relationships/image" Target="../media/image5.wmf"/><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0</xdr:colOff>
      <xdr:row>27</xdr:row>
      <xdr:rowOff>33058</xdr:rowOff>
    </xdr:from>
    <xdr:to>
      <xdr:col>18</xdr:col>
      <xdr:colOff>0</xdr:colOff>
      <xdr:row>43</xdr:row>
      <xdr:rowOff>168089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380999</xdr:colOff>
      <xdr:row>27</xdr:row>
      <xdr:rowOff>33617</xdr:rowOff>
    </xdr:from>
    <xdr:to>
      <xdr:col>11</xdr:col>
      <xdr:colOff>1</xdr:colOff>
      <xdr:row>43</xdr:row>
      <xdr:rowOff>168088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10</xdr:row>
      <xdr:rowOff>76200</xdr:rowOff>
    </xdr:from>
    <xdr:to>
      <xdr:col>10</xdr:col>
      <xdr:colOff>485775</xdr:colOff>
      <xdr:row>26</xdr:row>
      <xdr:rowOff>0</xdr:rowOff>
    </xdr:to>
    <xdr:sp macro="" textlink="">
      <xdr:nvSpPr>
        <xdr:cNvPr id="4" name="Text Box 2"/>
        <xdr:cNvSpPr txBox="1">
          <a:spLocks noChangeArrowheads="1"/>
        </xdr:cNvSpPr>
      </xdr:nvSpPr>
      <xdr:spPr bwMode="auto">
        <a:xfrm>
          <a:off x="171450" y="1409700"/>
          <a:ext cx="6410325" cy="2971800"/>
        </a:xfrm>
        <a:prstGeom prst="rect">
          <a:avLst/>
        </a:prstGeom>
        <a:solidFill>
          <a:srgbClr val="FFFFFF"/>
        </a:solidFill>
        <a:ln w="28575">
          <a:solidFill>
            <a:srgbClr val="4472C4">
              <a:lumMod val="75000"/>
            </a:srgbClr>
          </a:solidFill>
          <a:miter lim="800000"/>
          <a:headEnd/>
          <a:tailEnd/>
        </a:ln>
      </xdr:spPr>
      <xdr:txBody>
        <a:bodyPr rot="0" vert="horz" wrap="square" lIns="91440" tIns="45720" rIns="91440" bIns="45720" anchor="t" anchorCtr="0">
          <a:noAutofit/>
        </a:bodyPr>
        <a:lstStyle/>
        <a:p>
          <a:pPr>
            <a:lnSpc>
              <a:spcPct val="107000"/>
            </a:lnSpc>
            <a:spcAft>
              <a:spcPts val="800"/>
            </a:spcAft>
          </a:pP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endParaRPr lang="en-NZ"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r>
            <a:rPr lang="en-NZ" sz="1100">
              <a:ln w="19050" cap="rnd" cmpd="sng" algn="ctr">
                <a:solidFill>
                  <a:srgbClr val="000000"/>
                </a:solidFill>
                <a:prstDash val="solid"/>
                <a:bevel/>
              </a:ln>
              <a:effectLst/>
              <a:latin typeface="Calibri" panose="020F0502020204030204" pitchFamily="34" charset="0"/>
              <a:ea typeface="Calibri" panose="020F0502020204030204" pitchFamily="34" charset="0"/>
              <a:cs typeface="Times New Roman" panose="02020603050405020304" pitchFamily="18" charset="0"/>
            </a:rPr>
            <a:t>	</a:t>
          </a:r>
          <a:r>
            <a:rPr lang="en-NZ"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twoCellAnchor>
  <xdr:twoCellAnchor editAs="oneCell">
    <xdr:from>
      <xdr:col>0</xdr:col>
      <xdr:colOff>419100</xdr:colOff>
      <xdr:row>11</xdr:row>
      <xdr:rowOff>19050</xdr:rowOff>
    </xdr:from>
    <xdr:to>
      <xdr:col>4</xdr:col>
      <xdr:colOff>552450</xdr:colOff>
      <xdr:row>15</xdr:row>
      <xdr:rowOff>71120</xdr:rowOff>
    </xdr:to>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543050"/>
          <a:ext cx="2571750" cy="814070"/>
        </a:xfrm>
        <a:prstGeom prst="rect">
          <a:avLst/>
        </a:prstGeom>
        <a:noFill/>
        <a:ln>
          <a:noFill/>
        </a:ln>
      </xdr:spPr>
    </xdr:pic>
    <xdr:clientData/>
  </xdr:twoCellAnchor>
  <xdr:twoCellAnchor editAs="oneCell">
    <xdr:from>
      <xdr:col>0</xdr:col>
      <xdr:colOff>400050</xdr:colOff>
      <xdr:row>16</xdr:row>
      <xdr:rowOff>38100</xdr:rowOff>
    </xdr:from>
    <xdr:to>
      <xdr:col>3</xdr:col>
      <xdr:colOff>95250</xdr:colOff>
      <xdr:row>20</xdr:row>
      <xdr:rowOff>0</xdr:rowOff>
    </xdr:to>
    <xdr:pic>
      <xdr:nvPicPr>
        <xdr:cNvPr id="7" name="Picture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 y="2514600"/>
          <a:ext cx="1524000" cy="723900"/>
        </a:xfrm>
        <a:prstGeom prst="rect">
          <a:avLst/>
        </a:prstGeom>
        <a:noFill/>
        <a:ln>
          <a:noFill/>
        </a:ln>
      </xdr:spPr>
    </xdr:pic>
    <xdr:clientData/>
  </xdr:twoCellAnchor>
  <xdr:twoCellAnchor editAs="oneCell">
    <xdr:from>
      <xdr:col>4</xdr:col>
      <xdr:colOff>342900</xdr:colOff>
      <xdr:row>16</xdr:row>
      <xdr:rowOff>57150</xdr:rowOff>
    </xdr:from>
    <xdr:to>
      <xdr:col>6</xdr:col>
      <xdr:colOff>415925</xdr:colOff>
      <xdr:row>21</xdr:row>
      <xdr:rowOff>158750</xdr:rowOff>
    </xdr:to>
    <xdr:pic>
      <xdr:nvPicPr>
        <xdr:cNvPr id="8" name="Picture 7"/>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81300" y="2533650"/>
          <a:ext cx="1292225" cy="1054100"/>
        </a:xfrm>
        <a:prstGeom prst="rect">
          <a:avLst/>
        </a:prstGeom>
      </xdr:spPr>
    </xdr:pic>
    <xdr:clientData/>
  </xdr:twoCellAnchor>
  <xdr:twoCellAnchor editAs="oneCell">
    <xdr:from>
      <xdr:col>7</xdr:col>
      <xdr:colOff>342900</xdr:colOff>
      <xdr:row>17</xdr:row>
      <xdr:rowOff>76200</xdr:rowOff>
    </xdr:from>
    <xdr:to>
      <xdr:col>9</xdr:col>
      <xdr:colOff>552450</xdr:colOff>
      <xdr:row>21</xdr:row>
      <xdr:rowOff>96520</xdr:rowOff>
    </xdr:to>
    <xdr:pic>
      <xdr:nvPicPr>
        <xdr:cNvPr id="9" name="Picture 8"/>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10100" y="2743200"/>
          <a:ext cx="1428750" cy="782320"/>
        </a:xfrm>
        <a:prstGeom prst="rect">
          <a:avLst/>
        </a:prstGeom>
      </xdr:spPr>
    </xdr:pic>
    <xdr:clientData/>
  </xdr:twoCellAnchor>
  <xdr:twoCellAnchor editAs="oneCell">
    <xdr:from>
      <xdr:col>0</xdr:col>
      <xdr:colOff>419100</xdr:colOff>
      <xdr:row>20</xdr:row>
      <xdr:rowOff>171450</xdr:rowOff>
    </xdr:from>
    <xdr:to>
      <xdr:col>2</xdr:col>
      <xdr:colOff>541020</xdr:colOff>
      <xdr:row>24</xdr:row>
      <xdr:rowOff>19685</xdr:rowOff>
    </xdr:to>
    <xdr:pic>
      <xdr:nvPicPr>
        <xdr:cNvPr id="10" name="Picture 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9100" y="3409950"/>
          <a:ext cx="1341120" cy="610235"/>
        </a:xfrm>
        <a:prstGeom prst="rect">
          <a:avLst/>
        </a:prstGeom>
        <a:noFill/>
        <a:ln>
          <a:noFill/>
        </a:ln>
      </xdr:spPr>
    </xdr:pic>
    <xdr:clientData/>
  </xdr:twoCellAnchor>
  <xdr:twoCellAnchor editAs="oneCell">
    <xdr:from>
      <xdr:col>3</xdr:col>
      <xdr:colOff>247650</xdr:colOff>
      <xdr:row>22</xdr:row>
      <xdr:rowOff>38100</xdr:rowOff>
    </xdr:from>
    <xdr:to>
      <xdr:col>4</xdr:col>
      <xdr:colOff>579755</xdr:colOff>
      <xdr:row>25</xdr:row>
      <xdr:rowOff>89535</xdr:rowOff>
    </xdr:to>
    <xdr:pic>
      <xdr:nvPicPr>
        <xdr:cNvPr id="11" name="Picture 10"/>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76450" y="3657600"/>
          <a:ext cx="941705" cy="622935"/>
        </a:xfrm>
        <a:prstGeom prst="rect">
          <a:avLst/>
        </a:prstGeom>
        <a:noFill/>
        <a:ln>
          <a:noFill/>
        </a:ln>
      </xdr:spPr>
    </xdr:pic>
    <xdr:clientData/>
  </xdr:twoCellAnchor>
  <xdr:twoCellAnchor editAs="oneCell">
    <xdr:from>
      <xdr:col>5</xdr:col>
      <xdr:colOff>381000</xdr:colOff>
      <xdr:row>22</xdr:row>
      <xdr:rowOff>76200</xdr:rowOff>
    </xdr:from>
    <xdr:to>
      <xdr:col>7</xdr:col>
      <xdr:colOff>356870</xdr:colOff>
      <xdr:row>25</xdr:row>
      <xdr:rowOff>137795</xdr:rowOff>
    </xdr:to>
    <xdr:pic>
      <xdr:nvPicPr>
        <xdr:cNvPr id="12" name="Picture 1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3695700"/>
          <a:ext cx="1195070" cy="633095"/>
        </a:xfrm>
        <a:prstGeom prst="rect">
          <a:avLst/>
        </a:prstGeom>
        <a:noFill/>
        <a:ln>
          <a:noFill/>
        </a:ln>
      </xdr:spPr>
    </xdr:pic>
    <xdr:clientData/>
  </xdr:twoCellAnchor>
  <xdr:twoCellAnchor editAs="oneCell">
    <xdr:from>
      <xdr:col>8</xdr:col>
      <xdr:colOff>266700</xdr:colOff>
      <xdr:row>22</xdr:row>
      <xdr:rowOff>57150</xdr:rowOff>
    </xdr:from>
    <xdr:to>
      <xdr:col>9</xdr:col>
      <xdr:colOff>533400</xdr:colOff>
      <xdr:row>25</xdr:row>
      <xdr:rowOff>86995</xdr:rowOff>
    </xdr:to>
    <xdr:pic>
      <xdr:nvPicPr>
        <xdr:cNvPr id="13" name="Picture 12" descr="Image result for ballance Agri nutrients logo"/>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143500" y="3676650"/>
          <a:ext cx="876300" cy="601345"/>
        </a:xfrm>
        <a:prstGeom prst="rect">
          <a:avLst/>
        </a:prstGeom>
        <a:noFill/>
        <a:ln>
          <a:noFill/>
        </a:ln>
      </xdr:spPr>
    </xdr:pic>
    <xdr:clientData/>
  </xdr:twoCellAnchor>
  <xdr:twoCellAnchor editAs="oneCell">
    <xdr:from>
      <xdr:col>5</xdr:col>
      <xdr:colOff>171450</xdr:colOff>
      <xdr:row>11</xdr:row>
      <xdr:rowOff>76200</xdr:rowOff>
    </xdr:from>
    <xdr:to>
      <xdr:col>10</xdr:col>
      <xdr:colOff>352425</xdr:colOff>
      <xdr:row>14</xdr:row>
      <xdr:rowOff>113665</xdr:rowOff>
    </xdr:to>
    <xdr:pic>
      <xdr:nvPicPr>
        <xdr:cNvPr id="15" name="Picture 14" descr="Home"/>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r="31791"/>
        <a:stretch/>
      </xdr:blipFill>
      <xdr:spPr bwMode="auto">
        <a:xfrm>
          <a:off x="3219450" y="1600200"/>
          <a:ext cx="3228975" cy="608965"/>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3:AA61"/>
  <sheetViews>
    <sheetView topLeftCell="I1" zoomScale="85" zoomScaleNormal="85" workbookViewId="0">
      <selection activeCell="O11" sqref="O11"/>
    </sheetView>
  </sheetViews>
  <sheetFormatPr defaultRowHeight="15" x14ac:dyDescent="0.25"/>
  <cols>
    <col min="1" max="5" width="9.140625" style="7"/>
    <col min="6" max="6" width="7.85546875" style="7" customWidth="1"/>
    <col min="7" max="8" width="9.140625" style="7"/>
    <col min="9" max="9" width="5.7109375" style="7" customWidth="1"/>
    <col min="10" max="10" width="41.140625" style="7" customWidth="1"/>
    <col min="11" max="11" width="38.5703125" style="7" customWidth="1"/>
    <col min="12" max="13" width="2.7109375" style="7" customWidth="1"/>
    <col min="14" max="14" width="31.5703125" style="7" customWidth="1"/>
    <col min="15" max="17" width="16.140625" style="8" customWidth="1"/>
    <col min="18" max="18" width="11" style="8" customWidth="1"/>
    <col min="19" max="19" width="5.7109375" style="7" customWidth="1"/>
    <col min="20" max="20" width="10.85546875" style="7" bestFit="1" customWidth="1"/>
    <col min="21" max="21" width="9.140625" style="7"/>
    <col min="22" max="22" width="9.140625" style="7" customWidth="1"/>
    <col min="23" max="23" width="31.140625" style="7" customWidth="1"/>
    <col min="24" max="24" width="19.7109375" style="7" customWidth="1"/>
    <col min="25" max="25" width="9.85546875" style="7" customWidth="1"/>
    <col min="26" max="26" width="30.140625" style="7" customWidth="1"/>
    <col min="27" max="27" width="24.28515625" style="7" customWidth="1"/>
    <col min="28" max="28" width="9.140625" style="7" customWidth="1"/>
    <col min="29" max="16384" width="9.140625" style="7"/>
  </cols>
  <sheetData>
    <row r="3" spans="9:27" ht="9" customHeight="1" x14ac:dyDescent="0.25"/>
    <row r="4" spans="9:27" ht="9" customHeight="1" x14ac:dyDescent="0.25"/>
    <row r="5" spans="9:27" ht="9" customHeight="1" x14ac:dyDescent="0.25"/>
    <row r="6" spans="9:27" ht="36.75" thickBot="1" x14ac:dyDescent="0.3">
      <c r="K6" s="71" t="s">
        <v>231</v>
      </c>
      <c r="P6" s="22"/>
      <c r="Q6" s="7"/>
      <c r="R6" s="7"/>
    </row>
    <row r="7" spans="9:27" ht="15.75" thickBot="1" x14ac:dyDescent="0.3">
      <c r="I7" s="62"/>
      <c r="J7" s="64" t="s">
        <v>295</v>
      </c>
      <c r="K7" s="65"/>
      <c r="L7" s="62"/>
      <c r="M7" s="62"/>
      <c r="N7" s="64"/>
      <c r="O7" s="66"/>
      <c r="P7" s="66"/>
      <c r="Q7" s="66"/>
      <c r="R7" s="66"/>
      <c r="S7" s="62"/>
      <c r="W7" s="44" t="s">
        <v>246</v>
      </c>
      <c r="X7" s="29"/>
      <c r="Z7" s="44" t="s">
        <v>269</v>
      </c>
      <c r="AA7" s="29"/>
    </row>
    <row r="8" spans="9:27" ht="19.5" customHeight="1" x14ac:dyDescent="0.25">
      <c r="I8" s="63"/>
      <c r="J8" s="38" t="s">
        <v>5</v>
      </c>
      <c r="K8" s="42"/>
      <c r="L8" s="62"/>
      <c r="M8" s="62"/>
      <c r="N8" s="38" t="s">
        <v>256</v>
      </c>
      <c r="O8" s="39"/>
      <c r="P8" s="39"/>
      <c r="Q8" s="39"/>
      <c r="R8" s="40"/>
      <c r="S8" s="63"/>
      <c r="W8" s="9" t="s">
        <v>232</v>
      </c>
      <c r="X8" s="30">
        <f>IF(_xlfn.DAYS($O$10,$K$11)&lt;0,0,_xlfn.DAYS($O$10,$K$11))</f>
        <v>30</v>
      </c>
      <c r="Z8" s="9"/>
      <c r="AA8" s="30"/>
    </row>
    <row r="9" spans="9:27" ht="19.5" customHeight="1" x14ac:dyDescent="0.25">
      <c r="I9" s="63"/>
      <c r="J9" s="68" t="s">
        <v>236</v>
      </c>
      <c r="K9" s="82" t="s">
        <v>235</v>
      </c>
      <c r="L9" s="62"/>
      <c r="M9" s="62"/>
      <c r="N9" s="41" t="s">
        <v>290</v>
      </c>
      <c r="O9" s="26"/>
      <c r="P9" s="26"/>
      <c r="Q9" s="26"/>
      <c r="R9" s="27"/>
      <c r="S9" s="63"/>
      <c r="W9" s="9" t="s">
        <v>244</v>
      </c>
      <c r="X9" s="30">
        <f>VLOOKUP($K$10&amp;$K$12,'Crop parameters'!$C$3:$J$1048576,5,FALSE)</f>
        <v>0.17233999999999999</v>
      </c>
      <c r="Z9" s="9" t="s">
        <v>268</v>
      </c>
      <c r="AA9" s="30">
        <f>MAX('Crop N Graphing'!$I$3:$I$203)</f>
        <v>31</v>
      </c>
    </row>
    <row r="10" spans="9:27" ht="19.5" customHeight="1" x14ac:dyDescent="0.25">
      <c r="I10" s="63"/>
      <c r="J10" s="43" t="s">
        <v>237</v>
      </c>
      <c r="K10" s="82" t="s">
        <v>307</v>
      </c>
      <c r="L10" s="62"/>
      <c r="M10" s="62"/>
      <c r="N10" s="43" t="s">
        <v>257</v>
      </c>
      <c r="O10" s="73">
        <v>43435</v>
      </c>
      <c r="P10" s="74"/>
      <c r="Q10" s="74"/>
      <c r="R10" s="75"/>
      <c r="S10" s="63"/>
      <c r="W10" s="9" t="s">
        <v>245</v>
      </c>
      <c r="X10" s="30">
        <f>VLOOKUP($K$10&amp;$K$12,'Crop parameters'!$C$3:$J$1048576,6,FALSE)</f>
        <v>29.87</v>
      </c>
      <c r="Z10" s="9" t="s">
        <v>264</v>
      </c>
      <c r="AA10" s="30">
        <f>VLOOKUP($K$9,'AMN Input'!$A$7:$E$33,2,FALSE)</f>
        <v>180</v>
      </c>
    </row>
    <row r="11" spans="9:27" ht="19.5" customHeight="1" x14ac:dyDescent="0.25">
      <c r="I11" s="63"/>
      <c r="J11" s="43" t="s">
        <v>6</v>
      </c>
      <c r="K11" s="83">
        <v>43405</v>
      </c>
      <c r="L11" s="62"/>
      <c r="M11" s="62"/>
      <c r="N11" s="43"/>
      <c r="O11" s="28" t="str">
        <f>O12&amp;"-"&amp;O13&amp;" cm"</f>
        <v>0-15 cm</v>
      </c>
      <c r="P11" s="28" t="str">
        <f t="shared" ref="P11" si="0">P12&amp;"-"&amp;P13&amp;" cm"</f>
        <v>15-30 cm</v>
      </c>
      <c r="Q11" s="28" t="str">
        <f>IF(Q12 = 0, "-",  Q12&amp;"-"&amp;Q13&amp;" cm")</f>
        <v>-</v>
      </c>
      <c r="R11" s="32" t="s">
        <v>47</v>
      </c>
      <c r="S11" s="63"/>
      <c r="W11" s="9" t="s">
        <v>243</v>
      </c>
      <c r="X11" s="30">
        <f>VLOOKUP($K$10&amp;$K$12,'Crop parameters'!$C$3:$J$1048576,7,FALSE)</f>
        <v>194.6</v>
      </c>
      <c r="Z11" s="9" t="s">
        <v>265</v>
      </c>
      <c r="AA11" s="30">
        <f>IF(AA9&gt;100,(AA10*AA13)/AA9,IF(AA9&lt;40,(AA10*AA15)/AA9,(AA10*AA14)/AA9))</f>
        <v>1.7419354838709677</v>
      </c>
    </row>
    <row r="12" spans="9:27" ht="19.5" customHeight="1" x14ac:dyDescent="0.25">
      <c r="I12" s="63"/>
      <c r="J12" s="68" t="str">
        <f>VLOOKUP($K$10,'Crop parameters'!$L$3:$M$30,2,FALSE)</f>
        <v>Target yield (t FW/ha)</v>
      </c>
      <c r="K12" s="90">
        <v>25</v>
      </c>
      <c r="L12" s="62"/>
      <c r="M12" s="62"/>
      <c r="N12" s="43" t="s">
        <v>0</v>
      </c>
      <c r="O12" s="72">
        <v>0</v>
      </c>
      <c r="P12" s="72">
        <v>15</v>
      </c>
      <c r="Q12" s="72"/>
      <c r="R12" s="75"/>
      <c r="S12" s="63"/>
      <c r="W12" s="9" t="s">
        <v>242</v>
      </c>
      <c r="X12" s="30">
        <f>VLOOKUP($K$10&amp;$K$12,'Crop parameters'!$C$3:$J$1048576,8,FALSE)</f>
        <v>-1.1850000000000001</v>
      </c>
      <c r="Z12" s="9" t="s">
        <v>267</v>
      </c>
      <c r="AA12" s="30">
        <f>O26</f>
        <v>0</v>
      </c>
    </row>
    <row r="13" spans="9:27" ht="19.5" customHeight="1" x14ac:dyDescent="0.25">
      <c r="I13" s="63"/>
      <c r="J13" s="68" t="str">
        <f>IF(VLOOKUP($K$10,'Crop parameters'!$L$3:$N$30,3,FALSE)="","",VLOOKUP($K$10,'Crop parameters'!$L$3:$N$30,3,FALSE))</f>
        <v/>
      </c>
      <c r="K13" s="61" t="str">
        <f>IF(J13="","",VLOOKUP(K10&amp;K12,'Crop parameters'!$C$3:$D$509,2,FALSE))</f>
        <v/>
      </c>
      <c r="L13" s="62"/>
      <c r="M13" s="62"/>
      <c r="N13" s="43" t="s">
        <v>1</v>
      </c>
      <c r="O13" s="72">
        <v>15</v>
      </c>
      <c r="P13" s="72">
        <v>30</v>
      </c>
      <c r="Q13" s="72"/>
      <c r="R13" s="75"/>
      <c r="S13" s="63"/>
      <c r="W13" s="9"/>
      <c r="X13" s="30"/>
      <c r="Z13" s="9" t="s">
        <v>311</v>
      </c>
      <c r="AA13" s="30">
        <f>VLOOKUP($K$9,'AMN Input'!$A$7:$E$33,3,FALSE)</f>
        <v>0.9</v>
      </c>
    </row>
    <row r="14" spans="9:27" ht="19.5" customHeight="1" thickBot="1" x14ac:dyDescent="0.3">
      <c r="I14" s="63"/>
      <c r="J14" s="69" t="s">
        <v>42</v>
      </c>
      <c r="K14" s="84">
        <f>VLOOKUP(K10&amp;K12,'Crop parameters'!C3:F290,4,FALSE)</f>
        <v>108.37500000000001</v>
      </c>
      <c r="L14" s="62"/>
      <c r="M14" s="62"/>
      <c r="N14" s="43"/>
      <c r="O14" s="74"/>
      <c r="P14" s="74"/>
      <c r="Q14" s="74"/>
      <c r="R14" s="75"/>
      <c r="S14" s="63"/>
      <c r="W14" s="43" t="s">
        <v>258</v>
      </c>
      <c r="X14" s="30"/>
      <c r="Y14" s="51"/>
      <c r="Z14" s="9" t="s">
        <v>312</v>
      </c>
      <c r="AA14" s="30">
        <f>VLOOKUP($K$9,'AMN Input'!$A$7:$E$33,4,FALSE)</f>
        <v>0.5</v>
      </c>
    </row>
    <row r="15" spans="9:27" ht="15.75" thickBot="1" x14ac:dyDescent="0.3">
      <c r="I15" s="63"/>
      <c r="J15" s="63"/>
      <c r="K15" s="85"/>
      <c r="L15" s="62"/>
      <c r="M15" s="62"/>
      <c r="N15" s="43" t="s">
        <v>2</v>
      </c>
      <c r="O15" s="72" t="s">
        <v>12</v>
      </c>
      <c r="P15" s="72" t="s">
        <v>16</v>
      </c>
      <c r="Q15" s="72" t="s">
        <v>13</v>
      </c>
      <c r="R15" s="75"/>
      <c r="S15" s="63"/>
      <c r="W15" s="10" t="s">
        <v>232</v>
      </c>
      <c r="X15" s="53">
        <f>_xlfn.DAYS(K25,K11)</f>
        <v>19</v>
      </c>
      <c r="Z15" s="9" t="s">
        <v>313</v>
      </c>
      <c r="AA15" s="30">
        <f>VLOOKUP($K$9,'AMN Input'!$A$7:$E$33,5,FALSE)</f>
        <v>0.3</v>
      </c>
    </row>
    <row r="16" spans="9:27" ht="19.5" customHeight="1" x14ac:dyDescent="0.25">
      <c r="I16" s="63"/>
      <c r="J16" s="38" t="s">
        <v>259</v>
      </c>
      <c r="K16" s="86" t="s">
        <v>48</v>
      </c>
      <c r="L16" s="62"/>
      <c r="M16" s="62"/>
      <c r="N16" s="43" t="s">
        <v>3</v>
      </c>
      <c r="O16" s="72" t="s">
        <v>25</v>
      </c>
      <c r="P16" s="72" t="s">
        <v>19</v>
      </c>
      <c r="Q16" s="72" t="s">
        <v>26</v>
      </c>
      <c r="R16" s="75"/>
      <c r="S16" s="63"/>
      <c r="Z16" s="9" t="s">
        <v>266</v>
      </c>
      <c r="AA16" s="30">
        <f xml:space="preserve">  IF(AA9&gt;100,   (AA12*AA13)/AA9,IF(AA9&lt;40,(AA12*AA15)/AA9, (AA12*AA14)/AA9))</f>
        <v>0</v>
      </c>
    </row>
    <row r="17" spans="2:27" ht="19.5" customHeight="1" thickBot="1" x14ac:dyDescent="0.3">
      <c r="B17" s="102" t="s">
        <v>304</v>
      </c>
      <c r="C17" s="98"/>
      <c r="D17" s="98"/>
      <c r="E17" s="98"/>
      <c r="F17" s="98"/>
      <c r="G17" s="98"/>
      <c r="H17" s="98"/>
      <c r="I17" s="99"/>
      <c r="J17" s="43" t="s">
        <v>301</v>
      </c>
      <c r="K17" s="61">
        <f>R20+R27</f>
        <v>81.305632693995932</v>
      </c>
      <c r="L17" s="62"/>
      <c r="M17" s="62"/>
      <c r="N17" s="43"/>
      <c r="O17" s="74"/>
      <c r="P17" s="74"/>
      <c r="Q17" s="74"/>
      <c r="R17" s="75"/>
      <c r="S17" s="63"/>
      <c r="Z17" s="10" t="s">
        <v>270</v>
      </c>
      <c r="AA17" s="45">
        <f>IF(ISNUMBER($O$26),$AA$16*_xlfn.DAYS($K$25,$O$10),$AA$11*_xlfn.DAYS($K$25,$O$10))</f>
        <v>-19.161290322580644</v>
      </c>
    </row>
    <row r="18" spans="2:27" ht="19.5" customHeight="1" thickBot="1" x14ac:dyDescent="0.3">
      <c r="B18" s="98"/>
      <c r="C18" s="98"/>
      <c r="D18" s="102" t="s">
        <v>300</v>
      </c>
      <c r="E18" s="98"/>
      <c r="F18" s="100"/>
      <c r="G18" s="98"/>
      <c r="H18" s="98"/>
      <c r="I18" s="99"/>
      <c r="J18" s="43" t="s">
        <v>302</v>
      </c>
      <c r="K18" s="61">
        <f>K14-($X$12+$X$11/(1+EXP(-$X$9*($X$8-$X$10))))</f>
        <v>11.170081259845745</v>
      </c>
      <c r="L18" s="62"/>
      <c r="M18" s="62"/>
      <c r="N18" s="43" t="s">
        <v>291</v>
      </c>
      <c r="O18" s="72">
        <v>50</v>
      </c>
      <c r="P18" s="72">
        <v>25</v>
      </c>
      <c r="Q18" s="72">
        <v>10</v>
      </c>
      <c r="R18" s="75"/>
      <c r="S18" s="63"/>
    </row>
    <row r="19" spans="2:27" ht="19.5" customHeight="1" thickBot="1" x14ac:dyDescent="0.3">
      <c r="B19" s="97" t="s">
        <v>305</v>
      </c>
      <c r="D19" s="98"/>
      <c r="E19" s="98"/>
      <c r="F19" s="101"/>
      <c r="G19" s="98"/>
      <c r="H19" s="98"/>
      <c r="I19" s="99"/>
      <c r="J19" s="94" t="s">
        <v>303</v>
      </c>
      <c r="K19" s="95" t="str">
        <f>TEXT(K17-K18, "0")&amp; IF(K17-K18&gt;=0, " (surplus)"," (deficit)")</f>
        <v>70 (surplus)</v>
      </c>
      <c r="L19" s="62"/>
      <c r="M19" s="62"/>
      <c r="N19" s="43" t="s">
        <v>292</v>
      </c>
      <c r="O19" s="76">
        <f>O18/O21</f>
        <v>34.981765449756764</v>
      </c>
      <c r="P19" s="76">
        <f>P18/P21</f>
        <v>14.383978387859164</v>
      </c>
      <c r="Q19" s="76">
        <f>Q18/Q21</f>
        <v>6.6989487565926202</v>
      </c>
      <c r="R19" s="75"/>
      <c r="S19" s="63"/>
    </row>
    <row r="20" spans="2:27" ht="15.75" thickBot="1" x14ac:dyDescent="0.3">
      <c r="I20" s="63"/>
      <c r="J20" s="66"/>
      <c r="K20" s="87"/>
      <c r="L20" s="62"/>
      <c r="M20" s="62"/>
      <c r="N20" s="43" t="s">
        <v>4</v>
      </c>
      <c r="O20" s="76">
        <f>IF(O12="",0,O18*O23)/Ammonium_N_factor</f>
        <v>56.670460028605966</v>
      </c>
      <c r="P20" s="76">
        <f>IF(P12="",0,P18*P23)/Ammonium_N_factor</f>
        <v>22.893237181519005</v>
      </c>
      <c r="Q20" s="76">
        <f>IF(Q12="",0,Q18*Q23)/Ammonium_N_factor</f>
        <v>0</v>
      </c>
      <c r="R20" s="77">
        <f>SUM(O20:Q20)</f>
        <v>79.563697210124971</v>
      </c>
      <c r="S20" s="63"/>
      <c r="Z20" s="51"/>
    </row>
    <row r="21" spans="2:27" hidden="1" x14ac:dyDescent="0.25">
      <c r="I21" s="63"/>
      <c r="J21" s="11"/>
      <c r="K21" s="88"/>
      <c r="L21" s="62"/>
      <c r="M21" s="62"/>
      <c r="N21" s="9" t="s">
        <v>36</v>
      </c>
      <c r="O21" s="78">
        <f>IF(O$13&lt;=30,VLOOKUP(O$15&amp;O$16&amp;"0-30",'Soil parameters'!$D$2:$H$181,5,FALSE),IF((AND(O$13&gt;31,O$13&lt;=60)),VLOOKUP(O$15&amp;O$16&amp;"30-60",'Soil parameters'!$D$2:$H$181,5,FALSE), VLOOKUP(O$15&amp;O$16&amp;"60-90",'Soil parameters'!$D$2:$H$181,5,FALSE)))</f>
        <v>1.4293160838841443</v>
      </c>
      <c r="P21" s="78">
        <f>IF(P$13&lt;=30,VLOOKUP(P$15&amp;P$16&amp;"0-30",'Soil parameters'!$D$2:$H$181,5,FALSE),IF((AND(P$13&gt;31,P$13&lt;=60)),VLOOKUP(P$15&amp;P$16&amp;"30-60",'Soil parameters'!$D$2:$H$181,5,FALSE), VLOOKUP(P$15&amp;P$16&amp;"60-90",'Soil parameters'!$D$2:$H$181,5,FALSE)))</f>
        <v>1.7380448806222706</v>
      </c>
      <c r="Q21" s="78">
        <f>IF(Q$13&lt;=30,VLOOKUP(Q$15&amp;Q$16&amp;"0-30",'Soil parameters'!$D$2:$H$181,5,FALSE),IF((AND(Q$13&gt;31,Q$13&lt;=60)),VLOOKUP(Q$15&amp;Q$16&amp;"30-60",'Soil parameters'!$D$2:$H$181,5,FALSE), VLOOKUP(Q$15&amp;Q$16&amp;"60-90",'Soil parameters'!$D$2:$H$181,5,FALSE)))</f>
        <v>1.4927715322734367</v>
      </c>
      <c r="R21" s="79"/>
      <c r="S21" s="63"/>
    </row>
    <row r="22" spans="2:27" hidden="1" x14ac:dyDescent="0.25">
      <c r="I22" s="63"/>
      <c r="J22" s="11"/>
      <c r="K22" s="88"/>
      <c r="L22" s="62"/>
      <c r="M22" s="62"/>
      <c r="N22" s="9" t="s">
        <v>23</v>
      </c>
      <c r="O22" s="78">
        <f>IF(O$13&lt;=30,VLOOKUP(O$15&amp;O$16&amp;"0-30",'Soil parameters'!$D$2:$H$181,2,FALSE),IF((AND(O$13&gt;31,O$13&lt;=60)),VLOOKUP(O$15&amp;O$16&amp;"30-60",'Soil parameters'!$D$2:$H$181,2,FALSE), VLOOKUP(O$15&amp;O$16&amp;"60-90",'Soil parameters'!$D$2:$H$181,2,FALSE)))</f>
        <v>1.026</v>
      </c>
      <c r="P22" s="78">
        <f>IF(P$13&lt;=30,VLOOKUP(P$15&amp;P$16&amp;"0-30",'Soil parameters'!$D$2:$H$181,2,FALSE),IF((AND(P$13&gt;31,P$13&lt;=60)),VLOOKUP(P$15&amp;P$16&amp;"30-60",'Soil parameters'!$D$2:$H$181,2,FALSE), VLOOKUP(P$15&amp;P$16&amp;"60-90",'Soil parameters'!$D$2:$H$181,2,FALSE)))</f>
        <v>1.008</v>
      </c>
      <c r="Q22" s="78">
        <f>IF(Q$13&lt;=30,VLOOKUP(Q$15&amp;Q$16&amp;"0-30",'Soil parameters'!$D$2:$H$181,2,FALSE),IF((AND(Q$13&gt;31,Q$13&lt;=60)),VLOOKUP(Q$15&amp;Q$16&amp;"30-60",'Soil parameters'!$D$2:$H$181,2,FALSE), VLOOKUP(Q$15&amp;Q$16&amp;"60-90",'Soil parameters'!$D$2:$H$181,2,FALSE)))</f>
        <v>1.0215000000000001</v>
      </c>
      <c r="R22" s="79"/>
      <c r="S22" s="63"/>
    </row>
    <row r="23" spans="2:27" ht="16.5" hidden="1" customHeight="1" thickBot="1" x14ac:dyDescent="0.3">
      <c r="I23" s="63"/>
      <c r="J23" s="11"/>
      <c r="K23" s="88"/>
      <c r="L23" s="62"/>
      <c r="M23" s="62"/>
      <c r="N23" s="9" t="s">
        <v>37</v>
      </c>
      <c r="O23" s="78">
        <f>1/(O21/(O22*((O13-O12)/10)))</f>
        <v>1.0767387405435134</v>
      </c>
      <c r="P23" s="78">
        <f>1/(P21/(P22*((P13-P12)/10)))</f>
        <v>0.86994301289772213</v>
      </c>
      <c r="Q23" s="78" t="e">
        <f>1/(Q21/(Q22*((Q13-Q12)/10)))</f>
        <v>#DIV/0!</v>
      </c>
      <c r="R23" s="75"/>
      <c r="S23" s="63"/>
    </row>
    <row r="24" spans="2:27" ht="19.5" customHeight="1" x14ac:dyDescent="0.25">
      <c r="I24" s="63"/>
      <c r="J24" s="46" t="s">
        <v>278</v>
      </c>
      <c r="K24" s="86"/>
      <c r="L24" s="62"/>
      <c r="M24" s="62"/>
      <c r="N24" s="9"/>
      <c r="O24" s="74"/>
      <c r="P24" s="74"/>
      <c r="Q24" s="74"/>
      <c r="R24" s="75"/>
      <c r="S24" s="63"/>
    </row>
    <row r="25" spans="2:27" ht="19.5" customHeight="1" x14ac:dyDescent="0.25">
      <c r="I25" s="63"/>
      <c r="J25" s="43" t="s">
        <v>297</v>
      </c>
      <c r="K25" s="83">
        <v>43424</v>
      </c>
      <c r="L25" s="62"/>
      <c r="M25" s="62"/>
      <c r="N25" s="41" t="s">
        <v>296</v>
      </c>
      <c r="O25" s="74"/>
      <c r="P25" s="76"/>
      <c r="Q25" s="76"/>
      <c r="R25" s="61"/>
      <c r="S25" s="63"/>
      <c r="T25" s="96" t="s">
        <v>299</v>
      </c>
    </row>
    <row r="26" spans="2:27" ht="19.5" customHeight="1" x14ac:dyDescent="0.25">
      <c r="I26" s="63"/>
      <c r="J26" s="70" t="s">
        <v>260</v>
      </c>
      <c r="K26" s="61">
        <f xml:space="preserve"> IF(K25="", "NA",    K18-(K14-($X$12+$X$11/(1+EXP(-$X$9*($X$15-$X$10))))))</f>
        <v>-72.477719437768286</v>
      </c>
      <c r="L26" s="62"/>
      <c r="M26" s="62"/>
      <c r="N26" s="9" t="s">
        <v>298</v>
      </c>
      <c r="O26" s="72"/>
      <c r="P26" s="93"/>
      <c r="Q26" s="72"/>
      <c r="R26" s="61"/>
      <c r="S26" s="63"/>
      <c r="T26" s="96" t="s">
        <v>314</v>
      </c>
      <c r="U26" s="34"/>
    </row>
    <row r="27" spans="2:27" ht="19.5" customHeight="1" thickBot="1" x14ac:dyDescent="0.3">
      <c r="I27" s="62"/>
      <c r="J27" s="69" t="s">
        <v>277</v>
      </c>
      <c r="K27" s="84">
        <f>IF(K25="","NA", K17-K26)</f>
        <v>153.78335213176422</v>
      </c>
      <c r="L27" s="62"/>
      <c r="M27" s="62"/>
      <c r="N27" s="10" t="s">
        <v>306</v>
      </c>
      <c r="O27" s="80">
        <f xml:space="preserve">  IF(ISNUMBER( $O$26),   ($AA$9*$AA$16)-_xlfn.DAYS($O$10,$K$11)*$AA$16,($AA$9*$AA$11)-(_xlfn.DAYS($O$10,$K$11)*$AA$11))</f>
        <v>1.741935483870968</v>
      </c>
      <c r="P27" s="80">
        <f>IF(ISNUMBER(#REF!),(AMN_availability*#REF!)-(AMN_availability*#REF!/M_Period)*(_xlfn.DAYS($O$10,$O$25)),0)</f>
        <v>0</v>
      </c>
      <c r="Q27" s="80">
        <f>IF(ISNUMBER(P26),(AMN_availability*P26)-(AMN_availability*P26/M_Period)*(_xlfn.DAYS($O$10,$O$25)),0)</f>
        <v>0</v>
      </c>
      <c r="R27" s="81">
        <f>SUM(O27:Q27)</f>
        <v>1.741935483870968</v>
      </c>
      <c r="S27" s="62"/>
      <c r="T27" s="96" t="s">
        <v>318</v>
      </c>
    </row>
    <row r="28" spans="2:27" x14ac:dyDescent="0.25">
      <c r="I28" s="62"/>
      <c r="J28" s="62"/>
      <c r="K28" s="62"/>
      <c r="L28" s="62"/>
      <c r="M28" s="62"/>
      <c r="N28" s="62"/>
      <c r="O28" s="66"/>
      <c r="P28" s="67"/>
      <c r="Q28" s="67"/>
      <c r="R28" s="67"/>
      <c r="S28" s="62"/>
      <c r="T28" s="52"/>
    </row>
    <row r="29" spans="2:27" x14ac:dyDescent="0.25">
      <c r="I29" s="62"/>
      <c r="J29" s="62"/>
      <c r="K29" s="62"/>
      <c r="L29" s="62"/>
      <c r="M29" s="62"/>
      <c r="N29" s="62"/>
      <c r="O29" s="66"/>
      <c r="P29" s="67"/>
      <c r="Q29" s="67"/>
      <c r="R29" s="67"/>
      <c r="S29" s="62"/>
      <c r="V29" s="52"/>
    </row>
    <row r="30" spans="2:27" x14ac:dyDescent="0.25">
      <c r="I30" s="62"/>
      <c r="J30" s="62"/>
      <c r="K30" s="62"/>
      <c r="L30" s="62"/>
      <c r="M30" s="62"/>
      <c r="N30" s="62"/>
      <c r="O30" s="66"/>
      <c r="P30" s="67"/>
      <c r="Q30" s="67"/>
      <c r="R30" s="67"/>
      <c r="S30" s="62"/>
    </row>
    <row r="31" spans="2:27" x14ac:dyDescent="0.25">
      <c r="I31" s="62"/>
      <c r="J31" s="62"/>
      <c r="K31" s="62"/>
      <c r="L31" s="62"/>
      <c r="M31" s="62"/>
      <c r="N31" s="62"/>
      <c r="O31" s="66"/>
      <c r="P31" s="67"/>
      <c r="Q31" s="67"/>
      <c r="R31" s="67"/>
      <c r="S31" s="62"/>
    </row>
    <row r="32" spans="2:27" x14ac:dyDescent="0.25">
      <c r="I32" s="62"/>
      <c r="J32" s="62"/>
      <c r="K32" s="62"/>
      <c r="L32" s="62"/>
      <c r="M32" s="62"/>
      <c r="N32" s="62"/>
      <c r="O32" s="66"/>
      <c r="P32" s="67"/>
      <c r="Q32" s="67"/>
      <c r="R32" s="67"/>
      <c r="S32" s="62"/>
    </row>
    <row r="33" spans="9:19" x14ac:dyDescent="0.25">
      <c r="I33" s="62"/>
      <c r="J33" s="62"/>
      <c r="K33" s="62"/>
      <c r="L33" s="62"/>
      <c r="M33" s="62"/>
      <c r="N33" s="62"/>
      <c r="O33" s="66"/>
      <c r="P33" s="67"/>
      <c r="Q33" s="67"/>
      <c r="R33" s="67"/>
      <c r="S33" s="62"/>
    </row>
    <row r="34" spans="9:19" x14ac:dyDescent="0.25">
      <c r="I34" s="62"/>
      <c r="J34" s="62"/>
      <c r="K34" s="62"/>
      <c r="L34" s="62"/>
      <c r="M34" s="62"/>
      <c r="N34" s="62"/>
      <c r="O34" s="66"/>
      <c r="P34" s="67"/>
      <c r="Q34" s="67"/>
      <c r="R34" s="67"/>
      <c r="S34" s="62"/>
    </row>
    <row r="35" spans="9:19" x14ac:dyDescent="0.25">
      <c r="I35" s="62"/>
      <c r="J35" s="62"/>
      <c r="K35" s="62"/>
      <c r="L35" s="62"/>
      <c r="M35" s="62"/>
      <c r="N35" s="62"/>
      <c r="O35" s="66"/>
      <c r="P35" s="67"/>
      <c r="Q35" s="67"/>
      <c r="R35" s="67"/>
      <c r="S35" s="62"/>
    </row>
    <row r="36" spans="9:19" x14ac:dyDescent="0.25">
      <c r="I36" s="62"/>
      <c r="J36" s="62"/>
      <c r="K36" s="62"/>
      <c r="L36" s="62"/>
      <c r="M36" s="62"/>
      <c r="N36" s="62"/>
      <c r="O36" s="66"/>
      <c r="P36" s="67"/>
      <c r="Q36" s="67"/>
      <c r="R36" s="67"/>
      <c r="S36" s="62"/>
    </row>
    <row r="37" spans="9:19" x14ac:dyDescent="0.25">
      <c r="I37" s="62"/>
      <c r="J37" s="62"/>
      <c r="K37" s="62"/>
      <c r="L37" s="62"/>
      <c r="M37" s="62"/>
      <c r="N37" s="62"/>
      <c r="O37" s="66"/>
      <c r="P37" s="67"/>
      <c r="Q37" s="67"/>
      <c r="R37" s="67"/>
      <c r="S37" s="62"/>
    </row>
    <row r="38" spans="9:19" x14ac:dyDescent="0.25">
      <c r="I38" s="62"/>
      <c r="J38" s="62"/>
      <c r="K38" s="62"/>
      <c r="L38" s="62"/>
      <c r="M38" s="62"/>
      <c r="N38" s="62"/>
      <c r="O38" s="66"/>
      <c r="P38" s="66"/>
      <c r="Q38" s="66"/>
      <c r="R38" s="66"/>
      <c r="S38" s="62"/>
    </row>
    <row r="39" spans="9:19" x14ac:dyDescent="0.25">
      <c r="I39" s="62"/>
      <c r="J39" s="62"/>
      <c r="K39" s="62"/>
      <c r="L39" s="62"/>
      <c r="M39" s="62"/>
      <c r="N39" s="62"/>
      <c r="O39" s="66"/>
      <c r="P39" s="66"/>
      <c r="Q39" s="66"/>
      <c r="R39" s="66"/>
      <c r="S39" s="62"/>
    </row>
    <row r="40" spans="9:19" x14ac:dyDescent="0.25">
      <c r="I40" s="62"/>
      <c r="J40" s="62"/>
      <c r="K40" s="62"/>
      <c r="L40" s="62"/>
      <c r="M40" s="62"/>
      <c r="N40" s="62"/>
      <c r="O40" s="66"/>
      <c r="P40" s="66"/>
      <c r="Q40" s="66"/>
      <c r="R40" s="66"/>
      <c r="S40" s="62"/>
    </row>
    <row r="41" spans="9:19" x14ac:dyDescent="0.25">
      <c r="I41" s="62"/>
      <c r="J41" s="62"/>
      <c r="K41" s="62"/>
      <c r="L41" s="62"/>
      <c r="M41" s="62"/>
      <c r="N41" s="62"/>
      <c r="O41" s="66"/>
      <c r="P41" s="66"/>
      <c r="Q41" s="66"/>
      <c r="R41" s="66"/>
      <c r="S41" s="62"/>
    </row>
    <row r="42" spans="9:19" x14ac:dyDescent="0.25">
      <c r="I42" s="62"/>
      <c r="J42" s="62"/>
      <c r="K42" s="62"/>
      <c r="L42" s="62"/>
      <c r="M42" s="62"/>
      <c r="N42" s="62"/>
      <c r="O42" s="66"/>
      <c r="P42" s="66"/>
      <c r="Q42" s="66"/>
      <c r="R42" s="66"/>
      <c r="S42" s="62"/>
    </row>
    <row r="43" spans="9:19" x14ac:dyDescent="0.25">
      <c r="I43" s="62"/>
      <c r="J43" s="62"/>
      <c r="K43" s="62"/>
      <c r="L43" s="62"/>
      <c r="M43" s="62"/>
      <c r="N43" s="62"/>
      <c r="O43" s="66"/>
      <c r="P43" s="66"/>
      <c r="Q43" s="66"/>
      <c r="R43" s="66"/>
      <c r="S43" s="62"/>
    </row>
    <row r="44" spans="9:19" x14ac:dyDescent="0.25">
      <c r="I44" s="62"/>
      <c r="J44" s="62"/>
      <c r="K44" s="62"/>
      <c r="L44" s="62"/>
      <c r="M44" s="62"/>
      <c r="N44" s="62"/>
      <c r="O44" s="66"/>
      <c r="P44" s="66"/>
      <c r="Q44" s="66"/>
      <c r="R44" s="66"/>
      <c r="S44" s="62"/>
    </row>
    <row r="45" spans="9:19" x14ac:dyDescent="0.25">
      <c r="I45" s="62"/>
      <c r="J45" s="62"/>
      <c r="K45" s="62"/>
      <c r="L45" s="62"/>
      <c r="M45" s="62"/>
      <c r="N45" s="62"/>
      <c r="O45" s="66"/>
      <c r="P45" s="66"/>
      <c r="Q45" s="66"/>
      <c r="R45" s="66"/>
      <c r="S45" s="62"/>
    </row>
    <row r="46" spans="9:19" x14ac:dyDescent="0.25">
      <c r="I46" s="23" t="s">
        <v>329</v>
      </c>
      <c r="N46" s="24"/>
      <c r="O46" s="7"/>
      <c r="P46" s="7"/>
      <c r="Q46" s="7"/>
      <c r="R46" s="7"/>
    </row>
    <row r="47" spans="9:19" x14ac:dyDescent="0.25">
      <c r="J47" s="92"/>
      <c r="N47" s="25"/>
      <c r="O47" s="7"/>
      <c r="P47" s="7"/>
      <c r="Q47" s="7"/>
      <c r="R47" s="7"/>
    </row>
    <row r="48" spans="9:19" x14ac:dyDescent="0.25">
      <c r="O48" s="7"/>
      <c r="P48" s="7"/>
      <c r="Q48" s="7"/>
      <c r="R48" s="7"/>
    </row>
    <row r="49" spans="15:18" x14ac:dyDescent="0.25">
      <c r="O49" s="7"/>
      <c r="P49" s="7"/>
      <c r="Q49" s="7"/>
      <c r="R49" s="7"/>
    </row>
    <row r="50" spans="15:18" x14ac:dyDescent="0.25">
      <c r="O50" s="7"/>
      <c r="P50" s="7"/>
      <c r="Q50" s="7"/>
      <c r="R50" s="7"/>
    </row>
    <row r="51" spans="15:18" x14ac:dyDescent="0.25">
      <c r="O51" s="7"/>
      <c r="P51" s="7"/>
      <c r="Q51" s="34"/>
      <c r="R51" s="7"/>
    </row>
    <row r="52" spans="15:18" x14ac:dyDescent="0.25">
      <c r="O52" s="7"/>
      <c r="P52" s="7"/>
      <c r="Q52" s="7"/>
      <c r="R52" s="7"/>
    </row>
    <row r="53" spans="15:18" x14ac:dyDescent="0.25">
      <c r="O53" s="7"/>
      <c r="P53" s="7"/>
      <c r="Q53" s="7"/>
      <c r="R53" s="7"/>
    </row>
    <row r="54" spans="15:18" x14ac:dyDescent="0.25">
      <c r="O54" s="7"/>
      <c r="P54" s="7"/>
      <c r="Q54" s="7"/>
      <c r="R54" s="7"/>
    </row>
    <row r="55" spans="15:18" x14ac:dyDescent="0.25">
      <c r="O55" s="7"/>
      <c r="P55" s="7"/>
      <c r="Q55" s="7"/>
      <c r="R55" s="7"/>
    </row>
    <row r="56" spans="15:18" x14ac:dyDescent="0.25">
      <c r="O56" s="7"/>
      <c r="P56" s="7"/>
      <c r="Q56" s="7"/>
      <c r="R56" s="7"/>
    </row>
    <row r="57" spans="15:18" x14ac:dyDescent="0.25">
      <c r="O57" s="7"/>
      <c r="P57" s="7"/>
      <c r="Q57" s="7"/>
      <c r="R57" s="7"/>
    </row>
    <row r="58" spans="15:18" x14ac:dyDescent="0.25">
      <c r="O58" s="7"/>
      <c r="P58" s="7"/>
      <c r="Q58" s="7"/>
      <c r="R58" s="7"/>
    </row>
    <row r="59" spans="15:18" x14ac:dyDescent="0.25">
      <c r="O59" s="7"/>
      <c r="P59" s="7"/>
      <c r="Q59" s="7"/>
      <c r="R59" s="7"/>
    </row>
    <row r="60" spans="15:18" x14ac:dyDescent="0.25">
      <c r="O60" s="7"/>
      <c r="P60" s="7"/>
      <c r="Q60" s="7"/>
      <c r="R60" s="7"/>
    </row>
    <row r="61" spans="15:18" x14ac:dyDescent="0.25">
      <c r="O61" s="7"/>
      <c r="P61" s="7"/>
      <c r="Q61" s="7"/>
      <c r="R61" s="7"/>
    </row>
  </sheetData>
  <sheetProtection selectLockedCells="1"/>
  <dataConsolidate/>
  <dataValidations count="1">
    <dataValidation type="list" allowBlank="1" showInputMessage="1" showErrorMessage="1" sqref="K12">
      <formula1>INDIRECT($K$10)</formula1>
    </dataValidation>
  </dataValidations>
  <pageMargins left="0.70866141732283472" right="0.70866141732283472" top="0.74803149606299213" bottom="0.74803149606299213" header="0.31496062992125984" footer="0.31496062992125984"/>
  <pageSetup paperSize="8" scale="83" orientation="landscape" verticalDpi="0"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'Crop parameters'!$L$3:$L$30</xm:f>
          </x14:formula1>
          <xm:sqref>K10</xm:sqref>
        </x14:dataValidation>
        <x14:dataValidation type="list" allowBlank="1" showInputMessage="1" showErrorMessage="1">
          <x14:formula1>
            <xm:f>'Soil parameters'!$B$2:$B$6</xm:f>
          </x14:formula1>
          <xm:sqref>R16:R17 O16:Q16</xm:sqref>
        </x14:dataValidation>
        <x14:dataValidation type="list" allowBlank="1" showInputMessage="1" showErrorMessage="1">
          <x14:formula1>
            <xm:f>'Soil parameters'!$J$2:$J$13</xm:f>
          </x14:formula1>
          <xm:sqref>O15:R15</xm:sqref>
        </x14:dataValidation>
        <x14:dataValidation type="list" allowBlank="1" showInputMessage="1" showErrorMessage="1">
          <x14:formula1>
            <xm:f>'AMN Input'!$A$7:$A$9</xm:f>
          </x14:formula1>
          <xm:sqref>K9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81"/>
  <sheetViews>
    <sheetView workbookViewId="0">
      <pane ySplit="1" topLeftCell="A137" activePane="bottomLeft" state="frozen"/>
      <selection pane="bottomLeft" activeCell="A6" sqref="A6"/>
    </sheetView>
  </sheetViews>
  <sheetFormatPr defaultRowHeight="15" x14ac:dyDescent="0.25"/>
  <cols>
    <col min="1" max="1" width="15.7109375" style="15" customWidth="1"/>
    <col min="2" max="2" width="13.42578125" style="15" customWidth="1"/>
    <col min="3" max="3" width="14.5703125" style="16" customWidth="1"/>
    <col min="4" max="4" width="28.85546875" style="16" customWidth="1"/>
    <col min="5" max="6" width="11.7109375" style="17" customWidth="1"/>
    <col min="7" max="7" width="15.7109375" style="14" customWidth="1"/>
    <col min="8" max="8" width="16.85546875" style="14" customWidth="1"/>
    <col min="9" max="9" width="2.5703125" style="5" customWidth="1"/>
    <col min="10" max="10" width="26.5703125" style="15" customWidth="1"/>
    <col min="11" max="16384" width="9.140625" style="15"/>
  </cols>
  <sheetData>
    <row r="1" spans="1:12" s="12" customFormat="1" ht="45" x14ac:dyDescent="0.25">
      <c r="A1" s="105" t="s">
        <v>22</v>
      </c>
      <c r="B1" s="105" t="s">
        <v>31</v>
      </c>
      <c r="C1" s="105" t="s">
        <v>29</v>
      </c>
      <c r="D1" s="105" t="s">
        <v>28</v>
      </c>
      <c r="E1" s="106" t="s">
        <v>30</v>
      </c>
      <c r="F1" s="106" t="s">
        <v>255</v>
      </c>
      <c r="G1" s="106" t="s">
        <v>32</v>
      </c>
      <c r="H1" s="106" t="s">
        <v>33</v>
      </c>
      <c r="I1" s="20"/>
      <c r="J1" s="105" t="s">
        <v>35</v>
      </c>
    </row>
    <row r="2" spans="1:12" s="18" customFormat="1" x14ac:dyDescent="0.25">
      <c r="A2" s="14" t="s">
        <v>7</v>
      </c>
      <c r="B2" s="15" t="s">
        <v>19</v>
      </c>
      <c r="C2" s="16" t="s">
        <v>21</v>
      </c>
      <c r="D2" s="16" t="s">
        <v>49</v>
      </c>
      <c r="E2" s="36">
        <v>0.9900000000000001</v>
      </c>
      <c r="F2" s="36">
        <v>2.66</v>
      </c>
      <c r="G2" s="37">
        <v>29.4</v>
      </c>
      <c r="H2" s="36">
        <v>1.7671750446346375</v>
      </c>
      <c r="I2" s="21"/>
      <c r="J2" s="15" t="s">
        <v>7</v>
      </c>
    </row>
    <row r="3" spans="1:12" s="18" customFormat="1" x14ac:dyDescent="0.25">
      <c r="A3" s="14" t="s">
        <v>7</v>
      </c>
      <c r="B3" s="13" t="s">
        <v>24</v>
      </c>
      <c r="C3" s="16" t="s">
        <v>21</v>
      </c>
      <c r="D3" s="16" t="s">
        <v>50</v>
      </c>
      <c r="E3" s="36">
        <v>0.9900000000000001</v>
      </c>
      <c r="F3" s="36">
        <v>2.66</v>
      </c>
      <c r="G3" s="37">
        <v>37.868099999999998</v>
      </c>
      <c r="H3" s="36">
        <v>1.6043512579789463</v>
      </c>
      <c r="I3" s="6"/>
      <c r="J3" s="15" t="s">
        <v>8</v>
      </c>
    </row>
    <row r="4" spans="1:12" x14ac:dyDescent="0.25">
      <c r="A4" s="14" t="s">
        <v>7</v>
      </c>
      <c r="B4" s="13" t="s">
        <v>25</v>
      </c>
      <c r="C4" s="16" t="s">
        <v>21</v>
      </c>
      <c r="D4" s="16" t="s">
        <v>51</v>
      </c>
      <c r="E4" s="36">
        <v>0.9900000000000001</v>
      </c>
      <c r="F4" s="36">
        <v>2.66</v>
      </c>
      <c r="G4" s="37">
        <v>46.336200000000012</v>
      </c>
      <c r="H4" s="36">
        <v>1.4453978011066229</v>
      </c>
      <c r="J4" s="15" t="s">
        <v>9</v>
      </c>
    </row>
    <row r="5" spans="1:12" x14ac:dyDescent="0.25">
      <c r="A5" s="14" t="s">
        <v>7</v>
      </c>
      <c r="B5" s="13" t="s">
        <v>26</v>
      </c>
      <c r="C5" s="16" t="s">
        <v>21</v>
      </c>
      <c r="D5" s="16" t="s">
        <v>52</v>
      </c>
      <c r="E5" s="36">
        <v>0.9900000000000001</v>
      </c>
      <c r="F5" s="36">
        <v>2.66</v>
      </c>
      <c r="G5" s="37">
        <v>49.54965</v>
      </c>
      <c r="H5" s="36">
        <v>1.386063105147898</v>
      </c>
      <c r="J5" s="15" t="s">
        <v>10</v>
      </c>
    </row>
    <row r="6" spans="1:12" x14ac:dyDescent="0.25">
      <c r="A6" s="14" t="s">
        <v>7</v>
      </c>
      <c r="B6" s="13" t="s">
        <v>20</v>
      </c>
      <c r="C6" s="16" t="s">
        <v>21</v>
      </c>
      <c r="D6" s="16" t="s">
        <v>53</v>
      </c>
      <c r="E6" s="36">
        <v>0.9900000000000001</v>
      </c>
      <c r="F6" s="36">
        <v>2.66</v>
      </c>
      <c r="G6" s="37">
        <v>52.763100000000001</v>
      </c>
      <c r="H6" s="36">
        <v>1.3272588348855783</v>
      </c>
      <c r="J6" s="15" t="s">
        <v>11</v>
      </c>
    </row>
    <row r="7" spans="1:12" x14ac:dyDescent="0.25">
      <c r="A7" s="14" t="s">
        <v>7</v>
      </c>
      <c r="B7" s="15" t="s">
        <v>19</v>
      </c>
      <c r="C7" s="16" t="s">
        <v>27</v>
      </c>
      <c r="D7" s="16" t="s">
        <v>54</v>
      </c>
      <c r="E7" s="36">
        <v>1.121</v>
      </c>
      <c r="F7" s="36">
        <v>2.66</v>
      </c>
      <c r="G7" s="37">
        <v>31.5</v>
      </c>
      <c r="H7" s="36">
        <v>1.7995474705485004</v>
      </c>
      <c r="J7" s="15" t="s">
        <v>12</v>
      </c>
    </row>
    <row r="8" spans="1:12" x14ac:dyDescent="0.25">
      <c r="A8" s="14" t="s">
        <v>7</v>
      </c>
      <c r="B8" s="13" t="s">
        <v>24</v>
      </c>
      <c r="C8" s="16" t="s">
        <v>27</v>
      </c>
      <c r="D8" s="16" t="s">
        <v>55</v>
      </c>
      <c r="E8" s="36">
        <v>1.121</v>
      </c>
      <c r="F8" s="36">
        <v>2.66</v>
      </c>
      <c r="G8" s="37">
        <v>37.134300000000003</v>
      </c>
      <c r="H8" s="36">
        <v>1.6902551237613348</v>
      </c>
      <c r="J8" s="15" t="s">
        <v>13</v>
      </c>
    </row>
    <row r="9" spans="1:12" x14ac:dyDescent="0.25">
      <c r="A9" s="14" t="s">
        <v>7</v>
      </c>
      <c r="B9" s="13" t="s">
        <v>25</v>
      </c>
      <c r="C9" s="16" t="s">
        <v>27</v>
      </c>
      <c r="D9" s="16" t="s">
        <v>56</v>
      </c>
      <c r="E9" s="36">
        <v>1.121</v>
      </c>
      <c r="F9" s="36">
        <v>2.66</v>
      </c>
      <c r="G9" s="37">
        <v>42.768599999999999</v>
      </c>
      <c r="H9" s="36">
        <v>1.5827092546730865</v>
      </c>
      <c r="J9" s="15" t="s">
        <v>14</v>
      </c>
    </row>
    <row r="10" spans="1:12" x14ac:dyDescent="0.25">
      <c r="A10" s="14" t="s">
        <v>7</v>
      </c>
      <c r="B10" s="13" t="s">
        <v>26</v>
      </c>
      <c r="C10" s="16" t="s">
        <v>27</v>
      </c>
      <c r="D10" s="16" t="s">
        <v>57</v>
      </c>
      <c r="E10" s="36">
        <v>1.121</v>
      </c>
      <c r="F10" s="36">
        <v>2.66</v>
      </c>
      <c r="G10" s="37">
        <v>45.432600000000001</v>
      </c>
      <c r="H10" s="36">
        <v>1.5324557350903103</v>
      </c>
      <c r="J10" s="15" t="s">
        <v>15</v>
      </c>
    </row>
    <row r="11" spans="1:12" x14ac:dyDescent="0.25">
      <c r="A11" s="14" t="s">
        <v>7</v>
      </c>
      <c r="B11" s="13" t="s">
        <v>20</v>
      </c>
      <c r="C11" s="16" t="s">
        <v>27</v>
      </c>
      <c r="D11" s="16" t="s">
        <v>58</v>
      </c>
      <c r="E11" s="36">
        <v>1.121</v>
      </c>
      <c r="F11" s="36">
        <v>2.66</v>
      </c>
      <c r="G11" s="37">
        <v>48.096600000000002</v>
      </c>
      <c r="H11" s="36">
        <v>1.4825790624700512</v>
      </c>
      <c r="J11" s="15" t="s">
        <v>16</v>
      </c>
    </row>
    <row r="12" spans="1:12" x14ac:dyDescent="0.25">
      <c r="A12" s="14" t="s">
        <v>7</v>
      </c>
      <c r="B12" s="15" t="s">
        <v>19</v>
      </c>
      <c r="C12" s="16" t="s">
        <v>34</v>
      </c>
      <c r="D12" s="16" t="s">
        <v>59</v>
      </c>
      <c r="E12" s="36">
        <v>1.21</v>
      </c>
      <c r="F12" s="36">
        <v>2.66</v>
      </c>
      <c r="G12" s="37">
        <v>36.9</v>
      </c>
      <c r="H12" s="36">
        <v>1.8411078349435179</v>
      </c>
      <c r="J12" s="15" t="s">
        <v>17</v>
      </c>
    </row>
    <row r="13" spans="1:12" x14ac:dyDescent="0.25">
      <c r="A13" s="14" t="s">
        <v>7</v>
      </c>
      <c r="B13" s="13" t="s">
        <v>24</v>
      </c>
      <c r="C13" s="16" t="s">
        <v>34</v>
      </c>
      <c r="D13" s="16" t="s">
        <v>60</v>
      </c>
      <c r="E13" s="36">
        <v>1.21</v>
      </c>
      <c r="F13" s="36">
        <v>2.66</v>
      </c>
      <c r="G13" s="37">
        <v>41.517499999999998</v>
      </c>
      <c r="H13" s="36">
        <v>1.7508601956455578</v>
      </c>
      <c r="J13" s="15" t="s">
        <v>18</v>
      </c>
    </row>
    <row r="14" spans="1:12" x14ac:dyDescent="0.25">
      <c r="A14" s="14" t="s">
        <v>7</v>
      </c>
      <c r="B14" s="13" t="s">
        <v>25</v>
      </c>
      <c r="C14" s="16" t="s">
        <v>34</v>
      </c>
      <c r="D14" s="16" t="s">
        <v>61</v>
      </c>
      <c r="E14" s="36">
        <v>1.21</v>
      </c>
      <c r="F14" s="36">
        <v>2.66</v>
      </c>
      <c r="G14" s="37">
        <v>46.134999999999998</v>
      </c>
      <c r="H14" s="36">
        <v>1.6618014444134295</v>
      </c>
    </row>
    <row r="15" spans="1:12" x14ac:dyDescent="0.25">
      <c r="A15" s="14" t="s">
        <v>7</v>
      </c>
      <c r="B15" s="13" t="s">
        <v>26</v>
      </c>
      <c r="C15" s="16" t="s">
        <v>34</v>
      </c>
      <c r="D15" s="16" t="s">
        <v>62</v>
      </c>
      <c r="E15" s="36">
        <v>1.21</v>
      </c>
      <c r="F15" s="36">
        <v>2.66</v>
      </c>
      <c r="G15" s="37">
        <v>47.933199999999999</v>
      </c>
      <c r="H15" s="36">
        <v>1.6274357578106102</v>
      </c>
      <c r="J15" s="104" t="s">
        <v>315</v>
      </c>
      <c r="K15" s="14">
        <v>0.95</v>
      </c>
      <c r="L15" s="15" t="s">
        <v>316</v>
      </c>
    </row>
    <row r="16" spans="1:12" x14ac:dyDescent="0.25">
      <c r="A16" s="14" t="s">
        <v>7</v>
      </c>
      <c r="B16" s="13" t="s">
        <v>20</v>
      </c>
      <c r="C16" s="16" t="s">
        <v>34</v>
      </c>
      <c r="D16" s="16" t="s">
        <v>63</v>
      </c>
      <c r="E16" s="36">
        <v>1.21</v>
      </c>
      <c r="F16" s="36">
        <v>2.66</v>
      </c>
      <c r="G16" s="37">
        <v>49.731400000000001</v>
      </c>
      <c r="H16" s="36">
        <v>1.5932454749682552</v>
      </c>
    </row>
    <row r="17" spans="1:10" x14ac:dyDescent="0.25">
      <c r="A17" s="14" t="s">
        <v>8</v>
      </c>
      <c r="B17" s="15" t="s">
        <v>19</v>
      </c>
      <c r="C17" s="16" t="s">
        <v>21</v>
      </c>
      <c r="D17" s="16" t="s">
        <v>64</v>
      </c>
      <c r="E17" s="36">
        <v>1.0169999999999999</v>
      </c>
      <c r="F17" s="36">
        <v>2.66</v>
      </c>
      <c r="G17" s="37">
        <v>33.6</v>
      </c>
      <c r="H17" s="36">
        <v>1.6859252966384828</v>
      </c>
    </row>
    <row r="18" spans="1:10" x14ac:dyDescent="0.25">
      <c r="A18" s="14" t="s">
        <v>8</v>
      </c>
      <c r="B18" s="13" t="s">
        <v>24</v>
      </c>
      <c r="C18" s="16" t="s">
        <v>21</v>
      </c>
      <c r="D18" s="16" t="s">
        <v>65</v>
      </c>
      <c r="E18" s="36">
        <v>1.0169999999999999</v>
      </c>
      <c r="F18" s="36">
        <v>2.66</v>
      </c>
      <c r="G18" s="37">
        <v>42.435099999999998</v>
      </c>
      <c r="H18" s="36">
        <v>1.5181528191275735</v>
      </c>
    </row>
    <row r="19" spans="1:10" x14ac:dyDescent="0.25">
      <c r="A19" s="14" t="s">
        <v>8</v>
      </c>
      <c r="B19" s="13" t="s">
        <v>25</v>
      </c>
      <c r="C19" s="16" t="s">
        <v>21</v>
      </c>
      <c r="D19" s="16" t="s">
        <v>66</v>
      </c>
      <c r="E19" s="36">
        <v>1.0169999999999999</v>
      </c>
      <c r="F19" s="36">
        <v>2.66</v>
      </c>
      <c r="G19" s="37">
        <v>51.270200000000003</v>
      </c>
      <c r="H19" s="36">
        <v>1.3545125218098257</v>
      </c>
    </row>
    <row r="20" spans="1:10" x14ac:dyDescent="0.25">
      <c r="A20" s="14" t="s">
        <v>8</v>
      </c>
      <c r="B20" s="13" t="s">
        <v>26</v>
      </c>
      <c r="C20" s="16" t="s">
        <v>21</v>
      </c>
      <c r="D20" s="16" t="s">
        <v>67</v>
      </c>
      <c r="E20" s="36">
        <v>1.0169999999999999</v>
      </c>
      <c r="F20" s="36">
        <v>2.66</v>
      </c>
      <c r="G20" s="37">
        <v>53.301499999999997</v>
      </c>
      <c r="H20" s="36">
        <v>1.3174578052926404</v>
      </c>
    </row>
    <row r="21" spans="1:10" x14ac:dyDescent="0.25">
      <c r="A21" s="14" t="s">
        <v>8</v>
      </c>
      <c r="B21" s="13" t="s">
        <v>20</v>
      </c>
      <c r="C21" s="16" t="s">
        <v>21</v>
      </c>
      <c r="D21" s="16" t="s">
        <v>68</v>
      </c>
      <c r="E21" s="36">
        <v>1.0169999999999999</v>
      </c>
      <c r="F21" s="36">
        <v>2.66</v>
      </c>
      <c r="G21" s="37">
        <v>55.332799999999999</v>
      </c>
      <c r="H21" s="36">
        <v>1.2806117358496947</v>
      </c>
      <c r="J21" s="18"/>
    </row>
    <row r="22" spans="1:10" x14ac:dyDescent="0.25">
      <c r="A22" s="14" t="s">
        <v>8</v>
      </c>
      <c r="B22" s="15" t="s">
        <v>19</v>
      </c>
      <c r="C22" s="16" t="s">
        <v>27</v>
      </c>
      <c r="D22" s="16" t="s">
        <v>69</v>
      </c>
      <c r="E22" s="36">
        <v>1.083</v>
      </c>
      <c r="F22" s="36">
        <v>2.66</v>
      </c>
      <c r="G22" s="37">
        <v>21.3</v>
      </c>
      <c r="H22" s="36">
        <v>2.0019860603817592</v>
      </c>
    </row>
    <row r="23" spans="1:10" x14ac:dyDescent="0.25">
      <c r="A23" s="14" t="s">
        <v>8</v>
      </c>
      <c r="B23" s="13" t="s">
        <v>24</v>
      </c>
      <c r="C23" s="16" t="s">
        <v>27</v>
      </c>
      <c r="D23" s="16" t="s">
        <v>70</v>
      </c>
      <c r="E23" s="36">
        <v>1.083</v>
      </c>
      <c r="F23" s="36">
        <v>2.66</v>
      </c>
      <c r="G23" s="37">
        <v>33.019199999999998</v>
      </c>
      <c r="H23" s="36">
        <v>1.7699041363279182</v>
      </c>
    </row>
    <row r="24" spans="1:10" x14ac:dyDescent="0.25">
      <c r="A24" s="14" t="s">
        <v>8</v>
      </c>
      <c r="B24" s="13" t="s">
        <v>25</v>
      </c>
      <c r="C24" s="16" t="s">
        <v>27</v>
      </c>
      <c r="D24" s="16" t="s">
        <v>71</v>
      </c>
      <c r="E24" s="36">
        <v>1.083</v>
      </c>
      <c r="F24" s="36">
        <v>2.66</v>
      </c>
      <c r="G24" s="37">
        <v>44.738399999999999</v>
      </c>
      <c r="H24" s="36">
        <v>1.5455145999293691</v>
      </c>
    </row>
    <row r="25" spans="1:10" x14ac:dyDescent="0.25">
      <c r="A25" s="14" t="s">
        <v>8</v>
      </c>
      <c r="B25" s="13" t="s">
        <v>26</v>
      </c>
      <c r="C25" s="16" t="s">
        <v>27</v>
      </c>
      <c r="D25" s="16" t="s">
        <v>72</v>
      </c>
      <c r="E25" s="36">
        <v>1.083</v>
      </c>
      <c r="F25" s="36">
        <v>2.66</v>
      </c>
      <c r="G25" s="37">
        <v>48.343125000000001</v>
      </c>
      <c r="H25" s="36">
        <v>1.4779824051503798</v>
      </c>
    </row>
    <row r="26" spans="1:10" x14ac:dyDescent="0.25">
      <c r="A26" s="14" t="s">
        <v>8</v>
      </c>
      <c r="B26" s="13" t="s">
        <v>20</v>
      </c>
      <c r="C26" s="16" t="s">
        <v>27</v>
      </c>
      <c r="D26" s="16" t="s">
        <v>73</v>
      </c>
      <c r="E26" s="36">
        <v>1.083</v>
      </c>
      <c r="F26" s="36">
        <v>2.66</v>
      </c>
      <c r="G26" s="37">
        <v>51.947850000000003</v>
      </c>
      <c r="H26" s="36">
        <v>1.4111317633180154</v>
      </c>
    </row>
    <row r="27" spans="1:10" x14ac:dyDescent="0.25">
      <c r="A27" s="14" t="s">
        <v>8</v>
      </c>
      <c r="B27" s="15" t="s">
        <v>19</v>
      </c>
      <c r="C27" s="16" t="s">
        <v>34</v>
      </c>
      <c r="D27" s="16" t="s">
        <v>74</v>
      </c>
      <c r="E27" s="36">
        <v>1.1399999999999999</v>
      </c>
      <c r="F27" s="36">
        <v>2.66</v>
      </c>
      <c r="G27" s="37">
        <v>21.7</v>
      </c>
      <c r="H27" s="36">
        <v>2.146888802186981</v>
      </c>
    </row>
    <row r="28" spans="1:10" x14ac:dyDescent="0.25">
      <c r="A28" s="14" t="s">
        <v>8</v>
      </c>
      <c r="B28" s="13" t="s">
        <v>24</v>
      </c>
      <c r="C28" s="16" t="s">
        <v>34</v>
      </c>
      <c r="D28" s="16" t="s">
        <v>75</v>
      </c>
      <c r="E28" s="36">
        <v>1.1399999999999999</v>
      </c>
      <c r="F28" s="36">
        <v>2.66</v>
      </c>
      <c r="G28" s="37">
        <v>27.484549999999999</v>
      </c>
      <c r="H28" s="36">
        <v>2.028914362177193</v>
      </c>
    </row>
    <row r="29" spans="1:10" x14ac:dyDescent="0.25">
      <c r="A29" s="14" t="s">
        <v>8</v>
      </c>
      <c r="B29" s="13" t="s">
        <v>25</v>
      </c>
      <c r="C29" s="16" t="s">
        <v>34</v>
      </c>
      <c r="D29" s="16" t="s">
        <v>76</v>
      </c>
      <c r="E29" s="36">
        <v>1.1399999999999999</v>
      </c>
      <c r="F29" s="36">
        <v>2.66</v>
      </c>
      <c r="G29" s="37">
        <v>33.269100000000002</v>
      </c>
      <c r="H29" s="36">
        <v>1.91292327690546</v>
      </c>
    </row>
    <row r="30" spans="1:10" x14ac:dyDescent="0.25">
      <c r="A30" s="14" t="s">
        <v>8</v>
      </c>
      <c r="B30" s="13" t="s">
        <v>26</v>
      </c>
      <c r="C30" s="16" t="s">
        <v>34</v>
      </c>
      <c r="D30" s="16" t="s">
        <v>77</v>
      </c>
      <c r="E30" s="36">
        <v>1.1399999999999999</v>
      </c>
      <c r="F30" s="36">
        <v>2.66</v>
      </c>
      <c r="G30" s="37">
        <v>37.456575000000001</v>
      </c>
      <c r="H30" s="36">
        <v>1.8301659399414849</v>
      </c>
    </row>
    <row r="31" spans="1:10" x14ac:dyDescent="0.25">
      <c r="A31" s="14" t="s">
        <v>8</v>
      </c>
      <c r="B31" s="13" t="s">
        <v>20</v>
      </c>
      <c r="C31" s="16" t="s">
        <v>34</v>
      </c>
      <c r="D31" s="16" t="s">
        <v>78</v>
      </c>
      <c r="E31" s="36">
        <v>1.1399999999999999</v>
      </c>
      <c r="F31" s="36">
        <v>2.66</v>
      </c>
      <c r="G31" s="37">
        <v>41.64405</v>
      </c>
      <c r="H31" s="36">
        <v>1.7484036603295685</v>
      </c>
    </row>
    <row r="32" spans="1:10" x14ac:dyDescent="0.25">
      <c r="A32" s="14" t="s">
        <v>9</v>
      </c>
      <c r="B32" s="15" t="s">
        <v>19</v>
      </c>
      <c r="C32" s="16" t="s">
        <v>21</v>
      </c>
      <c r="D32" s="16" t="s">
        <v>79</v>
      </c>
      <c r="E32" s="36">
        <v>0.73799999999999999</v>
      </c>
      <c r="F32" s="36">
        <v>2.66</v>
      </c>
      <c r="G32" s="37">
        <v>16.7</v>
      </c>
      <c r="H32" s="36">
        <v>2.0189391489013366</v>
      </c>
    </row>
    <row r="33" spans="1:8" x14ac:dyDescent="0.25">
      <c r="A33" s="14" t="s">
        <v>9</v>
      </c>
      <c r="B33" s="13" t="s">
        <v>24</v>
      </c>
      <c r="C33" s="16" t="s">
        <v>21</v>
      </c>
      <c r="D33" s="16" t="s">
        <v>80</v>
      </c>
      <c r="E33" s="36">
        <v>0.73799999999999999</v>
      </c>
      <c r="F33" s="36">
        <v>2.66</v>
      </c>
      <c r="G33" s="37">
        <v>29.536300000000001</v>
      </c>
      <c r="H33" s="36">
        <v>1.7645228952137826</v>
      </c>
    </row>
    <row r="34" spans="1:8" x14ac:dyDescent="0.25">
      <c r="A34" s="14" t="s">
        <v>9</v>
      </c>
      <c r="B34" s="13" t="s">
        <v>25</v>
      </c>
      <c r="C34" s="16" t="s">
        <v>21</v>
      </c>
      <c r="D34" s="16" t="s">
        <v>81</v>
      </c>
      <c r="E34" s="36">
        <v>0.73799999999999999</v>
      </c>
      <c r="F34" s="36">
        <v>2.66</v>
      </c>
      <c r="G34" s="37">
        <v>42.372599999999998</v>
      </c>
      <c r="H34" s="36">
        <v>1.5193249566902141</v>
      </c>
    </row>
    <row r="35" spans="1:8" x14ac:dyDescent="0.25">
      <c r="A35" s="14" t="s">
        <v>9</v>
      </c>
      <c r="B35" s="13" t="s">
        <v>26</v>
      </c>
      <c r="C35" s="16" t="s">
        <v>21</v>
      </c>
      <c r="D35" s="16" t="s">
        <v>82</v>
      </c>
      <c r="E35" s="36">
        <v>0.73799999999999999</v>
      </c>
      <c r="F35" s="36">
        <v>2.66</v>
      </c>
      <c r="G35" s="37">
        <v>48.699599999999997</v>
      </c>
      <c r="H35" s="36">
        <v>1.4017069483982263</v>
      </c>
    </row>
    <row r="36" spans="1:8" x14ac:dyDescent="0.25">
      <c r="A36" s="14" t="s">
        <v>9</v>
      </c>
      <c r="B36" s="13" t="s">
        <v>20</v>
      </c>
      <c r="C36" s="16" t="s">
        <v>21</v>
      </c>
      <c r="D36" s="16" t="s">
        <v>83</v>
      </c>
      <c r="E36" s="36">
        <v>0.73799999999999999</v>
      </c>
      <c r="F36" s="36">
        <v>2.66</v>
      </c>
      <c r="G36" s="37">
        <v>55.026600000000002</v>
      </c>
      <c r="H36" s="36">
        <v>1.2861526599603088</v>
      </c>
    </row>
    <row r="37" spans="1:8" x14ac:dyDescent="0.25">
      <c r="A37" s="14" t="s">
        <v>9</v>
      </c>
      <c r="B37" s="15" t="s">
        <v>19</v>
      </c>
      <c r="C37" s="16" t="s">
        <v>27</v>
      </c>
      <c r="D37" s="16" t="s">
        <v>84</v>
      </c>
      <c r="E37" s="36">
        <v>1.0449999999999999</v>
      </c>
      <c r="F37" s="36">
        <v>2.66</v>
      </c>
      <c r="G37" s="37">
        <v>20.8</v>
      </c>
      <c r="H37" s="36">
        <v>2.0120649364906358</v>
      </c>
    </row>
    <row r="38" spans="1:8" x14ac:dyDescent="0.25">
      <c r="A38" s="14" t="s">
        <v>9</v>
      </c>
      <c r="B38" s="13" t="s">
        <v>24</v>
      </c>
      <c r="C38" s="16" t="s">
        <v>27</v>
      </c>
      <c r="D38" s="16" t="s">
        <v>85</v>
      </c>
      <c r="E38" s="36">
        <v>1.0449999999999999</v>
      </c>
      <c r="F38" s="36">
        <v>2.66</v>
      </c>
      <c r="G38" s="37">
        <v>32.752650000000003</v>
      </c>
      <c r="H38" s="36">
        <v>1.7750958113232198</v>
      </c>
    </row>
    <row r="39" spans="1:8" x14ac:dyDescent="0.25">
      <c r="A39" s="14" t="s">
        <v>9</v>
      </c>
      <c r="B39" s="13" t="s">
        <v>25</v>
      </c>
      <c r="C39" s="16" t="s">
        <v>27</v>
      </c>
      <c r="D39" s="16" t="s">
        <v>86</v>
      </c>
      <c r="E39" s="36">
        <v>1.0449999999999999</v>
      </c>
      <c r="F39" s="36">
        <v>2.66</v>
      </c>
      <c r="G39" s="37">
        <v>44.705300000000001</v>
      </c>
      <c r="H39" s="36">
        <v>1.5461378972726323</v>
      </c>
    </row>
    <row r="40" spans="1:8" x14ac:dyDescent="0.25">
      <c r="A40" s="14" t="s">
        <v>9</v>
      </c>
      <c r="B40" s="13" t="s">
        <v>26</v>
      </c>
      <c r="C40" s="16" t="s">
        <v>27</v>
      </c>
      <c r="D40" s="16" t="s">
        <v>87</v>
      </c>
      <c r="E40" s="36">
        <v>1.0449999999999999</v>
      </c>
      <c r="F40" s="36">
        <v>2.66</v>
      </c>
      <c r="G40" s="37">
        <v>48.618049999999997</v>
      </c>
      <c r="H40" s="36">
        <v>1.4728599663860922</v>
      </c>
    </row>
    <row r="41" spans="1:8" x14ac:dyDescent="0.25">
      <c r="A41" s="14" t="s">
        <v>9</v>
      </c>
      <c r="B41" s="13" t="s">
        <v>20</v>
      </c>
      <c r="C41" s="16" t="s">
        <v>27</v>
      </c>
      <c r="D41" s="16" t="s">
        <v>88</v>
      </c>
      <c r="E41" s="36">
        <v>1.0449999999999999</v>
      </c>
      <c r="F41" s="36">
        <v>2.66</v>
      </c>
      <c r="G41" s="37">
        <v>52.530799999999999</v>
      </c>
      <c r="H41" s="36">
        <v>1.4003841153982108</v>
      </c>
    </row>
    <row r="42" spans="1:8" x14ac:dyDescent="0.25">
      <c r="A42" s="14" t="s">
        <v>9</v>
      </c>
      <c r="B42" s="15" t="s">
        <v>19</v>
      </c>
      <c r="C42" s="16" t="s">
        <v>34</v>
      </c>
      <c r="D42" s="16" t="s">
        <v>89</v>
      </c>
      <c r="E42" s="36">
        <v>1.21</v>
      </c>
      <c r="F42" s="36">
        <v>2.66</v>
      </c>
      <c r="G42" s="37">
        <v>22.3</v>
      </c>
      <c r="H42" s="36">
        <v>2.1345582679396395</v>
      </c>
    </row>
    <row r="43" spans="1:8" x14ac:dyDescent="0.25">
      <c r="A43" s="14" t="s">
        <v>9</v>
      </c>
      <c r="B43" s="13" t="s">
        <v>24</v>
      </c>
      <c r="C43" s="16" t="s">
        <v>34</v>
      </c>
      <c r="D43" s="16" t="s">
        <v>90</v>
      </c>
      <c r="E43" s="36">
        <v>1.21</v>
      </c>
      <c r="F43" s="36">
        <v>2.66</v>
      </c>
      <c r="G43" s="37">
        <v>30.851800000000001</v>
      </c>
      <c r="H43" s="36">
        <v>1.9611566654782737</v>
      </c>
    </row>
    <row r="44" spans="1:8" x14ac:dyDescent="0.25">
      <c r="A44" s="14" t="s">
        <v>9</v>
      </c>
      <c r="B44" s="13" t="s">
        <v>25</v>
      </c>
      <c r="C44" s="16" t="s">
        <v>34</v>
      </c>
      <c r="D44" s="16" t="s">
        <v>91</v>
      </c>
      <c r="E44" s="36">
        <v>1.21</v>
      </c>
      <c r="F44" s="36">
        <v>2.66</v>
      </c>
      <c r="G44" s="37">
        <v>39.403599999999997</v>
      </c>
      <c r="H44" s="36">
        <v>1.7920267479805787</v>
      </c>
    </row>
    <row r="45" spans="1:8" x14ac:dyDescent="0.25">
      <c r="A45" s="14" t="s">
        <v>9</v>
      </c>
      <c r="B45" s="13" t="s">
        <v>26</v>
      </c>
      <c r="C45" s="16" t="s">
        <v>34</v>
      </c>
      <c r="D45" s="16" t="s">
        <v>92</v>
      </c>
      <c r="E45" s="36">
        <v>1.21</v>
      </c>
      <c r="F45" s="36">
        <v>2.66</v>
      </c>
      <c r="G45" s="37">
        <v>42.950049999999997</v>
      </c>
      <c r="H45" s="36">
        <v>1.7231041809041905</v>
      </c>
    </row>
    <row r="46" spans="1:8" x14ac:dyDescent="0.25">
      <c r="A46" s="14" t="s">
        <v>9</v>
      </c>
      <c r="B46" s="13" t="s">
        <v>20</v>
      </c>
      <c r="C46" s="16" t="s">
        <v>34</v>
      </c>
      <c r="D46" s="16" t="s">
        <v>93</v>
      </c>
      <c r="E46" s="36">
        <v>1.21</v>
      </c>
      <c r="F46" s="36">
        <v>2.66</v>
      </c>
      <c r="G46" s="37">
        <v>46.496499999999997</v>
      </c>
      <c r="H46" s="36">
        <v>1.6548786087300773</v>
      </c>
    </row>
    <row r="47" spans="1:8" x14ac:dyDescent="0.25">
      <c r="A47" s="14" t="s">
        <v>10</v>
      </c>
      <c r="B47" s="15" t="s">
        <v>19</v>
      </c>
      <c r="C47" s="16" t="s">
        <v>21</v>
      </c>
      <c r="D47" s="16" t="s">
        <v>94</v>
      </c>
      <c r="E47" s="36">
        <v>0.98100000000000009</v>
      </c>
      <c r="F47" s="36">
        <v>2.66</v>
      </c>
      <c r="G47" s="37">
        <v>27.8</v>
      </c>
      <c r="H47" s="36">
        <v>1.7983860215163252</v>
      </c>
    </row>
    <row r="48" spans="1:8" x14ac:dyDescent="0.25">
      <c r="A48" s="14" t="s">
        <v>10</v>
      </c>
      <c r="B48" s="13" t="s">
        <v>24</v>
      </c>
      <c r="C48" s="16" t="s">
        <v>21</v>
      </c>
      <c r="D48" s="16" t="s">
        <v>95</v>
      </c>
      <c r="E48" s="36">
        <v>0.98100000000000009</v>
      </c>
      <c r="F48" s="36">
        <v>2.66</v>
      </c>
      <c r="G48" s="37">
        <v>34.434699999999999</v>
      </c>
      <c r="H48" s="36">
        <v>1.6698939161678241</v>
      </c>
    </row>
    <row r="49" spans="1:8" x14ac:dyDescent="0.25">
      <c r="A49" s="14" t="s">
        <v>10</v>
      </c>
      <c r="B49" s="13" t="s">
        <v>25</v>
      </c>
      <c r="C49" s="16" t="s">
        <v>21</v>
      </c>
      <c r="D49" s="16" t="s">
        <v>96</v>
      </c>
      <c r="E49" s="36">
        <v>0.98100000000000009</v>
      </c>
      <c r="F49" s="36">
        <v>2.66</v>
      </c>
      <c r="G49" s="37">
        <v>41.069400000000002</v>
      </c>
      <c r="H49" s="36">
        <v>1.5438126270151376</v>
      </c>
    </row>
    <row r="50" spans="1:8" x14ac:dyDescent="0.25">
      <c r="A50" s="14" t="s">
        <v>10</v>
      </c>
      <c r="B50" s="13" t="s">
        <v>26</v>
      </c>
      <c r="C50" s="16" t="s">
        <v>21</v>
      </c>
      <c r="D50" s="16" t="s">
        <v>97</v>
      </c>
      <c r="E50" s="36">
        <v>0.98100000000000009</v>
      </c>
      <c r="F50" s="36">
        <v>2.66</v>
      </c>
      <c r="G50" s="37">
        <v>44.840625000000003</v>
      </c>
      <c r="H50" s="36">
        <v>1.4731957172190888</v>
      </c>
    </row>
    <row r="51" spans="1:8" x14ac:dyDescent="0.25">
      <c r="A51" s="14" t="s">
        <v>10</v>
      </c>
      <c r="B51" s="13" t="s">
        <v>20</v>
      </c>
      <c r="C51" s="16" t="s">
        <v>21</v>
      </c>
      <c r="D51" s="16" t="s">
        <v>98</v>
      </c>
      <c r="E51" s="36">
        <v>0.98100000000000009</v>
      </c>
      <c r="F51" s="36">
        <v>2.66</v>
      </c>
      <c r="G51" s="37">
        <v>48.611849999999997</v>
      </c>
      <c r="H51" s="36">
        <v>1.4033239689418302</v>
      </c>
    </row>
    <row r="52" spans="1:8" x14ac:dyDescent="0.25">
      <c r="A52" s="14" t="s">
        <v>10</v>
      </c>
      <c r="B52" s="15" t="s">
        <v>19</v>
      </c>
      <c r="C52" s="16" t="s">
        <v>27</v>
      </c>
      <c r="D52" s="16" t="s">
        <v>99</v>
      </c>
      <c r="E52" s="36">
        <v>1.1020000000000001</v>
      </c>
      <c r="F52" s="36">
        <v>2.66</v>
      </c>
      <c r="G52" s="37">
        <v>17.3</v>
      </c>
      <c r="H52" s="36">
        <v>2.0830322612987535</v>
      </c>
    </row>
    <row r="53" spans="1:8" x14ac:dyDescent="0.25">
      <c r="A53" s="14" t="s">
        <v>10</v>
      </c>
      <c r="B53" s="13" t="s">
        <v>24</v>
      </c>
      <c r="C53" s="16" t="s">
        <v>27</v>
      </c>
      <c r="D53" s="16" t="s">
        <v>100</v>
      </c>
      <c r="E53" s="36">
        <v>1.1020000000000001</v>
      </c>
      <c r="F53" s="36">
        <v>2.66</v>
      </c>
      <c r="G53" s="37">
        <v>24.251550000000002</v>
      </c>
      <c r="H53" s="36">
        <v>1.9427885122484634</v>
      </c>
    </row>
    <row r="54" spans="1:8" x14ac:dyDescent="0.25">
      <c r="A54" s="14" t="s">
        <v>10</v>
      </c>
      <c r="B54" s="13" t="s">
        <v>25</v>
      </c>
      <c r="C54" s="16" t="s">
        <v>27</v>
      </c>
      <c r="D54" s="16" t="s">
        <v>101</v>
      </c>
      <c r="E54" s="36">
        <v>1.1020000000000001</v>
      </c>
      <c r="F54" s="36">
        <v>2.66</v>
      </c>
      <c r="G54" s="37">
        <v>31.203099999999999</v>
      </c>
      <c r="H54" s="36">
        <v>1.8053558895590422</v>
      </c>
    </row>
    <row r="55" spans="1:8" x14ac:dyDescent="0.25">
      <c r="A55" s="14" t="s">
        <v>10</v>
      </c>
      <c r="B55" s="13" t="s">
        <v>26</v>
      </c>
      <c r="C55" s="16" t="s">
        <v>27</v>
      </c>
      <c r="D55" s="16" t="s">
        <v>102</v>
      </c>
      <c r="E55" s="36">
        <v>1.1020000000000001</v>
      </c>
      <c r="F55" s="36">
        <v>2.66</v>
      </c>
      <c r="G55" s="37">
        <v>35.981650000000002</v>
      </c>
      <c r="H55" s="36">
        <v>1.7124703801879264</v>
      </c>
    </row>
    <row r="56" spans="1:8" x14ac:dyDescent="0.25">
      <c r="A56" s="14" t="s">
        <v>10</v>
      </c>
      <c r="B56" s="13" t="s">
        <v>20</v>
      </c>
      <c r="C56" s="16" t="s">
        <v>27</v>
      </c>
      <c r="D56" s="16" t="s">
        <v>103</v>
      </c>
      <c r="E56" s="36">
        <v>1.1020000000000001</v>
      </c>
      <c r="F56" s="36">
        <v>2.66</v>
      </c>
      <c r="G56" s="37">
        <v>40.760199999999998</v>
      </c>
      <c r="H56" s="36">
        <v>1.6208473263822605</v>
      </c>
    </row>
    <row r="57" spans="1:8" x14ac:dyDescent="0.25">
      <c r="A57" s="14" t="s">
        <v>10</v>
      </c>
      <c r="B57" s="15" t="s">
        <v>19</v>
      </c>
      <c r="C57" s="16" t="s">
        <v>34</v>
      </c>
      <c r="D57" s="16" t="s">
        <v>104</v>
      </c>
      <c r="E57" s="36">
        <v>1.1950000000000001</v>
      </c>
      <c r="F57" s="36">
        <v>2.66</v>
      </c>
      <c r="G57" s="37">
        <v>16.3</v>
      </c>
      <c r="H57" s="36">
        <v>2.2588556567921478</v>
      </c>
    </row>
    <row r="58" spans="1:8" x14ac:dyDescent="0.25">
      <c r="A58" s="14" t="s">
        <v>10</v>
      </c>
      <c r="B58" s="13" t="s">
        <v>24</v>
      </c>
      <c r="C58" s="16" t="s">
        <v>34</v>
      </c>
      <c r="D58" s="16" t="s">
        <v>105</v>
      </c>
      <c r="E58" s="36">
        <v>1.1950000000000001</v>
      </c>
      <c r="F58" s="36">
        <v>2.66</v>
      </c>
      <c r="G58" s="37">
        <v>25.335550000000001</v>
      </c>
      <c r="H58" s="36">
        <v>2.0725084289746762</v>
      </c>
    </row>
    <row r="59" spans="1:8" x14ac:dyDescent="0.25">
      <c r="A59" s="14" t="s">
        <v>10</v>
      </c>
      <c r="B59" s="13" t="s">
        <v>25</v>
      </c>
      <c r="C59" s="16" t="s">
        <v>34</v>
      </c>
      <c r="D59" s="16" t="s">
        <v>106</v>
      </c>
      <c r="E59" s="36">
        <v>1.1950000000000001</v>
      </c>
      <c r="F59" s="36">
        <v>2.66</v>
      </c>
      <c r="G59" s="37">
        <v>34.371099999999998</v>
      </c>
      <c r="H59" s="36">
        <v>1.8910468866838783</v>
      </c>
    </row>
    <row r="60" spans="1:8" x14ac:dyDescent="0.25">
      <c r="A60" s="14" t="s">
        <v>10</v>
      </c>
      <c r="B60" s="13" t="s">
        <v>26</v>
      </c>
      <c r="C60" s="16" t="s">
        <v>34</v>
      </c>
      <c r="D60" s="16" t="s">
        <v>107</v>
      </c>
      <c r="E60" s="36">
        <v>1.1950000000000001</v>
      </c>
      <c r="F60" s="36">
        <v>2.66</v>
      </c>
      <c r="G60" s="37">
        <v>39.157974999999993</v>
      </c>
      <c r="H60" s="36">
        <v>1.796826364945912</v>
      </c>
    </row>
    <row r="61" spans="1:8" x14ac:dyDescent="0.25">
      <c r="A61" s="14" t="s">
        <v>10</v>
      </c>
      <c r="B61" s="13" t="s">
        <v>20</v>
      </c>
      <c r="C61" s="16" t="s">
        <v>34</v>
      </c>
      <c r="D61" s="16" t="s">
        <v>108</v>
      </c>
      <c r="E61" s="36">
        <v>1.1950000000000001</v>
      </c>
      <c r="F61" s="36">
        <v>2.66</v>
      </c>
      <c r="G61" s="37">
        <v>43.944850000000002</v>
      </c>
      <c r="H61" s="36">
        <v>1.703896630739365</v>
      </c>
    </row>
    <row r="62" spans="1:8" x14ac:dyDescent="0.25">
      <c r="A62" s="14" t="s">
        <v>11</v>
      </c>
      <c r="B62" s="15" t="s">
        <v>19</v>
      </c>
      <c r="C62" s="16" t="s">
        <v>21</v>
      </c>
      <c r="D62" s="16" t="s">
        <v>109</v>
      </c>
      <c r="E62" s="36">
        <v>1.026</v>
      </c>
      <c r="F62" s="36">
        <v>2.66</v>
      </c>
      <c r="G62" s="37">
        <v>27.8</v>
      </c>
      <c r="H62" s="36">
        <v>1.7983860215163252</v>
      </c>
    </row>
    <row r="63" spans="1:8" x14ac:dyDescent="0.25">
      <c r="A63" s="14" t="s">
        <v>11</v>
      </c>
      <c r="B63" s="13" t="s">
        <v>24</v>
      </c>
      <c r="C63" s="16" t="s">
        <v>21</v>
      </c>
      <c r="D63" s="16" t="s">
        <v>110</v>
      </c>
      <c r="E63" s="36">
        <v>1.026</v>
      </c>
      <c r="F63" s="36">
        <v>2.66</v>
      </c>
      <c r="G63" s="37">
        <v>34.434699999999999</v>
      </c>
      <c r="H63" s="36">
        <v>1.6698939161678241</v>
      </c>
    </row>
    <row r="64" spans="1:8" x14ac:dyDescent="0.25">
      <c r="A64" s="14" t="s">
        <v>11</v>
      </c>
      <c r="B64" s="13" t="s">
        <v>25</v>
      </c>
      <c r="C64" s="16" t="s">
        <v>21</v>
      </c>
      <c r="D64" s="16" t="s">
        <v>111</v>
      </c>
      <c r="E64" s="36">
        <v>1.026</v>
      </c>
      <c r="F64" s="36">
        <v>2.66</v>
      </c>
      <c r="G64" s="37">
        <v>41.069400000000002</v>
      </c>
      <c r="H64" s="36">
        <v>1.5438126270151376</v>
      </c>
    </row>
    <row r="65" spans="1:8" x14ac:dyDescent="0.25">
      <c r="A65" s="14" t="s">
        <v>11</v>
      </c>
      <c r="B65" s="13" t="s">
        <v>26</v>
      </c>
      <c r="C65" s="16" t="s">
        <v>21</v>
      </c>
      <c r="D65" s="16" t="s">
        <v>112</v>
      </c>
      <c r="E65" s="36">
        <v>1.026</v>
      </c>
      <c r="F65" s="36">
        <v>2.66</v>
      </c>
      <c r="G65" s="37">
        <v>44.982149999999997</v>
      </c>
      <c r="H65" s="36">
        <v>1.4705602153265849</v>
      </c>
    </row>
    <row r="66" spans="1:8" x14ac:dyDescent="0.25">
      <c r="A66" s="14" t="s">
        <v>11</v>
      </c>
      <c r="B66" s="13" t="s">
        <v>20</v>
      </c>
      <c r="C66" s="16" t="s">
        <v>21</v>
      </c>
      <c r="D66" s="16" t="s">
        <v>113</v>
      </c>
      <c r="E66" s="36">
        <v>1.026</v>
      </c>
      <c r="F66" s="36">
        <v>2.66</v>
      </c>
      <c r="G66" s="37">
        <v>48.8949</v>
      </c>
      <c r="H66" s="36">
        <v>1.3981094657311721</v>
      </c>
    </row>
    <row r="67" spans="1:8" x14ac:dyDescent="0.25">
      <c r="A67" s="14" t="s">
        <v>11</v>
      </c>
      <c r="B67" s="15" t="s">
        <v>19</v>
      </c>
      <c r="C67" s="16" t="s">
        <v>27</v>
      </c>
      <c r="D67" s="16" t="s">
        <v>114</v>
      </c>
      <c r="E67" s="36">
        <v>1.33</v>
      </c>
      <c r="F67" s="36">
        <v>2.66</v>
      </c>
      <c r="G67" s="37">
        <v>22.7</v>
      </c>
      <c r="H67" s="36">
        <v>1.9738434719829827</v>
      </c>
    </row>
    <row r="68" spans="1:8" x14ac:dyDescent="0.25">
      <c r="A68" s="14" t="s">
        <v>11</v>
      </c>
      <c r="B68" s="13" t="s">
        <v>24</v>
      </c>
      <c r="C68" s="16" t="s">
        <v>27</v>
      </c>
      <c r="D68" s="16" t="s">
        <v>115</v>
      </c>
      <c r="E68" s="36">
        <v>1.33</v>
      </c>
      <c r="F68" s="36">
        <v>2.66</v>
      </c>
      <c r="G68" s="37">
        <v>32.635449999999999</v>
      </c>
      <c r="H68" s="36">
        <v>1.777379811540847</v>
      </c>
    </row>
    <row r="69" spans="1:8" x14ac:dyDescent="0.25">
      <c r="A69" s="14" t="s">
        <v>11</v>
      </c>
      <c r="B69" s="13" t="s">
        <v>25</v>
      </c>
      <c r="C69" s="16" t="s">
        <v>27</v>
      </c>
      <c r="D69" s="16" t="s">
        <v>116</v>
      </c>
      <c r="E69" s="36">
        <v>1.33</v>
      </c>
      <c r="F69" s="36">
        <v>2.66</v>
      </c>
      <c r="G69" s="37">
        <v>42.570900000000002</v>
      </c>
      <c r="H69" s="36">
        <v>1.5864537930654292</v>
      </c>
    </row>
    <row r="70" spans="1:8" x14ac:dyDescent="0.25">
      <c r="A70" s="14" t="s">
        <v>11</v>
      </c>
      <c r="B70" s="13" t="s">
        <v>26</v>
      </c>
      <c r="C70" s="16" t="s">
        <v>27</v>
      </c>
      <c r="D70" s="16" t="s">
        <v>117</v>
      </c>
      <c r="E70" s="36">
        <v>1.33</v>
      </c>
      <c r="F70" s="36">
        <v>2.66</v>
      </c>
      <c r="G70" s="37">
        <v>45.101699999999987</v>
      </c>
      <c r="H70" s="36">
        <v>1.5386772267094113</v>
      </c>
    </row>
    <row r="71" spans="1:8" x14ac:dyDescent="0.25">
      <c r="A71" s="14" t="s">
        <v>11</v>
      </c>
      <c r="B71" s="13" t="s">
        <v>20</v>
      </c>
      <c r="C71" s="16" t="s">
        <v>27</v>
      </c>
      <c r="D71" s="16" t="s">
        <v>118</v>
      </c>
      <c r="E71" s="36">
        <v>1.33</v>
      </c>
      <c r="F71" s="36">
        <v>2.66</v>
      </c>
      <c r="G71" s="37">
        <v>47.6325</v>
      </c>
      <c r="H71" s="36">
        <v>1.4912412416924985</v>
      </c>
    </row>
    <row r="72" spans="1:8" x14ac:dyDescent="0.25">
      <c r="A72" s="14" t="s">
        <v>11</v>
      </c>
      <c r="B72" s="15" t="s">
        <v>19</v>
      </c>
      <c r="C72" s="16" t="s">
        <v>34</v>
      </c>
      <c r="D72" s="16" t="s">
        <v>119</v>
      </c>
      <c r="E72" s="36">
        <v>1.4</v>
      </c>
      <c r="F72" s="36">
        <v>2.66</v>
      </c>
      <c r="G72" s="37">
        <v>11.3</v>
      </c>
      <c r="H72" s="36">
        <v>2.3641471332811705</v>
      </c>
    </row>
    <row r="73" spans="1:8" x14ac:dyDescent="0.25">
      <c r="A73" s="14" t="s">
        <v>11</v>
      </c>
      <c r="B73" s="13" t="s">
        <v>24</v>
      </c>
      <c r="C73" s="16" t="s">
        <v>34</v>
      </c>
      <c r="D73" s="16" t="s">
        <v>120</v>
      </c>
      <c r="E73" s="36">
        <v>1.4</v>
      </c>
      <c r="F73" s="36">
        <v>2.66</v>
      </c>
      <c r="G73" s="37">
        <v>15.91775</v>
      </c>
      <c r="H73" s="36">
        <v>2.2668497780387487</v>
      </c>
    </row>
    <row r="74" spans="1:8" x14ac:dyDescent="0.25">
      <c r="A74" s="14" t="s">
        <v>11</v>
      </c>
      <c r="B74" s="13" t="s">
        <v>25</v>
      </c>
      <c r="C74" s="16" t="s">
        <v>34</v>
      </c>
      <c r="D74" s="16" t="s">
        <v>121</v>
      </c>
      <c r="E74" s="36">
        <v>1.4</v>
      </c>
      <c r="F74" s="36">
        <v>2.66</v>
      </c>
      <c r="G74" s="37">
        <v>20.535499999999999</v>
      </c>
      <c r="H74" s="36">
        <v>2.1708828336639723</v>
      </c>
    </row>
    <row r="75" spans="1:8" x14ac:dyDescent="0.25">
      <c r="A75" s="14" t="s">
        <v>11</v>
      </c>
      <c r="B75" s="13" t="s">
        <v>26</v>
      </c>
      <c r="C75" s="16" t="s">
        <v>34</v>
      </c>
      <c r="D75" s="16" t="s">
        <v>122</v>
      </c>
      <c r="E75" s="36">
        <v>1.4</v>
      </c>
      <c r="F75" s="36">
        <v>2.66</v>
      </c>
      <c r="G75" s="37">
        <v>26.47955</v>
      </c>
      <c r="H75" s="36">
        <v>2.0492673066504357</v>
      </c>
    </row>
    <row r="76" spans="1:8" x14ac:dyDescent="0.25">
      <c r="A76" s="14" t="s">
        <v>11</v>
      </c>
      <c r="B76" s="13" t="s">
        <v>20</v>
      </c>
      <c r="C76" s="16" t="s">
        <v>34</v>
      </c>
      <c r="D76" s="16" t="s">
        <v>123</v>
      </c>
      <c r="E76" s="36">
        <v>1.4</v>
      </c>
      <c r="F76" s="36">
        <v>2.66</v>
      </c>
      <c r="G76" s="37">
        <v>32.4236</v>
      </c>
      <c r="H76" s="36">
        <v>1.9297553076314122</v>
      </c>
    </row>
    <row r="77" spans="1:8" x14ac:dyDescent="0.25">
      <c r="A77" s="14" t="s">
        <v>12</v>
      </c>
      <c r="B77" s="15" t="s">
        <v>19</v>
      </c>
      <c r="C77" s="16" t="s">
        <v>21</v>
      </c>
      <c r="D77" s="16" t="s">
        <v>124</v>
      </c>
      <c r="E77" s="36">
        <v>1.026</v>
      </c>
      <c r="F77" s="36">
        <v>2.66</v>
      </c>
      <c r="G77" s="37">
        <v>27.1</v>
      </c>
      <c r="H77" s="36">
        <v>1.8120861255208578</v>
      </c>
    </row>
    <row r="78" spans="1:8" x14ac:dyDescent="0.25">
      <c r="A78" s="14" t="s">
        <v>12</v>
      </c>
      <c r="B78" s="13" t="s">
        <v>24</v>
      </c>
      <c r="C78" s="16" t="s">
        <v>21</v>
      </c>
      <c r="D78" s="16" t="s">
        <v>125</v>
      </c>
      <c r="E78" s="36">
        <v>1.026</v>
      </c>
      <c r="F78" s="36">
        <v>2.66</v>
      </c>
      <c r="G78" s="37">
        <v>37.152150000000013</v>
      </c>
      <c r="H78" s="36">
        <v>1.6179657387216591</v>
      </c>
    </row>
    <row r="79" spans="1:8" x14ac:dyDescent="0.25">
      <c r="A79" s="14" t="s">
        <v>12</v>
      </c>
      <c r="B79" s="13" t="s">
        <v>25</v>
      </c>
      <c r="C79" s="16" t="s">
        <v>21</v>
      </c>
      <c r="D79" s="16" t="s">
        <v>126</v>
      </c>
      <c r="E79" s="36">
        <v>1.026</v>
      </c>
      <c r="F79" s="36">
        <v>2.66</v>
      </c>
      <c r="G79" s="37">
        <v>47.204300000000003</v>
      </c>
      <c r="H79" s="36">
        <v>1.4293160838841443</v>
      </c>
    </row>
    <row r="80" spans="1:8" x14ac:dyDescent="0.25">
      <c r="A80" s="14" t="s">
        <v>12</v>
      </c>
      <c r="B80" s="13" t="s">
        <v>26</v>
      </c>
      <c r="C80" s="16" t="s">
        <v>21</v>
      </c>
      <c r="D80" s="16" t="s">
        <v>127</v>
      </c>
      <c r="E80" s="36">
        <v>1.026</v>
      </c>
      <c r="F80" s="36">
        <v>2.66</v>
      </c>
      <c r="G80" s="37">
        <v>50.684150000000002</v>
      </c>
      <c r="H80" s="36">
        <v>1.3652422049844346</v>
      </c>
    </row>
    <row r="81" spans="1:8" x14ac:dyDescent="0.25">
      <c r="A81" s="14" t="s">
        <v>12</v>
      </c>
      <c r="B81" s="13" t="s">
        <v>20</v>
      </c>
      <c r="C81" s="16" t="s">
        <v>21</v>
      </c>
      <c r="D81" s="16" t="s">
        <v>128</v>
      </c>
      <c r="E81" s="36">
        <v>1.026</v>
      </c>
      <c r="F81" s="36">
        <v>2.66</v>
      </c>
      <c r="G81" s="37">
        <v>54.164000000000001</v>
      </c>
      <c r="H81" s="36">
        <v>1.3017873969800675</v>
      </c>
    </row>
    <row r="82" spans="1:8" x14ac:dyDescent="0.25">
      <c r="A82" s="14" t="s">
        <v>12</v>
      </c>
      <c r="B82" s="15" t="s">
        <v>19</v>
      </c>
      <c r="C82" s="16" t="s">
        <v>27</v>
      </c>
      <c r="D82" s="16" t="s">
        <v>129</v>
      </c>
      <c r="E82" s="36">
        <v>1.083</v>
      </c>
      <c r="F82" s="36">
        <v>2.66</v>
      </c>
      <c r="G82" s="37">
        <v>21.4</v>
      </c>
      <c r="H82" s="36">
        <v>1.9999720538854799</v>
      </c>
    </row>
    <row r="83" spans="1:8" x14ac:dyDescent="0.25">
      <c r="A83" s="14" t="s">
        <v>12</v>
      </c>
      <c r="B83" s="13" t="s">
        <v>24</v>
      </c>
      <c r="C83" s="16" t="s">
        <v>27</v>
      </c>
      <c r="D83" s="16" t="s">
        <v>130</v>
      </c>
      <c r="E83" s="36">
        <v>1.083</v>
      </c>
      <c r="F83" s="36">
        <v>2.66</v>
      </c>
      <c r="G83" s="37">
        <v>32.335599999999999</v>
      </c>
      <c r="H83" s="36">
        <v>1.7832268130924558</v>
      </c>
    </row>
    <row r="84" spans="1:8" x14ac:dyDescent="0.25">
      <c r="A84" s="14" t="s">
        <v>12</v>
      </c>
      <c r="B84" s="13" t="s">
        <v>25</v>
      </c>
      <c r="C84" s="16" t="s">
        <v>27</v>
      </c>
      <c r="D84" s="16" t="s">
        <v>131</v>
      </c>
      <c r="E84" s="36">
        <v>1.083</v>
      </c>
      <c r="F84" s="36">
        <v>2.66</v>
      </c>
      <c r="G84" s="37">
        <v>43.2712</v>
      </c>
      <c r="H84" s="36">
        <v>1.5731992024133361</v>
      </c>
    </row>
    <row r="85" spans="1:8" x14ac:dyDescent="0.25">
      <c r="A85" s="14" t="s">
        <v>12</v>
      </c>
      <c r="B85" s="13" t="s">
        <v>26</v>
      </c>
      <c r="C85" s="16" t="s">
        <v>27</v>
      </c>
      <c r="D85" s="16" t="s">
        <v>132</v>
      </c>
      <c r="E85" s="36">
        <v>1.083</v>
      </c>
      <c r="F85" s="36">
        <v>2.66</v>
      </c>
      <c r="G85" s="37">
        <v>46.251550000000002</v>
      </c>
      <c r="H85" s="36">
        <v>1.5170830442615277</v>
      </c>
    </row>
    <row r="86" spans="1:8" x14ac:dyDescent="0.25">
      <c r="A86" s="14" t="s">
        <v>12</v>
      </c>
      <c r="B86" s="13" t="s">
        <v>20</v>
      </c>
      <c r="C86" s="16" t="s">
        <v>27</v>
      </c>
      <c r="D86" s="16" t="s">
        <v>133</v>
      </c>
      <c r="E86" s="36">
        <v>1.083</v>
      </c>
      <c r="F86" s="36">
        <v>2.66</v>
      </c>
      <c r="G86" s="37">
        <v>49.231900000000003</v>
      </c>
      <c r="H86" s="36">
        <v>1.4614369166924464</v>
      </c>
    </row>
    <row r="87" spans="1:8" x14ac:dyDescent="0.25">
      <c r="A87" s="14" t="s">
        <v>12</v>
      </c>
      <c r="B87" s="15" t="s">
        <v>19</v>
      </c>
      <c r="C87" s="16" t="s">
        <v>34</v>
      </c>
      <c r="D87" s="16" t="s">
        <v>134</v>
      </c>
      <c r="E87" s="36">
        <v>1.39</v>
      </c>
      <c r="F87" s="36">
        <v>2.66</v>
      </c>
      <c r="G87" s="37">
        <v>29.2</v>
      </c>
      <c r="H87" s="36">
        <v>1.9943117629640308</v>
      </c>
    </row>
    <row r="88" spans="1:8" x14ac:dyDescent="0.25">
      <c r="A88" s="14" t="s">
        <v>12</v>
      </c>
      <c r="B88" s="13" t="s">
        <v>24</v>
      </c>
      <c r="C88" s="16" t="s">
        <v>34</v>
      </c>
      <c r="D88" s="16" t="s">
        <v>135</v>
      </c>
      <c r="E88" s="36">
        <v>1.39</v>
      </c>
      <c r="F88" s="36">
        <v>2.66</v>
      </c>
      <c r="G88" s="37">
        <v>34.934399999999997</v>
      </c>
      <c r="H88" s="36">
        <v>1.8798915130910372</v>
      </c>
    </row>
    <row r="89" spans="1:8" x14ac:dyDescent="0.25">
      <c r="A89" s="14" t="s">
        <v>12</v>
      </c>
      <c r="B89" s="13" t="s">
        <v>25</v>
      </c>
      <c r="C89" s="16" t="s">
        <v>34</v>
      </c>
      <c r="D89" s="16" t="s">
        <v>136</v>
      </c>
      <c r="E89" s="36">
        <v>1.39</v>
      </c>
      <c r="F89" s="36">
        <v>2.66</v>
      </c>
      <c r="G89" s="37">
        <v>40.668799999999997</v>
      </c>
      <c r="H89" s="36">
        <v>1.767357902004423</v>
      </c>
    </row>
    <row r="90" spans="1:8" x14ac:dyDescent="0.25">
      <c r="A90" s="14" t="s">
        <v>12</v>
      </c>
      <c r="B90" s="13" t="s">
        <v>26</v>
      </c>
      <c r="C90" s="16" t="s">
        <v>34</v>
      </c>
      <c r="D90" s="16" t="s">
        <v>137</v>
      </c>
      <c r="E90" s="36">
        <v>1.39</v>
      </c>
      <c r="F90" s="36">
        <v>2.66</v>
      </c>
      <c r="G90" s="37">
        <v>42.350450000000002</v>
      </c>
      <c r="H90" s="36">
        <v>1.7347077023083148</v>
      </c>
    </row>
    <row r="91" spans="1:8" x14ac:dyDescent="0.25">
      <c r="A91" s="14" t="s">
        <v>12</v>
      </c>
      <c r="B91" s="13" t="s">
        <v>20</v>
      </c>
      <c r="C91" s="16" t="s">
        <v>34</v>
      </c>
      <c r="D91" s="16" t="s">
        <v>138</v>
      </c>
      <c r="E91" s="36">
        <v>1.39</v>
      </c>
      <c r="F91" s="36">
        <v>2.66</v>
      </c>
      <c r="G91" s="37">
        <v>44.0321</v>
      </c>
      <c r="H91" s="36">
        <v>1.7022146200559556</v>
      </c>
    </row>
    <row r="92" spans="1:8" x14ac:dyDescent="0.25">
      <c r="A92" s="14" t="s">
        <v>13</v>
      </c>
      <c r="B92" s="15" t="s">
        <v>19</v>
      </c>
      <c r="C92" s="16" t="s">
        <v>21</v>
      </c>
      <c r="D92" s="16" t="s">
        <v>139</v>
      </c>
      <c r="E92" s="36">
        <v>1.0215000000000001</v>
      </c>
      <c r="F92" s="36">
        <v>2.66</v>
      </c>
      <c r="G92" s="37">
        <v>21.8</v>
      </c>
      <c r="H92" s="36">
        <v>1.9167201463925647</v>
      </c>
    </row>
    <row r="93" spans="1:8" x14ac:dyDescent="0.25">
      <c r="A93" s="14" t="s">
        <v>13</v>
      </c>
      <c r="B93" s="13" t="s">
        <v>24</v>
      </c>
      <c r="C93" s="16" t="s">
        <v>21</v>
      </c>
      <c r="D93" s="16" t="s">
        <v>140</v>
      </c>
      <c r="E93" s="36">
        <v>1.0215000000000001</v>
      </c>
      <c r="F93" s="36">
        <v>2.66</v>
      </c>
      <c r="G93" s="37">
        <v>30.635249999999999</v>
      </c>
      <c r="H93" s="36">
        <v>1.7431772400474241</v>
      </c>
    </row>
    <row r="94" spans="1:8" x14ac:dyDescent="0.25">
      <c r="A94" s="14" t="s">
        <v>13</v>
      </c>
      <c r="B94" s="13" t="s">
        <v>25</v>
      </c>
      <c r="C94" s="16" t="s">
        <v>21</v>
      </c>
      <c r="D94" s="16" t="s">
        <v>141</v>
      </c>
      <c r="E94" s="36">
        <v>1.0215000000000001</v>
      </c>
      <c r="F94" s="36">
        <v>2.66</v>
      </c>
      <c r="G94" s="37">
        <v>39.470500000000001</v>
      </c>
      <c r="H94" s="36">
        <v>1.5739801866666183</v>
      </c>
    </row>
    <row r="95" spans="1:8" x14ac:dyDescent="0.25">
      <c r="A95" s="14" t="s">
        <v>13</v>
      </c>
      <c r="B95" s="13" t="s">
        <v>26</v>
      </c>
      <c r="C95" s="16" t="s">
        <v>21</v>
      </c>
      <c r="D95" s="16" t="s">
        <v>142</v>
      </c>
      <c r="E95" s="36">
        <v>1.0215000000000001</v>
      </c>
      <c r="F95" s="36">
        <v>2.66</v>
      </c>
      <c r="G95" s="37">
        <v>43.791175000000003</v>
      </c>
      <c r="H95" s="36">
        <v>1.4927715322734367</v>
      </c>
    </row>
    <row r="96" spans="1:8" x14ac:dyDescent="0.25">
      <c r="A96" s="14" t="s">
        <v>13</v>
      </c>
      <c r="B96" s="13" t="s">
        <v>20</v>
      </c>
      <c r="C96" s="16" t="s">
        <v>21</v>
      </c>
      <c r="D96" s="16" t="s">
        <v>143</v>
      </c>
      <c r="E96" s="36">
        <v>1.0215000000000001</v>
      </c>
      <c r="F96" s="36">
        <v>2.66</v>
      </c>
      <c r="G96" s="37">
        <v>48.111849999999997</v>
      </c>
      <c r="H96" s="36">
        <v>1.4125453428717472</v>
      </c>
    </row>
    <row r="97" spans="1:8" x14ac:dyDescent="0.25">
      <c r="A97" s="14" t="s">
        <v>13</v>
      </c>
      <c r="B97" s="15" t="s">
        <v>19</v>
      </c>
      <c r="C97" s="16" t="s">
        <v>27</v>
      </c>
      <c r="D97" s="16" t="s">
        <v>144</v>
      </c>
      <c r="E97" s="36">
        <v>1.121</v>
      </c>
      <c r="F97" s="36">
        <v>2.66</v>
      </c>
      <c r="G97" s="37">
        <v>15.4</v>
      </c>
      <c r="H97" s="36">
        <v>2.1218643055281259</v>
      </c>
    </row>
    <row r="98" spans="1:8" x14ac:dyDescent="0.25">
      <c r="A98" s="14" t="s">
        <v>13</v>
      </c>
      <c r="B98" s="13" t="s">
        <v>24</v>
      </c>
      <c r="C98" s="16" t="s">
        <v>27</v>
      </c>
      <c r="D98" s="16" t="s">
        <v>145</v>
      </c>
      <c r="E98" s="36">
        <v>1.121</v>
      </c>
      <c r="F98" s="36">
        <v>2.66</v>
      </c>
      <c r="G98" s="37">
        <v>26.00245</v>
      </c>
      <c r="H98" s="36">
        <v>1.9079115929794914</v>
      </c>
    </row>
    <row r="99" spans="1:8" x14ac:dyDescent="0.25">
      <c r="A99" s="14" t="s">
        <v>13</v>
      </c>
      <c r="B99" s="13" t="s">
        <v>25</v>
      </c>
      <c r="C99" s="16" t="s">
        <v>27</v>
      </c>
      <c r="D99" s="16" t="s">
        <v>146</v>
      </c>
      <c r="E99" s="36">
        <v>1.121</v>
      </c>
      <c r="F99" s="36">
        <v>2.66</v>
      </c>
      <c r="G99" s="37">
        <v>36.604900000000001</v>
      </c>
      <c r="H99" s="36">
        <v>1.7004492595890683</v>
      </c>
    </row>
    <row r="100" spans="1:8" x14ac:dyDescent="0.25">
      <c r="A100" s="14" t="s">
        <v>13</v>
      </c>
      <c r="B100" s="13" t="s">
        <v>26</v>
      </c>
      <c r="C100" s="16" t="s">
        <v>27</v>
      </c>
      <c r="D100" s="16" t="s">
        <v>147</v>
      </c>
      <c r="E100" s="36">
        <v>1.121</v>
      </c>
      <c r="F100" s="36">
        <v>2.66</v>
      </c>
      <c r="G100" s="37">
        <v>38.802700000000002</v>
      </c>
      <c r="H100" s="36">
        <v>1.6582290785612805</v>
      </c>
    </row>
    <row r="101" spans="1:8" x14ac:dyDescent="0.25">
      <c r="A101" s="14" t="s">
        <v>13</v>
      </c>
      <c r="B101" s="13" t="s">
        <v>20</v>
      </c>
      <c r="C101" s="16" t="s">
        <v>27</v>
      </c>
      <c r="D101" s="16" t="s">
        <v>148</v>
      </c>
      <c r="E101" s="36">
        <v>1.121</v>
      </c>
      <c r="F101" s="36">
        <v>2.66</v>
      </c>
      <c r="G101" s="37">
        <v>41.000500000000002</v>
      </c>
      <c r="H101" s="36">
        <v>1.616272732206272</v>
      </c>
    </row>
    <row r="102" spans="1:8" x14ac:dyDescent="0.25">
      <c r="A102" s="14" t="s">
        <v>13</v>
      </c>
      <c r="B102" s="15" t="s">
        <v>19</v>
      </c>
      <c r="C102" s="16" t="s">
        <v>34</v>
      </c>
      <c r="D102" s="16" t="s">
        <v>149</v>
      </c>
      <c r="E102" s="36">
        <v>1.39</v>
      </c>
      <c r="F102" s="36">
        <v>2.66</v>
      </c>
      <c r="G102" s="37">
        <v>17.7</v>
      </c>
      <c r="H102" s="36">
        <v>2.229654575506677</v>
      </c>
    </row>
    <row r="103" spans="1:8" x14ac:dyDescent="0.25">
      <c r="A103" s="14" t="s">
        <v>13</v>
      </c>
      <c r="B103" s="13" t="s">
        <v>24</v>
      </c>
      <c r="C103" s="16" t="s">
        <v>34</v>
      </c>
      <c r="D103" s="16" t="s">
        <v>150</v>
      </c>
      <c r="E103" s="36">
        <v>1.39</v>
      </c>
      <c r="F103" s="36">
        <v>2.66</v>
      </c>
      <c r="G103" s="37">
        <v>27.15175</v>
      </c>
      <c r="H103" s="36">
        <v>2.0356474807577452</v>
      </c>
    </row>
    <row r="104" spans="1:8" x14ac:dyDescent="0.25">
      <c r="A104" s="14" t="s">
        <v>13</v>
      </c>
      <c r="B104" s="13" t="s">
        <v>25</v>
      </c>
      <c r="C104" s="16" t="s">
        <v>34</v>
      </c>
      <c r="D104" s="16" t="s">
        <v>151</v>
      </c>
      <c r="E104" s="36">
        <v>1.39</v>
      </c>
      <c r="F104" s="36">
        <v>2.66</v>
      </c>
      <c r="G104" s="37">
        <v>36.603499999999997</v>
      </c>
      <c r="H104" s="36">
        <v>1.8469440191883799</v>
      </c>
    </row>
    <row r="105" spans="1:8" x14ac:dyDescent="0.25">
      <c r="A105" s="14" t="s">
        <v>13</v>
      </c>
      <c r="B105" s="13" t="s">
        <v>26</v>
      </c>
      <c r="C105" s="16" t="s">
        <v>34</v>
      </c>
      <c r="D105" s="16" t="s">
        <v>152</v>
      </c>
      <c r="E105" s="36">
        <v>1.39</v>
      </c>
      <c r="F105" s="36">
        <v>2.66</v>
      </c>
      <c r="G105" s="37">
        <v>39.417349999999999</v>
      </c>
      <c r="H105" s="36">
        <v>1.791758167505161</v>
      </c>
    </row>
    <row r="106" spans="1:8" x14ac:dyDescent="0.25">
      <c r="A106" s="14" t="s">
        <v>13</v>
      </c>
      <c r="B106" s="13" t="s">
        <v>20</v>
      </c>
      <c r="C106" s="16" t="s">
        <v>34</v>
      </c>
      <c r="D106" s="16" t="s">
        <v>153</v>
      </c>
      <c r="E106" s="36">
        <v>1.39</v>
      </c>
      <c r="F106" s="36">
        <v>2.66</v>
      </c>
      <c r="G106" s="37">
        <v>42.231200000000001</v>
      </c>
      <c r="H106" s="36">
        <v>1.7370178203581566</v>
      </c>
    </row>
    <row r="107" spans="1:8" x14ac:dyDescent="0.25">
      <c r="A107" s="14" t="s">
        <v>14</v>
      </c>
      <c r="B107" s="15" t="s">
        <v>19</v>
      </c>
      <c r="C107" s="16" t="s">
        <v>21</v>
      </c>
      <c r="D107" s="16" t="s">
        <v>154</v>
      </c>
      <c r="E107" s="36">
        <v>0.83699999999999997</v>
      </c>
      <c r="F107" s="36">
        <v>2.66</v>
      </c>
      <c r="G107" s="37">
        <v>15.2</v>
      </c>
      <c r="H107" s="36">
        <v>2.0492947783024791</v>
      </c>
    </row>
    <row r="108" spans="1:8" x14ac:dyDescent="0.25">
      <c r="A108" s="14" t="s">
        <v>14</v>
      </c>
      <c r="B108" s="13" t="s">
        <v>24</v>
      </c>
      <c r="C108" s="16" t="s">
        <v>21</v>
      </c>
      <c r="D108" s="16" t="s">
        <v>155</v>
      </c>
      <c r="E108" s="36">
        <v>0.83699999999999997</v>
      </c>
      <c r="F108" s="36">
        <v>2.66</v>
      </c>
      <c r="G108" s="37">
        <v>22.16825</v>
      </c>
      <c r="H108" s="36">
        <v>1.9093979676696211</v>
      </c>
    </row>
    <row r="109" spans="1:8" x14ac:dyDescent="0.25">
      <c r="A109" s="14" t="s">
        <v>14</v>
      </c>
      <c r="B109" s="13" t="s">
        <v>25</v>
      </c>
      <c r="C109" s="16" t="s">
        <v>21</v>
      </c>
      <c r="D109" s="16" t="s">
        <v>156</v>
      </c>
      <c r="E109" s="36">
        <v>0.83699999999999997</v>
      </c>
      <c r="F109" s="36">
        <v>2.66</v>
      </c>
      <c r="G109" s="37">
        <v>29.136500000000002</v>
      </c>
      <c r="H109" s="36">
        <v>1.7723052222398565</v>
      </c>
    </row>
    <row r="110" spans="1:8" x14ac:dyDescent="0.25">
      <c r="A110" s="14" t="s">
        <v>14</v>
      </c>
      <c r="B110" s="13" t="s">
        <v>26</v>
      </c>
      <c r="C110" s="16" t="s">
        <v>21</v>
      </c>
      <c r="D110" s="16" t="s">
        <v>157</v>
      </c>
      <c r="E110" s="36">
        <v>0.83699999999999997</v>
      </c>
      <c r="F110" s="36">
        <v>2.66</v>
      </c>
      <c r="G110" s="37">
        <v>36.054575</v>
      </c>
      <c r="H110" s="36">
        <v>1.6388910891888631</v>
      </c>
    </row>
    <row r="111" spans="1:8" x14ac:dyDescent="0.25">
      <c r="A111" s="14" t="s">
        <v>14</v>
      </c>
      <c r="B111" s="13" t="s">
        <v>20</v>
      </c>
      <c r="C111" s="16" t="s">
        <v>21</v>
      </c>
      <c r="D111" s="16" t="s">
        <v>158</v>
      </c>
      <c r="E111" s="36">
        <v>0.83699999999999997</v>
      </c>
      <c r="F111" s="36">
        <v>2.66</v>
      </c>
      <c r="G111" s="37">
        <v>42.972649999999987</v>
      </c>
      <c r="H111" s="36">
        <v>1.5080800288707226</v>
      </c>
    </row>
    <row r="112" spans="1:8" x14ac:dyDescent="0.25">
      <c r="A112" s="14" t="s">
        <v>14</v>
      </c>
      <c r="B112" s="15" t="s">
        <v>19</v>
      </c>
      <c r="C112" s="16" t="s">
        <v>27</v>
      </c>
      <c r="D112" s="16" t="s">
        <v>159</v>
      </c>
      <c r="E112" s="36">
        <v>0.95949999999999991</v>
      </c>
      <c r="F112" s="36">
        <v>2.66</v>
      </c>
      <c r="G112" s="37">
        <v>13.5</v>
      </c>
      <c r="H112" s="36">
        <v>2.1609146667494894</v>
      </c>
    </row>
    <row r="113" spans="1:8" x14ac:dyDescent="0.25">
      <c r="A113" s="14" t="s">
        <v>14</v>
      </c>
      <c r="B113" s="13" t="s">
        <v>24</v>
      </c>
      <c r="C113" s="16" t="s">
        <v>27</v>
      </c>
      <c r="D113" s="16" t="s">
        <v>160</v>
      </c>
      <c r="E113" s="36">
        <v>0.95949999999999991</v>
      </c>
      <c r="F113" s="36">
        <v>2.66</v>
      </c>
      <c r="G113" s="37">
        <v>21.218499999999999</v>
      </c>
      <c r="H113" s="36">
        <v>2.0036279114664444</v>
      </c>
    </row>
    <row r="114" spans="1:8" x14ac:dyDescent="0.25">
      <c r="A114" s="14" t="s">
        <v>14</v>
      </c>
      <c r="B114" s="13" t="s">
        <v>25</v>
      </c>
      <c r="C114" s="16" t="s">
        <v>27</v>
      </c>
      <c r="D114" s="16" t="s">
        <v>161</v>
      </c>
      <c r="E114" s="36">
        <v>0.95949999999999991</v>
      </c>
      <c r="F114" s="36">
        <v>2.66</v>
      </c>
      <c r="G114" s="37">
        <v>28.937000000000001</v>
      </c>
      <c r="H114" s="36">
        <v>1.8498532125555491</v>
      </c>
    </row>
    <row r="115" spans="1:8" x14ac:dyDescent="0.25">
      <c r="A115" s="14" t="s">
        <v>14</v>
      </c>
      <c r="B115" s="13" t="s">
        <v>26</v>
      </c>
      <c r="C115" s="16" t="s">
        <v>27</v>
      </c>
      <c r="D115" s="16" t="s">
        <v>162</v>
      </c>
      <c r="E115" s="36">
        <v>0.95949999999999991</v>
      </c>
      <c r="F115" s="36">
        <v>2.66</v>
      </c>
      <c r="G115" s="37">
        <v>35.5304</v>
      </c>
      <c r="H115" s="36">
        <v>1.7211873989511666</v>
      </c>
    </row>
    <row r="116" spans="1:8" x14ac:dyDescent="0.25">
      <c r="A116" s="14" t="s">
        <v>14</v>
      </c>
      <c r="B116" s="13" t="s">
        <v>20</v>
      </c>
      <c r="C116" s="16" t="s">
        <v>27</v>
      </c>
      <c r="D116" s="16" t="s">
        <v>163</v>
      </c>
      <c r="E116" s="36">
        <v>0.95949999999999991</v>
      </c>
      <c r="F116" s="36">
        <v>2.66</v>
      </c>
      <c r="G116" s="37">
        <v>42.123800000000003</v>
      </c>
      <c r="H116" s="36">
        <v>1.594929844464601</v>
      </c>
    </row>
    <row r="117" spans="1:8" x14ac:dyDescent="0.25">
      <c r="A117" s="14" t="s">
        <v>14</v>
      </c>
      <c r="B117" s="15" t="s">
        <v>19</v>
      </c>
      <c r="C117" s="16" t="s">
        <v>34</v>
      </c>
      <c r="D117" s="16" t="s">
        <v>164</v>
      </c>
      <c r="E117" s="36">
        <v>1.01</v>
      </c>
      <c r="F117" s="36">
        <v>2.66</v>
      </c>
      <c r="G117" s="37">
        <v>6.1</v>
      </c>
      <c r="H117" s="36">
        <v>2.4753400624476991</v>
      </c>
    </row>
    <row r="118" spans="1:8" x14ac:dyDescent="0.25">
      <c r="A118" s="14" t="s">
        <v>14</v>
      </c>
      <c r="B118" s="13" t="s">
        <v>24</v>
      </c>
      <c r="C118" s="16" t="s">
        <v>34</v>
      </c>
      <c r="D118" s="16" t="s">
        <v>165</v>
      </c>
      <c r="E118" s="36">
        <v>1.01</v>
      </c>
      <c r="F118" s="36">
        <v>2.66</v>
      </c>
      <c r="G118" s="37">
        <v>14.569050000000001</v>
      </c>
      <c r="H118" s="36">
        <v>2.2951285183318832</v>
      </c>
    </row>
    <row r="119" spans="1:8" x14ac:dyDescent="0.25">
      <c r="A119" s="14" t="s">
        <v>14</v>
      </c>
      <c r="B119" s="13" t="s">
        <v>25</v>
      </c>
      <c r="C119" s="16" t="s">
        <v>34</v>
      </c>
      <c r="D119" s="16" t="s">
        <v>166</v>
      </c>
      <c r="E119" s="36">
        <v>1.01</v>
      </c>
      <c r="F119" s="36">
        <v>2.66</v>
      </c>
      <c r="G119" s="37">
        <v>23.0381</v>
      </c>
      <c r="H119" s="36">
        <v>2.1194195957794424</v>
      </c>
    </row>
    <row r="120" spans="1:8" x14ac:dyDescent="0.25">
      <c r="A120" s="14" t="s">
        <v>14</v>
      </c>
      <c r="B120" s="13" t="s">
        <v>26</v>
      </c>
      <c r="C120" s="16" t="s">
        <v>34</v>
      </c>
      <c r="D120" s="16" t="s">
        <v>167</v>
      </c>
      <c r="E120" s="36">
        <v>1.01</v>
      </c>
      <c r="F120" s="36">
        <v>2.66</v>
      </c>
      <c r="G120" s="37">
        <v>30.980149999999998</v>
      </c>
      <c r="H120" s="36">
        <v>1.9585870978304787</v>
      </c>
    </row>
    <row r="121" spans="1:8" x14ac:dyDescent="0.25">
      <c r="A121" s="14" t="s">
        <v>14</v>
      </c>
      <c r="B121" s="13" t="s">
        <v>20</v>
      </c>
      <c r="C121" s="16" t="s">
        <v>34</v>
      </c>
      <c r="D121" s="16" t="s">
        <v>168</v>
      </c>
      <c r="E121" s="36">
        <v>1.01</v>
      </c>
      <c r="F121" s="36">
        <v>2.66</v>
      </c>
      <c r="G121" s="37">
        <v>38.922199999999997</v>
      </c>
      <c r="H121" s="36">
        <v>1.8014367053909344</v>
      </c>
    </row>
    <row r="122" spans="1:8" x14ac:dyDescent="0.25">
      <c r="A122" s="14" t="s">
        <v>15</v>
      </c>
      <c r="B122" s="15" t="s">
        <v>19</v>
      </c>
      <c r="C122" s="16" t="s">
        <v>21</v>
      </c>
      <c r="D122" s="16" t="s">
        <v>169</v>
      </c>
      <c r="E122" s="36">
        <v>1.1025</v>
      </c>
      <c r="F122" s="36">
        <v>2.66</v>
      </c>
      <c r="G122" s="37">
        <v>23.4</v>
      </c>
      <c r="H122" s="36">
        <v>1.88496302776174</v>
      </c>
    </row>
    <row r="123" spans="1:8" x14ac:dyDescent="0.25">
      <c r="A123" s="14" t="s">
        <v>15</v>
      </c>
      <c r="B123" s="13" t="s">
        <v>24</v>
      </c>
      <c r="C123" s="16" t="s">
        <v>21</v>
      </c>
      <c r="D123" s="16" t="s">
        <v>170</v>
      </c>
      <c r="E123" s="36">
        <v>1.1025</v>
      </c>
      <c r="F123" s="36">
        <v>2.66</v>
      </c>
      <c r="G123" s="37">
        <v>36.685850000000002</v>
      </c>
      <c r="H123" s="36">
        <v>1.6268477988137067</v>
      </c>
    </row>
    <row r="124" spans="1:8" x14ac:dyDescent="0.25">
      <c r="A124" s="14" t="s">
        <v>15</v>
      </c>
      <c r="B124" s="13" t="s">
        <v>25</v>
      </c>
      <c r="C124" s="16" t="s">
        <v>21</v>
      </c>
      <c r="D124" s="16" t="s">
        <v>171</v>
      </c>
      <c r="E124" s="36">
        <v>1.1025</v>
      </c>
      <c r="F124" s="36">
        <v>2.66</v>
      </c>
      <c r="G124" s="37">
        <v>49.971699999999998</v>
      </c>
      <c r="H124" s="36">
        <v>1.378309730858202</v>
      </c>
    </row>
    <row r="125" spans="1:8" x14ac:dyDescent="0.25">
      <c r="A125" s="14" t="s">
        <v>15</v>
      </c>
      <c r="B125" s="13" t="s">
        <v>26</v>
      </c>
      <c r="C125" s="16" t="s">
        <v>21</v>
      </c>
      <c r="D125" s="16" t="s">
        <v>172</v>
      </c>
      <c r="E125" s="36">
        <v>1.1025</v>
      </c>
      <c r="F125" s="36">
        <v>2.66</v>
      </c>
      <c r="G125" s="37">
        <v>52.152850000000001</v>
      </c>
      <c r="H125" s="36">
        <v>1.3383855855270614</v>
      </c>
    </row>
    <row r="126" spans="1:8" x14ac:dyDescent="0.25">
      <c r="A126" s="14" t="s">
        <v>15</v>
      </c>
      <c r="B126" s="13" t="s">
        <v>20</v>
      </c>
      <c r="C126" s="16" t="s">
        <v>21</v>
      </c>
      <c r="D126" s="16" t="s">
        <v>173</v>
      </c>
      <c r="E126" s="36">
        <v>1.1025</v>
      </c>
      <c r="F126" s="36">
        <v>2.66</v>
      </c>
      <c r="G126" s="37">
        <v>54.334000000000003</v>
      </c>
      <c r="H126" s="36">
        <v>1.2987031629453174</v>
      </c>
    </row>
    <row r="127" spans="1:8" x14ac:dyDescent="0.25">
      <c r="A127" s="14" t="s">
        <v>15</v>
      </c>
      <c r="B127" s="15" t="s">
        <v>19</v>
      </c>
      <c r="C127" s="16" t="s">
        <v>27</v>
      </c>
      <c r="D127" s="16" t="s">
        <v>174</v>
      </c>
      <c r="E127" s="36">
        <v>0.88824999999999987</v>
      </c>
      <c r="F127" s="36">
        <v>2.66</v>
      </c>
      <c r="G127" s="37">
        <v>19</v>
      </c>
      <c r="H127" s="36">
        <v>2.0484713623897077</v>
      </c>
    </row>
    <row r="128" spans="1:8" x14ac:dyDescent="0.25">
      <c r="A128" s="14" t="s">
        <v>15</v>
      </c>
      <c r="B128" s="13" t="s">
        <v>24</v>
      </c>
      <c r="C128" s="16" t="s">
        <v>27</v>
      </c>
      <c r="D128" s="16" t="s">
        <v>175</v>
      </c>
      <c r="E128" s="36">
        <v>0.88824999999999987</v>
      </c>
      <c r="F128" s="36">
        <v>2.66</v>
      </c>
      <c r="G128" s="37">
        <v>29.902349999999998</v>
      </c>
      <c r="H128" s="36">
        <v>1.8308619067538017</v>
      </c>
    </row>
    <row r="129" spans="1:8" x14ac:dyDescent="0.25">
      <c r="A129" s="14" t="s">
        <v>15</v>
      </c>
      <c r="B129" s="13" t="s">
        <v>25</v>
      </c>
      <c r="C129" s="16" t="s">
        <v>27</v>
      </c>
      <c r="D129" s="16" t="s">
        <v>176</v>
      </c>
      <c r="E129" s="36">
        <v>0.88824999999999987</v>
      </c>
      <c r="F129" s="36">
        <v>2.66</v>
      </c>
      <c r="G129" s="37">
        <v>40.804699999999997</v>
      </c>
      <c r="H129" s="36">
        <v>1.619999943435402</v>
      </c>
    </row>
    <row r="130" spans="1:8" x14ac:dyDescent="0.25">
      <c r="A130" s="14" t="s">
        <v>15</v>
      </c>
      <c r="B130" s="13" t="s">
        <v>26</v>
      </c>
      <c r="C130" s="16" t="s">
        <v>27</v>
      </c>
      <c r="D130" s="16" t="s">
        <v>177</v>
      </c>
      <c r="E130" s="36">
        <v>0.88824999999999987</v>
      </c>
      <c r="F130" s="36">
        <v>2.66</v>
      </c>
      <c r="G130" s="37">
        <v>46.249250000000004</v>
      </c>
      <c r="H130" s="36">
        <v>1.5171261683148858</v>
      </c>
    </row>
    <row r="131" spans="1:8" x14ac:dyDescent="0.25">
      <c r="A131" s="14" t="s">
        <v>15</v>
      </c>
      <c r="B131" s="13" t="s">
        <v>20</v>
      </c>
      <c r="C131" s="16" t="s">
        <v>27</v>
      </c>
      <c r="D131" s="16" t="s">
        <v>178</v>
      </c>
      <c r="E131" s="36">
        <v>0.88824999999999987</v>
      </c>
      <c r="F131" s="36">
        <v>2.66</v>
      </c>
      <c r="G131" s="37">
        <v>51.693800000000003</v>
      </c>
      <c r="H131" s="36">
        <v>1.4158210854150863</v>
      </c>
    </row>
    <row r="132" spans="1:8" x14ac:dyDescent="0.25">
      <c r="A132" s="14" t="s">
        <v>15</v>
      </c>
      <c r="B132" s="15" t="s">
        <v>19</v>
      </c>
      <c r="C132" s="16" t="s">
        <v>34</v>
      </c>
      <c r="D132" s="16" t="s">
        <v>179</v>
      </c>
      <c r="E132" s="36">
        <v>1.1000000000000001</v>
      </c>
      <c r="F132" s="36">
        <v>2.66</v>
      </c>
      <c r="G132" s="37">
        <v>23.8</v>
      </c>
      <c r="H132" s="36">
        <v>2.1038273154419307</v>
      </c>
    </row>
    <row r="133" spans="1:8" x14ac:dyDescent="0.25">
      <c r="A133" s="14" t="s">
        <v>15</v>
      </c>
      <c r="B133" s="13" t="s">
        <v>24</v>
      </c>
      <c r="C133" s="16" t="s">
        <v>34</v>
      </c>
      <c r="D133" s="16" t="s">
        <v>180</v>
      </c>
      <c r="E133" s="36">
        <v>1.1000000000000001</v>
      </c>
      <c r="F133" s="36">
        <v>2.66</v>
      </c>
      <c r="G133" s="37">
        <v>34.702150000000003</v>
      </c>
      <c r="H133" s="36">
        <v>1.8844886935258298</v>
      </c>
    </row>
    <row r="134" spans="1:8" x14ac:dyDescent="0.25">
      <c r="A134" s="14" t="s">
        <v>15</v>
      </c>
      <c r="B134" s="13" t="s">
        <v>25</v>
      </c>
      <c r="C134" s="16" t="s">
        <v>34</v>
      </c>
      <c r="D134" s="16" t="s">
        <v>181</v>
      </c>
      <c r="E134" s="36">
        <v>1.1000000000000001</v>
      </c>
      <c r="F134" s="36">
        <v>2.66</v>
      </c>
      <c r="G134" s="37">
        <v>45.604300000000002</v>
      </c>
      <c r="H134" s="36">
        <v>1.6719774563683509</v>
      </c>
    </row>
    <row r="135" spans="1:8" x14ac:dyDescent="0.25">
      <c r="A135" s="14" t="s">
        <v>15</v>
      </c>
      <c r="B135" s="13" t="s">
        <v>26</v>
      </c>
      <c r="C135" s="16" t="s">
        <v>34</v>
      </c>
      <c r="D135" s="16" t="s">
        <v>182</v>
      </c>
      <c r="E135" s="36">
        <v>1.1000000000000001</v>
      </c>
      <c r="F135" s="36">
        <v>2.66</v>
      </c>
      <c r="G135" s="37">
        <v>50.11645</v>
      </c>
      <c r="H135" s="36">
        <v>1.5859469546510727</v>
      </c>
    </row>
    <row r="136" spans="1:8" x14ac:dyDescent="0.25">
      <c r="A136" s="14" t="s">
        <v>15</v>
      </c>
      <c r="B136" s="13" t="s">
        <v>20</v>
      </c>
      <c r="C136" s="16" t="s">
        <v>34</v>
      </c>
      <c r="D136" s="16" t="s">
        <v>183</v>
      </c>
      <c r="E136" s="36">
        <v>1.1000000000000001</v>
      </c>
      <c r="F136" s="36">
        <v>2.66</v>
      </c>
      <c r="G136" s="37">
        <v>54.628599999999999</v>
      </c>
      <c r="H136" s="36">
        <v>1.5010106710426818</v>
      </c>
    </row>
    <row r="137" spans="1:8" x14ac:dyDescent="0.25">
      <c r="A137" s="14" t="s">
        <v>16</v>
      </c>
      <c r="B137" s="15" t="s">
        <v>19</v>
      </c>
      <c r="C137" s="16" t="s">
        <v>21</v>
      </c>
      <c r="D137" s="16" t="s">
        <v>184</v>
      </c>
      <c r="E137" s="36">
        <v>1.008</v>
      </c>
      <c r="F137" s="36">
        <v>2.66</v>
      </c>
      <c r="G137" s="37">
        <v>30.9</v>
      </c>
      <c r="H137" s="36">
        <v>1.7380448806222706</v>
      </c>
    </row>
    <row r="138" spans="1:8" x14ac:dyDescent="0.25">
      <c r="A138" s="14" t="s">
        <v>16</v>
      </c>
      <c r="B138" s="13" t="s">
        <v>24</v>
      </c>
      <c r="C138" s="16" t="s">
        <v>21</v>
      </c>
      <c r="D138" s="16" t="s">
        <v>185</v>
      </c>
      <c r="E138" s="36">
        <v>1.008</v>
      </c>
      <c r="F138" s="36">
        <v>2.66</v>
      </c>
      <c r="G138" s="37">
        <v>40.701900000000002</v>
      </c>
      <c r="H138" s="36">
        <v>1.5507344262334992</v>
      </c>
    </row>
    <row r="139" spans="1:8" x14ac:dyDescent="0.25">
      <c r="A139" s="14" t="s">
        <v>16</v>
      </c>
      <c r="B139" s="13" t="s">
        <v>25</v>
      </c>
      <c r="C139" s="16" t="s">
        <v>21</v>
      </c>
      <c r="D139" s="16" t="s">
        <v>186</v>
      </c>
      <c r="E139" s="36">
        <v>1.008</v>
      </c>
      <c r="F139" s="36">
        <v>2.66</v>
      </c>
      <c r="G139" s="37">
        <v>50.503799999999998</v>
      </c>
      <c r="H139" s="36">
        <v>1.3685476699419858</v>
      </c>
    </row>
    <row r="140" spans="1:8" x14ac:dyDescent="0.25">
      <c r="A140" s="14" t="s">
        <v>16</v>
      </c>
      <c r="B140" s="13" t="s">
        <v>26</v>
      </c>
      <c r="C140" s="16" t="s">
        <v>21</v>
      </c>
      <c r="D140" s="16" t="s">
        <v>187</v>
      </c>
      <c r="E140" s="36">
        <v>1.008</v>
      </c>
      <c r="F140" s="36">
        <v>2.66</v>
      </c>
      <c r="G140" s="37">
        <v>52.868099999999998</v>
      </c>
      <c r="H140" s="36">
        <v>1.3253462635523328</v>
      </c>
    </row>
    <row r="141" spans="1:8" x14ac:dyDescent="0.25">
      <c r="A141" s="14" t="s">
        <v>16</v>
      </c>
      <c r="B141" s="13" t="s">
        <v>20</v>
      </c>
      <c r="C141" s="16" t="s">
        <v>21</v>
      </c>
      <c r="D141" s="16" t="s">
        <v>188</v>
      </c>
      <c r="E141" s="36">
        <v>1.008</v>
      </c>
      <c r="F141" s="36">
        <v>2.66</v>
      </c>
      <c r="G141" s="37">
        <v>55.232399999999998</v>
      </c>
      <c r="H141" s="36">
        <v>1.2824280326400956</v>
      </c>
    </row>
    <row r="142" spans="1:8" x14ac:dyDescent="0.25">
      <c r="A142" s="14" t="s">
        <v>16</v>
      </c>
      <c r="B142" s="15" t="s">
        <v>19</v>
      </c>
      <c r="C142" s="16" t="s">
        <v>27</v>
      </c>
      <c r="D142" s="16" t="s">
        <v>189</v>
      </c>
      <c r="E142" s="36">
        <v>1.1020000000000001</v>
      </c>
      <c r="F142" s="36">
        <v>2.66</v>
      </c>
      <c r="G142" s="37">
        <v>21.2</v>
      </c>
      <c r="H142" s="36">
        <v>2.0040006561082246</v>
      </c>
    </row>
    <row r="143" spans="1:8" x14ac:dyDescent="0.25">
      <c r="A143" s="14" t="s">
        <v>16</v>
      </c>
      <c r="B143" s="13" t="s">
        <v>24</v>
      </c>
      <c r="C143" s="16" t="s">
        <v>27</v>
      </c>
      <c r="D143" s="16" t="s">
        <v>190</v>
      </c>
      <c r="E143" s="36">
        <v>1.1020000000000001</v>
      </c>
      <c r="F143" s="36">
        <v>2.66</v>
      </c>
      <c r="G143" s="37">
        <v>30.368600000000001</v>
      </c>
      <c r="H143" s="36">
        <v>1.8217083372301581</v>
      </c>
    </row>
    <row r="144" spans="1:8" x14ac:dyDescent="0.25">
      <c r="A144" s="14" t="s">
        <v>16</v>
      </c>
      <c r="B144" s="13" t="s">
        <v>25</v>
      </c>
      <c r="C144" s="16" t="s">
        <v>27</v>
      </c>
      <c r="D144" s="16" t="s">
        <v>191</v>
      </c>
      <c r="E144" s="36">
        <v>1.1020000000000001</v>
      </c>
      <c r="F144" s="36">
        <v>2.66</v>
      </c>
      <c r="G144" s="37">
        <v>39.537199999999999</v>
      </c>
      <c r="H144" s="36">
        <v>1.6441781282181325</v>
      </c>
    </row>
    <row r="145" spans="1:8" x14ac:dyDescent="0.25">
      <c r="A145" s="14" t="s">
        <v>16</v>
      </c>
      <c r="B145" s="13" t="s">
        <v>26</v>
      </c>
      <c r="C145" s="16" t="s">
        <v>27</v>
      </c>
      <c r="D145" s="16" t="s">
        <v>192</v>
      </c>
      <c r="E145" s="36">
        <v>1.1020000000000001</v>
      </c>
      <c r="F145" s="36">
        <v>2.66</v>
      </c>
      <c r="G145" s="37">
        <v>43.449950000000001</v>
      </c>
      <c r="H145" s="36">
        <v>1.5698202112919386</v>
      </c>
    </row>
    <row r="146" spans="1:8" x14ac:dyDescent="0.25">
      <c r="A146" s="14" t="s">
        <v>16</v>
      </c>
      <c r="B146" s="13" t="s">
        <v>20</v>
      </c>
      <c r="C146" s="16" t="s">
        <v>27</v>
      </c>
      <c r="D146" s="16" t="s">
        <v>193</v>
      </c>
      <c r="E146" s="36">
        <v>1.1020000000000001</v>
      </c>
      <c r="F146" s="36">
        <v>2.66</v>
      </c>
      <c r="G146" s="37">
        <v>47.362699999999997</v>
      </c>
      <c r="H146" s="36">
        <v>1.4962821218202071</v>
      </c>
    </row>
    <row r="147" spans="1:8" x14ac:dyDescent="0.25">
      <c r="A147" s="14" t="s">
        <v>16</v>
      </c>
      <c r="B147" s="15" t="s">
        <v>19</v>
      </c>
      <c r="C147" s="16" t="s">
        <v>34</v>
      </c>
      <c r="D147" s="16" t="s">
        <v>194</v>
      </c>
      <c r="E147" s="36">
        <v>1.21</v>
      </c>
      <c r="F147" s="36">
        <v>2.66</v>
      </c>
      <c r="G147" s="37">
        <v>10.8</v>
      </c>
      <c r="H147" s="36">
        <v>2.3747632742063431</v>
      </c>
    </row>
    <row r="148" spans="1:8" x14ac:dyDescent="0.25">
      <c r="A148" s="14" t="s">
        <v>16</v>
      </c>
      <c r="B148" s="13" t="s">
        <v>24</v>
      </c>
      <c r="C148" s="16" t="s">
        <v>34</v>
      </c>
      <c r="D148" s="16" t="s">
        <v>195</v>
      </c>
      <c r="E148" s="36">
        <v>1.21</v>
      </c>
      <c r="F148" s="36">
        <v>2.66</v>
      </c>
      <c r="G148" s="37">
        <v>19.135449999999999</v>
      </c>
      <c r="H148" s="36">
        <v>2.1998400335303345</v>
      </c>
    </row>
    <row r="149" spans="1:8" x14ac:dyDescent="0.25">
      <c r="A149" s="14" t="s">
        <v>16</v>
      </c>
      <c r="B149" s="13" t="s">
        <v>25</v>
      </c>
      <c r="C149" s="16" t="s">
        <v>34</v>
      </c>
      <c r="D149" s="16" t="s">
        <v>196</v>
      </c>
      <c r="E149" s="36">
        <v>1.21</v>
      </c>
      <c r="F149" s="36">
        <v>2.66</v>
      </c>
      <c r="G149" s="37">
        <v>27.4709</v>
      </c>
      <c r="H149" s="36">
        <v>2.029190396078012</v>
      </c>
    </row>
    <row r="150" spans="1:8" x14ac:dyDescent="0.25">
      <c r="A150" s="14" t="s">
        <v>16</v>
      </c>
      <c r="B150" s="13" t="s">
        <v>26</v>
      </c>
      <c r="C150" s="16" t="s">
        <v>34</v>
      </c>
      <c r="D150" s="16" t="s">
        <v>197</v>
      </c>
      <c r="E150" s="36">
        <v>1.21</v>
      </c>
      <c r="F150" s="36">
        <v>2.66</v>
      </c>
      <c r="G150" s="37">
        <v>33.215150000000001</v>
      </c>
      <c r="H150" s="36">
        <v>1.9139960663198459</v>
      </c>
    </row>
    <row r="151" spans="1:8" x14ac:dyDescent="0.25">
      <c r="A151" s="14" t="s">
        <v>16</v>
      </c>
      <c r="B151" s="13" t="s">
        <v>20</v>
      </c>
      <c r="C151" s="16" t="s">
        <v>34</v>
      </c>
      <c r="D151" s="16" t="s">
        <v>198</v>
      </c>
      <c r="E151" s="36">
        <v>1.21</v>
      </c>
      <c r="F151" s="36">
        <v>2.66</v>
      </c>
      <c r="G151" s="37">
        <v>38.959400000000002</v>
      </c>
      <c r="H151" s="36">
        <v>1.8007090890269204</v>
      </c>
    </row>
    <row r="152" spans="1:8" x14ac:dyDescent="0.25">
      <c r="A152" s="14" t="s">
        <v>17</v>
      </c>
      <c r="B152" s="15" t="s">
        <v>19</v>
      </c>
      <c r="C152" s="16" t="s">
        <v>21</v>
      </c>
      <c r="D152" s="16" t="s">
        <v>199</v>
      </c>
      <c r="E152" s="36">
        <v>0.94500000000000006</v>
      </c>
      <c r="F152" s="36">
        <v>2.66</v>
      </c>
      <c r="G152" s="37">
        <v>21.5</v>
      </c>
      <c r="H152" s="36">
        <v>1.92269105813894</v>
      </c>
    </row>
    <row r="153" spans="1:8" x14ac:dyDescent="0.25">
      <c r="A153" s="14" t="s">
        <v>17</v>
      </c>
      <c r="B153" s="13" t="s">
        <v>24</v>
      </c>
      <c r="C153" s="16" t="s">
        <v>21</v>
      </c>
      <c r="D153" s="16" t="s">
        <v>200</v>
      </c>
      <c r="E153" s="36">
        <v>0.94500000000000006</v>
      </c>
      <c r="F153" s="36">
        <v>2.66</v>
      </c>
      <c r="G153" s="37">
        <v>30.518650000000001</v>
      </c>
      <c r="H153" s="36">
        <v>1.7454388478982101</v>
      </c>
    </row>
    <row r="154" spans="1:8" x14ac:dyDescent="0.25">
      <c r="A154" s="14" t="s">
        <v>17</v>
      </c>
      <c r="B154" s="13" t="s">
        <v>25</v>
      </c>
      <c r="C154" s="16" t="s">
        <v>21</v>
      </c>
      <c r="D154" s="16" t="s">
        <v>201</v>
      </c>
      <c r="E154" s="36">
        <v>0.94500000000000006</v>
      </c>
      <c r="F154" s="36">
        <v>2.66</v>
      </c>
      <c r="G154" s="37">
        <v>39.537300000000002</v>
      </c>
      <c r="H154" s="36">
        <v>1.5727170882714012</v>
      </c>
    </row>
    <row r="155" spans="1:8" x14ac:dyDescent="0.25">
      <c r="A155" s="14" t="s">
        <v>17</v>
      </c>
      <c r="B155" s="13" t="s">
        <v>26</v>
      </c>
      <c r="C155" s="16" t="s">
        <v>21</v>
      </c>
      <c r="D155" s="16" t="s">
        <v>202</v>
      </c>
      <c r="E155" s="36">
        <v>0.94500000000000006</v>
      </c>
      <c r="F155" s="36">
        <v>2.66</v>
      </c>
      <c r="G155" s="37">
        <v>44.199300000000001</v>
      </c>
      <c r="H155" s="36">
        <v>1.4851517386502076</v>
      </c>
    </row>
    <row r="156" spans="1:8" x14ac:dyDescent="0.25">
      <c r="A156" s="14" t="s">
        <v>17</v>
      </c>
      <c r="B156" s="13" t="s">
        <v>20</v>
      </c>
      <c r="C156" s="16" t="s">
        <v>21</v>
      </c>
      <c r="D156" s="16" t="s">
        <v>203</v>
      </c>
      <c r="E156" s="36">
        <v>0.94500000000000006</v>
      </c>
      <c r="F156" s="36">
        <v>2.66</v>
      </c>
      <c r="G156" s="37">
        <v>48.8613</v>
      </c>
      <c r="H156" s="36">
        <v>1.3987282475140381</v>
      </c>
    </row>
    <row r="157" spans="1:8" x14ac:dyDescent="0.25">
      <c r="A157" s="14" t="s">
        <v>17</v>
      </c>
      <c r="B157" s="15" t="s">
        <v>19</v>
      </c>
      <c r="C157" s="16" t="s">
        <v>27</v>
      </c>
      <c r="D157" s="16" t="s">
        <v>204</v>
      </c>
      <c r="E157" s="36">
        <v>1.2064999999999999</v>
      </c>
      <c r="F157" s="36">
        <v>2.66</v>
      </c>
      <c r="G157" s="37">
        <v>28.1</v>
      </c>
      <c r="H157" s="36">
        <v>1.866362472170749</v>
      </c>
    </row>
    <row r="158" spans="1:8" x14ac:dyDescent="0.25">
      <c r="A158" s="14" t="s">
        <v>17</v>
      </c>
      <c r="B158" s="13" t="s">
        <v>24</v>
      </c>
      <c r="C158" s="16" t="s">
        <v>27</v>
      </c>
      <c r="D158" s="16" t="s">
        <v>205</v>
      </c>
      <c r="E158" s="36">
        <v>1.2064999999999999</v>
      </c>
      <c r="F158" s="36">
        <v>2.66</v>
      </c>
      <c r="G158" s="37">
        <v>34.401299999999999</v>
      </c>
      <c r="H158" s="36">
        <v>1.7430482483467846</v>
      </c>
    </row>
    <row r="159" spans="1:8" x14ac:dyDescent="0.25">
      <c r="A159" s="14" t="s">
        <v>17</v>
      </c>
      <c r="B159" s="13" t="s">
        <v>25</v>
      </c>
      <c r="C159" s="16" t="s">
        <v>27</v>
      </c>
      <c r="D159" s="16" t="s">
        <v>206</v>
      </c>
      <c r="E159" s="36">
        <v>1.2064999999999999</v>
      </c>
      <c r="F159" s="36">
        <v>2.66</v>
      </c>
      <c r="G159" s="37">
        <v>40.702599999999997</v>
      </c>
      <c r="H159" s="36">
        <v>1.6219443229090533</v>
      </c>
    </row>
    <row r="160" spans="1:8" x14ac:dyDescent="0.25">
      <c r="A160" s="14" t="s">
        <v>17</v>
      </c>
      <c r="B160" s="13" t="s">
        <v>26</v>
      </c>
      <c r="C160" s="16" t="s">
        <v>27</v>
      </c>
      <c r="D160" s="16" t="s">
        <v>207</v>
      </c>
      <c r="E160" s="36">
        <v>1.2064999999999999</v>
      </c>
      <c r="F160" s="36">
        <v>2.66</v>
      </c>
      <c r="G160" s="37">
        <v>43.3</v>
      </c>
      <c r="H160" s="36">
        <v>1.5726546674651161</v>
      </c>
    </row>
    <row r="161" spans="1:8" x14ac:dyDescent="0.25">
      <c r="A161" s="14" t="s">
        <v>17</v>
      </c>
      <c r="B161" s="13" t="s">
        <v>20</v>
      </c>
      <c r="C161" s="16" t="s">
        <v>27</v>
      </c>
      <c r="D161" s="16" t="s">
        <v>208</v>
      </c>
      <c r="E161" s="36">
        <v>1.2064999999999999</v>
      </c>
      <c r="F161" s="36">
        <v>2.66</v>
      </c>
      <c r="G161" s="37">
        <v>45.897400000000012</v>
      </c>
      <c r="H161" s="36">
        <v>1.5237265095046926</v>
      </c>
    </row>
    <row r="162" spans="1:8" x14ac:dyDescent="0.25">
      <c r="A162" s="14" t="s">
        <v>17</v>
      </c>
      <c r="B162" s="15" t="s">
        <v>19</v>
      </c>
      <c r="C162" s="16" t="s">
        <v>34</v>
      </c>
      <c r="D162" s="16" t="s">
        <v>209</v>
      </c>
      <c r="E162" s="36">
        <v>1.29</v>
      </c>
      <c r="F162" s="36">
        <v>2.66</v>
      </c>
      <c r="G162" s="37">
        <v>26.8</v>
      </c>
      <c r="H162" s="36">
        <v>2.0427711369515107</v>
      </c>
    </row>
    <row r="163" spans="1:8" x14ac:dyDescent="0.25">
      <c r="A163" s="14" t="s">
        <v>17</v>
      </c>
      <c r="B163" s="13" t="s">
        <v>24</v>
      </c>
      <c r="C163" s="16" t="s">
        <v>34</v>
      </c>
      <c r="D163" s="16" t="s">
        <v>210</v>
      </c>
      <c r="E163" s="36">
        <v>1.29</v>
      </c>
      <c r="F163" s="36">
        <v>2.66</v>
      </c>
      <c r="G163" s="37">
        <v>31.934349999999998</v>
      </c>
      <c r="H163" s="36">
        <v>1.9395141187981553</v>
      </c>
    </row>
    <row r="164" spans="1:8" x14ac:dyDescent="0.25">
      <c r="A164" s="14" t="s">
        <v>17</v>
      </c>
      <c r="B164" s="13" t="s">
        <v>25</v>
      </c>
      <c r="C164" s="16" t="s">
        <v>34</v>
      </c>
      <c r="D164" s="16" t="s">
        <v>211</v>
      </c>
      <c r="E164" s="36">
        <v>1.29</v>
      </c>
      <c r="F164" s="36">
        <v>2.66</v>
      </c>
      <c r="G164" s="37">
        <v>37.0687</v>
      </c>
      <c r="H164" s="36">
        <v>1.8377894458631294</v>
      </c>
    </row>
    <row r="165" spans="1:8" x14ac:dyDescent="0.25">
      <c r="A165" s="14" t="s">
        <v>17</v>
      </c>
      <c r="B165" s="13" t="s">
        <v>26</v>
      </c>
      <c r="C165" s="16" t="s">
        <v>34</v>
      </c>
      <c r="D165" s="16" t="s">
        <v>212</v>
      </c>
      <c r="E165" s="36">
        <v>1.29</v>
      </c>
      <c r="F165" s="36">
        <v>2.66</v>
      </c>
      <c r="G165" s="37">
        <v>40.115650000000002</v>
      </c>
      <c r="H165" s="36">
        <v>1.7781321605240008</v>
      </c>
    </row>
    <row r="166" spans="1:8" x14ac:dyDescent="0.25">
      <c r="A166" s="14" t="s">
        <v>17</v>
      </c>
      <c r="B166" s="13" t="s">
        <v>20</v>
      </c>
      <c r="C166" s="16" t="s">
        <v>34</v>
      </c>
      <c r="D166" s="16" t="s">
        <v>213</v>
      </c>
      <c r="E166" s="36">
        <v>1.29</v>
      </c>
      <c r="F166" s="36">
        <v>2.66</v>
      </c>
      <c r="G166" s="37">
        <v>43.162599999999998</v>
      </c>
      <c r="H166" s="36">
        <v>1.7189956768837351</v>
      </c>
    </row>
    <row r="167" spans="1:8" x14ac:dyDescent="0.25">
      <c r="A167" s="14" t="s">
        <v>18</v>
      </c>
      <c r="B167" s="15" t="s">
        <v>19</v>
      </c>
      <c r="C167" s="16" t="s">
        <v>21</v>
      </c>
      <c r="D167" s="16" t="s">
        <v>214</v>
      </c>
      <c r="E167" s="36">
        <v>0.99900000000000011</v>
      </c>
      <c r="F167" s="36">
        <v>2.66</v>
      </c>
      <c r="G167" s="37">
        <v>25.3</v>
      </c>
      <c r="H167" s="36">
        <v>1.8474423346028988</v>
      </c>
    </row>
    <row r="168" spans="1:8" x14ac:dyDescent="0.25">
      <c r="A168" s="14" t="s">
        <v>18</v>
      </c>
      <c r="B168" s="13" t="s">
        <v>24</v>
      </c>
      <c r="C168" s="16" t="s">
        <v>21</v>
      </c>
      <c r="D168" s="16" t="s">
        <v>215</v>
      </c>
      <c r="E168" s="36">
        <v>0.99900000000000011</v>
      </c>
      <c r="F168" s="36">
        <v>2.66</v>
      </c>
      <c r="G168" s="37">
        <v>35.118650000000002</v>
      </c>
      <c r="H168" s="36">
        <v>1.6567863105691825</v>
      </c>
    </row>
    <row r="169" spans="1:8" x14ac:dyDescent="0.25">
      <c r="A169" s="14" t="s">
        <v>18</v>
      </c>
      <c r="B169" s="13" t="s">
        <v>25</v>
      </c>
      <c r="C169" s="16" t="s">
        <v>21</v>
      </c>
      <c r="D169" s="16" t="s">
        <v>216</v>
      </c>
      <c r="E169" s="36">
        <v>0.99900000000000011</v>
      </c>
      <c r="F169" s="36">
        <v>2.66</v>
      </c>
      <c r="G169" s="37">
        <v>44.9373</v>
      </c>
      <c r="H169" s="36">
        <v>1.4713953058772593</v>
      </c>
    </row>
    <row r="170" spans="1:8" x14ac:dyDescent="0.25">
      <c r="A170" s="14" t="s">
        <v>18</v>
      </c>
      <c r="B170" s="13" t="s">
        <v>26</v>
      </c>
      <c r="C170" s="16" t="s">
        <v>21</v>
      </c>
      <c r="D170" s="16" t="s">
        <v>217</v>
      </c>
      <c r="E170" s="36">
        <v>0.99900000000000011</v>
      </c>
      <c r="F170" s="36">
        <v>2.66</v>
      </c>
      <c r="G170" s="37">
        <v>48.308925000000002</v>
      </c>
      <c r="H170" s="36">
        <v>1.4089091973266012</v>
      </c>
    </row>
    <row r="171" spans="1:8" x14ac:dyDescent="0.25">
      <c r="A171" s="14" t="s">
        <v>18</v>
      </c>
      <c r="B171" s="13" t="s">
        <v>20</v>
      </c>
      <c r="C171" s="16" t="s">
        <v>21</v>
      </c>
      <c r="D171" s="16" t="s">
        <v>218</v>
      </c>
      <c r="E171" s="36">
        <v>0.99900000000000011</v>
      </c>
      <c r="F171" s="36">
        <v>2.66</v>
      </c>
      <c r="G171" s="37">
        <v>51.680549999999997</v>
      </c>
      <c r="H171" s="36">
        <v>1.3470100663071811</v>
      </c>
    </row>
    <row r="172" spans="1:8" x14ac:dyDescent="0.25">
      <c r="A172" s="14" t="s">
        <v>18</v>
      </c>
      <c r="B172" s="15" t="s">
        <v>19</v>
      </c>
      <c r="C172" s="16" t="s">
        <v>27</v>
      </c>
      <c r="D172" s="16" t="s">
        <v>219</v>
      </c>
      <c r="E172" s="36">
        <v>1.1875</v>
      </c>
      <c r="F172" s="36">
        <v>2.66</v>
      </c>
      <c r="G172" s="37">
        <v>27.7</v>
      </c>
      <c r="H172" s="36">
        <v>1.8742663441437257</v>
      </c>
    </row>
    <row r="173" spans="1:8" x14ac:dyDescent="0.25">
      <c r="A173" s="14" t="s">
        <v>18</v>
      </c>
      <c r="B173" s="13" t="s">
        <v>24</v>
      </c>
      <c r="C173" s="16" t="s">
        <v>27</v>
      </c>
      <c r="D173" s="16" t="s">
        <v>220</v>
      </c>
      <c r="E173" s="36">
        <v>1.1875</v>
      </c>
      <c r="F173" s="36">
        <v>2.66</v>
      </c>
      <c r="G173" s="37">
        <v>34.334699999999998</v>
      </c>
      <c r="H173" s="36">
        <v>1.7443399241454154</v>
      </c>
    </row>
    <row r="174" spans="1:8" x14ac:dyDescent="0.25">
      <c r="A174" s="14" t="s">
        <v>18</v>
      </c>
      <c r="B174" s="13" t="s">
        <v>25</v>
      </c>
      <c r="C174" s="16" t="s">
        <v>27</v>
      </c>
      <c r="D174" s="16" t="s">
        <v>221</v>
      </c>
      <c r="E174" s="36">
        <v>1.1875</v>
      </c>
      <c r="F174" s="36">
        <v>2.66</v>
      </c>
      <c r="G174" s="37">
        <v>40.9694</v>
      </c>
      <c r="H174" s="36">
        <v>1.6168646072147794</v>
      </c>
    </row>
    <row r="175" spans="1:8" x14ac:dyDescent="0.25">
      <c r="A175" s="14" t="s">
        <v>18</v>
      </c>
      <c r="B175" s="13" t="s">
        <v>26</v>
      </c>
      <c r="C175" s="16" t="s">
        <v>27</v>
      </c>
      <c r="D175" s="16" t="s">
        <v>222</v>
      </c>
      <c r="E175" s="36">
        <v>1.1875</v>
      </c>
      <c r="F175" s="36">
        <v>2.66</v>
      </c>
      <c r="G175" s="37">
        <v>43.7333</v>
      </c>
      <c r="H175" s="36">
        <v>1.5644674248075221</v>
      </c>
    </row>
    <row r="176" spans="1:8" x14ac:dyDescent="0.25">
      <c r="A176" s="14" t="s">
        <v>18</v>
      </c>
      <c r="B176" s="13" t="s">
        <v>20</v>
      </c>
      <c r="C176" s="16" t="s">
        <v>27</v>
      </c>
      <c r="D176" s="16" t="s">
        <v>223</v>
      </c>
      <c r="E176" s="36">
        <v>1.1875</v>
      </c>
      <c r="F176" s="36">
        <v>2.66</v>
      </c>
      <c r="G176" s="37">
        <v>46.497200000000007</v>
      </c>
      <c r="H176" s="36">
        <v>1.5124788188303995</v>
      </c>
    </row>
    <row r="177" spans="1:8" x14ac:dyDescent="0.25">
      <c r="A177" s="14" t="s">
        <v>18</v>
      </c>
      <c r="B177" s="15" t="s">
        <v>19</v>
      </c>
      <c r="C177" s="16" t="s">
        <v>34</v>
      </c>
      <c r="D177" s="16" t="s">
        <v>224</v>
      </c>
      <c r="E177" s="36">
        <v>1.41</v>
      </c>
      <c r="F177" s="36">
        <v>2.66</v>
      </c>
      <c r="G177" s="37">
        <v>28.3</v>
      </c>
      <c r="H177" s="36">
        <v>2.0124441293395261</v>
      </c>
    </row>
    <row r="178" spans="1:8" x14ac:dyDescent="0.25">
      <c r="A178" s="14" t="s">
        <v>18</v>
      </c>
      <c r="B178" s="13" t="s">
        <v>24</v>
      </c>
      <c r="C178" s="16" t="s">
        <v>34</v>
      </c>
      <c r="D178" s="16" t="s">
        <v>225</v>
      </c>
      <c r="E178" s="36">
        <v>1.41</v>
      </c>
      <c r="F178" s="36">
        <v>2.66</v>
      </c>
      <c r="G178" s="37">
        <v>34.534599999999998</v>
      </c>
      <c r="H178" s="36">
        <v>1.8878071187530059</v>
      </c>
    </row>
    <row r="179" spans="1:8" x14ac:dyDescent="0.25">
      <c r="A179" s="14" t="s">
        <v>18</v>
      </c>
      <c r="B179" s="13" t="s">
        <v>25</v>
      </c>
      <c r="C179" s="16" t="s">
        <v>34</v>
      </c>
      <c r="D179" s="16" t="s">
        <v>226</v>
      </c>
      <c r="E179" s="36">
        <v>1.41</v>
      </c>
      <c r="F179" s="36">
        <v>2.66</v>
      </c>
      <c r="G179" s="37">
        <v>40.769199999999998</v>
      </c>
      <c r="H179" s="36">
        <v>1.765404147517079</v>
      </c>
    </row>
    <row r="180" spans="1:8" x14ac:dyDescent="0.25">
      <c r="A180" s="14" t="s">
        <v>18</v>
      </c>
      <c r="B180" s="13" t="s">
        <v>26</v>
      </c>
      <c r="C180" s="16" t="s">
        <v>34</v>
      </c>
      <c r="D180" s="16" t="s">
        <v>227</v>
      </c>
      <c r="E180" s="36">
        <v>1.41</v>
      </c>
      <c r="F180" s="36">
        <v>2.66</v>
      </c>
      <c r="G180" s="37">
        <v>42.417549999999999</v>
      </c>
      <c r="H180" s="36">
        <v>1.7334081845216915</v>
      </c>
    </row>
    <row r="181" spans="1:8" x14ac:dyDescent="0.25">
      <c r="A181" s="14" t="s">
        <v>18</v>
      </c>
      <c r="B181" s="13" t="s">
        <v>20</v>
      </c>
      <c r="C181" s="16" t="s">
        <v>34</v>
      </c>
      <c r="D181" s="16" t="s">
        <v>228</v>
      </c>
      <c r="E181" s="36">
        <v>1.41</v>
      </c>
      <c r="F181" s="36">
        <v>2.66</v>
      </c>
      <c r="G181" s="37">
        <v>44.065899999999999</v>
      </c>
      <c r="H181" s="36">
        <v>1.7015631344966942</v>
      </c>
    </row>
  </sheetData>
  <sheetProtection selectLockedCells="1" selectUn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99"/>
  <sheetViews>
    <sheetView tabSelected="1" workbookViewId="0">
      <pane ySplit="2" topLeftCell="A3" activePane="bottomLeft" state="frozen"/>
      <selection pane="bottomLeft" activeCell="M128" sqref="M128"/>
    </sheetView>
  </sheetViews>
  <sheetFormatPr defaultRowHeight="15" x14ac:dyDescent="0.25"/>
  <cols>
    <col min="1" max="1" width="20.85546875" customWidth="1"/>
    <col min="2" max="2" width="13.140625" style="1" customWidth="1"/>
    <col min="3" max="3" width="16.85546875" style="1" customWidth="1"/>
    <col min="4" max="4" width="15.7109375" style="1" customWidth="1"/>
    <col min="5" max="5" width="20.85546875" style="1" customWidth="1"/>
    <col min="6" max="6" width="25.42578125" style="1" customWidth="1"/>
    <col min="7" max="7" width="12" style="1" bestFit="1" customWidth="1"/>
    <col min="8" max="8" width="9.140625" style="1"/>
    <col min="9" max="9" width="9.5703125" style="1" bestFit="1" customWidth="1"/>
    <col min="10" max="10" width="9.140625" style="1"/>
    <col min="11" max="11" width="2.5703125" style="5" customWidth="1"/>
    <col min="12" max="12" width="26.85546875" customWidth="1"/>
    <col min="13" max="13" width="36.5703125" customWidth="1"/>
    <col min="14" max="14" width="46.85546875" customWidth="1"/>
    <col min="15" max="15" width="34.85546875" customWidth="1"/>
    <col min="16" max="16" width="27.140625" customWidth="1"/>
  </cols>
  <sheetData>
    <row r="1" spans="1:16" x14ac:dyDescent="0.25">
      <c r="A1" s="59"/>
      <c r="B1" s="2"/>
      <c r="C1" s="59"/>
      <c r="D1" s="2"/>
      <c r="E1" s="2"/>
      <c r="F1" s="59"/>
      <c r="G1" s="118" t="s">
        <v>241</v>
      </c>
      <c r="H1" s="118"/>
      <c r="I1" s="118"/>
      <c r="J1" s="118"/>
      <c r="K1" s="20"/>
    </row>
    <row r="2" spans="1:16" x14ac:dyDescent="0.25">
      <c r="A2" s="107" t="s">
        <v>5</v>
      </c>
      <c r="B2" s="108" t="s">
        <v>252</v>
      </c>
      <c r="C2" s="107" t="s">
        <v>28</v>
      </c>
      <c r="D2" s="108" t="s">
        <v>253</v>
      </c>
      <c r="E2" s="108" t="s">
        <v>254</v>
      </c>
      <c r="F2" s="107" t="s">
        <v>41</v>
      </c>
      <c r="G2" s="109" t="s">
        <v>244</v>
      </c>
      <c r="H2" s="109" t="s">
        <v>245</v>
      </c>
      <c r="I2" s="109" t="s">
        <v>243</v>
      </c>
      <c r="J2" s="109" t="s">
        <v>242</v>
      </c>
      <c r="K2" s="21"/>
      <c r="L2" s="110" t="s">
        <v>5</v>
      </c>
      <c r="M2" s="110" t="s">
        <v>39</v>
      </c>
      <c r="N2" s="110" t="s">
        <v>248</v>
      </c>
      <c r="O2" t="s">
        <v>280</v>
      </c>
      <c r="P2" t="s">
        <v>275</v>
      </c>
    </row>
    <row r="3" spans="1:16" x14ac:dyDescent="0.25">
      <c r="A3" s="31" t="s">
        <v>279</v>
      </c>
      <c r="B3" s="1">
        <v>20</v>
      </c>
      <c r="C3" s="1" t="str">
        <f t="shared" ref="C3:C6" si="0">A3&amp;B3</f>
        <v>Potatoes20</v>
      </c>
      <c r="F3" s="4">
        <v>147.5</v>
      </c>
      <c r="G3" s="1">
        <v>7.2050000000000003E-2</v>
      </c>
      <c r="H3" s="1">
        <v>59.771999999999998</v>
      </c>
      <c r="I3" s="1">
        <v>155.71</v>
      </c>
      <c r="J3" s="1">
        <v>-6.26</v>
      </c>
      <c r="K3" s="6"/>
      <c r="L3" t="s">
        <v>293</v>
      </c>
      <c r="M3" t="s">
        <v>272</v>
      </c>
    </row>
    <row r="4" spans="1:16" x14ac:dyDescent="0.25">
      <c r="A4" s="31" t="s">
        <v>279</v>
      </c>
      <c r="B4" s="1">
        <v>25</v>
      </c>
      <c r="C4" s="1" t="str">
        <f t="shared" si="0"/>
        <v>Potatoes25</v>
      </c>
      <c r="F4" s="4">
        <v>147</v>
      </c>
      <c r="G4" s="1">
        <v>7.2450000000000001E-2</v>
      </c>
      <c r="H4" s="1">
        <v>59.668999999999997</v>
      </c>
      <c r="I4" s="1">
        <v>155.11000000000001</v>
      </c>
      <c r="J4" s="1">
        <v>-6.18</v>
      </c>
      <c r="L4" t="s">
        <v>294</v>
      </c>
      <c r="M4" t="s">
        <v>272</v>
      </c>
    </row>
    <row r="5" spans="1:16" x14ac:dyDescent="0.25">
      <c r="A5" s="31" t="s">
        <v>279</v>
      </c>
      <c r="B5" s="1">
        <v>30</v>
      </c>
      <c r="C5" s="1" t="str">
        <f t="shared" si="0"/>
        <v>Potatoes30</v>
      </c>
      <c r="F5" s="4">
        <v>151.39999999999998</v>
      </c>
      <c r="G5" s="1">
        <v>6.973E-2</v>
      </c>
      <c r="H5" s="1">
        <v>60.667999999999999</v>
      </c>
      <c r="I5" s="1">
        <v>160.44</v>
      </c>
      <c r="J5" s="1">
        <v>-6.65</v>
      </c>
      <c r="L5" t="s">
        <v>285</v>
      </c>
      <c r="M5" t="s">
        <v>250</v>
      </c>
      <c r="N5" t="s">
        <v>251</v>
      </c>
    </row>
    <row r="6" spans="1:16" x14ac:dyDescent="0.25">
      <c r="A6" s="31" t="s">
        <v>279</v>
      </c>
      <c r="B6" s="1">
        <v>35</v>
      </c>
      <c r="C6" s="1" t="str">
        <f t="shared" si="0"/>
        <v>Potatoes35</v>
      </c>
      <c r="F6" s="4">
        <v>174.4</v>
      </c>
      <c r="G6" s="1">
        <v>5.7860000000000002E-2</v>
      </c>
      <c r="H6" s="1">
        <v>65.182000000000002</v>
      </c>
      <c r="I6" s="1">
        <v>187.2</v>
      </c>
      <c r="J6" s="1">
        <v>-10.039999999999999</v>
      </c>
      <c r="L6" t="s">
        <v>286</v>
      </c>
      <c r="M6" t="s">
        <v>250</v>
      </c>
      <c r="N6" t="s">
        <v>251</v>
      </c>
    </row>
    <row r="7" spans="1:16" x14ac:dyDescent="0.25">
      <c r="A7" s="31" t="s">
        <v>279</v>
      </c>
      <c r="B7" s="1">
        <v>40</v>
      </c>
      <c r="C7" s="1" t="str">
        <f>A7&amp;B7</f>
        <v>Potatoes40</v>
      </c>
      <c r="F7" s="4">
        <v>196.5</v>
      </c>
      <c r="G7" s="1">
        <v>5.3920000000000003E-2</v>
      </c>
      <c r="H7" s="1">
        <v>69.090999999999994</v>
      </c>
      <c r="I7" s="1">
        <v>211.62</v>
      </c>
      <c r="J7" s="1">
        <v>-11.08</v>
      </c>
      <c r="L7" t="s">
        <v>262</v>
      </c>
      <c r="M7" t="s">
        <v>250</v>
      </c>
      <c r="N7" t="s">
        <v>251</v>
      </c>
    </row>
    <row r="8" spans="1:16" x14ac:dyDescent="0.25">
      <c r="A8" s="31" t="s">
        <v>279</v>
      </c>
      <c r="B8" s="1">
        <v>45</v>
      </c>
      <c r="C8" s="1" t="str">
        <f t="shared" ref="C8:C80" si="1">A8&amp;B8</f>
        <v>Potatoes45</v>
      </c>
      <c r="F8" s="4">
        <v>218.6</v>
      </c>
      <c r="G8" s="1">
        <v>5.2429999999999997E-2</v>
      </c>
      <c r="H8" s="1">
        <v>71.811999999999998</v>
      </c>
      <c r="I8" s="1">
        <v>235.05</v>
      </c>
      <c r="J8" s="1">
        <v>-11.77</v>
      </c>
      <c r="L8" t="s">
        <v>263</v>
      </c>
      <c r="M8" t="s">
        <v>250</v>
      </c>
      <c r="N8" t="s">
        <v>251</v>
      </c>
    </row>
    <row r="9" spans="1:16" x14ac:dyDescent="0.25">
      <c r="A9" s="31" t="s">
        <v>279</v>
      </c>
      <c r="B9" s="1">
        <v>50</v>
      </c>
      <c r="C9" s="1" t="str">
        <f t="shared" si="1"/>
        <v>Potatoes50</v>
      </c>
      <c r="F9" s="4">
        <v>240.4</v>
      </c>
      <c r="G9" s="1">
        <v>5.0200000000000002E-2</v>
      </c>
      <c r="H9" s="1">
        <v>74.448999999999998</v>
      </c>
      <c r="I9" s="1">
        <v>259.89</v>
      </c>
      <c r="J9" s="1">
        <v>-13.16</v>
      </c>
      <c r="L9" t="s">
        <v>283</v>
      </c>
      <c r="M9" t="s">
        <v>249</v>
      </c>
      <c r="N9" t="s">
        <v>251</v>
      </c>
      <c r="O9" t="s">
        <v>284</v>
      </c>
    </row>
    <row r="10" spans="1:16" x14ac:dyDescent="0.25">
      <c r="A10" s="31" t="s">
        <v>279</v>
      </c>
      <c r="B10" s="1">
        <v>55</v>
      </c>
      <c r="C10" s="1" t="str">
        <f t="shared" si="1"/>
        <v>Potatoes55</v>
      </c>
      <c r="F10" s="4">
        <v>262.8</v>
      </c>
      <c r="G10" s="1">
        <v>5.3592000000000001E-2</v>
      </c>
      <c r="H10" s="1">
        <v>71.491</v>
      </c>
      <c r="I10" s="1">
        <v>280.98</v>
      </c>
      <c r="J10" s="1">
        <v>-15.15</v>
      </c>
      <c r="L10" t="s">
        <v>282</v>
      </c>
      <c r="M10" t="s">
        <v>38</v>
      </c>
      <c r="N10" t="s">
        <v>276</v>
      </c>
    </row>
    <row r="11" spans="1:16" x14ac:dyDescent="0.25">
      <c r="A11" s="31" t="s">
        <v>279</v>
      </c>
      <c r="B11" s="1">
        <v>60</v>
      </c>
      <c r="C11" s="1" t="str">
        <f t="shared" si="1"/>
        <v>Potatoes60</v>
      </c>
      <c r="F11" s="4">
        <v>284.10000000000002</v>
      </c>
      <c r="G11" s="1">
        <v>5.3818999999999999E-2</v>
      </c>
      <c r="H11" s="1">
        <v>72.262</v>
      </c>
      <c r="I11" s="1">
        <v>302.69</v>
      </c>
      <c r="J11" s="1">
        <v>-15.9</v>
      </c>
      <c r="L11" t="s">
        <v>261</v>
      </c>
      <c r="M11" t="s">
        <v>250</v>
      </c>
    </row>
    <row r="12" spans="1:16" x14ac:dyDescent="0.25">
      <c r="A12" s="31" t="s">
        <v>279</v>
      </c>
      <c r="B12" s="1">
        <v>65</v>
      </c>
      <c r="C12" s="1" t="str">
        <f t="shared" si="1"/>
        <v>Potatoes65</v>
      </c>
      <c r="F12" s="4">
        <v>307.2</v>
      </c>
      <c r="G12" s="1">
        <v>5.3385000000000002E-2</v>
      </c>
      <c r="H12" s="1">
        <v>73.373999999999995</v>
      </c>
      <c r="I12" s="1">
        <v>327.14999999999998</v>
      </c>
      <c r="J12" s="1">
        <v>-16.91</v>
      </c>
      <c r="L12" s="31" t="s">
        <v>279</v>
      </c>
      <c r="M12" t="s">
        <v>40</v>
      </c>
      <c r="O12" t="s">
        <v>281</v>
      </c>
    </row>
    <row r="13" spans="1:16" x14ac:dyDescent="0.25">
      <c r="A13" s="31" t="s">
        <v>279</v>
      </c>
      <c r="B13" s="1">
        <v>70</v>
      </c>
      <c r="C13" s="1" t="str">
        <f t="shared" si="1"/>
        <v>Potatoes70</v>
      </c>
      <c r="F13" s="4">
        <v>330.5</v>
      </c>
      <c r="G13" s="1">
        <v>5.1459999999999999E-2</v>
      </c>
      <c r="H13" s="1">
        <v>74.930999999999997</v>
      </c>
      <c r="I13" s="1">
        <v>353.36</v>
      </c>
      <c r="J13" s="1">
        <v>-18.93</v>
      </c>
      <c r="L13" t="s">
        <v>307</v>
      </c>
      <c r="M13" t="s">
        <v>40</v>
      </c>
    </row>
    <row r="14" spans="1:16" x14ac:dyDescent="0.25">
      <c r="A14" s="31" t="s">
        <v>279</v>
      </c>
      <c r="B14" s="1">
        <v>75</v>
      </c>
      <c r="C14" s="1" t="str">
        <f t="shared" si="1"/>
        <v>Potatoes75</v>
      </c>
      <c r="F14" s="4">
        <v>351.59999999999997</v>
      </c>
      <c r="G14" s="1">
        <v>5.1188999999999998E-2</v>
      </c>
      <c r="H14" s="1">
        <v>75.802000000000007</v>
      </c>
      <c r="I14" s="1">
        <v>375.26</v>
      </c>
      <c r="J14" s="1">
        <v>-19.809999999999999</v>
      </c>
      <c r="L14" t="s">
        <v>273</v>
      </c>
      <c r="M14" t="s">
        <v>38</v>
      </c>
      <c r="N14" t="s">
        <v>274</v>
      </c>
    </row>
    <row r="15" spans="1:16" x14ac:dyDescent="0.25">
      <c r="A15" s="31" t="s">
        <v>279</v>
      </c>
      <c r="B15" s="1">
        <v>80</v>
      </c>
      <c r="C15" s="1" t="str">
        <f t="shared" si="1"/>
        <v>Potatoes80</v>
      </c>
      <c r="F15" s="4">
        <v>367.5</v>
      </c>
      <c r="G15" s="1">
        <v>5.3203E-2</v>
      </c>
      <c r="H15" s="1">
        <v>75.963999999999999</v>
      </c>
      <c r="I15" s="1">
        <v>388.22</v>
      </c>
      <c r="J15" s="1">
        <v>-18.38</v>
      </c>
      <c r="L15" t="s">
        <v>287</v>
      </c>
      <c r="M15" t="s">
        <v>272</v>
      </c>
    </row>
    <row r="16" spans="1:16" x14ac:dyDescent="0.25">
      <c r="A16" s="31" t="s">
        <v>279</v>
      </c>
      <c r="B16" s="1">
        <v>85</v>
      </c>
      <c r="C16" s="1" t="str">
        <f t="shared" si="1"/>
        <v>Potatoes85</v>
      </c>
      <c r="F16" s="4">
        <v>372.59999999999997</v>
      </c>
      <c r="G16" s="1">
        <v>5.6575E-2</v>
      </c>
      <c r="H16" s="1">
        <v>75.623999999999995</v>
      </c>
      <c r="I16" s="1">
        <v>388.49</v>
      </c>
      <c r="J16" s="1">
        <v>-15.47</v>
      </c>
      <c r="L16" t="s">
        <v>288</v>
      </c>
      <c r="M16" t="s">
        <v>272</v>
      </c>
    </row>
    <row r="17" spans="1:18" x14ac:dyDescent="0.25">
      <c r="A17" s="31" t="s">
        <v>279</v>
      </c>
      <c r="B17" s="1">
        <v>90</v>
      </c>
      <c r="C17" s="1" t="str">
        <f t="shared" si="1"/>
        <v>Potatoes90</v>
      </c>
      <c r="F17" s="4">
        <v>377.90000000000003</v>
      </c>
      <c r="G17" s="1">
        <v>6.0014999999999999E-2</v>
      </c>
      <c r="H17" s="1">
        <v>75.23</v>
      </c>
      <c r="I17" s="1">
        <v>388.86</v>
      </c>
      <c r="J17" s="1">
        <v>-12.93</v>
      </c>
    </row>
    <row r="18" spans="1:18" x14ac:dyDescent="0.25">
      <c r="A18" s="31" t="s">
        <v>279</v>
      </c>
      <c r="B18" s="1">
        <v>95</v>
      </c>
      <c r="C18" s="1" t="str">
        <f t="shared" si="1"/>
        <v>Potatoes95</v>
      </c>
      <c r="F18" s="4">
        <v>382.29999999999995</v>
      </c>
      <c r="G18" s="1">
        <v>6.454E-2</v>
      </c>
      <c r="H18" s="1">
        <v>74.753</v>
      </c>
      <c r="I18" s="1">
        <v>388.89</v>
      </c>
      <c r="J18" s="1">
        <v>-10.029999999999999</v>
      </c>
    </row>
    <row r="19" spans="1:18" x14ac:dyDescent="0.25">
      <c r="A19" s="31" t="s">
        <v>279</v>
      </c>
      <c r="B19" s="1">
        <v>100</v>
      </c>
      <c r="C19" s="1" t="str">
        <f t="shared" si="1"/>
        <v>Potatoes100</v>
      </c>
      <c r="F19" s="4">
        <v>400.1</v>
      </c>
      <c r="G19" s="1">
        <v>6.2809000000000004E-2</v>
      </c>
      <c r="H19" s="1">
        <v>76.62</v>
      </c>
      <c r="I19" s="1">
        <v>418.14</v>
      </c>
      <c r="J19" s="1">
        <v>-10.53</v>
      </c>
    </row>
    <row r="20" spans="1:18" x14ac:dyDescent="0.25">
      <c r="A20" t="s">
        <v>282</v>
      </c>
      <c r="B20" s="1">
        <v>12</v>
      </c>
      <c r="C20" s="1" t="str">
        <f t="shared" si="1"/>
        <v>Maize12</v>
      </c>
      <c r="D20" s="4">
        <v>6.9902800000000003</v>
      </c>
      <c r="F20" s="4">
        <v>126</v>
      </c>
      <c r="G20" s="1">
        <v>6.4409999999999995E-2</v>
      </c>
      <c r="H20" s="1">
        <v>74.83</v>
      </c>
      <c r="I20" s="1">
        <v>131.58000000000001</v>
      </c>
      <c r="J20" s="1">
        <v>-3.22</v>
      </c>
      <c r="O20" s="1"/>
      <c r="P20" s="1"/>
      <c r="Q20" s="1"/>
      <c r="R20" s="1"/>
    </row>
    <row r="21" spans="1:18" x14ac:dyDescent="0.25">
      <c r="A21" t="s">
        <v>282</v>
      </c>
      <c r="B21" s="1">
        <v>13</v>
      </c>
      <c r="C21" s="1" t="str">
        <f t="shared" si="1"/>
        <v>Maize13</v>
      </c>
      <c r="D21" s="4">
        <v>7.5770200000000001</v>
      </c>
      <c r="F21" s="4">
        <v>136.5</v>
      </c>
      <c r="G21" s="1">
        <v>6.4409999999999995E-2</v>
      </c>
      <c r="H21" s="1">
        <v>74.83</v>
      </c>
      <c r="I21" s="1">
        <v>142.55000000000001</v>
      </c>
      <c r="J21" s="1">
        <v>-3.48</v>
      </c>
      <c r="O21" s="1"/>
      <c r="P21" s="1"/>
      <c r="Q21" s="1"/>
      <c r="R21" s="1"/>
    </row>
    <row r="22" spans="1:18" x14ac:dyDescent="0.25">
      <c r="A22" t="s">
        <v>282</v>
      </c>
      <c r="B22" s="1">
        <v>14</v>
      </c>
      <c r="C22" s="1" t="str">
        <f t="shared" si="1"/>
        <v>Maize14</v>
      </c>
      <c r="D22" s="4">
        <v>8.1637600000000017</v>
      </c>
      <c r="F22" s="4">
        <v>147</v>
      </c>
      <c r="G22" s="1">
        <v>6.4409999999999995E-2</v>
      </c>
      <c r="H22" s="1">
        <v>74.83</v>
      </c>
      <c r="I22" s="1">
        <v>153.51</v>
      </c>
      <c r="J22" s="1">
        <v>-3.75</v>
      </c>
      <c r="O22" s="1"/>
      <c r="P22" s="1"/>
      <c r="Q22" s="1"/>
      <c r="R22" s="1"/>
    </row>
    <row r="23" spans="1:18" x14ac:dyDescent="0.25">
      <c r="A23" t="s">
        <v>282</v>
      </c>
      <c r="B23" s="1">
        <v>15</v>
      </c>
      <c r="C23" s="1" t="str">
        <f t="shared" si="1"/>
        <v>Maize15</v>
      </c>
      <c r="D23" s="4">
        <v>8.7505000000000006</v>
      </c>
      <c r="F23" s="4">
        <v>157.5</v>
      </c>
      <c r="G23" s="1">
        <v>6.4409999999999995E-2</v>
      </c>
      <c r="H23" s="1">
        <v>74.831999999999994</v>
      </c>
      <c r="I23" s="1">
        <v>164.48</v>
      </c>
      <c r="J23" s="1">
        <v>-4.0199999999999996</v>
      </c>
    </row>
    <row r="24" spans="1:18" x14ac:dyDescent="0.25">
      <c r="A24" t="s">
        <v>282</v>
      </c>
      <c r="B24" s="1">
        <v>16</v>
      </c>
      <c r="C24" s="1" t="str">
        <f t="shared" si="1"/>
        <v>Maize16</v>
      </c>
      <c r="D24" s="4">
        <v>9.3372400000000013</v>
      </c>
      <c r="F24" s="4">
        <v>168</v>
      </c>
      <c r="G24" s="1">
        <v>6.4409999999999995E-2</v>
      </c>
      <c r="H24" s="1">
        <v>74.831999999999994</v>
      </c>
      <c r="I24" s="1">
        <v>175.45</v>
      </c>
      <c r="J24" s="1">
        <v>-4.29</v>
      </c>
    </row>
    <row r="25" spans="1:18" x14ac:dyDescent="0.25">
      <c r="A25" t="s">
        <v>282</v>
      </c>
      <c r="B25" s="1">
        <v>17</v>
      </c>
      <c r="C25" s="1" t="str">
        <f t="shared" si="1"/>
        <v>Maize17</v>
      </c>
      <c r="D25" s="4">
        <v>9.923980000000002</v>
      </c>
      <c r="F25" s="4">
        <v>178.5</v>
      </c>
      <c r="G25" s="1">
        <v>6.4409999999999995E-2</v>
      </c>
      <c r="H25" s="1">
        <v>74.831999999999994</v>
      </c>
      <c r="I25" s="1">
        <v>186.41</v>
      </c>
      <c r="J25" s="1">
        <v>-4.5599999999999996</v>
      </c>
    </row>
    <row r="26" spans="1:18" x14ac:dyDescent="0.25">
      <c r="A26" t="s">
        <v>282</v>
      </c>
      <c r="B26" s="1">
        <v>18</v>
      </c>
      <c r="C26" s="1" t="str">
        <f t="shared" si="1"/>
        <v>Maize18</v>
      </c>
      <c r="D26" s="4">
        <v>10.510720000000001</v>
      </c>
      <c r="F26" s="4">
        <v>189</v>
      </c>
      <c r="G26" s="1">
        <v>6.4409999999999995E-2</v>
      </c>
      <c r="H26" s="1">
        <v>74.831999999999994</v>
      </c>
      <c r="I26" s="1">
        <v>197.38</v>
      </c>
      <c r="J26" s="1">
        <v>-4.82</v>
      </c>
    </row>
    <row r="27" spans="1:18" x14ac:dyDescent="0.25">
      <c r="A27" t="s">
        <v>282</v>
      </c>
      <c r="B27" s="1">
        <v>19</v>
      </c>
      <c r="C27" s="1" t="str">
        <f t="shared" si="1"/>
        <v>Maize19</v>
      </c>
      <c r="D27" s="4">
        <v>11.097460000000002</v>
      </c>
      <c r="F27" s="4">
        <v>199.5</v>
      </c>
      <c r="G27" s="1">
        <v>6.4409999999999995E-2</v>
      </c>
      <c r="H27" s="1">
        <v>74.831999999999994</v>
      </c>
      <c r="I27" s="1">
        <v>208.34</v>
      </c>
      <c r="J27" s="1">
        <v>-5.09</v>
      </c>
    </row>
    <row r="28" spans="1:18" x14ac:dyDescent="0.25">
      <c r="A28" t="s">
        <v>282</v>
      </c>
      <c r="B28" s="1">
        <v>20</v>
      </c>
      <c r="C28" s="1" t="str">
        <f t="shared" si="1"/>
        <v>Maize20</v>
      </c>
      <c r="D28" s="4">
        <v>11.684200000000001</v>
      </c>
      <c r="F28" s="4">
        <v>210</v>
      </c>
      <c r="G28" s="1">
        <v>6.4409999999999995E-2</v>
      </c>
      <c r="H28" s="1">
        <v>74.831999999999994</v>
      </c>
      <c r="I28" s="1">
        <v>219.31</v>
      </c>
      <c r="J28" s="1">
        <v>-5.36</v>
      </c>
    </row>
    <row r="29" spans="1:18" x14ac:dyDescent="0.25">
      <c r="A29" t="s">
        <v>282</v>
      </c>
      <c r="B29" s="1">
        <v>21</v>
      </c>
      <c r="C29" s="1" t="str">
        <f t="shared" si="1"/>
        <v>Maize21</v>
      </c>
      <c r="D29" s="4">
        <v>12.270940000000001</v>
      </c>
      <c r="F29" s="4">
        <v>220.5</v>
      </c>
      <c r="G29" s="1">
        <v>6.4409999999999995E-2</v>
      </c>
      <c r="H29" s="1">
        <v>74.831999999999994</v>
      </c>
      <c r="I29" s="1">
        <v>230.27</v>
      </c>
      <c r="J29" s="1">
        <v>-5.63</v>
      </c>
    </row>
    <row r="30" spans="1:18" x14ac:dyDescent="0.25">
      <c r="A30" t="s">
        <v>282</v>
      </c>
      <c r="B30" s="1">
        <v>22</v>
      </c>
      <c r="C30" s="1" t="str">
        <f t="shared" si="1"/>
        <v>Maize22</v>
      </c>
      <c r="D30" s="4">
        <v>12.857680000000002</v>
      </c>
      <c r="F30" s="4">
        <v>231</v>
      </c>
      <c r="G30" s="1">
        <v>6.4409999999999995E-2</v>
      </c>
      <c r="H30" s="1">
        <v>74.831999999999994</v>
      </c>
      <c r="I30" s="1">
        <v>241.24</v>
      </c>
      <c r="J30" s="1">
        <v>-5.9</v>
      </c>
    </row>
    <row r="31" spans="1:18" x14ac:dyDescent="0.25">
      <c r="A31" t="s">
        <v>282</v>
      </c>
      <c r="B31" s="1">
        <v>23</v>
      </c>
      <c r="C31" s="1" t="str">
        <f t="shared" si="1"/>
        <v>Maize23</v>
      </c>
      <c r="D31" s="4">
        <v>13.444420000000001</v>
      </c>
      <c r="F31" s="4">
        <v>241.5</v>
      </c>
      <c r="G31" s="1">
        <v>6.4409999999999995E-2</v>
      </c>
      <c r="H31" s="1">
        <v>74.831999999999994</v>
      </c>
      <c r="I31" s="1">
        <v>252.2</v>
      </c>
      <c r="J31" s="1">
        <v>-6.16</v>
      </c>
    </row>
    <row r="32" spans="1:18" x14ac:dyDescent="0.25">
      <c r="A32" t="s">
        <v>282</v>
      </c>
      <c r="B32" s="1">
        <v>24</v>
      </c>
      <c r="C32" s="1" t="str">
        <f t="shared" si="1"/>
        <v>Maize24</v>
      </c>
      <c r="D32" s="4">
        <v>14.031160000000002</v>
      </c>
      <c r="F32" s="4">
        <v>252</v>
      </c>
      <c r="G32" s="1">
        <v>6.4409999999999995E-2</v>
      </c>
      <c r="H32" s="1">
        <v>74.831999999999994</v>
      </c>
      <c r="I32" s="1">
        <v>263.17</v>
      </c>
      <c r="J32" s="1">
        <v>-6.43</v>
      </c>
    </row>
    <row r="33" spans="1:13" x14ac:dyDescent="0.25">
      <c r="A33" t="s">
        <v>282</v>
      </c>
      <c r="B33" s="1">
        <v>25</v>
      </c>
      <c r="C33" s="1" t="str">
        <f t="shared" si="1"/>
        <v>Maize25</v>
      </c>
      <c r="D33" s="4">
        <v>14.617900000000002</v>
      </c>
      <c r="F33" s="4">
        <v>262.5</v>
      </c>
      <c r="G33" s="1">
        <v>6.4409999999999995E-2</v>
      </c>
      <c r="H33" s="1">
        <v>74.831999999999994</v>
      </c>
      <c r="I33" s="1">
        <v>274.13</v>
      </c>
      <c r="J33" s="1">
        <v>-6.7</v>
      </c>
    </row>
    <row r="34" spans="1:13" x14ac:dyDescent="0.25">
      <c r="A34" t="s">
        <v>282</v>
      </c>
      <c r="B34" s="1">
        <v>26</v>
      </c>
      <c r="C34" s="1" t="str">
        <f t="shared" si="1"/>
        <v>Maize26</v>
      </c>
      <c r="D34" s="4">
        <v>15.204640000000001</v>
      </c>
      <c r="F34" s="4">
        <v>284.22399999999999</v>
      </c>
      <c r="G34" s="1">
        <v>6.4409999999999995E-2</v>
      </c>
      <c r="H34" s="1">
        <v>74.831999999999994</v>
      </c>
      <c r="I34" s="1">
        <v>296.82</v>
      </c>
      <c r="J34" s="1">
        <v>-7.25</v>
      </c>
    </row>
    <row r="35" spans="1:13" x14ac:dyDescent="0.25">
      <c r="A35" t="s">
        <v>282</v>
      </c>
      <c r="B35" s="60">
        <v>27</v>
      </c>
      <c r="C35" s="60" t="str">
        <f t="shared" si="1"/>
        <v>Maize27</v>
      </c>
      <c r="D35" s="4">
        <v>15.791380000000002</v>
      </c>
      <c r="E35" s="60"/>
      <c r="F35" s="4">
        <v>306.53300000000007</v>
      </c>
      <c r="G35" s="60">
        <v>6.4409999999999995E-2</v>
      </c>
      <c r="H35" s="60">
        <v>74.831999999999994</v>
      </c>
      <c r="I35" s="60">
        <v>320.12</v>
      </c>
      <c r="J35" s="60">
        <v>-7.82</v>
      </c>
    </row>
    <row r="36" spans="1:13" x14ac:dyDescent="0.25">
      <c r="A36" t="s">
        <v>282</v>
      </c>
      <c r="B36" s="60">
        <v>28</v>
      </c>
      <c r="C36" s="60" t="str">
        <f t="shared" si="1"/>
        <v>Maize28</v>
      </c>
      <c r="D36" s="4">
        <v>16.378120000000003</v>
      </c>
      <c r="E36" s="60"/>
      <c r="F36" s="4">
        <v>328.84200000000004</v>
      </c>
      <c r="G36" s="60">
        <v>6.4409999999999995E-2</v>
      </c>
      <c r="H36" s="60">
        <v>74.831999999999994</v>
      </c>
      <c r="I36" s="60">
        <v>343.42</v>
      </c>
      <c r="J36" s="60">
        <v>-8.39</v>
      </c>
    </row>
    <row r="37" spans="1:13" x14ac:dyDescent="0.25">
      <c r="A37" t="s">
        <v>282</v>
      </c>
      <c r="B37" s="60">
        <v>29</v>
      </c>
      <c r="C37" s="60" t="str">
        <f t="shared" si="1"/>
        <v>Maize29</v>
      </c>
      <c r="D37" s="4">
        <v>16.964860000000002</v>
      </c>
      <c r="E37" s="60"/>
      <c r="F37" s="4">
        <v>351.15100000000001</v>
      </c>
      <c r="G37" s="60">
        <v>6.4409999999999995E-2</v>
      </c>
      <c r="H37" s="60">
        <v>74.831999999999994</v>
      </c>
      <c r="I37" s="60">
        <v>366.71</v>
      </c>
      <c r="J37" s="60">
        <v>-8.9600000000000009</v>
      </c>
    </row>
    <row r="38" spans="1:13" x14ac:dyDescent="0.25">
      <c r="A38" t="s">
        <v>282</v>
      </c>
      <c r="B38" s="60">
        <v>30</v>
      </c>
      <c r="C38" s="60" t="str">
        <f t="shared" si="1"/>
        <v>Maize30</v>
      </c>
      <c r="D38" s="4">
        <v>17.551600000000001</v>
      </c>
      <c r="E38" s="60"/>
      <c r="F38" s="4">
        <v>373.46</v>
      </c>
      <c r="G38" s="60">
        <v>6.4409999999999995E-2</v>
      </c>
      <c r="H38" s="60">
        <v>74.831999999999994</v>
      </c>
      <c r="I38" s="60">
        <v>390.01</v>
      </c>
      <c r="J38" s="60">
        <v>-9.5299999999999994</v>
      </c>
    </row>
    <row r="39" spans="1:13" x14ac:dyDescent="0.25">
      <c r="A39" t="s">
        <v>283</v>
      </c>
      <c r="B39" s="1">
        <v>20</v>
      </c>
      <c r="C39" s="1" t="str">
        <f t="shared" si="1"/>
        <v>Lettuce20</v>
      </c>
      <c r="D39" s="4">
        <f>B39*0.76</f>
        <v>15.2</v>
      </c>
      <c r="E39" s="35" t="str">
        <f>A39&amp;D39</f>
        <v>Lettuce15.2</v>
      </c>
      <c r="F39" s="4">
        <v>46.367999999999995</v>
      </c>
      <c r="G39" s="1">
        <v>0.1983</v>
      </c>
      <c r="H39" s="1">
        <v>36.82</v>
      </c>
      <c r="I39" s="1">
        <v>48.82</v>
      </c>
      <c r="J39" s="1">
        <v>0.35</v>
      </c>
      <c r="M39" s="1"/>
    </row>
    <row r="40" spans="1:13" x14ac:dyDescent="0.25">
      <c r="A40" t="s">
        <v>283</v>
      </c>
      <c r="B40" s="1">
        <v>25</v>
      </c>
      <c r="C40" s="1" t="str">
        <f t="shared" si="1"/>
        <v>Lettuce25</v>
      </c>
      <c r="D40" s="4">
        <f t="shared" ref="D40:D51" si="2">B40*0.76</f>
        <v>19</v>
      </c>
      <c r="E40" s="35" t="str">
        <f t="shared" ref="E40:E51" si="3">A40&amp;D40</f>
        <v>Lettuce19</v>
      </c>
      <c r="F40" s="4">
        <v>56.7</v>
      </c>
      <c r="G40" s="1">
        <v>0.20130000000000001</v>
      </c>
      <c r="H40" s="1">
        <v>36.552</v>
      </c>
      <c r="I40" s="1">
        <v>59.36</v>
      </c>
      <c r="J40" s="1">
        <v>0.46</v>
      </c>
      <c r="M40" s="1"/>
    </row>
    <row r="41" spans="1:13" x14ac:dyDescent="0.25">
      <c r="A41" t="s">
        <v>283</v>
      </c>
      <c r="B41" s="1">
        <v>30</v>
      </c>
      <c r="C41" s="1" t="str">
        <f t="shared" si="1"/>
        <v>Lettuce30</v>
      </c>
      <c r="D41" s="4">
        <f t="shared" si="2"/>
        <v>22.8</v>
      </c>
      <c r="E41" s="35" t="str">
        <f t="shared" si="3"/>
        <v>Lettuce22.8</v>
      </c>
      <c r="F41" s="4">
        <v>66.527999999999992</v>
      </c>
      <c r="G41" s="1">
        <v>0.2044</v>
      </c>
      <c r="H41" s="1">
        <v>36.279000000000003</v>
      </c>
      <c r="I41" s="1">
        <v>69.260000000000005</v>
      </c>
      <c r="J41" s="1">
        <v>0.57999999999999996</v>
      </c>
      <c r="M41" s="1"/>
    </row>
    <row r="42" spans="1:13" x14ac:dyDescent="0.25">
      <c r="A42" t="s">
        <v>283</v>
      </c>
      <c r="B42" s="1">
        <v>35</v>
      </c>
      <c r="C42" s="1" t="str">
        <f t="shared" si="1"/>
        <v>Lettuce35</v>
      </c>
      <c r="D42" s="4">
        <f t="shared" si="2"/>
        <v>26.6</v>
      </c>
      <c r="E42" s="35" t="str">
        <f t="shared" si="3"/>
        <v>Lettuce26.6</v>
      </c>
      <c r="F42" s="4">
        <v>75.852000000000004</v>
      </c>
      <c r="G42" s="1">
        <v>0.20780000000000001</v>
      </c>
      <c r="H42" s="1">
        <v>36.005000000000003</v>
      </c>
      <c r="I42" s="1">
        <v>78.55</v>
      </c>
      <c r="J42" s="1">
        <v>0.71</v>
      </c>
      <c r="M42" s="1"/>
    </row>
    <row r="43" spans="1:13" x14ac:dyDescent="0.25">
      <c r="A43" t="s">
        <v>283</v>
      </c>
      <c r="B43" s="1">
        <v>40</v>
      </c>
      <c r="C43" s="1" t="str">
        <f t="shared" si="1"/>
        <v>Lettuce40</v>
      </c>
      <c r="D43" s="4">
        <f t="shared" si="2"/>
        <v>30.4</v>
      </c>
      <c r="E43" s="35" t="str">
        <f t="shared" si="3"/>
        <v>Lettuce30.4</v>
      </c>
      <c r="F43" s="4">
        <v>84.671999999999997</v>
      </c>
      <c r="G43" s="1">
        <v>0.21149999999999999</v>
      </c>
      <c r="H43" s="1">
        <v>35.728000000000002</v>
      </c>
      <c r="I43" s="1">
        <v>87.23</v>
      </c>
      <c r="J43" s="1">
        <v>0.85</v>
      </c>
      <c r="M43" s="1"/>
    </row>
    <row r="44" spans="1:13" x14ac:dyDescent="0.25">
      <c r="A44" t="s">
        <v>283</v>
      </c>
      <c r="B44" s="1">
        <v>45</v>
      </c>
      <c r="C44" s="1" t="str">
        <f t="shared" si="1"/>
        <v>Lettuce45</v>
      </c>
      <c r="D44" s="4">
        <f t="shared" si="2"/>
        <v>34.200000000000003</v>
      </c>
      <c r="E44" s="35" t="str">
        <f t="shared" si="3"/>
        <v>Lettuce34.2</v>
      </c>
      <c r="F44" s="4">
        <v>92.988</v>
      </c>
      <c r="G44" s="1">
        <v>0.2155</v>
      </c>
      <c r="H44" s="1">
        <v>35.448999999999998</v>
      </c>
      <c r="I44" s="1">
        <v>95.32</v>
      </c>
      <c r="J44" s="1">
        <v>1.01</v>
      </c>
      <c r="M44" s="1"/>
    </row>
    <row r="45" spans="1:13" x14ac:dyDescent="0.25">
      <c r="A45" t="s">
        <v>283</v>
      </c>
      <c r="B45" s="1">
        <v>50</v>
      </c>
      <c r="C45" s="1" t="str">
        <f t="shared" si="1"/>
        <v>Lettuce50</v>
      </c>
      <c r="D45" s="4">
        <f t="shared" si="2"/>
        <v>38</v>
      </c>
      <c r="E45" s="35" t="str">
        <f t="shared" si="3"/>
        <v>Lettuce38</v>
      </c>
      <c r="F45" s="4">
        <v>100.8</v>
      </c>
      <c r="G45" s="1">
        <v>0.21990000000000001</v>
      </c>
      <c r="H45" s="1">
        <v>35.168999999999997</v>
      </c>
      <c r="I45" s="1">
        <v>102.83</v>
      </c>
      <c r="J45" s="1">
        <v>1.18</v>
      </c>
      <c r="M45" s="1"/>
    </row>
    <row r="46" spans="1:13" x14ac:dyDescent="0.25">
      <c r="A46" t="s">
        <v>283</v>
      </c>
      <c r="B46" s="1">
        <v>55</v>
      </c>
      <c r="C46" s="1" t="str">
        <f t="shared" si="1"/>
        <v>Lettuce55</v>
      </c>
      <c r="D46" s="4">
        <f t="shared" si="2"/>
        <v>41.8</v>
      </c>
      <c r="E46" s="35" t="str">
        <f t="shared" si="3"/>
        <v>Lettuce41.8</v>
      </c>
      <c r="F46" s="4">
        <v>108.10799999999999</v>
      </c>
      <c r="G46" s="1">
        <v>0.22470000000000001</v>
      </c>
      <c r="H46" s="1">
        <v>34.887</v>
      </c>
      <c r="I46" s="1">
        <v>109.77</v>
      </c>
      <c r="J46" s="1">
        <v>1.37</v>
      </c>
      <c r="M46" s="1"/>
    </row>
    <row r="47" spans="1:13" x14ac:dyDescent="0.25">
      <c r="A47" t="s">
        <v>283</v>
      </c>
      <c r="B47" s="1">
        <v>60</v>
      </c>
      <c r="C47" s="1" t="str">
        <f t="shared" si="1"/>
        <v>Lettuce60</v>
      </c>
      <c r="D47" s="4">
        <f t="shared" si="2"/>
        <v>45.6</v>
      </c>
      <c r="E47" s="35" t="str">
        <f t="shared" si="3"/>
        <v>Lettuce45.6</v>
      </c>
      <c r="F47" s="4">
        <v>114.91199999999998</v>
      </c>
      <c r="G47" s="1">
        <v>0.23</v>
      </c>
      <c r="H47" s="1">
        <v>34.603000000000002</v>
      </c>
      <c r="I47" s="1">
        <v>116.16</v>
      </c>
      <c r="J47" s="1">
        <v>1.58</v>
      </c>
      <c r="M47" s="1"/>
    </row>
    <row r="48" spans="1:13" x14ac:dyDescent="0.25">
      <c r="A48" t="s">
        <v>283</v>
      </c>
      <c r="B48" s="1">
        <v>65</v>
      </c>
      <c r="C48" s="1" t="str">
        <f t="shared" si="1"/>
        <v>Lettuce65</v>
      </c>
      <c r="D48" s="4">
        <f t="shared" si="2"/>
        <v>49.4</v>
      </c>
      <c r="E48" s="35" t="str">
        <f t="shared" si="3"/>
        <v>Lettuce49.4</v>
      </c>
      <c r="F48" s="4">
        <v>121.21200000000002</v>
      </c>
      <c r="G48" s="1">
        <v>0.2359</v>
      </c>
      <c r="H48" s="1">
        <v>34.317</v>
      </c>
      <c r="I48" s="1">
        <v>122.01</v>
      </c>
      <c r="J48" s="1">
        <v>1.81</v>
      </c>
      <c r="M48" s="1"/>
    </row>
    <row r="49" spans="1:13" x14ac:dyDescent="0.25">
      <c r="A49" t="s">
        <v>283</v>
      </c>
      <c r="B49" s="1">
        <v>70</v>
      </c>
      <c r="C49" s="1" t="str">
        <f t="shared" si="1"/>
        <v>Lettuce70</v>
      </c>
      <c r="D49" s="4">
        <f t="shared" si="2"/>
        <v>53.2</v>
      </c>
      <c r="E49" s="35" t="str">
        <f t="shared" si="3"/>
        <v>Lettuce53.2</v>
      </c>
      <c r="F49" s="4">
        <v>127.00800000000001</v>
      </c>
      <c r="G49" s="1">
        <v>0.2424</v>
      </c>
      <c r="H49" s="1">
        <v>34.030999999999999</v>
      </c>
      <c r="I49" s="1">
        <v>127.33</v>
      </c>
      <c r="J49" s="1">
        <v>2.06</v>
      </c>
      <c r="M49" s="1"/>
    </row>
    <row r="50" spans="1:13" x14ac:dyDescent="0.25">
      <c r="A50" t="s">
        <v>283</v>
      </c>
      <c r="B50" s="1">
        <v>75</v>
      </c>
      <c r="C50" s="1" t="str">
        <f t="shared" si="1"/>
        <v>Lettuce75</v>
      </c>
      <c r="D50" s="4">
        <f t="shared" si="2"/>
        <v>57</v>
      </c>
      <c r="E50" s="35" t="str">
        <f t="shared" si="3"/>
        <v>Lettuce57</v>
      </c>
      <c r="F50" s="4">
        <v>132.30000000000001</v>
      </c>
      <c r="G50" s="1">
        <v>0.24979999999999999</v>
      </c>
      <c r="H50" s="1">
        <v>33.744999999999997</v>
      </c>
      <c r="I50" s="1">
        <v>132.13</v>
      </c>
      <c r="J50" s="1">
        <v>2.34</v>
      </c>
      <c r="M50" s="1"/>
    </row>
    <row r="51" spans="1:13" x14ac:dyDescent="0.25">
      <c r="A51" t="s">
        <v>283</v>
      </c>
      <c r="B51" s="1">
        <v>80</v>
      </c>
      <c r="C51" s="1" t="str">
        <f t="shared" si="1"/>
        <v>Lettuce80</v>
      </c>
      <c r="D51" s="4">
        <f t="shared" si="2"/>
        <v>60.8</v>
      </c>
      <c r="E51" s="35" t="str">
        <f t="shared" si="3"/>
        <v>Lettuce60.8</v>
      </c>
      <c r="F51" s="4">
        <v>137.08799999999999</v>
      </c>
      <c r="G51" s="1">
        <v>0.25819999999999999</v>
      </c>
      <c r="H51" s="1">
        <v>33.457999999999998</v>
      </c>
      <c r="I51" s="1">
        <v>136.41</v>
      </c>
      <c r="J51" s="1">
        <v>2.64</v>
      </c>
      <c r="M51" s="1"/>
    </row>
    <row r="52" spans="1:13" x14ac:dyDescent="0.25">
      <c r="A52" t="s">
        <v>285</v>
      </c>
      <c r="B52" s="1">
        <v>30</v>
      </c>
      <c r="C52" s="1" t="str">
        <f t="shared" si="1"/>
        <v>Broccoli_Winter30</v>
      </c>
      <c r="D52" s="4">
        <f t="shared" ref="D52:D65" si="4">B52*0.21</f>
        <v>6.3</v>
      </c>
      <c r="E52" s="35" t="str">
        <f>A52&amp;D52</f>
        <v>Broccoli_Winter6.3</v>
      </c>
      <c r="F52" s="4">
        <v>91.821428571428584</v>
      </c>
      <c r="G52" s="1">
        <v>6.7000000000000004E-2</v>
      </c>
      <c r="H52" s="1">
        <v>55.75</v>
      </c>
      <c r="I52" s="1">
        <v>104.4</v>
      </c>
      <c r="J52" s="1">
        <v>-4.4000000000000004</v>
      </c>
    </row>
    <row r="53" spans="1:13" x14ac:dyDescent="0.25">
      <c r="A53" t="s">
        <v>285</v>
      </c>
      <c r="B53" s="1">
        <v>35</v>
      </c>
      <c r="C53" s="1" t="str">
        <f t="shared" si="1"/>
        <v>Broccoli_Winter35</v>
      </c>
      <c r="D53" s="4">
        <f t="shared" si="4"/>
        <v>7.35</v>
      </c>
      <c r="E53" s="4" t="str">
        <f t="shared" ref="E53:E107" si="5">A53&amp;D53</f>
        <v>Broccoli_Winter7.35</v>
      </c>
      <c r="F53" s="4">
        <v>107.12500000000001</v>
      </c>
      <c r="G53" s="1">
        <v>6.7000000000000004E-2</v>
      </c>
      <c r="H53" s="1">
        <v>55.75</v>
      </c>
      <c r="I53" s="1">
        <v>121.8</v>
      </c>
      <c r="J53" s="1">
        <v>-5.0999999999999996</v>
      </c>
    </row>
    <row r="54" spans="1:13" x14ac:dyDescent="0.25">
      <c r="A54" t="s">
        <v>285</v>
      </c>
      <c r="B54" s="1">
        <v>40</v>
      </c>
      <c r="C54" s="1" t="str">
        <f t="shared" si="1"/>
        <v>Broccoli_Winter40</v>
      </c>
      <c r="D54" s="4">
        <f t="shared" si="4"/>
        <v>8.4</v>
      </c>
      <c r="E54" s="4" t="str">
        <f t="shared" si="5"/>
        <v>Broccoli_Winter8.4</v>
      </c>
      <c r="F54" s="4">
        <v>122.42857142857143</v>
      </c>
      <c r="G54" s="1">
        <v>6.7000000000000004E-2</v>
      </c>
      <c r="H54" s="1">
        <v>55.75</v>
      </c>
      <c r="I54" s="1">
        <v>139.19999999999999</v>
      </c>
      <c r="J54" s="1">
        <v>-5.8</v>
      </c>
    </row>
    <row r="55" spans="1:13" x14ac:dyDescent="0.25">
      <c r="A55" t="s">
        <v>285</v>
      </c>
      <c r="B55" s="1">
        <v>45</v>
      </c>
      <c r="C55" s="1" t="str">
        <f t="shared" si="1"/>
        <v>Broccoli_Winter45</v>
      </c>
      <c r="D55" s="4">
        <f t="shared" si="4"/>
        <v>9.4499999999999993</v>
      </c>
      <c r="E55" s="4" t="str">
        <f t="shared" si="5"/>
        <v>Broccoli_Winter9.45</v>
      </c>
      <c r="F55" s="4">
        <v>137.73214285714286</v>
      </c>
      <c r="G55" s="1">
        <v>6.7000000000000004E-2</v>
      </c>
      <c r="H55" s="1">
        <v>55.75</v>
      </c>
      <c r="I55" s="1">
        <v>156.6</v>
      </c>
      <c r="J55" s="1">
        <v>-6.6</v>
      </c>
    </row>
    <row r="56" spans="1:13" x14ac:dyDescent="0.25">
      <c r="A56" t="s">
        <v>285</v>
      </c>
      <c r="B56" s="1">
        <v>50</v>
      </c>
      <c r="C56" s="1" t="str">
        <f t="shared" si="1"/>
        <v>Broccoli_Winter50</v>
      </c>
      <c r="D56" s="4">
        <f t="shared" si="4"/>
        <v>10.5</v>
      </c>
      <c r="E56" s="4" t="str">
        <f t="shared" si="5"/>
        <v>Broccoli_Winter10.5</v>
      </c>
      <c r="F56" s="4">
        <v>153.03571428571431</v>
      </c>
      <c r="G56" s="1">
        <v>6.7000000000000004E-2</v>
      </c>
      <c r="H56" s="1">
        <v>55.75</v>
      </c>
      <c r="I56" s="1">
        <v>173.9</v>
      </c>
      <c r="J56" s="1">
        <v>-7.3</v>
      </c>
    </row>
    <row r="57" spans="1:13" x14ac:dyDescent="0.25">
      <c r="A57" t="s">
        <v>285</v>
      </c>
      <c r="B57" s="1">
        <v>55</v>
      </c>
      <c r="C57" s="1" t="str">
        <f t="shared" si="1"/>
        <v>Broccoli_Winter55</v>
      </c>
      <c r="D57" s="4">
        <f t="shared" si="4"/>
        <v>11.549999999999999</v>
      </c>
      <c r="E57" s="4" t="str">
        <f t="shared" si="5"/>
        <v>Broccoli_Winter11.55</v>
      </c>
      <c r="F57" s="4">
        <v>168.33928571428572</v>
      </c>
      <c r="G57" s="1">
        <v>6.7000000000000004E-2</v>
      </c>
      <c r="H57" s="1">
        <v>55.75</v>
      </c>
      <c r="I57" s="1">
        <v>191.3</v>
      </c>
      <c r="J57" s="1">
        <v>-8</v>
      </c>
    </row>
    <row r="58" spans="1:13" x14ac:dyDescent="0.25">
      <c r="A58" t="s">
        <v>285</v>
      </c>
      <c r="B58" s="1">
        <v>60</v>
      </c>
      <c r="C58" s="1" t="str">
        <f t="shared" si="1"/>
        <v>Broccoli_Winter60</v>
      </c>
      <c r="D58" s="4">
        <f t="shared" si="4"/>
        <v>12.6</v>
      </c>
      <c r="E58" s="4" t="str">
        <f t="shared" si="5"/>
        <v>Broccoli_Winter12.6</v>
      </c>
      <c r="F58" s="4">
        <v>183.64285714285717</v>
      </c>
      <c r="G58" s="1">
        <v>6.7000000000000004E-2</v>
      </c>
      <c r="H58" s="1">
        <v>55.75</v>
      </c>
      <c r="I58" s="1">
        <v>208.7</v>
      </c>
      <c r="J58" s="1">
        <v>-8.8000000000000007</v>
      </c>
    </row>
    <row r="59" spans="1:13" x14ac:dyDescent="0.25">
      <c r="A59" t="s">
        <v>285</v>
      </c>
      <c r="B59" s="1">
        <v>65</v>
      </c>
      <c r="C59" s="1" t="str">
        <f t="shared" si="1"/>
        <v>Broccoli_Winter65</v>
      </c>
      <c r="D59" s="4">
        <f t="shared" si="4"/>
        <v>13.65</v>
      </c>
      <c r="E59" s="4" t="str">
        <f t="shared" si="5"/>
        <v>Broccoli_Winter13.65</v>
      </c>
      <c r="F59" s="4">
        <v>198.94642857142858</v>
      </c>
      <c r="G59" s="1">
        <v>6.7000000000000004E-2</v>
      </c>
      <c r="H59" s="1">
        <v>55.75</v>
      </c>
      <c r="I59" s="1">
        <v>226.1</v>
      </c>
      <c r="J59" s="1">
        <v>-9.5</v>
      </c>
    </row>
    <row r="60" spans="1:13" x14ac:dyDescent="0.25">
      <c r="A60" t="s">
        <v>285</v>
      </c>
      <c r="B60" s="1">
        <v>70</v>
      </c>
      <c r="C60" s="1" t="str">
        <f t="shared" si="1"/>
        <v>Broccoli_Winter70</v>
      </c>
      <c r="D60" s="4">
        <f t="shared" si="4"/>
        <v>14.7</v>
      </c>
      <c r="E60" s="4" t="str">
        <f t="shared" si="5"/>
        <v>Broccoli_Winter14.7</v>
      </c>
      <c r="F60" s="4">
        <v>214.25000000000003</v>
      </c>
      <c r="G60" s="1">
        <v>6.7000000000000004E-2</v>
      </c>
      <c r="H60" s="1">
        <v>55.75</v>
      </c>
      <c r="I60" s="1">
        <v>243.5</v>
      </c>
      <c r="J60" s="1">
        <v>-10.199999999999999</v>
      </c>
    </row>
    <row r="61" spans="1:13" x14ac:dyDescent="0.25">
      <c r="A61" t="s">
        <v>285</v>
      </c>
      <c r="B61" s="1">
        <v>75</v>
      </c>
      <c r="C61" s="1" t="str">
        <f t="shared" si="1"/>
        <v>Broccoli_Winter75</v>
      </c>
      <c r="D61" s="4">
        <f t="shared" si="4"/>
        <v>15.75</v>
      </c>
      <c r="E61" s="4" t="str">
        <f t="shared" si="5"/>
        <v>Broccoli_Winter15.75</v>
      </c>
      <c r="F61" s="4">
        <v>229.55357142857147</v>
      </c>
      <c r="G61" s="1">
        <v>6.7000000000000004E-2</v>
      </c>
      <c r="H61" s="1">
        <v>55.75</v>
      </c>
      <c r="I61" s="1">
        <v>260.89999999999998</v>
      </c>
      <c r="J61" s="1">
        <v>-10.9</v>
      </c>
    </row>
    <row r="62" spans="1:13" x14ac:dyDescent="0.25">
      <c r="A62" t="s">
        <v>285</v>
      </c>
      <c r="B62" s="1">
        <v>80</v>
      </c>
      <c r="C62" s="1" t="str">
        <f t="shared" si="1"/>
        <v>Broccoli_Winter80</v>
      </c>
      <c r="D62" s="4">
        <f t="shared" si="4"/>
        <v>16.8</v>
      </c>
      <c r="E62" s="4" t="str">
        <f t="shared" si="5"/>
        <v>Broccoli_Winter16.8</v>
      </c>
      <c r="F62" s="4">
        <v>244.85714285714286</v>
      </c>
      <c r="G62" s="1">
        <v>6.7000000000000004E-2</v>
      </c>
      <c r="H62" s="1">
        <v>55.75</v>
      </c>
      <c r="I62" s="1">
        <v>278.3</v>
      </c>
      <c r="J62" s="1">
        <v>-11.7</v>
      </c>
    </row>
    <row r="63" spans="1:13" x14ac:dyDescent="0.25">
      <c r="A63" t="s">
        <v>285</v>
      </c>
      <c r="B63" s="1">
        <v>85</v>
      </c>
      <c r="C63" s="1" t="str">
        <f t="shared" si="1"/>
        <v>Broccoli_Winter85</v>
      </c>
      <c r="D63" s="4">
        <f t="shared" si="4"/>
        <v>17.849999999999998</v>
      </c>
      <c r="E63" s="4" t="str">
        <f t="shared" si="5"/>
        <v>Broccoli_Winter17.85</v>
      </c>
      <c r="F63" s="4">
        <v>260.16071428571428</v>
      </c>
      <c r="G63" s="1">
        <v>6.7000000000000004E-2</v>
      </c>
      <c r="H63" s="1">
        <v>55.75</v>
      </c>
      <c r="I63" s="1">
        <v>295.7</v>
      </c>
      <c r="J63" s="1">
        <v>-12.4</v>
      </c>
    </row>
    <row r="64" spans="1:13" x14ac:dyDescent="0.25">
      <c r="A64" t="s">
        <v>285</v>
      </c>
      <c r="B64" s="1">
        <v>90</v>
      </c>
      <c r="C64" s="1" t="str">
        <f t="shared" si="1"/>
        <v>Broccoli_Winter90</v>
      </c>
      <c r="D64" s="4">
        <f t="shared" si="4"/>
        <v>18.899999999999999</v>
      </c>
      <c r="E64" s="4" t="str">
        <f t="shared" si="5"/>
        <v>Broccoli_Winter18.9</v>
      </c>
      <c r="F64" s="4">
        <v>275.46428571428572</v>
      </c>
      <c r="G64" s="1">
        <v>6.7000000000000004E-2</v>
      </c>
      <c r="H64" s="1">
        <v>55.75</v>
      </c>
      <c r="I64" s="1">
        <v>313.10000000000002</v>
      </c>
      <c r="J64" s="1">
        <v>-13.1</v>
      </c>
    </row>
    <row r="65" spans="1:10" x14ac:dyDescent="0.25">
      <c r="A65" t="s">
        <v>285</v>
      </c>
      <c r="B65" s="1">
        <v>95</v>
      </c>
      <c r="C65" s="1" t="str">
        <f t="shared" si="1"/>
        <v>Broccoli_Winter95</v>
      </c>
      <c r="D65" s="4">
        <f t="shared" si="4"/>
        <v>19.95</v>
      </c>
      <c r="E65" s="4" t="str">
        <f t="shared" si="5"/>
        <v>Broccoli_Winter19.95</v>
      </c>
      <c r="F65" s="4">
        <v>290.76785714285717</v>
      </c>
      <c r="G65" s="1">
        <v>6.7000000000000004E-2</v>
      </c>
      <c r="H65" s="1">
        <v>55.75</v>
      </c>
      <c r="I65" s="1">
        <v>330.5</v>
      </c>
      <c r="J65" s="1">
        <v>-13.9</v>
      </c>
    </row>
    <row r="66" spans="1:10" x14ac:dyDescent="0.25">
      <c r="A66" t="s">
        <v>286</v>
      </c>
      <c r="B66" s="1">
        <v>30</v>
      </c>
      <c r="C66" s="1" t="str">
        <f t="shared" ref="C66:C79" si="6">A66&amp;B66</f>
        <v>Broccoli_Summer30</v>
      </c>
      <c r="D66" s="4">
        <f t="shared" ref="D66:D79" si="7">B66*0.21</f>
        <v>6.3</v>
      </c>
      <c r="E66" s="35" t="str">
        <f>A66&amp;D66</f>
        <v>Broccoli_Summer6.3</v>
      </c>
      <c r="F66" s="4">
        <v>91.821428571428584</v>
      </c>
      <c r="G66" s="1">
        <v>8.9700000000000002E-2</v>
      </c>
      <c r="H66" s="1">
        <v>41.65</v>
      </c>
      <c r="I66" s="1">
        <v>104.4</v>
      </c>
      <c r="J66" s="1">
        <v>-4.4000000000000004</v>
      </c>
    </row>
    <row r="67" spans="1:10" x14ac:dyDescent="0.25">
      <c r="A67" t="s">
        <v>286</v>
      </c>
      <c r="B67" s="1">
        <v>35</v>
      </c>
      <c r="C67" s="1" t="str">
        <f t="shared" si="6"/>
        <v>Broccoli_Summer35</v>
      </c>
      <c r="D67" s="4">
        <f t="shared" si="7"/>
        <v>7.35</v>
      </c>
      <c r="E67" s="4" t="str">
        <f t="shared" ref="E67:E79" si="8">A67&amp;D67</f>
        <v>Broccoli_Summer7.35</v>
      </c>
      <c r="F67" s="4">
        <v>107.12500000000001</v>
      </c>
      <c r="G67" s="1">
        <v>8.9700000000000002E-2</v>
      </c>
      <c r="H67" s="1">
        <v>41.65</v>
      </c>
      <c r="I67" s="1">
        <v>121.8</v>
      </c>
      <c r="J67" s="1">
        <v>-5.0999999999999996</v>
      </c>
    </row>
    <row r="68" spans="1:10" x14ac:dyDescent="0.25">
      <c r="A68" t="s">
        <v>286</v>
      </c>
      <c r="B68" s="1">
        <v>40</v>
      </c>
      <c r="C68" s="1" t="str">
        <f t="shared" si="6"/>
        <v>Broccoli_Summer40</v>
      </c>
      <c r="D68" s="4">
        <f t="shared" si="7"/>
        <v>8.4</v>
      </c>
      <c r="E68" s="4" t="str">
        <f t="shared" si="8"/>
        <v>Broccoli_Summer8.4</v>
      </c>
      <c r="F68" s="4">
        <v>122.42857142857143</v>
      </c>
      <c r="G68" s="1">
        <v>8.9700000000000002E-2</v>
      </c>
      <c r="H68" s="1">
        <v>41.65</v>
      </c>
      <c r="I68" s="1">
        <v>139.19999999999999</v>
      </c>
      <c r="J68" s="1">
        <v>-5.8</v>
      </c>
    </row>
    <row r="69" spans="1:10" x14ac:dyDescent="0.25">
      <c r="A69" t="s">
        <v>286</v>
      </c>
      <c r="B69" s="1">
        <v>45</v>
      </c>
      <c r="C69" s="1" t="str">
        <f t="shared" si="6"/>
        <v>Broccoli_Summer45</v>
      </c>
      <c r="D69" s="4">
        <f t="shared" si="7"/>
        <v>9.4499999999999993</v>
      </c>
      <c r="E69" s="4" t="str">
        <f t="shared" si="8"/>
        <v>Broccoli_Summer9.45</v>
      </c>
      <c r="F69" s="4">
        <v>137.73214285714286</v>
      </c>
      <c r="G69" s="1">
        <v>8.9700000000000002E-2</v>
      </c>
      <c r="H69" s="1">
        <v>41.65</v>
      </c>
      <c r="I69" s="1">
        <v>156.6</v>
      </c>
      <c r="J69" s="1">
        <v>-6.6</v>
      </c>
    </row>
    <row r="70" spans="1:10" x14ac:dyDescent="0.25">
      <c r="A70" t="s">
        <v>286</v>
      </c>
      <c r="B70" s="1">
        <v>50</v>
      </c>
      <c r="C70" s="1" t="str">
        <f t="shared" si="6"/>
        <v>Broccoli_Summer50</v>
      </c>
      <c r="D70" s="4">
        <f t="shared" si="7"/>
        <v>10.5</v>
      </c>
      <c r="E70" s="4" t="str">
        <f t="shared" si="8"/>
        <v>Broccoli_Summer10.5</v>
      </c>
      <c r="F70" s="4">
        <v>153.03571428571431</v>
      </c>
      <c r="G70" s="1">
        <v>8.9700000000000002E-2</v>
      </c>
      <c r="H70" s="1">
        <v>41.65</v>
      </c>
      <c r="I70" s="1">
        <v>173.9</v>
      </c>
      <c r="J70" s="1">
        <v>-7.3</v>
      </c>
    </row>
    <row r="71" spans="1:10" x14ac:dyDescent="0.25">
      <c r="A71" t="s">
        <v>286</v>
      </c>
      <c r="B71" s="1">
        <v>55</v>
      </c>
      <c r="C71" s="1" t="str">
        <f t="shared" si="6"/>
        <v>Broccoli_Summer55</v>
      </c>
      <c r="D71" s="4">
        <f t="shared" si="7"/>
        <v>11.549999999999999</v>
      </c>
      <c r="E71" s="4" t="str">
        <f t="shared" si="8"/>
        <v>Broccoli_Summer11.55</v>
      </c>
      <c r="F71" s="4">
        <v>168.33928571428572</v>
      </c>
      <c r="G71" s="1">
        <v>8.9700000000000002E-2</v>
      </c>
      <c r="H71" s="1">
        <v>41.65</v>
      </c>
      <c r="I71" s="1">
        <v>191.3</v>
      </c>
      <c r="J71" s="1">
        <v>-8</v>
      </c>
    </row>
    <row r="72" spans="1:10" x14ac:dyDescent="0.25">
      <c r="A72" t="s">
        <v>286</v>
      </c>
      <c r="B72" s="1">
        <v>60</v>
      </c>
      <c r="C72" s="1" t="str">
        <f t="shared" si="6"/>
        <v>Broccoli_Summer60</v>
      </c>
      <c r="D72" s="4">
        <f t="shared" si="7"/>
        <v>12.6</v>
      </c>
      <c r="E72" s="4" t="str">
        <f t="shared" si="8"/>
        <v>Broccoli_Summer12.6</v>
      </c>
      <c r="F72" s="4">
        <v>183.64285714285717</v>
      </c>
      <c r="G72" s="1">
        <v>8.9700000000000002E-2</v>
      </c>
      <c r="H72" s="1">
        <v>41.65</v>
      </c>
      <c r="I72" s="1">
        <v>208.7</v>
      </c>
      <c r="J72" s="1">
        <v>-8.8000000000000007</v>
      </c>
    </row>
    <row r="73" spans="1:10" x14ac:dyDescent="0.25">
      <c r="A73" t="s">
        <v>286</v>
      </c>
      <c r="B73" s="1">
        <v>65</v>
      </c>
      <c r="C73" s="1" t="str">
        <f t="shared" si="6"/>
        <v>Broccoli_Summer65</v>
      </c>
      <c r="D73" s="4">
        <f t="shared" si="7"/>
        <v>13.65</v>
      </c>
      <c r="E73" s="4" t="str">
        <f t="shared" si="8"/>
        <v>Broccoli_Summer13.65</v>
      </c>
      <c r="F73" s="4">
        <v>198.94642857142858</v>
      </c>
      <c r="G73" s="1">
        <v>8.9700000000000002E-2</v>
      </c>
      <c r="H73" s="1">
        <v>41.65</v>
      </c>
      <c r="I73" s="1">
        <v>226.1</v>
      </c>
      <c r="J73" s="1">
        <v>-9.5</v>
      </c>
    </row>
    <row r="74" spans="1:10" x14ac:dyDescent="0.25">
      <c r="A74" t="s">
        <v>286</v>
      </c>
      <c r="B74" s="1">
        <v>70</v>
      </c>
      <c r="C74" s="1" t="str">
        <f t="shared" si="6"/>
        <v>Broccoli_Summer70</v>
      </c>
      <c r="D74" s="4">
        <f t="shared" si="7"/>
        <v>14.7</v>
      </c>
      <c r="E74" s="4" t="str">
        <f t="shared" si="8"/>
        <v>Broccoli_Summer14.7</v>
      </c>
      <c r="F74" s="4">
        <v>214.25000000000003</v>
      </c>
      <c r="G74" s="1">
        <v>8.9700000000000002E-2</v>
      </c>
      <c r="H74" s="1">
        <v>41.65</v>
      </c>
      <c r="I74" s="1">
        <v>243.5</v>
      </c>
      <c r="J74" s="1">
        <v>-10.199999999999999</v>
      </c>
    </row>
    <row r="75" spans="1:10" x14ac:dyDescent="0.25">
      <c r="A75" t="s">
        <v>286</v>
      </c>
      <c r="B75" s="1">
        <v>75</v>
      </c>
      <c r="C75" s="1" t="str">
        <f t="shared" si="6"/>
        <v>Broccoli_Summer75</v>
      </c>
      <c r="D75" s="4">
        <f t="shared" si="7"/>
        <v>15.75</v>
      </c>
      <c r="E75" s="4" t="str">
        <f t="shared" si="8"/>
        <v>Broccoli_Summer15.75</v>
      </c>
      <c r="F75" s="4">
        <v>229.55357142857147</v>
      </c>
      <c r="G75" s="1">
        <v>8.9700000000000002E-2</v>
      </c>
      <c r="H75" s="1">
        <v>41.65</v>
      </c>
      <c r="I75" s="1">
        <v>260.89999999999998</v>
      </c>
      <c r="J75" s="1">
        <v>-10.9</v>
      </c>
    </row>
    <row r="76" spans="1:10" x14ac:dyDescent="0.25">
      <c r="A76" t="s">
        <v>286</v>
      </c>
      <c r="B76" s="1">
        <v>80</v>
      </c>
      <c r="C76" s="1" t="str">
        <f t="shared" si="6"/>
        <v>Broccoli_Summer80</v>
      </c>
      <c r="D76" s="4">
        <f t="shared" si="7"/>
        <v>16.8</v>
      </c>
      <c r="E76" s="4" t="str">
        <f t="shared" si="8"/>
        <v>Broccoli_Summer16.8</v>
      </c>
      <c r="F76" s="4">
        <v>244.85714285714286</v>
      </c>
      <c r="G76" s="1">
        <v>8.9700000000000002E-2</v>
      </c>
      <c r="H76" s="1">
        <v>41.65</v>
      </c>
      <c r="I76" s="1">
        <v>278.3</v>
      </c>
      <c r="J76" s="1">
        <v>-11.7</v>
      </c>
    </row>
    <row r="77" spans="1:10" x14ac:dyDescent="0.25">
      <c r="A77" t="s">
        <v>286</v>
      </c>
      <c r="B77" s="1">
        <v>85</v>
      </c>
      <c r="C77" s="1" t="str">
        <f t="shared" si="6"/>
        <v>Broccoli_Summer85</v>
      </c>
      <c r="D77" s="4">
        <f t="shared" si="7"/>
        <v>17.849999999999998</v>
      </c>
      <c r="E77" s="4" t="str">
        <f t="shared" si="8"/>
        <v>Broccoli_Summer17.85</v>
      </c>
      <c r="F77" s="4">
        <v>260.16071428571428</v>
      </c>
      <c r="G77" s="1">
        <v>8.9700000000000002E-2</v>
      </c>
      <c r="H77" s="1">
        <v>41.65</v>
      </c>
      <c r="I77" s="1">
        <v>295.7</v>
      </c>
      <c r="J77" s="1">
        <v>-12.4</v>
      </c>
    </row>
    <row r="78" spans="1:10" x14ac:dyDescent="0.25">
      <c r="A78" t="s">
        <v>286</v>
      </c>
      <c r="B78" s="1">
        <v>90</v>
      </c>
      <c r="C78" s="1" t="str">
        <f t="shared" si="6"/>
        <v>Broccoli_Summer90</v>
      </c>
      <c r="D78" s="4">
        <f t="shared" si="7"/>
        <v>18.899999999999999</v>
      </c>
      <c r="E78" s="4" t="str">
        <f t="shared" si="8"/>
        <v>Broccoli_Summer18.9</v>
      </c>
      <c r="F78" s="4">
        <v>275.46428571428572</v>
      </c>
      <c r="G78" s="1">
        <v>8.9700000000000002E-2</v>
      </c>
      <c r="H78" s="1">
        <v>41.65</v>
      </c>
      <c r="I78" s="1">
        <v>313.10000000000002</v>
      </c>
      <c r="J78" s="1">
        <v>-13.1</v>
      </c>
    </row>
    <row r="79" spans="1:10" x14ac:dyDescent="0.25">
      <c r="A79" t="s">
        <v>286</v>
      </c>
      <c r="B79" s="1">
        <v>95</v>
      </c>
      <c r="C79" s="1" t="str">
        <f t="shared" si="6"/>
        <v>Broccoli_Summer95</v>
      </c>
      <c r="D79" s="4">
        <f t="shared" si="7"/>
        <v>19.95</v>
      </c>
      <c r="E79" s="4" t="str">
        <f t="shared" si="8"/>
        <v>Broccoli_Summer19.95</v>
      </c>
      <c r="F79" s="4">
        <v>290.76785714285717</v>
      </c>
      <c r="G79" s="1">
        <v>8.9700000000000002E-2</v>
      </c>
      <c r="H79" s="1">
        <v>41.65</v>
      </c>
      <c r="I79" s="1">
        <v>330.5</v>
      </c>
      <c r="J79" s="1">
        <v>-13.9</v>
      </c>
    </row>
    <row r="80" spans="1:10" x14ac:dyDescent="0.25">
      <c r="A80" t="s">
        <v>261</v>
      </c>
      <c r="B80" s="1">
        <v>35</v>
      </c>
      <c r="C80" s="1" t="str">
        <f t="shared" si="1"/>
        <v>Onions35</v>
      </c>
      <c r="E80" s="4" t="str">
        <f t="shared" si="5"/>
        <v>Onions</v>
      </c>
      <c r="F80" s="1">
        <v>77</v>
      </c>
      <c r="G80" s="1">
        <v>3.9489999999999997E-2</v>
      </c>
      <c r="H80" s="1">
        <v>153.81</v>
      </c>
      <c r="I80" s="1">
        <v>86.82</v>
      </c>
      <c r="J80" s="1">
        <v>0.23</v>
      </c>
    </row>
    <row r="81" spans="1:10" x14ac:dyDescent="0.25">
      <c r="A81" t="s">
        <v>261</v>
      </c>
      <c r="B81" s="1">
        <v>40</v>
      </c>
      <c r="C81" s="1" t="str">
        <f t="shared" ref="C81:C107" si="9">A81&amp;B81</f>
        <v>Onions40</v>
      </c>
      <c r="E81" s="4" t="str">
        <f t="shared" si="5"/>
        <v>Onions</v>
      </c>
      <c r="F81" s="1">
        <v>88</v>
      </c>
      <c r="G81" s="1">
        <v>3.9489999999999997E-2</v>
      </c>
      <c r="H81" s="1">
        <v>153.81</v>
      </c>
      <c r="I81" s="1">
        <v>99.23</v>
      </c>
      <c r="J81" s="1">
        <v>0.26</v>
      </c>
    </row>
    <row r="82" spans="1:10" x14ac:dyDescent="0.25">
      <c r="A82" t="s">
        <v>261</v>
      </c>
      <c r="B82" s="1">
        <v>45</v>
      </c>
      <c r="C82" s="1" t="str">
        <f t="shared" si="9"/>
        <v>Onions45</v>
      </c>
      <c r="E82" s="4" t="str">
        <f t="shared" si="5"/>
        <v>Onions</v>
      </c>
      <c r="F82" s="1">
        <v>99.000000000000014</v>
      </c>
      <c r="G82" s="1">
        <v>3.9489999999999997E-2</v>
      </c>
      <c r="H82" s="1">
        <v>153.81</v>
      </c>
      <c r="I82" s="1">
        <v>111.63</v>
      </c>
      <c r="J82" s="1">
        <v>0.28999999999999998</v>
      </c>
    </row>
    <row r="83" spans="1:10" x14ac:dyDescent="0.25">
      <c r="A83" t="s">
        <v>261</v>
      </c>
      <c r="B83" s="1">
        <v>50</v>
      </c>
      <c r="C83" s="1" t="str">
        <f t="shared" si="9"/>
        <v>Onions50</v>
      </c>
      <c r="E83" s="4" t="str">
        <f t="shared" si="5"/>
        <v>Onions</v>
      </c>
      <c r="F83" s="1">
        <v>110.00000000000001</v>
      </c>
      <c r="G83" s="1">
        <v>3.9489999999999997E-2</v>
      </c>
      <c r="H83" s="1">
        <v>153.81</v>
      </c>
      <c r="I83" s="1">
        <v>124.03</v>
      </c>
      <c r="J83" s="1">
        <v>0.32</v>
      </c>
    </row>
    <row r="84" spans="1:10" x14ac:dyDescent="0.25">
      <c r="A84" t="s">
        <v>261</v>
      </c>
      <c r="B84" s="1">
        <v>55</v>
      </c>
      <c r="C84" s="1" t="str">
        <f t="shared" si="9"/>
        <v>Onions55</v>
      </c>
      <c r="E84" s="4" t="str">
        <f t="shared" si="5"/>
        <v>Onions</v>
      </c>
      <c r="F84" s="1">
        <v>121.00000000000001</v>
      </c>
      <c r="G84" s="1">
        <v>3.9489999999999997E-2</v>
      </c>
      <c r="H84" s="1">
        <v>153.81</v>
      </c>
      <c r="I84" s="1">
        <v>136.44</v>
      </c>
      <c r="J84" s="1">
        <v>0.35</v>
      </c>
    </row>
    <row r="85" spans="1:10" x14ac:dyDescent="0.25">
      <c r="A85" t="s">
        <v>261</v>
      </c>
      <c r="B85" s="1">
        <v>60</v>
      </c>
      <c r="C85" s="1" t="str">
        <f t="shared" si="9"/>
        <v>Onions60</v>
      </c>
      <c r="E85" s="4" t="str">
        <f t="shared" si="5"/>
        <v>Onions</v>
      </c>
      <c r="F85" s="1">
        <v>132</v>
      </c>
      <c r="G85" s="1">
        <v>3.9489999999999997E-2</v>
      </c>
      <c r="H85" s="1">
        <v>153.81</v>
      </c>
      <c r="I85" s="1">
        <v>148.84</v>
      </c>
      <c r="J85" s="1">
        <v>0.39</v>
      </c>
    </row>
    <row r="86" spans="1:10" x14ac:dyDescent="0.25">
      <c r="A86" t="s">
        <v>261</v>
      </c>
      <c r="B86" s="1">
        <v>65</v>
      </c>
      <c r="C86" s="1" t="str">
        <f t="shared" si="9"/>
        <v>Onions65</v>
      </c>
      <c r="E86" s="4" t="str">
        <f t="shared" si="5"/>
        <v>Onions</v>
      </c>
      <c r="F86" s="1">
        <v>143</v>
      </c>
      <c r="G86" s="1">
        <v>3.9489999999999997E-2</v>
      </c>
      <c r="H86" s="1">
        <v>153.81</v>
      </c>
      <c r="I86" s="1">
        <v>161.24</v>
      </c>
      <c r="J86" s="1">
        <v>0.42</v>
      </c>
    </row>
    <row r="87" spans="1:10" x14ac:dyDescent="0.25">
      <c r="A87" t="s">
        <v>261</v>
      </c>
      <c r="B87" s="1">
        <v>70</v>
      </c>
      <c r="C87" s="1" t="str">
        <f t="shared" si="9"/>
        <v>Onions70</v>
      </c>
      <c r="E87" s="4" t="str">
        <f t="shared" si="5"/>
        <v>Onions</v>
      </c>
      <c r="F87" s="1">
        <v>154</v>
      </c>
      <c r="G87" s="1">
        <v>3.9489999999999997E-2</v>
      </c>
      <c r="H87" s="1">
        <v>153.81</v>
      </c>
      <c r="I87" s="1">
        <v>173.65</v>
      </c>
      <c r="J87" s="1">
        <v>0.45</v>
      </c>
    </row>
    <row r="88" spans="1:10" x14ac:dyDescent="0.25">
      <c r="A88" t="s">
        <v>261</v>
      </c>
      <c r="B88" s="1">
        <v>75</v>
      </c>
      <c r="C88" s="1" t="str">
        <f t="shared" si="9"/>
        <v>Onions75</v>
      </c>
      <c r="E88" s="4" t="str">
        <f t="shared" si="5"/>
        <v>Onions</v>
      </c>
      <c r="F88" s="1">
        <v>165</v>
      </c>
      <c r="G88" s="1">
        <v>3.9489999999999997E-2</v>
      </c>
      <c r="H88" s="1">
        <v>153.81</v>
      </c>
      <c r="I88" s="1">
        <v>186.05</v>
      </c>
      <c r="J88" s="1">
        <v>0.48</v>
      </c>
    </row>
    <row r="89" spans="1:10" x14ac:dyDescent="0.25">
      <c r="A89" t="s">
        <v>261</v>
      </c>
      <c r="B89" s="1">
        <v>80</v>
      </c>
      <c r="C89" s="1" t="str">
        <f t="shared" si="9"/>
        <v>Onions80</v>
      </c>
      <c r="E89" s="4" t="str">
        <f t="shared" si="5"/>
        <v>Onions</v>
      </c>
      <c r="F89" s="1">
        <v>176</v>
      </c>
      <c r="G89" s="1">
        <v>3.9489999999999997E-2</v>
      </c>
      <c r="H89" s="1">
        <v>153.81</v>
      </c>
      <c r="I89" s="1">
        <v>198.45</v>
      </c>
      <c r="J89" s="1">
        <v>0.51</v>
      </c>
    </row>
    <row r="90" spans="1:10" x14ac:dyDescent="0.25">
      <c r="A90" t="s">
        <v>261</v>
      </c>
      <c r="B90" s="1">
        <v>85</v>
      </c>
      <c r="C90" s="1" t="str">
        <f t="shared" si="9"/>
        <v>Onions85</v>
      </c>
      <c r="E90" s="4" t="str">
        <f t="shared" si="5"/>
        <v>Onions</v>
      </c>
      <c r="F90" s="1">
        <v>187.00000000000003</v>
      </c>
      <c r="G90" s="1">
        <v>3.9489999999999997E-2</v>
      </c>
      <c r="H90" s="1">
        <v>153.81</v>
      </c>
      <c r="I90" s="1">
        <v>210.86</v>
      </c>
      <c r="J90" s="1">
        <v>0.55000000000000004</v>
      </c>
    </row>
    <row r="91" spans="1:10" x14ac:dyDescent="0.25">
      <c r="A91" t="s">
        <v>261</v>
      </c>
      <c r="B91" s="1">
        <v>90</v>
      </c>
      <c r="C91" s="1" t="str">
        <f t="shared" si="9"/>
        <v>Onions90</v>
      </c>
      <c r="E91" s="4" t="str">
        <f t="shared" si="5"/>
        <v>Onions</v>
      </c>
      <c r="F91" s="1">
        <v>198.00000000000003</v>
      </c>
      <c r="G91" s="1">
        <v>3.9489999999999997E-2</v>
      </c>
      <c r="H91" s="1">
        <v>153.81</v>
      </c>
      <c r="I91" s="1">
        <v>223.26</v>
      </c>
      <c r="J91" s="1">
        <v>0.57999999999999996</v>
      </c>
    </row>
    <row r="92" spans="1:10" x14ac:dyDescent="0.25">
      <c r="A92" t="s">
        <v>261</v>
      </c>
      <c r="B92" s="1">
        <v>95</v>
      </c>
      <c r="C92" s="1" t="str">
        <f t="shared" si="9"/>
        <v>Onions95</v>
      </c>
      <c r="E92" s="4" t="str">
        <f t="shared" si="5"/>
        <v>Onions</v>
      </c>
      <c r="F92" s="1">
        <v>209.00000000000003</v>
      </c>
      <c r="G92" s="1">
        <v>3.9489999999999997E-2</v>
      </c>
      <c r="H92" s="1">
        <v>153.81</v>
      </c>
      <c r="I92" s="1">
        <v>235.66</v>
      </c>
      <c r="J92" s="1">
        <v>0.61</v>
      </c>
    </row>
    <row r="93" spans="1:10" x14ac:dyDescent="0.25">
      <c r="A93" t="s">
        <v>261</v>
      </c>
      <c r="B93" s="1">
        <v>100</v>
      </c>
      <c r="C93" s="1" t="str">
        <f t="shared" si="9"/>
        <v>Onions100</v>
      </c>
      <c r="E93" s="4" t="str">
        <f t="shared" si="5"/>
        <v>Onions</v>
      </c>
      <c r="F93" s="1">
        <v>220.00000000000003</v>
      </c>
      <c r="G93" s="1">
        <v>3.9489999999999997E-2</v>
      </c>
      <c r="H93" s="1">
        <v>153.81</v>
      </c>
      <c r="I93" s="1">
        <v>248.07</v>
      </c>
      <c r="J93" s="1">
        <v>0.64</v>
      </c>
    </row>
    <row r="94" spans="1:10" x14ac:dyDescent="0.25">
      <c r="A94" t="s">
        <v>262</v>
      </c>
      <c r="B94" s="1">
        <v>70</v>
      </c>
      <c r="C94" s="1" t="str">
        <f t="shared" si="9"/>
        <v>Cabbage_Summer70</v>
      </c>
      <c r="D94" s="4">
        <f>B94*0.75</f>
        <v>52.5</v>
      </c>
      <c r="E94" s="4" t="str">
        <f t="shared" si="5"/>
        <v>Cabbage_Summer52.5</v>
      </c>
      <c r="F94" s="1">
        <v>176.39999999999998</v>
      </c>
      <c r="G94" s="1">
        <v>9.5899999999999999E-2</v>
      </c>
      <c r="H94" s="1">
        <v>70.36</v>
      </c>
      <c r="I94" s="1">
        <v>192.3</v>
      </c>
      <c r="J94" s="1">
        <v>-1.83</v>
      </c>
    </row>
    <row r="95" spans="1:10" x14ac:dyDescent="0.25">
      <c r="A95" t="s">
        <v>262</v>
      </c>
      <c r="B95" s="1">
        <v>75</v>
      </c>
      <c r="C95" s="1" t="str">
        <f t="shared" si="9"/>
        <v>Cabbage_Summer75</v>
      </c>
      <c r="D95" s="4">
        <f t="shared" ref="D95:D107" si="10">B95*0.75</f>
        <v>56.25</v>
      </c>
      <c r="E95" s="4" t="str">
        <f t="shared" si="5"/>
        <v>Cabbage_Summer56.25</v>
      </c>
      <c r="F95" s="1">
        <v>188.99999999999997</v>
      </c>
      <c r="G95" s="1">
        <v>9.5899999999999999E-2</v>
      </c>
      <c r="H95" s="1">
        <v>70.36</v>
      </c>
      <c r="I95" s="1">
        <v>206.1</v>
      </c>
      <c r="J95" s="1">
        <v>-1.96</v>
      </c>
    </row>
    <row r="96" spans="1:10" x14ac:dyDescent="0.25">
      <c r="A96" t="s">
        <v>262</v>
      </c>
      <c r="B96" s="1">
        <v>80</v>
      </c>
      <c r="C96" s="1" t="str">
        <f t="shared" si="9"/>
        <v>Cabbage_Summer80</v>
      </c>
      <c r="D96" s="4">
        <f t="shared" si="10"/>
        <v>60</v>
      </c>
      <c r="E96" s="4" t="str">
        <f t="shared" si="5"/>
        <v>Cabbage_Summer60</v>
      </c>
      <c r="F96" s="1">
        <v>201.59999999999997</v>
      </c>
      <c r="G96" s="1">
        <v>9.5899999999999999E-2</v>
      </c>
      <c r="H96" s="1">
        <v>70.36</v>
      </c>
      <c r="I96" s="1">
        <v>219.8</v>
      </c>
      <c r="J96" s="1">
        <v>-2.09</v>
      </c>
    </row>
    <row r="97" spans="1:10" x14ac:dyDescent="0.25">
      <c r="A97" t="s">
        <v>262</v>
      </c>
      <c r="B97" s="1">
        <v>85</v>
      </c>
      <c r="C97" s="1" t="str">
        <f t="shared" si="9"/>
        <v>Cabbage_Summer85</v>
      </c>
      <c r="D97" s="4">
        <f t="shared" si="10"/>
        <v>63.75</v>
      </c>
      <c r="E97" s="4" t="str">
        <f t="shared" si="5"/>
        <v>Cabbage_Summer63.75</v>
      </c>
      <c r="F97" s="1">
        <v>214.2</v>
      </c>
      <c r="G97" s="1">
        <v>9.5899999999999999E-2</v>
      </c>
      <c r="H97" s="1">
        <v>70.36</v>
      </c>
      <c r="I97" s="1">
        <v>233.6</v>
      </c>
      <c r="J97" s="1">
        <v>-2.2200000000000002</v>
      </c>
    </row>
    <row r="98" spans="1:10" x14ac:dyDescent="0.25">
      <c r="A98" t="s">
        <v>262</v>
      </c>
      <c r="B98" s="1">
        <v>90</v>
      </c>
      <c r="C98" s="1" t="str">
        <f t="shared" si="9"/>
        <v>Cabbage_Summer90</v>
      </c>
      <c r="D98" s="4">
        <f t="shared" si="10"/>
        <v>67.5</v>
      </c>
      <c r="E98" s="4" t="str">
        <f t="shared" si="5"/>
        <v>Cabbage_Summer67.5</v>
      </c>
      <c r="F98" s="1">
        <v>226.79999999999998</v>
      </c>
      <c r="G98" s="1">
        <v>9.5899999999999999E-2</v>
      </c>
      <c r="H98" s="1">
        <v>70.36</v>
      </c>
      <c r="I98" s="1">
        <v>247.3</v>
      </c>
      <c r="J98" s="1">
        <v>-2.35</v>
      </c>
    </row>
    <row r="99" spans="1:10" x14ac:dyDescent="0.25">
      <c r="A99" t="s">
        <v>262</v>
      </c>
      <c r="B99" s="1">
        <v>95</v>
      </c>
      <c r="C99" s="1" t="str">
        <f t="shared" si="9"/>
        <v>Cabbage_Summer95</v>
      </c>
      <c r="D99" s="4">
        <f t="shared" si="10"/>
        <v>71.25</v>
      </c>
      <c r="E99" s="4" t="str">
        <f t="shared" si="5"/>
        <v>Cabbage_Summer71.25</v>
      </c>
      <c r="F99" s="1">
        <v>239.39999999999998</v>
      </c>
      <c r="G99" s="1">
        <v>9.5899999999999999E-2</v>
      </c>
      <c r="H99" s="1">
        <v>70.36</v>
      </c>
      <c r="I99" s="1">
        <v>261</v>
      </c>
      <c r="J99" s="1">
        <v>-2.48</v>
      </c>
    </row>
    <row r="100" spans="1:10" x14ac:dyDescent="0.25">
      <c r="A100" t="s">
        <v>262</v>
      </c>
      <c r="B100" s="1">
        <v>100</v>
      </c>
      <c r="C100" s="1" t="str">
        <f t="shared" si="9"/>
        <v>Cabbage_Summer100</v>
      </c>
      <c r="D100" s="4">
        <f t="shared" si="10"/>
        <v>75</v>
      </c>
      <c r="E100" s="4" t="str">
        <f t="shared" si="5"/>
        <v>Cabbage_Summer75</v>
      </c>
      <c r="F100" s="1">
        <v>251.99999999999997</v>
      </c>
      <c r="G100" s="1">
        <v>9.5899999999999999E-2</v>
      </c>
      <c r="H100" s="1">
        <v>70.36</v>
      </c>
      <c r="I100" s="1">
        <v>274.8</v>
      </c>
      <c r="J100" s="1">
        <v>-2.61</v>
      </c>
    </row>
    <row r="101" spans="1:10" x14ac:dyDescent="0.25">
      <c r="A101" t="s">
        <v>262</v>
      </c>
      <c r="B101" s="1">
        <v>105</v>
      </c>
      <c r="C101" s="1" t="str">
        <f t="shared" si="9"/>
        <v>Cabbage_Summer105</v>
      </c>
      <c r="D101" s="4">
        <f t="shared" si="10"/>
        <v>78.75</v>
      </c>
      <c r="E101" s="4" t="str">
        <f t="shared" si="5"/>
        <v>Cabbage_Summer78.75</v>
      </c>
      <c r="F101" s="1">
        <v>264.60000000000002</v>
      </c>
      <c r="G101" s="1">
        <v>9.5899999999999999E-2</v>
      </c>
      <c r="H101" s="1">
        <v>70.36</v>
      </c>
      <c r="I101" s="1">
        <v>288.5</v>
      </c>
      <c r="J101" s="1">
        <v>-2.74</v>
      </c>
    </row>
    <row r="102" spans="1:10" x14ac:dyDescent="0.25">
      <c r="A102" t="s">
        <v>262</v>
      </c>
      <c r="B102" s="1">
        <v>110</v>
      </c>
      <c r="C102" s="1" t="str">
        <f t="shared" si="9"/>
        <v>Cabbage_Summer110</v>
      </c>
      <c r="D102" s="4">
        <f t="shared" si="10"/>
        <v>82.5</v>
      </c>
      <c r="E102" s="4" t="str">
        <f t="shared" si="5"/>
        <v>Cabbage_Summer82.5</v>
      </c>
      <c r="F102" s="1">
        <v>277.2</v>
      </c>
      <c r="G102" s="1">
        <v>9.5899999999999999E-2</v>
      </c>
      <c r="H102" s="1">
        <v>70.36</v>
      </c>
      <c r="I102" s="1">
        <v>302.3</v>
      </c>
      <c r="J102" s="1">
        <v>-2.87</v>
      </c>
    </row>
    <row r="103" spans="1:10" x14ac:dyDescent="0.25">
      <c r="A103" t="s">
        <v>262</v>
      </c>
      <c r="B103" s="1">
        <v>115</v>
      </c>
      <c r="C103" s="1" t="str">
        <f t="shared" si="9"/>
        <v>Cabbage_Summer115</v>
      </c>
      <c r="D103" s="4">
        <f t="shared" si="10"/>
        <v>86.25</v>
      </c>
      <c r="E103" s="4" t="str">
        <f t="shared" si="5"/>
        <v>Cabbage_Summer86.25</v>
      </c>
      <c r="F103" s="1">
        <v>289.79999999999995</v>
      </c>
      <c r="G103" s="1">
        <v>9.5899999999999999E-2</v>
      </c>
      <c r="H103" s="1">
        <v>70.36</v>
      </c>
      <c r="I103" s="1">
        <v>316</v>
      </c>
      <c r="J103" s="1">
        <v>-3</v>
      </c>
    </row>
    <row r="104" spans="1:10" x14ac:dyDescent="0.25">
      <c r="A104" t="s">
        <v>262</v>
      </c>
      <c r="B104" s="1">
        <v>120</v>
      </c>
      <c r="C104" s="1" t="str">
        <f t="shared" si="9"/>
        <v>Cabbage_Summer120</v>
      </c>
      <c r="D104" s="4">
        <f t="shared" si="10"/>
        <v>90</v>
      </c>
      <c r="E104" s="4" t="str">
        <f t="shared" si="5"/>
        <v>Cabbage_Summer90</v>
      </c>
      <c r="F104" s="1">
        <v>302.39999999999998</v>
      </c>
      <c r="G104" s="1">
        <v>9.5899999999999999E-2</v>
      </c>
      <c r="H104" s="1">
        <v>70.36</v>
      </c>
      <c r="I104" s="1">
        <v>329.7</v>
      </c>
      <c r="J104" s="1">
        <v>-3.13</v>
      </c>
    </row>
    <row r="105" spans="1:10" x14ac:dyDescent="0.25">
      <c r="A105" t="s">
        <v>262</v>
      </c>
      <c r="B105" s="1">
        <v>125</v>
      </c>
      <c r="C105" s="1" t="str">
        <f t="shared" si="9"/>
        <v>Cabbage_Summer125</v>
      </c>
      <c r="D105" s="4">
        <f t="shared" si="10"/>
        <v>93.75</v>
      </c>
      <c r="E105" s="4" t="str">
        <f t="shared" si="5"/>
        <v>Cabbage_Summer93.75</v>
      </c>
      <c r="F105" s="1">
        <v>314.99999999999994</v>
      </c>
      <c r="G105" s="1">
        <v>9.5899999999999999E-2</v>
      </c>
      <c r="H105" s="1">
        <v>70.36</v>
      </c>
      <c r="I105" s="1">
        <v>343.5</v>
      </c>
      <c r="J105" s="1">
        <v>-3.26</v>
      </c>
    </row>
    <row r="106" spans="1:10" x14ac:dyDescent="0.25">
      <c r="A106" t="s">
        <v>262</v>
      </c>
      <c r="B106" s="1">
        <v>130</v>
      </c>
      <c r="C106" s="1" t="str">
        <f t="shared" si="9"/>
        <v>Cabbage_Summer130</v>
      </c>
      <c r="D106" s="4">
        <f t="shared" si="10"/>
        <v>97.5</v>
      </c>
      <c r="E106" s="4" t="str">
        <f t="shared" si="5"/>
        <v>Cabbage_Summer97.5</v>
      </c>
      <c r="F106" s="1">
        <v>327.59999999999997</v>
      </c>
      <c r="G106" s="1">
        <v>9.5899999999999999E-2</v>
      </c>
      <c r="H106" s="1">
        <v>70.36</v>
      </c>
      <c r="I106" s="1">
        <v>357.2</v>
      </c>
      <c r="J106" s="1">
        <v>-3.39</v>
      </c>
    </row>
    <row r="107" spans="1:10" x14ac:dyDescent="0.25">
      <c r="A107" t="s">
        <v>262</v>
      </c>
      <c r="B107" s="1">
        <v>135</v>
      </c>
      <c r="C107" s="1" t="str">
        <f t="shared" si="9"/>
        <v>Cabbage_Summer135</v>
      </c>
      <c r="D107" s="4">
        <f t="shared" si="10"/>
        <v>101.25</v>
      </c>
      <c r="E107" s="4" t="str">
        <f t="shared" si="5"/>
        <v>Cabbage_Summer101.25</v>
      </c>
      <c r="F107" s="1">
        <v>340.19999999999993</v>
      </c>
      <c r="G107" s="1">
        <v>9.5899999999999999E-2</v>
      </c>
      <c r="H107" s="1">
        <v>70.36</v>
      </c>
      <c r="I107" s="1">
        <v>371</v>
      </c>
      <c r="J107" s="1">
        <v>-3.52</v>
      </c>
    </row>
    <row r="108" spans="1:10" x14ac:dyDescent="0.25">
      <c r="A108" t="s">
        <v>263</v>
      </c>
      <c r="B108" s="1">
        <v>70</v>
      </c>
      <c r="C108" s="1" t="str">
        <f t="shared" ref="C108:C140" si="11">A108&amp;B108</f>
        <v>Cabbage_Winter70</v>
      </c>
      <c r="D108" s="4">
        <f t="shared" ref="D108:D121" si="12">B108*0.75</f>
        <v>52.5</v>
      </c>
      <c r="E108" s="4" t="str">
        <f t="shared" ref="E108:E140" si="13">A108&amp;D108</f>
        <v>Cabbage_Winter52.5</v>
      </c>
      <c r="F108" s="1">
        <v>208.81000000000003</v>
      </c>
      <c r="G108" s="48">
        <v>7.9100000000000004E-2</v>
      </c>
      <c r="H108" s="48">
        <v>85.29</v>
      </c>
      <c r="I108" s="48">
        <v>227.7</v>
      </c>
      <c r="J108" s="48">
        <v>-2.2000000000000002</v>
      </c>
    </row>
    <row r="109" spans="1:10" x14ac:dyDescent="0.25">
      <c r="A109" t="s">
        <v>263</v>
      </c>
      <c r="B109" s="1">
        <v>75</v>
      </c>
      <c r="C109" s="1" t="str">
        <f t="shared" si="11"/>
        <v>Cabbage_Winter75</v>
      </c>
      <c r="D109" s="4">
        <f t="shared" si="12"/>
        <v>56.25</v>
      </c>
      <c r="E109" s="4" t="str">
        <f t="shared" si="13"/>
        <v>Cabbage_Winter56.25</v>
      </c>
      <c r="F109" s="1">
        <v>223.72500000000002</v>
      </c>
      <c r="G109" s="48">
        <v>7.9699999999999993E-2</v>
      </c>
      <c r="H109" s="48">
        <v>85.33</v>
      </c>
      <c r="I109" s="48">
        <v>243</v>
      </c>
      <c r="J109" s="48">
        <v>-1.7</v>
      </c>
    </row>
    <row r="110" spans="1:10" x14ac:dyDescent="0.25">
      <c r="A110" t="s">
        <v>263</v>
      </c>
      <c r="B110" s="1">
        <v>80</v>
      </c>
      <c r="C110" s="1" t="str">
        <f t="shared" si="11"/>
        <v>Cabbage_Winter80</v>
      </c>
      <c r="D110" s="4">
        <f t="shared" si="12"/>
        <v>60</v>
      </c>
      <c r="E110" s="4" t="str">
        <f t="shared" si="13"/>
        <v>Cabbage_Winter60</v>
      </c>
      <c r="F110" s="1">
        <v>238.64000000000001</v>
      </c>
      <c r="G110" s="48">
        <v>8.0199999999999994E-2</v>
      </c>
      <c r="H110" s="48">
        <v>85.36</v>
      </c>
      <c r="I110" s="48">
        <v>258.39999999999998</v>
      </c>
      <c r="J110" s="48">
        <v>-1.3</v>
      </c>
    </row>
    <row r="111" spans="1:10" x14ac:dyDescent="0.25">
      <c r="A111" t="s">
        <v>263</v>
      </c>
      <c r="B111" s="1">
        <v>85</v>
      </c>
      <c r="C111" s="1" t="str">
        <f t="shared" si="11"/>
        <v>Cabbage_Winter85</v>
      </c>
      <c r="D111" s="4">
        <f t="shared" si="12"/>
        <v>63.75</v>
      </c>
      <c r="E111" s="4" t="str">
        <f t="shared" si="13"/>
        <v>Cabbage_Winter63.75</v>
      </c>
      <c r="F111" s="1">
        <v>253.55500000000006</v>
      </c>
      <c r="G111" s="48">
        <v>8.0699999999999994E-2</v>
      </c>
      <c r="H111" s="48">
        <v>85.39</v>
      </c>
      <c r="I111" s="48">
        <v>273.7</v>
      </c>
      <c r="J111" s="48">
        <v>-0.9</v>
      </c>
    </row>
    <row r="112" spans="1:10" x14ac:dyDescent="0.25">
      <c r="A112" t="s">
        <v>263</v>
      </c>
      <c r="B112" s="1">
        <v>90</v>
      </c>
      <c r="C112" s="1" t="str">
        <f t="shared" si="11"/>
        <v>Cabbage_Winter90</v>
      </c>
      <c r="D112" s="4">
        <f t="shared" si="12"/>
        <v>67.5</v>
      </c>
      <c r="E112" s="4" t="str">
        <f t="shared" si="13"/>
        <v>Cabbage_Winter67.5</v>
      </c>
      <c r="F112" s="1">
        <v>268.47000000000003</v>
      </c>
      <c r="G112" s="48">
        <v>8.1100000000000005E-2</v>
      </c>
      <c r="H112" s="48">
        <v>85.42</v>
      </c>
      <c r="I112" s="48">
        <v>289.10000000000002</v>
      </c>
      <c r="J112" s="48">
        <v>-0.5</v>
      </c>
    </row>
    <row r="113" spans="1:10" x14ac:dyDescent="0.25">
      <c r="A113" t="s">
        <v>263</v>
      </c>
      <c r="B113" s="1">
        <v>95</v>
      </c>
      <c r="C113" s="1" t="str">
        <f t="shared" si="11"/>
        <v>Cabbage_Winter95</v>
      </c>
      <c r="D113" s="4">
        <f t="shared" si="12"/>
        <v>71.25</v>
      </c>
      <c r="E113" s="4" t="str">
        <f t="shared" si="13"/>
        <v>Cabbage_Winter71.25</v>
      </c>
      <c r="F113" s="1">
        <v>283.38500000000005</v>
      </c>
      <c r="G113" s="48">
        <v>8.1500000000000003E-2</v>
      </c>
      <c r="H113" s="48">
        <v>85.44</v>
      </c>
      <c r="I113" s="48">
        <v>304.39999999999998</v>
      </c>
      <c r="J113" s="48">
        <v>-0.1</v>
      </c>
    </row>
    <row r="114" spans="1:10" x14ac:dyDescent="0.25">
      <c r="A114" t="s">
        <v>263</v>
      </c>
      <c r="B114" s="1">
        <v>100</v>
      </c>
      <c r="C114" s="1" t="str">
        <f t="shared" si="11"/>
        <v>Cabbage_Winter100</v>
      </c>
      <c r="D114" s="4">
        <f t="shared" si="12"/>
        <v>75</v>
      </c>
      <c r="E114" s="4" t="str">
        <f t="shared" si="13"/>
        <v>Cabbage_Winter75</v>
      </c>
      <c r="F114" s="1">
        <v>298.3</v>
      </c>
      <c r="G114" s="48">
        <v>8.1799999999999998E-2</v>
      </c>
      <c r="H114" s="48">
        <v>85.46</v>
      </c>
      <c r="I114" s="48">
        <v>319.8</v>
      </c>
      <c r="J114" s="48">
        <v>0.3</v>
      </c>
    </row>
    <row r="115" spans="1:10" x14ac:dyDescent="0.25">
      <c r="A115" t="s">
        <v>263</v>
      </c>
      <c r="B115" s="1">
        <v>105</v>
      </c>
      <c r="C115" s="1" t="str">
        <f t="shared" si="11"/>
        <v>Cabbage_Winter105</v>
      </c>
      <c r="D115" s="4">
        <f t="shared" si="12"/>
        <v>78.75</v>
      </c>
      <c r="E115" s="4" t="str">
        <f t="shared" si="13"/>
        <v>Cabbage_Winter78.75</v>
      </c>
      <c r="F115" s="1">
        <v>313.21500000000009</v>
      </c>
      <c r="G115" s="48">
        <v>8.2100000000000006E-2</v>
      </c>
      <c r="H115" s="48">
        <v>85.48</v>
      </c>
      <c r="I115" s="48">
        <v>335.2</v>
      </c>
      <c r="J115" s="48">
        <v>0.7</v>
      </c>
    </row>
    <row r="116" spans="1:10" x14ac:dyDescent="0.25">
      <c r="A116" t="s">
        <v>263</v>
      </c>
      <c r="B116" s="1">
        <v>110</v>
      </c>
      <c r="C116" s="1" t="str">
        <f t="shared" si="11"/>
        <v>Cabbage_Winter110</v>
      </c>
      <c r="D116" s="4">
        <f t="shared" si="12"/>
        <v>82.5</v>
      </c>
      <c r="E116" s="4" t="str">
        <f t="shared" si="13"/>
        <v>Cabbage_Winter82.5</v>
      </c>
      <c r="F116" s="1">
        <v>328.13000000000005</v>
      </c>
      <c r="G116" s="48">
        <v>8.2400000000000001E-2</v>
      </c>
      <c r="H116" s="48">
        <v>85.5</v>
      </c>
      <c r="I116" s="48">
        <v>350.6</v>
      </c>
      <c r="J116" s="48">
        <v>1.1000000000000001</v>
      </c>
    </row>
    <row r="117" spans="1:10" x14ac:dyDescent="0.25">
      <c r="A117" t="s">
        <v>263</v>
      </c>
      <c r="B117" s="1">
        <v>115</v>
      </c>
      <c r="C117" s="1" t="str">
        <f t="shared" si="11"/>
        <v>Cabbage_Winter115</v>
      </c>
      <c r="D117" s="4">
        <f t="shared" si="12"/>
        <v>86.25</v>
      </c>
      <c r="E117" s="4" t="str">
        <f t="shared" si="13"/>
        <v>Cabbage_Winter86.25</v>
      </c>
      <c r="F117" s="1">
        <v>343.04500000000007</v>
      </c>
      <c r="G117" s="48">
        <v>8.2600000000000007E-2</v>
      </c>
      <c r="H117" s="48">
        <v>85.52</v>
      </c>
      <c r="I117" s="48">
        <v>366</v>
      </c>
      <c r="J117" s="48">
        <v>1.5</v>
      </c>
    </row>
    <row r="118" spans="1:10" x14ac:dyDescent="0.25">
      <c r="A118" t="s">
        <v>263</v>
      </c>
      <c r="B118" s="1">
        <v>120</v>
      </c>
      <c r="C118" s="1" t="str">
        <f t="shared" si="11"/>
        <v>Cabbage_Winter120</v>
      </c>
      <c r="D118" s="4">
        <f t="shared" si="12"/>
        <v>90</v>
      </c>
      <c r="E118" s="4" t="str">
        <f t="shared" si="13"/>
        <v>Cabbage_Winter90</v>
      </c>
      <c r="F118" s="1">
        <v>357.96000000000009</v>
      </c>
      <c r="G118" s="48">
        <v>8.2799999999999999E-2</v>
      </c>
      <c r="H118" s="48">
        <v>85.53</v>
      </c>
      <c r="I118" s="48">
        <v>381.4</v>
      </c>
      <c r="J118" s="48">
        <v>1.9</v>
      </c>
    </row>
    <row r="119" spans="1:10" x14ac:dyDescent="0.25">
      <c r="A119" t="s">
        <v>263</v>
      </c>
      <c r="B119" s="1">
        <v>125</v>
      </c>
      <c r="C119" s="1" t="str">
        <f t="shared" si="11"/>
        <v>Cabbage_Winter125</v>
      </c>
      <c r="D119" s="4">
        <f t="shared" si="12"/>
        <v>93.75</v>
      </c>
      <c r="E119" s="4" t="str">
        <f t="shared" si="13"/>
        <v>Cabbage_Winter93.75</v>
      </c>
      <c r="F119" s="1">
        <v>372.87500000000006</v>
      </c>
      <c r="G119" s="48">
        <v>8.3000000000000004E-2</v>
      </c>
      <c r="H119" s="48">
        <v>85.55</v>
      </c>
      <c r="I119" s="48">
        <v>396.8</v>
      </c>
      <c r="J119" s="48">
        <v>2.2999999999999998</v>
      </c>
    </row>
    <row r="120" spans="1:10" x14ac:dyDescent="0.25">
      <c r="A120" t="s">
        <v>263</v>
      </c>
      <c r="B120" s="1">
        <v>130</v>
      </c>
      <c r="C120" s="1" t="str">
        <f t="shared" si="11"/>
        <v>Cabbage_Winter130</v>
      </c>
      <c r="D120" s="4">
        <f t="shared" si="12"/>
        <v>97.5</v>
      </c>
      <c r="E120" s="4" t="str">
        <f t="shared" si="13"/>
        <v>Cabbage_Winter97.5</v>
      </c>
      <c r="F120" s="1">
        <v>387.79000000000008</v>
      </c>
      <c r="G120" s="48">
        <v>8.3199999999999996E-2</v>
      </c>
      <c r="H120" s="48">
        <v>85.56</v>
      </c>
      <c r="I120" s="48">
        <v>412.2</v>
      </c>
      <c r="J120" s="48">
        <v>2.7</v>
      </c>
    </row>
    <row r="121" spans="1:10" x14ac:dyDescent="0.25">
      <c r="A121" t="s">
        <v>263</v>
      </c>
      <c r="B121" s="1">
        <v>135</v>
      </c>
      <c r="C121" s="1" t="str">
        <f t="shared" si="11"/>
        <v>Cabbage_Winter135</v>
      </c>
      <c r="D121" s="4">
        <f t="shared" si="12"/>
        <v>101.25</v>
      </c>
      <c r="E121" s="4" t="str">
        <f t="shared" si="13"/>
        <v>Cabbage_Winter101.25</v>
      </c>
      <c r="F121" s="1">
        <v>402.70500000000004</v>
      </c>
      <c r="G121" s="48">
        <v>8.3400000000000002E-2</v>
      </c>
      <c r="H121" s="48">
        <v>85.57</v>
      </c>
      <c r="I121" s="48">
        <v>427.6</v>
      </c>
      <c r="J121" s="48">
        <v>3.1</v>
      </c>
    </row>
    <row r="122" spans="1:10" x14ac:dyDescent="0.25">
      <c r="A122" t="s">
        <v>307</v>
      </c>
      <c r="B122" s="1">
        <v>12</v>
      </c>
      <c r="C122" s="1" t="str">
        <f t="shared" si="11"/>
        <v>Baby_Spinach12</v>
      </c>
      <c r="E122" s="4" t="str">
        <f t="shared" si="13"/>
        <v>Baby_Spinach</v>
      </c>
      <c r="F122" s="35">
        <v>52.02</v>
      </c>
      <c r="G122" s="1">
        <v>0.17233999999999999</v>
      </c>
      <c r="H122" s="1">
        <v>29.87</v>
      </c>
      <c r="I122" s="1">
        <v>194.6</v>
      </c>
      <c r="J122" s="1">
        <v>-1.1850000000000001</v>
      </c>
    </row>
    <row r="123" spans="1:10" x14ac:dyDescent="0.25">
      <c r="A123" t="s">
        <v>307</v>
      </c>
      <c r="B123" s="1">
        <v>13</v>
      </c>
      <c r="C123" s="1" t="str">
        <f t="shared" si="11"/>
        <v>Baby_Spinach13</v>
      </c>
      <c r="E123" s="4" t="str">
        <f t="shared" si="13"/>
        <v>Baby_Spinach</v>
      </c>
      <c r="F123" s="35">
        <v>56.355000000000004</v>
      </c>
      <c r="G123" s="1">
        <v>0.17233999999999999</v>
      </c>
      <c r="H123" s="1">
        <v>29.87</v>
      </c>
      <c r="I123" s="1">
        <v>194.6</v>
      </c>
      <c r="J123" s="1">
        <v>-1.1850000000000001</v>
      </c>
    </row>
    <row r="124" spans="1:10" x14ac:dyDescent="0.25">
      <c r="A124" t="s">
        <v>307</v>
      </c>
      <c r="B124" s="1">
        <v>14</v>
      </c>
      <c r="C124" s="1" t="str">
        <f t="shared" si="11"/>
        <v>Baby_Spinach14</v>
      </c>
      <c r="E124" s="4" t="str">
        <f t="shared" si="13"/>
        <v>Baby_Spinach</v>
      </c>
      <c r="F124" s="35">
        <v>60.690000000000005</v>
      </c>
      <c r="G124" s="1">
        <v>0.17233999999999999</v>
      </c>
      <c r="H124" s="1">
        <v>29.87</v>
      </c>
      <c r="I124" s="1">
        <v>194.6</v>
      </c>
      <c r="J124" s="1">
        <v>-1.1850000000000001</v>
      </c>
    </row>
    <row r="125" spans="1:10" x14ac:dyDescent="0.25">
      <c r="A125" t="s">
        <v>307</v>
      </c>
      <c r="B125" s="1">
        <v>15</v>
      </c>
      <c r="C125" s="1" t="str">
        <f t="shared" si="11"/>
        <v>Baby_Spinach15</v>
      </c>
      <c r="E125" s="4" t="str">
        <f t="shared" si="13"/>
        <v>Baby_Spinach</v>
      </c>
      <c r="F125" s="35">
        <v>65.025000000000006</v>
      </c>
      <c r="G125" s="1">
        <v>0.17233999999999999</v>
      </c>
      <c r="H125" s="1">
        <v>29.87</v>
      </c>
      <c r="I125" s="1">
        <v>194.6</v>
      </c>
      <c r="J125" s="1">
        <v>-1.1850000000000001</v>
      </c>
    </row>
    <row r="126" spans="1:10" x14ac:dyDescent="0.25">
      <c r="A126" t="s">
        <v>307</v>
      </c>
      <c r="B126" s="1">
        <v>16</v>
      </c>
      <c r="C126" s="1" t="str">
        <f t="shared" si="11"/>
        <v>Baby_Spinach16</v>
      </c>
      <c r="E126" s="4" t="str">
        <f t="shared" si="13"/>
        <v>Baby_Spinach</v>
      </c>
      <c r="F126" s="35">
        <v>69.36</v>
      </c>
      <c r="G126" s="1">
        <v>0.17233999999999999</v>
      </c>
      <c r="H126" s="1">
        <v>29.87</v>
      </c>
      <c r="I126" s="1">
        <v>194.6</v>
      </c>
      <c r="J126" s="1">
        <v>-1.1850000000000001</v>
      </c>
    </row>
    <row r="127" spans="1:10" x14ac:dyDescent="0.25">
      <c r="A127" t="s">
        <v>307</v>
      </c>
      <c r="B127" s="1">
        <v>17</v>
      </c>
      <c r="C127" s="1" t="str">
        <f t="shared" si="11"/>
        <v>Baby_Spinach17</v>
      </c>
      <c r="E127" s="4" t="str">
        <f t="shared" si="13"/>
        <v>Baby_Spinach</v>
      </c>
      <c r="F127" s="35">
        <v>73.695000000000007</v>
      </c>
      <c r="G127" s="1">
        <v>0.17233999999999999</v>
      </c>
      <c r="H127" s="1">
        <v>29.87</v>
      </c>
      <c r="I127" s="1">
        <v>194.6</v>
      </c>
      <c r="J127" s="1">
        <v>-1.1850000000000001</v>
      </c>
    </row>
    <row r="128" spans="1:10" x14ac:dyDescent="0.25">
      <c r="A128" t="s">
        <v>307</v>
      </c>
      <c r="B128" s="1">
        <v>18</v>
      </c>
      <c r="C128" s="1" t="str">
        <f t="shared" si="11"/>
        <v>Baby_Spinach18</v>
      </c>
      <c r="E128" s="4" t="str">
        <f t="shared" si="13"/>
        <v>Baby_Spinach</v>
      </c>
      <c r="F128" s="35">
        <v>78.03</v>
      </c>
      <c r="G128" s="1">
        <v>0.17233999999999999</v>
      </c>
      <c r="H128" s="1">
        <v>29.87</v>
      </c>
      <c r="I128" s="1">
        <v>194.6</v>
      </c>
      <c r="J128" s="1">
        <v>-1.1850000000000001</v>
      </c>
    </row>
    <row r="129" spans="1:10" x14ac:dyDescent="0.25">
      <c r="A129" t="s">
        <v>307</v>
      </c>
      <c r="B129" s="1">
        <v>19</v>
      </c>
      <c r="C129" s="1" t="str">
        <f t="shared" si="11"/>
        <v>Baby_Spinach19</v>
      </c>
      <c r="E129" s="4" t="str">
        <f t="shared" si="13"/>
        <v>Baby_Spinach</v>
      </c>
      <c r="F129" s="35">
        <v>82.365000000000009</v>
      </c>
      <c r="G129" s="1">
        <v>0.17233999999999999</v>
      </c>
      <c r="H129" s="1">
        <v>29.87</v>
      </c>
      <c r="I129" s="1">
        <v>194.6</v>
      </c>
      <c r="J129" s="1">
        <v>-1.1850000000000001</v>
      </c>
    </row>
    <row r="130" spans="1:10" x14ac:dyDescent="0.25">
      <c r="A130" t="s">
        <v>307</v>
      </c>
      <c r="B130" s="1">
        <v>20</v>
      </c>
      <c r="C130" s="1" t="str">
        <f t="shared" si="11"/>
        <v>Baby_Spinach20</v>
      </c>
      <c r="E130" s="4" t="str">
        <f t="shared" si="13"/>
        <v>Baby_Spinach</v>
      </c>
      <c r="F130" s="35">
        <v>86.7</v>
      </c>
      <c r="G130" s="1">
        <v>0.17233999999999999</v>
      </c>
      <c r="H130" s="1">
        <v>29.87</v>
      </c>
      <c r="I130" s="1">
        <v>194.6</v>
      </c>
      <c r="J130" s="1">
        <v>-1.1850000000000001</v>
      </c>
    </row>
    <row r="131" spans="1:10" x14ac:dyDescent="0.25">
      <c r="A131" t="s">
        <v>307</v>
      </c>
      <c r="B131" s="1">
        <v>21</v>
      </c>
      <c r="C131" s="1" t="str">
        <f t="shared" si="11"/>
        <v>Baby_Spinach21</v>
      </c>
      <c r="E131" s="4" t="str">
        <f t="shared" si="13"/>
        <v>Baby_Spinach</v>
      </c>
      <c r="F131" s="35">
        <v>91.035000000000011</v>
      </c>
      <c r="G131" s="1">
        <v>0.17233999999999999</v>
      </c>
      <c r="H131" s="1">
        <v>29.87</v>
      </c>
      <c r="I131" s="1">
        <v>194.6</v>
      </c>
      <c r="J131" s="1">
        <v>-1.1850000000000001</v>
      </c>
    </row>
    <row r="132" spans="1:10" x14ac:dyDescent="0.25">
      <c r="A132" t="s">
        <v>307</v>
      </c>
      <c r="B132" s="1">
        <v>22</v>
      </c>
      <c r="C132" s="1" t="str">
        <f t="shared" si="11"/>
        <v>Baby_Spinach22</v>
      </c>
      <c r="E132" s="4" t="str">
        <f t="shared" si="13"/>
        <v>Baby_Spinach</v>
      </c>
      <c r="F132" s="35">
        <v>95.37</v>
      </c>
      <c r="G132" s="1">
        <v>0.17233999999999999</v>
      </c>
      <c r="H132" s="1">
        <v>29.87</v>
      </c>
      <c r="I132" s="1">
        <v>194.6</v>
      </c>
      <c r="J132" s="1">
        <v>-1.1850000000000001</v>
      </c>
    </row>
    <row r="133" spans="1:10" x14ac:dyDescent="0.25">
      <c r="A133" t="s">
        <v>307</v>
      </c>
      <c r="B133" s="1">
        <v>23</v>
      </c>
      <c r="C133" s="1" t="str">
        <f t="shared" si="11"/>
        <v>Baby_Spinach23</v>
      </c>
      <c r="E133" s="4" t="str">
        <f t="shared" si="13"/>
        <v>Baby_Spinach</v>
      </c>
      <c r="F133" s="35">
        <v>99.704999999999998</v>
      </c>
      <c r="G133" s="1">
        <v>0.17233999999999999</v>
      </c>
      <c r="H133" s="1">
        <v>29.87</v>
      </c>
      <c r="I133" s="1">
        <v>194.6</v>
      </c>
      <c r="J133" s="1">
        <v>-1.1850000000000001</v>
      </c>
    </row>
    <row r="134" spans="1:10" x14ac:dyDescent="0.25">
      <c r="A134" t="s">
        <v>307</v>
      </c>
      <c r="B134" s="1">
        <v>24</v>
      </c>
      <c r="C134" s="1" t="str">
        <f t="shared" si="11"/>
        <v>Baby_Spinach24</v>
      </c>
      <c r="E134" s="4" t="str">
        <f t="shared" si="13"/>
        <v>Baby_Spinach</v>
      </c>
      <c r="F134" s="35">
        <v>104.04</v>
      </c>
      <c r="G134" s="1">
        <v>0.17233999999999999</v>
      </c>
      <c r="H134" s="1">
        <v>29.87</v>
      </c>
      <c r="I134" s="1">
        <v>194.6</v>
      </c>
      <c r="J134" s="1">
        <v>-1.1850000000000001</v>
      </c>
    </row>
    <row r="135" spans="1:10" x14ac:dyDescent="0.25">
      <c r="A135" t="s">
        <v>307</v>
      </c>
      <c r="B135" s="1">
        <v>25</v>
      </c>
      <c r="C135" s="1" t="str">
        <f t="shared" si="11"/>
        <v>Baby_Spinach25</v>
      </c>
      <c r="E135" s="4" t="str">
        <f t="shared" si="13"/>
        <v>Baby_Spinach</v>
      </c>
      <c r="F135" s="35">
        <v>108.37500000000001</v>
      </c>
      <c r="G135" s="1">
        <v>0.17233999999999999</v>
      </c>
      <c r="H135" s="1">
        <v>29.87</v>
      </c>
      <c r="I135" s="1">
        <v>194.6</v>
      </c>
      <c r="J135" s="1">
        <v>-1.1850000000000001</v>
      </c>
    </row>
    <row r="136" spans="1:10" x14ac:dyDescent="0.25">
      <c r="A136" t="s">
        <v>307</v>
      </c>
      <c r="B136" s="1">
        <v>26</v>
      </c>
      <c r="C136" s="1" t="str">
        <f t="shared" si="11"/>
        <v>Baby_Spinach26</v>
      </c>
      <c r="E136" s="4" t="str">
        <f t="shared" si="13"/>
        <v>Baby_Spinach</v>
      </c>
      <c r="F136" s="35">
        <v>112.71000000000001</v>
      </c>
      <c r="G136" s="1">
        <v>0.17233999999999999</v>
      </c>
      <c r="H136" s="1">
        <v>29.87</v>
      </c>
      <c r="I136" s="1">
        <v>194.6</v>
      </c>
      <c r="J136" s="1">
        <v>-1.1850000000000001</v>
      </c>
    </row>
    <row r="137" spans="1:10" x14ac:dyDescent="0.25">
      <c r="A137" t="s">
        <v>307</v>
      </c>
      <c r="B137" s="1">
        <v>27</v>
      </c>
      <c r="C137" s="1" t="str">
        <f t="shared" si="11"/>
        <v>Baby_Spinach27</v>
      </c>
      <c r="E137" s="4" t="str">
        <f t="shared" si="13"/>
        <v>Baby_Spinach</v>
      </c>
      <c r="F137" s="35">
        <v>117.04500000000002</v>
      </c>
      <c r="G137" s="1">
        <v>0.17233999999999999</v>
      </c>
      <c r="H137" s="1">
        <v>29.87</v>
      </c>
      <c r="I137" s="1">
        <v>194.6</v>
      </c>
      <c r="J137" s="1">
        <v>-1.1850000000000001</v>
      </c>
    </row>
    <row r="138" spans="1:10" x14ac:dyDescent="0.25">
      <c r="A138" t="s">
        <v>307</v>
      </c>
      <c r="B138" s="1">
        <v>28</v>
      </c>
      <c r="C138" s="1" t="str">
        <f t="shared" si="11"/>
        <v>Baby_Spinach28</v>
      </c>
      <c r="E138" s="4" t="str">
        <f t="shared" si="13"/>
        <v>Baby_Spinach</v>
      </c>
      <c r="F138" s="35">
        <v>121.38000000000001</v>
      </c>
      <c r="G138" s="1">
        <v>0.17233999999999999</v>
      </c>
      <c r="H138" s="1">
        <v>29.87</v>
      </c>
      <c r="I138" s="1">
        <v>194.6</v>
      </c>
      <c r="J138" s="1">
        <v>-1.1850000000000001</v>
      </c>
    </row>
    <row r="139" spans="1:10" x14ac:dyDescent="0.25">
      <c r="A139" t="s">
        <v>307</v>
      </c>
      <c r="B139" s="1">
        <v>29</v>
      </c>
      <c r="C139" s="1" t="str">
        <f t="shared" si="11"/>
        <v>Baby_Spinach29</v>
      </c>
      <c r="E139" s="4" t="str">
        <f t="shared" si="13"/>
        <v>Baby_Spinach</v>
      </c>
      <c r="F139" s="35">
        <v>125.71500000000002</v>
      </c>
      <c r="G139" s="1">
        <v>0.17233999999999999</v>
      </c>
      <c r="H139" s="1">
        <v>29.87</v>
      </c>
      <c r="I139" s="1">
        <v>194.6</v>
      </c>
      <c r="J139" s="1">
        <v>-1.1850000000000001</v>
      </c>
    </row>
    <row r="140" spans="1:10" x14ac:dyDescent="0.25">
      <c r="A140" t="s">
        <v>307</v>
      </c>
      <c r="B140" s="1">
        <v>30</v>
      </c>
      <c r="C140" s="1" t="str">
        <f t="shared" si="11"/>
        <v>Baby_Spinach30</v>
      </c>
      <c r="E140" s="4" t="str">
        <f t="shared" si="13"/>
        <v>Baby_Spinach</v>
      </c>
      <c r="F140" s="35">
        <v>130.05000000000001</v>
      </c>
      <c r="G140" s="1">
        <v>0.17233999999999999</v>
      </c>
      <c r="H140" s="1">
        <v>29.87</v>
      </c>
      <c r="I140" s="1">
        <v>194.6</v>
      </c>
      <c r="J140" s="1">
        <v>-1.1850000000000001</v>
      </c>
    </row>
    <row r="141" spans="1:10" x14ac:dyDescent="0.25">
      <c r="A141" t="s">
        <v>287</v>
      </c>
      <c r="B141" s="1">
        <v>4</v>
      </c>
      <c r="C141" s="1" t="str">
        <f>A141&amp;B141</f>
        <v>Wheat_Autumn4</v>
      </c>
      <c r="E141" s="1" t="str">
        <f>A141&amp;D141</f>
        <v>Wheat_Autumn</v>
      </c>
      <c r="F141" s="1">
        <v>92.5</v>
      </c>
      <c r="G141" s="48">
        <v>3.2800000000000003E-2</v>
      </c>
      <c r="H141" s="48">
        <v>171.69</v>
      </c>
      <c r="I141" s="48">
        <v>95.56</v>
      </c>
      <c r="J141" s="48">
        <v>-1.143</v>
      </c>
    </row>
    <row r="142" spans="1:10" x14ac:dyDescent="0.25">
      <c r="A142" t="s">
        <v>287</v>
      </c>
      <c r="B142" s="1">
        <v>5</v>
      </c>
      <c r="C142" s="55" t="str">
        <f t="shared" ref="C142:C179" si="14">A142&amp;B142</f>
        <v>Wheat_Autumn5</v>
      </c>
      <c r="E142" s="55" t="str">
        <f t="shared" ref="E142:E199" si="15">A142&amp;D142</f>
        <v>Wheat_Autumn</v>
      </c>
      <c r="F142" s="1">
        <v>116.5</v>
      </c>
      <c r="G142" s="48">
        <v>3.2259999999999997E-2</v>
      </c>
      <c r="H142" s="48">
        <v>172.8</v>
      </c>
      <c r="I142" s="48">
        <v>120.67</v>
      </c>
      <c r="J142" s="48">
        <v>-1.575</v>
      </c>
    </row>
    <row r="143" spans="1:10" x14ac:dyDescent="0.25">
      <c r="A143" t="s">
        <v>287</v>
      </c>
      <c r="B143" s="55">
        <v>6</v>
      </c>
      <c r="C143" s="55" t="str">
        <f t="shared" si="14"/>
        <v>Wheat_Autumn6</v>
      </c>
      <c r="E143" s="55" t="str">
        <f t="shared" si="15"/>
        <v>Wheat_Autumn</v>
      </c>
      <c r="F143" s="1">
        <v>138.69999999999999</v>
      </c>
      <c r="G143" s="48">
        <v>3.1899999999999998E-2</v>
      </c>
      <c r="H143" s="48">
        <v>172.74199999999999</v>
      </c>
      <c r="I143" s="48">
        <v>143.94999999999999</v>
      </c>
      <c r="J143" s="48">
        <v>-1.956</v>
      </c>
    </row>
    <row r="144" spans="1:10" x14ac:dyDescent="0.25">
      <c r="A144" t="s">
        <v>287</v>
      </c>
      <c r="B144" s="55">
        <v>7</v>
      </c>
      <c r="C144" s="55" t="str">
        <f t="shared" si="14"/>
        <v>Wheat_Autumn7</v>
      </c>
      <c r="E144" s="55" t="str">
        <f t="shared" si="15"/>
        <v>Wheat_Autumn</v>
      </c>
      <c r="F144" s="1">
        <v>160.6</v>
      </c>
      <c r="G144" s="48">
        <v>3.0748999999999999E-2</v>
      </c>
      <c r="H144" s="48">
        <v>172.083</v>
      </c>
      <c r="I144" s="48">
        <v>167.52</v>
      </c>
      <c r="J144" s="48">
        <v>-2.4260000000000002</v>
      </c>
    </row>
    <row r="145" spans="1:10" x14ac:dyDescent="0.25">
      <c r="A145" t="s">
        <v>287</v>
      </c>
      <c r="B145" s="55">
        <v>8</v>
      </c>
      <c r="C145" s="55" t="str">
        <f t="shared" si="14"/>
        <v>Wheat_Autumn8</v>
      </c>
      <c r="E145" s="55" t="str">
        <f t="shared" si="15"/>
        <v>Wheat_Autumn</v>
      </c>
      <c r="F145" s="1">
        <v>186.4</v>
      </c>
      <c r="G145" s="48">
        <v>3.0202E-2</v>
      </c>
      <c r="H145" s="48">
        <v>172.90899999999999</v>
      </c>
      <c r="I145" s="48">
        <v>195.02</v>
      </c>
      <c r="J145" s="48">
        <v>-3.0550000000000002</v>
      </c>
    </row>
    <row r="146" spans="1:10" x14ac:dyDescent="0.25">
      <c r="A146" t="s">
        <v>287</v>
      </c>
      <c r="B146" s="55">
        <v>9</v>
      </c>
      <c r="C146" s="55" t="str">
        <f t="shared" si="14"/>
        <v>Wheat_Autumn9</v>
      </c>
      <c r="E146" s="55" t="str">
        <f t="shared" si="15"/>
        <v>Wheat_Autumn</v>
      </c>
      <c r="F146" s="1">
        <v>210.4</v>
      </c>
      <c r="G146" s="48">
        <v>2.9829999999999999E-2</v>
      </c>
      <c r="H146" s="48">
        <v>172.751</v>
      </c>
      <c r="I146" s="48">
        <v>220.65</v>
      </c>
      <c r="J146" s="48">
        <v>-3.6909999999999998</v>
      </c>
    </row>
    <row r="147" spans="1:10" x14ac:dyDescent="0.25">
      <c r="A147" t="s">
        <v>287</v>
      </c>
      <c r="B147" s="55">
        <v>10</v>
      </c>
      <c r="C147" s="55" t="str">
        <f t="shared" si="14"/>
        <v>Wheat_Autumn10</v>
      </c>
      <c r="E147" s="55" t="str">
        <f t="shared" si="15"/>
        <v>Wheat_Autumn</v>
      </c>
      <c r="F147" s="1">
        <v>233.2</v>
      </c>
      <c r="G147" s="48">
        <v>2.9048000000000001E-2</v>
      </c>
      <c r="H147" s="48">
        <v>173.779</v>
      </c>
      <c r="I147" s="48">
        <v>245.8</v>
      </c>
      <c r="J147" s="48">
        <v>-4.4850000000000003</v>
      </c>
    </row>
    <row r="148" spans="1:10" x14ac:dyDescent="0.25">
      <c r="A148" t="s">
        <v>287</v>
      </c>
      <c r="B148" s="55">
        <v>11</v>
      </c>
      <c r="C148" s="55" t="str">
        <f t="shared" si="14"/>
        <v>Wheat_Autumn11</v>
      </c>
      <c r="E148" s="55" t="str">
        <f t="shared" si="15"/>
        <v>Wheat_Autumn</v>
      </c>
      <c r="F148" s="1">
        <v>260.39999999999998</v>
      </c>
      <c r="G148" s="48">
        <v>2.8211E-2</v>
      </c>
      <c r="H148" s="48">
        <v>174.40799999999999</v>
      </c>
      <c r="I148" s="48">
        <v>276.04000000000002</v>
      </c>
      <c r="J148" s="48">
        <v>-5.5540000000000003</v>
      </c>
    </row>
    <row r="149" spans="1:10" x14ac:dyDescent="0.25">
      <c r="A149" t="s">
        <v>287</v>
      </c>
      <c r="B149" s="55">
        <v>12</v>
      </c>
      <c r="C149" s="55" t="str">
        <f t="shared" si="14"/>
        <v>Wheat_Autumn12</v>
      </c>
      <c r="E149" s="55" t="str">
        <f t="shared" si="15"/>
        <v>Wheat_Autumn</v>
      </c>
      <c r="F149" s="1">
        <v>294.5</v>
      </c>
      <c r="G149" s="48">
        <v>2.7635E-2</v>
      </c>
      <c r="H149" s="48">
        <v>173.74600000000001</v>
      </c>
      <c r="I149" s="48">
        <v>313.35000000000002</v>
      </c>
      <c r="J149" s="48">
        <v>-6.7140000000000004</v>
      </c>
    </row>
    <row r="150" spans="1:10" x14ac:dyDescent="0.25">
      <c r="A150" t="s">
        <v>287</v>
      </c>
      <c r="B150" s="55">
        <v>13</v>
      </c>
      <c r="C150" s="55" t="str">
        <f t="shared" si="14"/>
        <v>Wheat_Autumn13</v>
      </c>
      <c r="E150" s="55" t="str">
        <f t="shared" si="15"/>
        <v>Wheat_Autumn</v>
      </c>
      <c r="F150" s="1">
        <v>315.60000000000002</v>
      </c>
      <c r="G150" s="48">
        <v>2.6741999999999998E-2</v>
      </c>
      <c r="H150" s="48">
        <v>172.959</v>
      </c>
      <c r="I150" s="48">
        <v>338.09</v>
      </c>
      <c r="J150" s="48">
        <v>-8.0790000000000006</v>
      </c>
    </row>
    <row r="151" spans="1:10" x14ac:dyDescent="0.25">
      <c r="A151" t="s">
        <v>287</v>
      </c>
      <c r="B151" s="55">
        <v>14</v>
      </c>
      <c r="C151" s="55" t="str">
        <f t="shared" si="14"/>
        <v>Wheat_Autumn14</v>
      </c>
      <c r="E151" s="55" t="str">
        <f t="shared" si="15"/>
        <v>Wheat_Autumn</v>
      </c>
      <c r="F151" s="1">
        <v>339.7</v>
      </c>
      <c r="G151" s="48">
        <v>2.6054000000000001E-2</v>
      </c>
      <c r="H151" s="48">
        <v>173.16</v>
      </c>
      <c r="I151" s="48">
        <v>366.28</v>
      </c>
      <c r="J151" s="48">
        <v>-9.5470000000000006</v>
      </c>
    </row>
    <row r="152" spans="1:10" x14ac:dyDescent="0.25">
      <c r="A152" t="s">
        <v>287</v>
      </c>
      <c r="B152" s="55">
        <v>15</v>
      </c>
      <c r="C152" s="55" t="str">
        <f t="shared" si="14"/>
        <v>Wheat_Autumn15</v>
      </c>
      <c r="E152" s="55" t="str">
        <f t="shared" si="15"/>
        <v>Wheat_Autumn</v>
      </c>
      <c r="F152" s="1">
        <v>358</v>
      </c>
      <c r="G152" s="48">
        <v>2.632E-2</v>
      </c>
      <c r="H152" s="48">
        <v>171.29599999999999</v>
      </c>
      <c r="I152" s="48">
        <v>385.5</v>
      </c>
      <c r="J152" s="48">
        <v>-7.3360000000000003</v>
      </c>
    </row>
    <row r="153" spans="1:10" x14ac:dyDescent="0.25">
      <c r="A153" t="s">
        <v>287</v>
      </c>
      <c r="B153" s="55">
        <v>16</v>
      </c>
      <c r="C153" s="55" t="str">
        <f t="shared" si="14"/>
        <v>Wheat_Autumn16</v>
      </c>
      <c r="E153" s="55" t="str">
        <f t="shared" si="15"/>
        <v>Wheat_Autumn</v>
      </c>
      <c r="F153" s="1">
        <v>371.5</v>
      </c>
      <c r="G153" s="48">
        <v>2.2189E-2</v>
      </c>
      <c r="H153" s="48">
        <v>167.191</v>
      </c>
      <c r="I153" s="48">
        <v>416.24</v>
      </c>
      <c r="J153" s="48">
        <v>-20.97</v>
      </c>
    </row>
    <row r="154" spans="1:10" x14ac:dyDescent="0.25">
      <c r="A154" t="s">
        <v>288</v>
      </c>
      <c r="B154" s="57">
        <v>4</v>
      </c>
      <c r="C154" s="57" t="str">
        <f t="shared" si="14"/>
        <v>Wheat_Spring4</v>
      </c>
      <c r="E154" s="1" t="str">
        <f t="shared" si="15"/>
        <v>Wheat_Spring</v>
      </c>
      <c r="F154" s="1">
        <v>109.9</v>
      </c>
      <c r="G154" s="1">
        <v>3.5279999999999999E-2</v>
      </c>
      <c r="H154" s="1">
        <v>106.81</v>
      </c>
      <c r="I154" s="1">
        <v>116.98</v>
      </c>
      <c r="J154" s="1">
        <v>-6.39</v>
      </c>
    </row>
    <row r="155" spans="1:10" x14ac:dyDescent="0.25">
      <c r="A155" t="s">
        <v>288</v>
      </c>
      <c r="B155" s="57">
        <v>5</v>
      </c>
      <c r="C155" s="57" t="str">
        <f t="shared" si="14"/>
        <v>Wheat_Spring5</v>
      </c>
      <c r="E155" s="57" t="str">
        <f t="shared" si="15"/>
        <v>Wheat_Spring</v>
      </c>
      <c r="F155" s="1">
        <v>136.30000000000001</v>
      </c>
      <c r="G155" s="1">
        <v>3.5569999999999997E-2</v>
      </c>
      <c r="H155" s="1">
        <v>107.36</v>
      </c>
      <c r="I155" s="1">
        <v>144.80000000000001</v>
      </c>
      <c r="J155" s="1">
        <v>-7.71</v>
      </c>
    </row>
    <row r="156" spans="1:10" x14ac:dyDescent="0.25">
      <c r="A156" t="s">
        <v>288</v>
      </c>
      <c r="B156" s="57">
        <v>6</v>
      </c>
      <c r="C156" s="57" t="str">
        <f t="shared" si="14"/>
        <v>Wheat_Spring6</v>
      </c>
      <c r="E156" s="57" t="str">
        <f t="shared" si="15"/>
        <v>Wheat_Spring</v>
      </c>
      <c r="F156" s="1">
        <v>166.7</v>
      </c>
      <c r="G156" s="1">
        <v>3.3700000000000001E-2</v>
      </c>
      <c r="H156" s="1">
        <v>105.26</v>
      </c>
      <c r="I156" s="1">
        <v>179.38</v>
      </c>
      <c r="J156" s="1">
        <v>-11.17</v>
      </c>
    </row>
    <row r="157" spans="1:10" x14ac:dyDescent="0.25">
      <c r="A157" t="s">
        <v>288</v>
      </c>
      <c r="B157" s="57">
        <v>7</v>
      </c>
      <c r="C157" s="57" t="str">
        <f t="shared" si="14"/>
        <v>Wheat_Spring7</v>
      </c>
      <c r="E157" s="57" t="str">
        <f t="shared" si="15"/>
        <v>Wheat_Spring</v>
      </c>
      <c r="F157" s="1">
        <v>191.7</v>
      </c>
      <c r="G157" s="1">
        <v>3.3935E-2</v>
      </c>
      <c r="H157" s="1">
        <v>105.75700000000001</v>
      </c>
      <c r="I157" s="1">
        <v>205.88</v>
      </c>
      <c r="J157" s="1">
        <v>-12.51</v>
      </c>
    </row>
    <row r="158" spans="1:10" x14ac:dyDescent="0.25">
      <c r="A158" t="s">
        <v>288</v>
      </c>
      <c r="B158" s="57">
        <v>8</v>
      </c>
      <c r="C158" s="57" t="str">
        <f t="shared" si="14"/>
        <v>Wheat_Spring8</v>
      </c>
      <c r="E158" s="57" t="str">
        <f t="shared" si="15"/>
        <v>Wheat_Spring</v>
      </c>
      <c r="F158" s="1">
        <v>217.3</v>
      </c>
      <c r="G158" s="1">
        <v>3.4009999999999999E-2</v>
      </c>
      <c r="H158" s="1">
        <v>106.148</v>
      </c>
      <c r="I158" s="1">
        <v>233.07</v>
      </c>
      <c r="J158" s="1">
        <v>-13.97</v>
      </c>
    </row>
    <row r="159" spans="1:10" x14ac:dyDescent="0.25">
      <c r="A159" t="s">
        <v>288</v>
      </c>
      <c r="B159" s="57">
        <v>9</v>
      </c>
      <c r="C159" s="57" t="str">
        <f t="shared" si="14"/>
        <v>Wheat_Spring9</v>
      </c>
      <c r="E159" s="57" t="str">
        <f t="shared" si="15"/>
        <v>Wheat_Spring</v>
      </c>
      <c r="F159" s="1">
        <v>247.7</v>
      </c>
      <c r="G159" s="1">
        <v>3.3784000000000002E-2</v>
      </c>
      <c r="H159" s="1">
        <v>106.09099999999999</v>
      </c>
      <c r="I159" s="1">
        <v>266.13</v>
      </c>
      <c r="J159" s="1">
        <v>-16.28</v>
      </c>
    </row>
    <row r="160" spans="1:10" x14ac:dyDescent="0.25">
      <c r="A160" t="s">
        <v>288</v>
      </c>
      <c r="B160" s="57">
        <v>10</v>
      </c>
      <c r="C160" s="57" t="str">
        <f t="shared" si="14"/>
        <v>Wheat_Spring10</v>
      </c>
      <c r="E160" s="57" t="str">
        <f t="shared" si="15"/>
        <v>Wheat_Spring</v>
      </c>
      <c r="F160" s="1">
        <v>276.7</v>
      </c>
      <c r="G160" s="1">
        <v>3.2313000000000001E-2</v>
      </c>
      <c r="H160" s="1">
        <v>106.931</v>
      </c>
      <c r="I160" s="1">
        <v>299.73</v>
      </c>
      <c r="J160" s="1">
        <v>-19.989999999999998</v>
      </c>
    </row>
    <row r="161" spans="1:10" x14ac:dyDescent="0.25">
      <c r="A161" t="s">
        <v>288</v>
      </c>
      <c r="B161" s="57">
        <v>11</v>
      </c>
      <c r="C161" s="57" t="str">
        <f t="shared" si="14"/>
        <v>Wheat_Spring11</v>
      </c>
      <c r="E161" s="57" t="str">
        <f t="shared" si="15"/>
        <v>Wheat_Spring</v>
      </c>
      <c r="F161" s="1">
        <v>300.89999999999998</v>
      </c>
      <c r="G161" s="1">
        <v>3.1938000000000001E-2</v>
      </c>
      <c r="H161" s="1">
        <v>106.602</v>
      </c>
      <c r="I161" s="1">
        <v>327.02999999999997</v>
      </c>
      <c r="J161" s="1">
        <v>-22.58</v>
      </c>
    </row>
    <row r="162" spans="1:10" x14ac:dyDescent="0.25">
      <c r="A162" t="s">
        <v>288</v>
      </c>
      <c r="B162" s="57">
        <v>12</v>
      </c>
      <c r="C162" s="57" t="str">
        <f t="shared" si="14"/>
        <v>Wheat_Spring12</v>
      </c>
      <c r="E162" s="57" t="str">
        <f t="shared" si="15"/>
        <v>Wheat_Spring</v>
      </c>
      <c r="F162" s="1">
        <v>335.6</v>
      </c>
      <c r="G162" s="1">
        <v>3.1209000000000001E-2</v>
      </c>
      <c r="H162" s="1">
        <v>105.93300000000001</v>
      </c>
      <c r="I162" s="1">
        <v>366.92</v>
      </c>
      <c r="J162" s="1">
        <v>-26.99</v>
      </c>
    </row>
    <row r="163" spans="1:10" x14ac:dyDescent="0.25">
      <c r="A163" t="s">
        <v>288</v>
      </c>
      <c r="B163" s="57">
        <v>13</v>
      </c>
      <c r="C163" s="57" t="str">
        <f t="shared" si="14"/>
        <v>Wheat_Spring13</v>
      </c>
      <c r="E163" s="57" t="str">
        <f t="shared" si="15"/>
        <v>Wheat_Spring</v>
      </c>
      <c r="F163" s="1">
        <v>366.9</v>
      </c>
      <c r="G163" s="1">
        <v>3.0627999999999999E-2</v>
      </c>
      <c r="H163" s="1">
        <v>105.44499999999999</v>
      </c>
      <c r="I163" s="1">
        <v>402.83</v>
      </c>
      <c r="J163" s="1">
        <v>-30.79</v>
      </c>
    </row>
    <row r="164" spans="1:10" x14ac:dyDescent="0.25">
      <c r="A164" t="s">
        <v>288</v>
      </c>
      <c r="B164" s="57">
        <v>14</v>
      </c>
      <c r="C164" s="57" t="str">
        <f t="shared" si="14"/>
        <v>Wheat_Spring14</v>
      </c>
      <c r="E164" s="57" t="str">
        <f t="shared" si="15"/>
        <v>Wheat_Spring</v>
      </c>
      <c r="F164" s="1">
        <v>392.8</v>
      </c>
      <c r="G164" s="1">
        <v>2.9531999999999999E-2</v>
      </c>
      <c r="H164" s="1">
        <v>107.30800000000001</v>
      </c>
      <c r="I164" s="1">
        <v>436.03</v>
      </c>
      <c r="J164" s="1">
        <v>-33.299999999999997</v>
      </c>
    </row>
    <row r="165" spans="1:10" x14ac:dyDescent="0.25">
      <c r="A165" t="s">
        <v>288</v>
      </c>
      <c r="B165" s="57">
        <v>15</v>
      </c>
      <c r="C165" s="57" t="str">
        <f t="shared" si="14"/>
        <v>Wheat_Spring15</v>
      </c>
      <c r="E165" s="57" t="str">
        <f t="shared" si="15"/>
        <v>Wheat_Spring</v>
      </c>
      <c r="F165" s="1">
        <v>394.3</v>
      </c>
      <c r="G165" s="1">
        <v>2.8492E-2</v>
      </c>
      <c r="H165" s="1">
        <v>106.694</v>
      </c>
      <c r="I165" s="1">
        <v>438.53</v>
      </c>
      <c r="J165" s="1">
        <v>-33.92</v>
      </c>
    </row>
    <row r="166" spans="1:10" x14ac:dyDescent="0.25">
      <c r="A166" t="s">
        <v>273</v>
      </c>
      <c r="B166" s="1">
        <v>7</v>
      </c>
      <c r="C166" s="1" t="str">
        <f t="shared" si="14"/>
        <v>Sweetcorn7</v>
      </c>
      <c r="D166" s="4">
        <v>9.7431000000000019</v>
      </c>
      <c r="E166" s="1" t="str">
        <f t="shared" si="15"/>
        <v>Sweetcorn9.7431</v>
      </c>
      <c r="F166" s="4">
        <v>98.699999999999989</v>
      </c>
      <c r="G166" s="1">
        <v>3.3700000000000001E-2</v>
      </c>
      <c r="H166" s="1">
        <v>101.1</v>
      </c>
      <c r="I166" s="1">
        <v>204</v>
      </c>
      <c r="J166" s="1">
        <v>-5.72</v>
      </c>
    </row>
    <row r="167" spans="1:10" x14ac:dyDescent="0.25">
      <c r="A167" t="s">
        <v>273</v>
      </c>
      <c r="B167" s="1">
        <v>8</v>
      </c>
      <c r="C167" s="58" t="str">
        <f t="shared" si="14"/>
        <v>Sweetcorn8</v>
      </c>
      <c r="D167" s="4">
        <v>11.438600000000001</v>
      </c>
      <c r="E167" s="58" t="str">
        <f t="shared" si="15"/>
        <v>Sweetcorn11.4386</v>
      </c>
      <c r="F167" s="4">
        <v>112.80000000000001</v>
      </c>
      <c r="G167" s="1">
        <v>3.3700000000000001E-2</v>
      </c>
      <c r="H167" s="1">
        <v>101.1</v>
      </c>
      <c r="I167" s="1">
        <v>233</v>
      </c>
      <c r="J167" s="1">
        <v>-6.54</v>
      </c>
    </row>
    <row r="168" spans="1:10" x14ac:dyDescent="0.25">
      <c r="A168" t="s">
        <v>273</v>
      </c>
      <c r="B168" s="58">
        <v>9</v>
      </c>
      <c r="C168" s="58" t="str">
        <f t="shared" si="14"/>
        <v>Sweetcorn9</v>
      </c>
      <c r="D168" s="4">
        <v>13.1341</v>
      </c>
      <c r="E168" s="58" t="str">
        <f t="shared" si="15"/>
        <v>Sweetcorn13.1341</v>
      </c>
      <c r="F168" s="4">
        <v>126.9</v>
      </c>
      <c r="G168" s="1">
        <v>3.3700000000000001E-2</v>
      </c>
      <c r="H168" s="1">
        <v>101.1</v>
      </c>
      <c r="I168" s="1">
        <v>262</v>
      </c>
      <c r="J168" s="1">
        <v>-7.36</v>
      </c>
    </row>
    <row r="169" spans="1:10" x14ac:dyDescent="0.25">
      <c r="A169" t="s">
        <v>273</v>
      </c>
      <c r="B169" s="58">
        <v>10</v>
      </c>
      <c r="C169" s="58" t="str">
        <f t="shared" si="14"/>
        <v>Sweetcorn10</v>
      </c>
      <c r="D169" s="4">
        <v>14.829599999999999</v>
      </c>
      <c r="E169" s="58" t="str">
        <f t="shared" si="15"/>
        <v>Sweetcorn14.8296</v>
      </c>
      <c r="F169" s="4">
        <v>141</v>
      </c>
      <c r="G169" s="1">
        <v>3.3730000000000003E-2</v>
      </c>
      <c r="H169" s="1">
        <v>101.1</v>
      </c>
      <c r="I169" s="1">
        <v>291</v>
      </c>
      <c r="J169" s="1">
        <v>-8.18</v>
      </c>
    </row>
    <row r="170" spans="1:10" x14ac:dyDescent="0.25">
      <c r="A170" t="s">
        <v>273</v>
      </c>
      <c r="B170" s="58">
        <v>11</v>
      </c>
      <c r="C170" s="58" t="str">
        <f t="shared" si="14"/>
        <v>Sweetcorn11</v>
      </c>
      <c r="D170" s="4">
        <v>16.525100000000002</v>
      </c>
      <c r="E170" s="58" t="str">
        <f t="shared" si="15"/>
        <v>Sweetcorn16.5251</v>
      </c>
      <c r="F170" s="4">
        <v>155.10000000000002</v>
      </c>
      <c r="G170" s="1">
        <v>3.3730000000000003E-2</v>
      </c>
      <c r="H170" s="1">
        <v>101.1</v>
      </c>
      <c r="I170" s="1">
        <v>320</v>
      </c>
      <c r="J170" s="1">
        <v>-8.99</v>
      </c>
    </row>
    <row r="171" spans="1:10" x14ac:dyDescent="0.25">
      <c r="A171" t="s">
        <v>273</v>
      </c>
      <c r="B171" s="58">
        <v>12</v>
      </c>
      <c r="C171" s="58" t="str">
        <f t="shared" si="14"/>
        <v>Sweetcorn12</v>
      </c>
      <c r="D171" s="4">
        <v>18.220600000000001</v>
      </c>
      <c r="E171" s="58" t="str">
        <f t="shared" si="15"/>
        <v>Sweetcorn18.2206</v>
      </c>
      <c r="F171" s="4">
        <v>169.2</v>
      </c>
      <c r="G171" s="1">
        <v>3.3730000000000003E-2</v>
      </c>
      <c r="H171" s="1">
        <v>101.1</v>
      </c>
      <c r="I171" s="1">
        <v>349</v>
      </c>
      <c r="J171" s="1">
        <v>-9.81</v>
      </c>
    </row>
    <row r="172" spans="1:10" x14ac:dyDescent="0.25">
      <c r="A172" t="s">
        <v>273</v>
      </c>
      <c r="B172" s="58">
        <v>13</v>
      </c>
      <c r="C172" s="58" t="str">
        <f t="shared" si="14"/>
        <v>Sweetcorn13</v>
      </c>
      <c r="D172" s="4">
        <v>19.9161</v>
      </c>
      <c r="E172" s="58" t="str">
        <f t="shared" si="15"/>
        <v>Sweetcorn19.9161</v>
      </c>
      <c r="F172" s="4">
        <v>183.3</v>
      </c>
      <c r="G172" s="1">
        <v>3.3730000000000003E-2</v>
      </c>
      <c r="H172" s="1">
        <v>101.1</v>
      </c>
      <c r="I172" s="1">
        <v>379</v>
      </c>
      <c r="J172" s="1">
        <v>-10.63</v>
      </c>
    </row>
    <row r="173" spans="1:10" x14ac:dyDescent="0.25">
      <c r="A173" t="s">
        <v>273</v>
      </c>
      <c r="B173" s="58">
        <v>14</v>
      </c>
      <c r="C173" s="58" t="str">
        <f t="shared" si="14"/>
        <v>Sweetcorn14</v>
      </c>
      <c r="D173" s="4">
        <v>21.611600000000003</v>
      </c>
      <c r="E173" s="58" t="str">
        <f t="shared" si="15"/>
        <v>Sweetcorn21.6116</v>
      </c>
      <c r="F173" s="4">
        <v>197.39999999999998</v>
      </c>
      <c r="G173" s="1">
        <v>3.3730000000000003E-2</v>
      </c>
      <c r="H173" s="1">
        <v>101.1</v>
      </c>
      <c r="I173" s="1">
        <v>408</v>
      </c>
      <c r="J173" s="1">
        <v>-11.45</v>
      </c>
    </row>
    <row r="174" spans="1:10" x14ac:dyDescent="0.25">
      <c r="A174" t="s">
        <v>273</v>
      </c>
      <c r="B174" s="58">
        <v>15</v>
      </c>
      <c r="C174" s="58" t="str">
        <f t="shared" si="14"/>
        <v>Sweetcorn15</v>
      </c>
      <c r="D174" s="4">
        <v>23.307100000000002</v>
      </c>
      <c r="E174" s="58" t="str">
        <f t="shared" si="15"/>
        <v>Sweetcorn23.3071</v>
      </c>
      <c r="F174" s="4">
        <v>211.5</v>
      </c>
      <c r="G174" s="1">
        <v>3.3730000000000003E-2</v>
      </c>
      <c r="H174" s="1">
        <v>101.1</v>
      </c>
      <c r="I174" s="1">
        <v>437</v>
      </c>
      <c r="J174" s="1">
        <v>-12.26</v>
      </c>
    </row>
    <row r="175" spans="1:10" x14ac:dyDescent="0.25">
      <c r="A175" t="s">
        <v>273</v>
      </c>
      <c r="B175" s="58">
        <v>16</v>
      </c>
      <c r="C175" s="58" t="str">
        <f t="shared" si="14"/>
        <v>Sweetcorn16</v>
      </c>
      <c r="D175" s="4">
        <v>25.002600000000001</v>
      </c>
      <c r="E175" s="58" t="str">
        <f t="shared" si="15"/>
        <v>Sweetcorn25.0026</v>
      </c>
      <c r="F175" s="4">
        <v>225.60000000000002</v>
      </c>
      <c r="G175" s="1">
        <v>3.3730000000000003E-2</v>
      </c>
      <c r="H175" s="1">
        <v>101.1</v>
      </c>
      <c r="I175" s="1">
        <v>466</v>
      </c>
      <c r="J175" s="1">
        <v>-13.08</v>
      </c>
    </row>
    <row r="176" spans="1:10" x14ac:dyDescent="0.25">
      <c r="A176" t="s">
        <v>273</v>
      </c>
      <c r="B176" s="58">
        <v>17</v>
      </c>
      <c r="C176" s="58" t="str">
        <f t="shared" si="14"/>
        <v>Sweetcorn17</v>
      </c>
      <c r="D176" s="4">
        <v>26.6981</v>
      </c>
      <c r="E176" s="58" t="str">
        <f t="shared" si="15"/>
        <v>Sweetcorn26.6981</v>
      </c>
      <c r="F176" s="4">
        <v>239.7</v>
      </c>
      <c r="G176" s="1">
        <v>3.3730000000000003E-2</v>
      </c>
      <c r="H176" s="1">
        <v>101.1</v>
      </c>
      <c r="I176" s="1">
        <v>495</v>
      </c>
      <c r="J176" s="1">
        <v>-13.9</v>
      </c>
    </row>
    <row r="177" spans="1:10" x14ac:dyDescent="0.25">
      <c r="A177" t="s">
        <v>273</v>
      </c>
      <c r="B177" s="58">
        <v>18</v>
      </c>
      <c r="C177" s="58" t="str">
        <f t="shared" si="14"/>
        <v>Sweetcorn18</v>
      </c>
      <c r="D177" s="4">
        <v>28.393599999999999</v>
      </c>
      <c r="E177" s="58" t="str">
        <f t="shared" si="15"/>
        <v>Sweetcorn28.3936</v>
      </c>
      <c r="F177" s="4">
        <v>253.8</v>
      </c>
      <c r="G177" s="1">
        <v>3.3730000000000003E-2</v>
      </c>
      <c r="H177" s="1">
        <v>101.1</v>
      </c>
      <c r="I177" s="1">
        <v>524</v>
      </c>
      <c r="J177" s="1">
        <v>-14.72</v>
      </c>
    </row>
    <row r="178" spans="1:10" x14ac:dyDescent="0.25">
      <c r="A178" t="s">
        <v>273</v>
      </c>
      <c r="B178" s="58">
        <v>19</v>
      </c>
      <c r="C178" s="58" t="str">
        <f t="shared" si="14"/>
        <v>Sweetcorn19</v>
      </c>
      <c r="D178" s="4">
        <v>30.089100000000002</v>
      </c>
      <c r="E178" s="58" t="str">
        <f t="shared" si="15"/>
        <v>Sweetcorn30.0891</v>
      </c>
      <c r="F178" s="4">
        <v>267.89999999999998</v>
      </c>
      <c r="G178" s="1">
        <v>3.3730000000000003E-2</v>
      </c>
      <c r="H178" s="1">
        <v>101.1</v>
      </c>
      <c r="I178" s="1">
        <v>553</v>
      </c>
      <c r="J178" s="1">
        <v>-15.53</v>
      </c>
    </row>
    <row r="179" spans="1:10" x14ac:dyDescent="0.25">
      <c r="A179" t="s">
        <v>273</v>
      </c>
      <c r="B179" s="58">
        <v>20</v>
      </c>
      <c r="C179" s="58" t="str">
        <f t="shared" si="14"/>
        <v>Sweetcorn20</v>
      </c>
      <c r="D179" s="4">
        <v>31.784599999999998</v>
      </c>
      <c r="E179" s="58" t="str">
        <f t="shared" si="15"/>
        <v>Sweetcorn31.7846</v>
      </c>
      <c r="F179" s="4">
        <v>282</v>
      </c>
      <c r="G179" s="1">
        <v>3.3730000000000003E-2</v>
      </c>
      <c r="H179" s="1">
        <v>101.13</v>
      </c>
      <c r="I179" s="1">
        <v>582</v>
      </c>
      <c r="J179" s="1">
        <v>-16.350000000000001</v>
      </c>
    </row>
    <row r="180" spans="1:10" x14ac:dyDescent="0.25">
      <c r="A180" t="s">
        <v>293</v>
      </c>
      <c r="B180" s="4">
        <v>67.833299999999994</v>
      </c>
      <c r="C180" s="89" t="str">
        <f>A180&amp;D180</f>
        <v>Barley_Autumn3</v>
      </c>
      <c r="D180" s="1">
        <v>3</v>
      </c>
      <c r="E180" s="89" t="str">
        <f t="shared" si="15"/>
        <v>Barley_Autumn3</v>
      </c>
      <c r="F180" s="4">
        <v>67.833299999999994</v>
      </c>
      <c r="G180" s="1">
        <v>3.9300000000000002E-2</v>
      </c>
      <c r="H180" s="1">
        <v>150.56</v>
      </c>
      <c r="I180" s="1">
        <v>72.8</v>
      </c>
      <c r="J180" s="1">
        <v>0.48</v>
      </c>
    </row>
    <row r="181" spans="1:10" x14ac:dyDescent="0.25">
      <c r="A181" t="s">
        <v>293</v>
      </c>
      <c r="B181" s="4">
        <v>90.083299999999994</v>
      </c>
      <c r="C181" s="89" t="str">
        <f t="shared" ref="C181:C199" si="16">A181&amp;D181</f>
        <v>Barley_Autumn4</v>
      </c>
      <c r="D181" s="1">
        <v>4</v>
      </c>
      <c r="E181" s="89" t="str">
        <f t="shared" si="15"/>
        <v>Barley_Autumn4</v>
      </c>
      <c r="F181" s="4">
        <v>90.083299999999994</v>
      </c>
      <c r="G181" s="1">
        <v>3.9300000000000002E-2</v>
      </c>
      <c r="H181" s="1">
        <v>150.56</v>
      </c>
      <c r="I181" s="1">
        <v>96.7</v>
      </c>
      <c r="J181" s="1">
        <v>0.64</v>
      </c>
    </row>
    <row r="182" spans="1:10" x14ac:dyDescent="0.25">
      <c r="A182" t="s">
        <v>293</v>
      </c>
      <c r="B182" s="4">
        <v>112.33329999999999</v>
      </c>
      <c r="C182" s="89" t="str">
        <f t="shared" si="16"/>
        <v>Barley_Autumn5</v>
      </c>
      <c r="D182" s="1">
        <v>5</v>
      </c>
      <c r="E182" s="89" t="str">
        <f t="shared" si="15"/>
        <v>Barley_Autumn5</v>
      </c>
      <c r="F182" s="4">
        <v>112.33329999999999</v>
      </c>
      <c r="G182" s="1">
        <v>3.9300000000000002E-2</v>
      </c>
      <c r="H182" s="1">
        <v>150.56</v>
      </c>
      <c r="I182" s="1">
        <v>120.6</v>
      </c>
      <c r="J182" s="1">
        <v>0.8</v>
      </c>
    </row>
    <row r="183" spans="1:10" x14ac:dyDescent="0.25">
      <c r="A183" t="s">
        <v>293</v>
      </c>
      <c r="B183" s="4">
        <v>134.58330000000001</v>
      </c>
      <c r="C183" s="89" t="str">
        <f t="shared" si="16"/>
        <v>Barley_Autumn6</v>
      </c>
      <c r="D183" s="1">
        <v>6</v>
      </c>
      <c r="E183" s="89" t="str">
        <f t="shared" si="15"/>
        <v>Barley_Autumn6</v>
      </c>
      <c r="F183" s="4">
        <v>134.58330000000001</v>
      </c>
      <c r="G183" s="1">
        <v>3.9300000000000002E-2</v>
      </c>
      <c r="H183" s="1">
        <v>150.56</v>
      </c>
      <c r="I183" s="1">
        <v>144.5</v>
      </c>
      <c r="J183" s="1">
        <v>0.96</v>
      </c>
    </row>
    <row r="184" spans="1:10" x14ac:dyDescent="0.25">
      <c r="A184" t="s">
        <v>293</v>
      </c>
      <c r="B184" s="4">
        <v>156.83330000000001</v>
      </c>
      <c r="C184" s="89" t="str">
        <f t="shared" si="16"/>
        <v>Barley_Autumn7</v>
      </c>
      <c r="D184" s="1">
        <v>7</v>
      </c>
      <c r="E184" s="89" t="str">
        <f t="shared" si="15"/>
        <v>Barley_Autumn7</v>
      </c>
      <c r="F184" s="4">
        <v>156.83330000000001</v>
      </c>
      <c r="G184" s="1">
        <v>3.9300000000000002E-2</v>
      </c>
      <c r="H184" s="1">
        <v>150.56</v>
      </c>
      <c r="I184" s="1">
        <v>168.4</v>
      </c>
      <c r="J184" s="1">
        <v>1.1200000000000001</v>
      </c>
    </row>
    <row r="185" spans="1:10" x14ac:dyDescent="0.25">
      <c r="A185" t="s">
        <v>293</v>
      </c>
      <c r="B185" s="4">
        <v>179.08330000000001</v>
      </c>
      <c r="C185" s="89" t="str">
        <f t="shared" si="16"/>
        <v>Barley_Autumn8</v>
      </c>
      <c r="D185" s="1">
        <v>8</v>
      </c>
      <c r="E185" s="89" t="str">
        <f t="shared" si="15"/>
        <v>Barley_Autumn8</v>
      </c>
      <c r="F185" s="4">
        <v>179.08330000000001</v>
      </c>
      <c r="G185" s="1">
        <v>3.9300000000000002E-2</v>
      </c>
      <c r="H185" s="1">
        <v>150.56</v>
      </c>
      <c r="I185" s="1">
        <v>192.3</v>
      </c>
      <c r="J185" s="1">
        <v>1.28</v>
      </c>
    </row>
    <row r="186" spans="1:10" x14ac:dyDescent="0.25">
      <c r="A186" t="s">
        <v>293</v>
      </c>
      <c r="B186" s="4">
        <v>201.33330000000001</v>
      </c>
      <c r="C186" s="89" t="str">
        <f t="shared" si="16"/>
        <v>Barley_Autumn9</v>
      </c>
      <c r="D186" s="1">
        <v>9</v>
      </c>
      <c r="E186" s="89" t="str">
        <f t="shared" si="15"/>
        <v>Barley_Autumn9</v>
      </c>
      <c r="F186" s="4">
        <v>201.33330000000001</v>
      </c>
      <c r="G186" s="1">
        <v>3.9300000000000002E-2</v>
      </c>
      <c r="H186" s="1">
        <v>150.56</v>
      </c>
      <c r="I186" s="1">
        <v>216.2</v>
      </c>
      <c r="J186" s="1">
        <v>1.43</v>
      </c>
    </row>
    <row r="187" spans="1:10" x14ac:dyDescent="0.25">
      <c r="A187" t="s">
        <v>293</v>
      </c>
      <c r="B187" s="4">
        <v>223.58330000000001</v>
      </c>
      <c r="C187" s="89" t="str">
        <f t="shared" si="16"/>
        <v>Barley_Autumn10</v>
      </c>
      <c r="D187" s="1">
        <v>10</v>
      </c>
      <c r="E187" s="89" t="str">
        <f t="shared" si="15"/>
        <v>Barley_Autumn10</v>
      </c>
      <c r="F187" s="4">
        <v>223.58330000000001</v>
      </c>
      <c r="G187" s="1">
        <v>3.9300000000000002E-2</v>
      </c>
      <c r="H187" s="1">
        <v>150.56</v>
      </c>
      <c r="I187" s="1">
        <v>240.1</v>
      </c>
      <c r="J187" s="1">
        <v>1.59</v>
      </c>
    </row>
    <row r="188" spans="1:10" x14ac:dyDescent="0.25">
      <c r="A188" t="s">
        <v>293</v>
      </c>
      <c r="B188" s="4">
        <v>245.83330000000001</v>
      </c>
      <c r="C188" s="89" t="str">
        <f t="shared" si="16"/>
        <v>Barley_Autumn11</v>
      </c>
      <c r="D188" s="1">
        <v>11</v>
      </c>
      <c r="E188" s="89" t="str">
        <f t="shared" si="15"/>
        <v>Barley_Autumn11</v>
      </c>
      <c r="F188" s="4">
        <v>245.83330000000001</v>
      </c>
      <c r="G188" s="1">
        <v>3.9300000000000002E-2</v>
      </c>
      <c r="H188" s="1">
        <v>150.56</v>
      </c>
      <c r="I188" s="1">
        <v>264</v>
      </c>
      <c r="J188" s="1">
        <v>1.75</v>
      </c>
    </row>
    <row r="189" spans="1:10" x14ac:dyDescent="0.25">
      <c r="A189" t="s">
        <v>293</v>
      </c>
      <c r="B189" s="4">
        <v>268.08330000000001</v>
      </c>
      <c r="C189" s="89" t="str">
        <f t="shared" si="16"/>
        <v>Barley_Autumn12</v>
      </c>
      <c r="D189" s="1">
        <v>12</v>
      </c>
      <c r="E189" s="89" t="str">
        <f t="shared" si="15"/>
        <v>Barley_Autumn12</v>
      </c>
      <c r="F189" s="4">
        <v>268.08330000000001</v>
      </c>
      <c r="G189" s="1">
        <v>3.9300000000000002E-2</v>
      </c>
      <c r="H189" s="1">
        <v>150.56</v>
      </c>
      <c r="I189" s="1">
        <v>287.89999999999998</v>
      </c>
      <c r="J189" s="1">
        <v>1.91</v>
      </c>
    </row>
    <row r="190" spans="1:10" x14ac:dyDescent="0.25">
      <c r="A190" t="s">
        <v>294</v>
      </c>
      <c r="B190" s="4">
        <v>67.833299999999994</v>
      </c>
      <c r="C190" s="89" t="str">
        <f t="shared" si="16"/>
        <v>Barley_Spring3</v>
      </c>
      <c r="D190" s="89">
        <v>3</v>
      </c>
      <c r="E190" s="89" t="str">
        <f t="shared" si="15"/>
        <v>Barley_Spring3</v>
      </c>
      <c r="F190" s="4">
        <v>67.833299999999994</v>
      </c>
      <c r="G190" s="1">
        <v>9.0899999999999995E-2</v>
      </c>
      <c r="H190" s="1">
        <v>72.599999999999994</v>
      </c>
      <c r="I190" s="1">
        <v>82.9</v>
      </c>
      <c r="J190" s="91">
        <v>0</v>
      </c>
    </row>
    <row r="191" spans="1:10" x14ac:dyDescent="0.25">
      <c r="A191" t="s">
        <v>294</v>
      </c>
      <c r="B191" s="4">
        <v>90.083299999999994</v>
      </c>
      <c r="C191" s="89" t="str">
        <f t="shared" si="16"/>
        <v>Barley_Spring4</v>
      </c>
      <c r="D191" s="89">
        <v>4</v>
      </c>
      <c r="E191" s="89" t="str">
        <f t="shared" si="15"/>
        <v>Barley_Spring4</v>
      </c>
      <c r="F191" s="4">
        <v>90.083299999999994</v>
      </c>
      <c r="G191" s="1">
        <v>9.0899999999999995E-2</v>
      </c>
      <c r="H191" s="1">
        <v>72.599999999999994</v>
      </c>
      <c r="I191" s="1">
        <v>110</v>
      </c>
      <c r="J191" s="91">
        <v>0</v>
      </c>
    </row>
    <row r="192" spans="1:10" x14ac:dyDescent="0.25">
      <c r="A192" t="s">
        <v>294</v>
      </c>
      <c r="B192" s="4">
        <v>112.33329999999999</v>
      </c>
      <c r="C192" s="89" t="str">
        <f t="shared" si="16"/>
        <v>Barley_Spring5</v>
      </c>
      <c r="D192" s="89">
        <v>5</v>
      </c>
      <c r="E192" s="89" t="str">
        <f t="shared" si="15"/>
        <v>Barley_Spring5</v>
      </c>
      <c r="F192" s="4">
        <v>112.33329999999999</v>
      </c>
      <c r="G192" s="1">
        <v>9.0899999999999995E-2</v>
      </c>
      <c r="H192" s="1">
        <v>72.63</v>
      </c>
      <c r="I192" s="1">
        <v>137.19999999999999</v>
      </c>
      <c r="J192" s="91">
        <v>0</v>
      </c>
    </row>
    <row r="193" spans="1:10" x14ac:dyDescent="0.25">
      <c r="A193" t="s">
        <v>294</v>
      </c>
      <c r="B193" s="4">
        <v>134.58330000000001</v>
      </c>
      <c r="C193" s="89" t="str">
        <f t="shared" si="16"/>
        <v>Barley_Spring6</v>
      </c>
      <c r="D193" s="89">
        <v>6</v>
      </c>
      <c r="E193" s="89" t="str">
        <f t="shared" si="15"/>
        <v>Barley_Spring6</v>
      </c>
      <c r="F193" s="4">
        <v>134.58330000000001</v>
      </c>
      <c r="G193" s="1">
        <v>9.0899999999999995E-2</v>
      </c>
      <c r="H193" s="1">
        <v>72.63</v>
      </c>
      <c r="I193" s="1">
        <v>164.4</v>
      </c>
      <c r="J193" s="91">
        <v>0</v>
      </c>
    </row>
    <row r="194" spans="1:10" x14ac:dyDescent="0.25">
      <c r="A194" t="s">
        <v>294</v>
      </c>
      <c r="B194" s="4">
        <v>156.83330000000001</v>
      </c>
      <c r="C194" s="89" t="str">
        <f t="shared" si="16"/>
        <v>Barley_Spring7</v>
      </c>
      <c r="D194" s="89">
        <v>7</v>
      </c>
      <c r="E194" s="89" t="str">
        <f t="shared" si="15"/>
        <v>Barley_Spring7</v>
      </c>
      <c r="F194" s="4">
        <v>156.83330000000001</v>
      </c>
      <c r="G194" s="1">
        <v>9.0899999999999995E-2</v>
      </c>
      <c r="H194" s="1">
        <v>72.63</v>
      </c>
      <c r="I194" s="1">
        <v>191.6</v>
      </c>
      <c r="J194" s="91">
        <v>0</v>
      </c>
    </row>
    <row r="195" spans="1:10" x14ac:dyDescent="0.25">
      <c r="A195" t="s">
        <v>294</v>
      </c>
      <c r="B195" s="4">
        <v>179.08330000000001</v>
      </c>
      <c r="C195" s="89" t="str">
        <f t="shared" si="16"/>
        <v>Barley_Spring8</v>
      </c>
      <c r="D195" s="89">
        <v>8</v>
      </c>
      <c r="E195" s="89" t="str">
        <f t="shared" si="15"/>
        <v>Barley_Spring8</v>
      </c>
      <c r="F195" s="4">
        <v>179.08330000000001</v>
      </c>
      <c r="G195" s="1">
        <v>9.0899999999999995E-2</v>
      </c>
      <c r="H195" s="1">
        <v>72.63</v>
      </c>
      <c r="I195" s="1">
        <v>218.8</v>
      </c>
      <c r="J195" s="91">
        <v>0</v>
      </c>
    </row>
    <row r="196" spans="1:10" x14ac:dyDescent="0.25">
      <c r="A196" t="s">
        <v>294</v>
      </c>
      <c r="B196" s="4">
        <v>201.33330000000001</v>
      </c>
      <c r="C196" s="89" t="str">
        <f t="shared" si="16"/>
        <v>Barley_Spring9</v>
      </c>
      <c r="D196" s="89">
        <v>9</v>
      </c>
      <c r="E196" s="89" t="str">
        <f t="shared" si="15"/>
        <v>Barley_Spring9</v>
      </c>
      <c r="F196" s="4">
        <v>201.33330000000001</v>
      </c>
      <c r="G196" s="1">
        <v>9.0899999999999995E-2</v>
      </c>
      <c r="H196" s="1">
        <v>72.63</v>
      </c>
      <c r="I196" s="1">
        <v>245.9</v>
      </c>
      <c r="J196" s="91">
        <v>0</v>
      </c>
    </row>
    <row r="197" spans="1:10" x14ac:dyDescent="0.25">
      <c r="A197" t="s">
        <v>294</v>
      </c>
      <c r="B197" s="4">
        <v>223.58330000000001</v>
      </c>
      <c r="C197" s="89" t="str">
        <f t="shared" si="16"/>
        <v>Barley_Spring10</v>
      </c>
      <c r="D197" s="89">
        <v>10</v>
      </c>
      <c r="E197" s="89" t="str">
        <f t="shared" si="15"/>
        <v>Barley_Spring10</v>
      </c>
      <c r="F197" s="4">
        <v>223.58330000000001</v>
      </c>
      <c r="G197" s="1">
        <v>9.0899999999999995E-2</v>
      </c>
      <c r="H197" s="1">
        <v>72.63</v>
      </c>
      <c r="I197" s="1">
        <v>273.10000000000002</v>
      </c>
      <c r="J197" s="91">
        <v>0</v>
      </c>
    </row>
    <row r="198" spans="1:10" x14ac:dyDescent="0.25">
      <c r="A198" t="s">
        <v>294</v>
      </c>
      <c r="B198" s="4">
        <v>245.83330000000001</v>
      </c>
      <c r="C198" s="89" t="str">
        <f t="shared" si="16"/>
        <v>Barley_Spring11</v>
      </c>
      <c r="D198" s="89">
        <v>11</v>
      </c>
      <c r="E198" s="89" t="str">
        <f t="shared" si="15"/>
        <v>Barley_Spring11</v>
      </c>
      <c r="F198" s="4">
        <v>245.83330000000001</v>
      </c>
      <c r="G198" s="1">
        <v>9.0899999999999995E-2</v>
      </c>
      <c r="H198" s="1">
        <v>72.63</v>
      </c>
      <c r="I198" s="1">
        <v>300.3</v>
      </c>
      <c r="J198" s="91">
        <v>0</v>
      </c>
    </row>
    <row r="199" spans="1:10" x14ac:dyDescent="0.25">
      <c r="A199" t="s">
        <v>294</v>
      </c>
      <c r="B199" s="4">
        <v>268.08330000000001</v>
      </c>
      <c r="C199" s="89" t="str">
        <f t="shared" si="16"/>
        <v>Barley_Spring12</v>
      </c>
      <c r="D199" s="89">
        <v>12</v>
      </c>
      <c r="E199" s="89" t="str">
        <f t="shared" si="15"/>
        <v>Barley_Spring12</v>
      </c>
      <c r="F199" s="4">
        <v>268.08330000000001</v>
      </c>
      <c r="G199" s="1">
        <v>9.0899999999999995E-2</v>
      </c>
      <c r="H199" s="1">
        <v>72.63</v>
      </c>
      <c r="I199" s="1">
        <v>327.5</v>
      </c>
      <c r="J199" s="91">
        <v>0</v>
      </c>
    </row>
  </sheetData>
  <sheetProtection selectLockedCells="1" selectUnlockedCells="1"/>
  <sortState ref="L151:L163">
    <sortCondition ref="L151"/>
  </sortState>
  <mergeCells count="1">
    <mergeCell ref="G1:J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96"/>
  <sheetViews>
    <sheetView workbookViewId="0">
      <pane ySplit="2" topLeftCell="A3" activePane="bottomLeft" state="frozen"/>
      <selection pane="bottomLeft" activeCell="F5" sqref="F5"/>
    </sheetView>
  </sheetViews>
  <sheetFormatPr defaultRowHeight="15" x14ac:dyDescent="0.25"/>
  <cols>
    <col min="1" max="1" width="9.140625" style="1"/>
    <col min="2" max="2" width="21.28515625" style="1" customWidth="1"/>
    <col min="3" max="3" width="12" style="1" bestFit="1" customWidth="1"/>
    <col min="4" max="4" width="12.7109375" style="1" bestFit="1" customWidth="1"/>
    <col min="5" max="5" width="9.140625" style="1"/>
    <col min="6" max="6" width="14.42578125" style="1" customWidth="1"/>
    <col min="7" max="7" width="17" style="1" customWidth="1"/>
    <col min="8" max="8" width="2.5703125" style="5" customWidth="1"/>
    <col min="9" max="9" width="15.42578125" style="49" customWidth="1"/>
    <col min="10" max="10" width="15.5703125" style="1" customWidth="1"/>
    <col min="11" max="12" width="14.85546875" style="1" customWidth="1"/>
    <col min="13" max="13" width="2.5703125" style="5" customWidth="1"/>
  </cols>
  <sheetData>
    <row r="1" spans="1:13" s="1" customFormat="1" ht="15" customHeight="1" x14ac:dyDescent="0.25">
      <c r="A1" s="122" t="s">
        <v>43</v>
      </c>
      <c r="B1" s="118" t="s">
        <v>247</v>
      </c>
      <c r="C1" s="121"/>
      <c r="D1" s="121"/>
      <c r="E1" s="121"/>
      <c r="F1" s="109"/>
      <c r="G1" s="109"/>
      <c r="H1" s="111"/>
      <c r="I1" s="112"/>
      <c r="J1" s="119" t="s">
        <v>230</v>
      </c>
      <c r="K1" s="120"/>
      <c r="L1" s="109"/>
      <c r="M1" s="20"/>
    </row>
    <row r="2" spans="1:13" s="3" customFormat="1" ht="30" x14ac:dyDescent="0.25">
      <c r="A2" s="122"/>
      <c r="B2" s="109" t="s">
        <v>244</v>
      </c>
      <c r="C2" s="109" t="s">
        <v>245</v>
      </c>
      <c r="D2" s="109" t="s">
        <v>243</v>
      </c>
      <c r="E2" s="109" t="s">
        <v>242</v>
      </c>
      <c r="F2" s="108" t="s">
        <v>229</v>
      </c>
      <c r="G2" s="108" t="s">
        <v>45</v>
      </c>
      <c r="H2" s="113"/>
      <c r="I2" s="114" t="s">
        <v>43</v>
      </c>
      <c r="J2" s="115" t="s">
        <v>46</v>
      </c>
      <c r="K2" s="115" t="s">
        <v>44</v>
      </c>
      <c r="L2" s="115" t="s">
        <v>289</v>
      </c>
      <c r="M2" s="21"/>
    </row>
    <row r="3" spans="1:13" s="2" customFormat="1" x14ac:dyDescent="0.25">
      <c r="A3" s="3">
        <v>0</v>
      </c>
      <c r="B3" s="1">
        <f>VLOOKUP('Quick Test Mass Balance Tool'!$K$10&amp;'Quick Test Mass Balance Tool'!$K$12,'Crop parameters'!$C$3:$J$509,5,FALSE)</f>
        <v>0.17233999999999999</v>
      </c>
      <c r="C3" s="33">
        <f>VLOOKUP('Quick Test Mass Balance Tool'!$K$10&amp;'Quick Test Mass Balance Tool'!$K$12,'Crop parameters'!$C$3:$J$509,6,FALSE)</f>
        <v>29.87</v>
      </c>
      <c r="D3" s="1">
        <f>VLOOKUP('Quick Test Mass Balance Tool'!$K$10&amp;'Quick Test Mass Balance Tool'!$K$12,'Crop parameters'!$C$3:$J$509,7,FALSE)</f>
        <v>194.6</v>
      </c>
      <c r="E3" s="1">
        <f>VLOOKUP('Quick Test Mass Balance Tool'!$K$10&amp;'Quick Test Mass Balance Tool'!$K$12,'Crop parameters'!$C$3:$J$509,8,FALSE)</f>
        <v>-1.1850000000000001</v>
      </c>
      <c r="F3" s="1">
        <f>IF((E3+D3/(1+EXP(-B3*(A3-C3))))&lt;0,0,E3+D3/(1+EXP(-B3*(A3-C3))))</f>
        <v>0</v>
      </c>
      <c r="G3" s="4">
        <f>VLOOKUP('Quick Test Mass Balance Tool'!$K$10&amp;'Quick Test Mass Balance Tool'!$K$12,'Crop parameters'!$C$3:$J$509,4,FALSE)-F3</f>
        <v>108.37500000000001</v>
      </c>
      <c r="H3" s="6"/>
      <c r="I3" s="47">
        <f t="shared" ref="I3:I66" si="0">IF(ISNUMBER(J3),A3,"")</f>
        <v>0</v>
      </c>
      <c r="J3" s="89">
        <f t="shared" ref="J3:J36" si="1">IF(G3&lt;0,"",F3)</f>
        <v>0</v>
      </c>
      <c r="K3" s="1">
        <f>IF(_xlfn.DAYS('Quick Test Mass Balance Tool'!$O$10,'Quick Test Mass Balance Tool'!$K$11)='Crop N Graphing'!A3,'Crop N Graphing'!F3,-50)</f>
        <v>-50</v>
      </c>
      <c r="L3" s="1">
        <f>IF('Quick Test Mass Balance Tool'!$X$15='Crop N Graphing'!A3,'Crop N Graphing'!F3,-50)</f>
        <v>-50</v>
      </c>
      <c r="M3" s="6"/>
    </row>
    <row r="4" spans="1:13" x14ac:dyDescent="0.25">
      <c r="A4" s="1">
        <v>1</v>
      </c>
      <c r="B4" s="1">
        <f>VLOOKUP('Quick Test Mass Balance Tool'!$K$10&amp;'Quick Test Mass Balance Tool'!$K$12,'Crop parameters'!$C$3:$J$509,5,FALSE)</f>
        <v>0.17233999999999999</v>
      </c>
      <c r="C4" s="33">
        <f>VLOOKUP('Quick Test Mass Balance Tool'!$K$10&amp;'Quick Test Mass Balance Tool'!$K$12,'Crop parameters'!$C$3:$J$509,6,FALSE)</f>
        <v>29.87</v>
      </c>
      <c r="D4" s="1">
        <f>VLOOKUP('Quick Test Mass Balance Tool'!$K$10&amp;'Quick Test Mass Balance Tool'!$K$12,'Crop parameters'!$C$3:$J$509,7,FALSE)</f>
        <v>194.6</v>
      </c>
      <c r="E4" s="1">
        <f>VLOOKUP('Quick Test Mass Balance Tool'!$K$10&amp;'Quick Test Mass Balance Tool'!$K$12,'Crop parameters'!$C$3:$J$509,8,FALSE)</f>
        <v>-1.1850000000000001</v>
      </c>
      <c r="F4" s="1">
        <f t="shared" ref="F4:F67" si="2">IF((E4+D4/(1+EXP(-B4*(A4-C4))))&lt;0,0,E4+D4/(1+EXP(-B4*(A4-C4))))</f>
        <v>0.14956945187549175</v>
      </c>
      <c r="G4" s="4">
        <f>VLOOKUP('Quick Test Mass Balance Tool'!$K$10&amp;'Quick Test Mass Balance Tool'!$K$12,'Crop parameters'!$C$3:$J$509,4,FALSE)-F4</f>
        <v>108.22543054812452</v>
      </c>
      <c r="I4" s="47">
        <f t="shared" si="0"/>
        <v>1</v>
      </c>
      <c r="J4" s="89">
        <f t="shared" si="1"/>
        <v>0.14956945187549175</v>
      </c>
      <c r="K4" s="1">
        <f>IF(_xlfn.DAYS('Quick Test Mass Balance Tool'!$O$10,'Quick Test Mass Balance Tool'!$K$11)='Crop N Graphing'!A4,'Crop N Graphing'!F4,-50)</f>
        <v>-50</v>
      </c>
      <c r="L4" s="1">
        <f>IF('Quick Test Mass Balance Tool'!$X$15='Crop N Graphing'!A4,'Crop N Graphing'!F4,-50)</f>
        <v>-50</v>
      </c>
    </row>
    <row r="5" spans="1:13" x14ac:dyDescent="0.25">
      <c r="A5" s="1">
        <v>2</v>
      </c>
      <c r="B5" s="1">
        <f>VLOOKUP('Quick Test Mass Balance Tool'!$K$10&amp;'Quick Test Mass Balance Tool'!$K$12,'Crop parameters'!$C$3:$J$509,5,FALSE)</f>
        <v>0.17233999999999999</v>
      </c>
      <c r="C5" s="33">
        <f>VLOOKUP('Quick Test Mass Balance Tool'!$K$10&amp;'Quick Test Mass Balance Tool'!$K$12,'Crop parameters'!$C$3:$J$509,6,FALSE)</f>
        <v>29.87</v>
      </c>
      <c r="D5" s="1">
        <f>VLOOKUP('Quick Test Mass Balance Tool'!$K$10&amp;'Quick Test Mass Balance Tool'!$K$12,'Crop parameters'!$C$3:$J$509,7,FALSE)</f>
        <v>194.6</v>
      </c>
      <c r="E5" s="1">
        <f>VLOOKUP('Quick Test Mass Balance Tool'!$K$10&amp;'Quick Test Mass Balance Tool'!$K$12,'Crop parameters'!$C$3:$J$509,8,FALSE)</f>
        <v>-1.1850000000000001</v>
      </c>
      <c r="F5" s="1">
        <f t="shared" si="2"/>
        <v>0.39853501014344794</v>
      </c>
      <c r="G5" s="4">
        <f>VLOOKUP('Quick Test Mass Balance Tool'!$K$10&amp;'Quick Test Mass Balance Tool'!$K$12,'Crop parameters'!$C$3:$J$509,4,FALSE)-F5</f>
        <v>107.97646498985657</v>
      </c>
      <c r="I5" s="47">
        <f t="shared" si="0"/>
        <v>2</v>
      </c>
      <c r="J5" s="1">
        <f t="shared" si="1"/>
        <v>0.39853501014344794</v>
      </c>
      <c r="K5" s="1">
        <f>IF(_xlfn.DAYS('Quick Test Mass Balance Tool'!$O$10,'Quick Test Mass Balance Tool'!$K$11)='Crop N Graphing'!A5,'Crop N Graphing'!F5,-50)</f>
        <v>-50</v>
      </c>
      <c r="L5" s="1">
        <f>IF('Quick Test Mass Balance Tool'!$X$15='Crop N Graphing'!A5,'Crop N Graphing'!F5,-50)</f>
        <v>-50</v>
      </c>
    </row>
    <row r="6" spans="1:13" x14ac:dyDescent="0.25">
      <c r="A6" s="1">
        <v>3</v>
      </c>
      <c r="B6" s="1">
        <f>VLOOKUP('Quick Test Mass Balance Tool'!$K$10&amp;'Quick Test Mass Balance Tool'!$K$12,'Crop parameters'!$C$3:$J$509,5,FALSE)</f>
        <v>0.17233999999999999</v>
      </c>
      <c r="C6" s="33">
        <f>VLOOKUP('Quick Test Mass Balance Tool'!$K$10&amp;'Quick Test Mass Balance Tool'!$K$12,'Crop parameters'!$C$3:$J$509,6,FALSE)</f>
        <v>29.87</v>
      </c>
      <c r="D6" s="1">
        <f>VLOOKUP('Quick Test Mass Balance Tool'!$K$10&amp;'Quick Test Mass Balance Tool'!$K$12,'Crop parameters'!$C$3:$J$509,7,FALSE)</f>
        <v>194.6</v>
      </c>
      <c r="E6" s="1">
        <f>VLOOKUP('Quick Test Mass Balance Tool'!$K$10&amp;'Quick Test Mass Balance Tool'!$K$12,'Crop parameters'!$C$3:$J$509,8,FALSE)</f>
        <v>-1.1850000000000001</v>
      </c>
      <c r="F6" s="1">
        <f t="shared" si="2"/>
        <v>0.69349396415628495</v>
      </c>
      <c r="G6" s="4">
        <f>VLOOKUP('Quick Test Mass Balance Tool'!$K$10&amp;'Quick Test Mass Balance Tool'!$K$12,'Crop parameters'!$C$3:$J$509,4,FALSE)-F6</f>
        <v>107.68150603584373</v>
      </c>
      <c r="I6" s="47">
        <f t="shared" si="0"/>
        <v>3</v>
      </c>
      <c r="J6" s="1">
        <f t="shared" si="1"/>
        <v>0.69349396415628495</v>
      </c>
      <c r="K6" s="1">
        <f>IF(_xlfn.DAYS('Quick Test Mass Balance Tool'!$O$10,'Quick Test Mass Balance Tool'!$K$11)='Crop N Graphing'!A6,'Crop N Graphing'!F6,-50)</f>
        <v>-50</v>
      </c>
      <c r="L6" s="1">
        <f>IF('Quick Test Mass Balance Tool'!$X$15='Crop N Graphing'!A6,'Crop N Graphing'!F6,-50)</f>
        <v>-50</v>
      </c>
    </row>
    <row r="7" spans="1:13" x14ac:dyDescent="0.25">
      <c r="A7" s="1">
        <v>4</v>
      </c>
      <c r="B7" s="1">
        <f>VLOOKUP('Quick Test Mass Balance Tool'!$K$10&amp;'Quick Test Mass Balance Tool'!$K$12,'Crop parameters'!$C$3:$J$509,5,FALSE)</f>
        <v>0.17233999999999999</v>
      </c>
      <c r="C7" s="33">
        <f>VLOOKUP('Quick Test Mass Balance Tool'!$K$10&amp;'Quick Test Mass Balance Tool'!$K$12,'Crop parameters'!$C$3:$J$509,6,FALSE)</f>
        <v>29.87</v>
      </c>
      <c r="D7" s="1">
        <f>VLOOKUP('Quick Test Mass Balance Tool'!$K$10&amp;'Quick Test Mass Balance Tool'!$K$12,'Crop parameters'!$C$3:$J$509,7,FALSE)</f>
        <v>194.6</v>
      </c>
      <c r="E7" s="1">
        <f>VLOOKUP('Quick Test Mass Balance Tool'!$K$10&amp;'Quick Test Mass Balance Tool'!$K$12,'Crop parameters'!$C$3:$J$509,8,FALSE)</f>
        <v>-1.1850000000000001</v>
      </c>
      <c r="F7" s="1">
        <f t="shared" si="2"/>
        <v>1.0427596668930939</v>
      </c>
      <c r="G7" s="4">
        <f>VLOOKUP('Quick Test Mass Balance Tool'!$K$10&amp;'Quick Test Mass Balance Tool'!$K$12,'Crop parameters'!$C$3:$J$509,4,FALSE)-F7</f>
        <v>107.33224033310692</v>
      </c>
      <c r="I7" s="47">
        <f t="shared" si="0"/>
        <v>4</v>
      </c>
      <c r="J7" s="1">
        <f t="shared" si="1"/>
        <v>1.0427596668930939</v>
      </c>
      <c r="K7" s="1">
        <f>IF(_xlfn.DAYS('Quick Test Mass Balance Tool'!$O$10,'Quick Test Mass Balance Tool'!$K$11)='Crop N Graphing'!A7,'Crop N Graphing'!F7,-50)</f>
        <v>-50</v>
      </c>
      <c r="L7" s="1">
        <f>IF('Quick Test Mass Balance Tool'!$X$15='Crop N Graphing'!A7,'Crop N Graphing'!F7,-50)</f>
        <v>-50</v>
      </c>
    </row>
    <row r="8" spans="1:13" x14ac:dyDescent="0.25">
      <c r="A8" s="1">
        <v>5</v>
      </c>
      <c r="B8" s="1">
        <f>VLOOKUP('Quick Test Mass Balance Tool'!$K$10&amp;'Quick Test Mass Balance Tool'!$K$12,'Crop parameters'!$C$3:$J$509,5,FALSE)</f>
        <v>0.17233999999999999</v>
      </c>
      <c r="C8" s="33">
        <f>VLOOKUP('Quick Test Mass Balance Tool'!$K$10&amp;'Quick Test Mass Balance Tool'!$K$12,'Crop parameters'!$C$3:$J$509,6,FALSE)</f>
        <v>29.87</v>
      </c>
      <c r="D8" s="1">
        <f>VLOOKUP('Quick Test Mass Balance Tool'!$K$10&amp;'Quick Test Mass Balance Tool'!$K$12,'Crop parameters'!$C$3:$J$509,7,FALSE)</f>
        <v>194.6</v>
      </c>
      <c r="E8" s="1">
        <f>VLOOKUP('Quick Test Mass Balance Tool'!$K$10&amp;'Quick Test Mass Balance Tool'!$K$12,'Crop parameters'!$C$3:$J$509,8,FALSE)</f>
        <v>-1.1850000000000001</v>
      </c>
      <c r="F8" s="1">
        <f t="shared" si="2"/>
        <v>1.4560739204019533</v>
      </c>
      <c r="G8" s="4">
        <f>VLOOKUP('Quick Test Mass Balance Tool'!$K$10&amp;'Quick Test Mass Balance Tool'!$K$12,'Crop parameters'!$C$3:$J$509,4,FALSE)-F8</f>
        <v>106.91892607959807</v>
      </c>
      <c r="I8" s="47">
        <f t="shared" si="0"/>
        <v>5</v>
      </c>
      <c r="J8" s="1">
        <f t="shared" si="1"/>
        <v>1.4560739204019533</v>
      </c>
      <c r="K8" s="1">
        <f>IF(_xlfn.DAYS('Quick Test Mass Balance Tool'!$O$10,'Quick Test Mass Balance Tool'!$K$11)='Crop N Graphing'!A8,'Crop N Graphing'!F8,-50)</f>
        <v>-50</v>
      </c>
      <c r="L8" s="1">
        <f>IF('Quick Test Mass Balance Tool'!$X$15='Crop N Graphing'!A8,'Crop N Graphing'!F8,-50)</f>
        <v>-50</v>
      </c>
    </row>
    <row r="9" spans="1:13" x14ac:dyDescent="0.25">
      <c r="A9" s="1">
        <v>6</v>
      </c>
      <c r="B9" s="1">
        <f>VLOOKUP('Quick Test Mass Balance Tool'!$K$10&amp;'Quick Test Mass Balance Tool'!$K$12,'Crop parameters'!$C$3:$J$509,5,FALSE)</f>
        <v>0.17233999999999999</v>
      </c>
      <c r="C9" s="33">
        <f>VLOOKUP('Quick Test Mass Balance Tool'!$K$10&amp;'Quick Test Mass Balance Tool'!$K$12,'Crop parameters'!$C$3:$J$509,6,FALSE)</f>
        <v>29.87</v>
      </c>
      <c r="D9" s="1">
        <f>VLOOKUP('Quick Test Mass Balance Tool'!$K$10&amp;'Quick Test Mass Balance Tool'!$K$12,'Crop parameters'!$C$3:$J$509,7,FALSE)</f>
        <v>194.6</v>
      </c>
      <c r="E9" s="1">
        <f>VLOOKUP('Quick Test Mass Balance Tool'!$K$10&amp;'Quick Test Mass Balance Tool'!$K$12,'Crop parameters'!$C$3:$J$509,8,FALSE)</f>
        <v>-1.1850000000000001</v>
      </c>
      <c r="F9" s="1">
        <f t="shared" si="2"/>
        <v>1.9448224129861122</v>
      </c>
      <c r="G9" s="4">
        <f>VLOOKUP('Quick Test Mass Balance Tool'!$K$10&amp;'Quick Test Mass Balance Tool'!$K$12,'Crop parameters'!$C$3:$J$509,4,FALSE)-F9</f>
        <v>106.4301775870139</v>
      </c>
      <c r="I9" s="47">
        <f t="shared" si="0"/>
        <v>6</v>
      </c>
      <c r="J9" s="1">
        <f t="shared" si="1"/>
        <v>1.9448224129861122</v>
      </c>
      <c r="K9" s="1">
        <f>IF(_xlfn.DAYS('Quick Test Mass Balance Tool'!$O$10,'Quick Test Mass Balance Tool'!$K$11)='Crop N Graphing'!A9,'Crop N Graphing'!F9,-50)</f>
        <v>-50</v>
      </c>
      <c r="L9" s="1">
        <f>IF('Quick Test Mass Balance Tool'!$X$15='Crop N Graphing'!A9,'Crop N Graphing'!F9,-50)</f>
        <v>-50</v>
      </c>
    </row>
    <row r="10" spans="1:13" x14ac:dyDescent="0.25">
      <c r="A10" s="1">
        <v>7</v>
      </c>
      <c r="B10" s="1">
        <f>VLOOKUP('Quick Test Mass Balance Tool'!$K$10&amp;'Quick Test Mass Balance Tool'!$K$12,'Crop parameters'!$C$3:$J$509,5,FALSE)</f>
        <v>0.17233999999999999</v>
      </c>
      <c r="C10" s="33">
        <f>VLOOKUP('Quick Test Mass Balance Tool'!$K$10&amp;'Quick Test Mass Balance Tool'!$K$12,'Crop parameters'!$C$3:$J$509,6,FALSE)</f>
        <v>29.87</v>
      </c>
      <c r="D10" s="1">
        <f>VLOOKUP('Quick Test Mass Balance Tool'!$K$10&amp;'Quick Test Mass Balance Tool'!$K$12,'Crop parameters'!$C$3:$J$509,7,FALSE)</f>
        <v>194.6</v>
      </c>
      <c r="E10" s="1">
        <f>VLOOKUP('Quick Test Mass Balance Tool'!$K$10&amp;'Quick Test Mass Balance Tool'!$K$12,'Crop parameters'!$C$3:$J$509,8,FALSE)</f>
        <v>-1.1850000000000001</v>
      </c>
      <c r="F10" s="1">
        <f t="shared" si="2"/>
        <v>2.5222703292899449</v>
      </c>
      <c r="G10" s="4">
        <f>VLOOKUP('Quick Test Mass Balance Tool'!$K$10&amp;'Quick Test Mass Balance Tool'!$K$12,'Crop parameters'!$C$3:$J$509,4,FALSE)-F10</f>
        <v>105.85272967071008</v>
      </c>
      <c r="I10" s="47">
        <f t="shared" si="0"/>
        <v>7</v>
      </c>
      <c r="J10" s="1">
        <f t="shared" si="1"/>
        <v>2.5222703292899449</v>
      </c>
      <c r="K10" s="1">
        <f>IF(_xlfn.DAYS('Quick Test Mass Balance Tool'!$O$10,'Quick Test Mass Balance Tool'!$K$11)='Crop N Graphing'!A10,'Crop N Graphing'!F10,-50)</f>
        <v>-50</v>
      </c>
      <c r="L10" s="1">
        <f>IF('Quick Test Mass Balance Tool'!$X$15='Crop N Graphing'!A10,'Crop N Graphing'!F10,-50)</f>
        <v>-50</v>
      </c>
    </row>
    <row r="11" spans="1:13" x14ac:dyDescent="0.25">
      <c r="A11" s="1">
        <v>8</v>
      </c>
      <c r="B11" s="1">
        <f>VLOOKUP('Quick Test Mass Balance Tool'!$K$10&amp;'Quick Test Mass Balance Tool'!$K$12,'Crop parameters'!$C$3:$J$509,5,FALSE)</f>
        <v>0.17233999999999999</v>
      </c>
      <c r="C11" s="33">
        <f>VLOOKUP('Quick Test Mass Balance Tool'!$K$10&amp;'Quick Test Mass Balance Tool'!$K$12,'Crop parameters'!$C$3:$J$509,6,FALSE)</f>
        <v>29.87</v>
      </c>
      <c r="D11" s="1">
        <f>VLOOKUP('Quick Test Mass Balance Tool'!$K$10&amp;'Quick Test Mass Balance Tool'!$K$12,'Crop parameters'!$C$3:$J$509,7,FALSE)</f>
        <v>194.6</v>
      </c>
      <c r="E11" s="1">
        <f>VLOOKUP('Quick Test Mass Balance Tool'!$K$10&amp;'Quick Test Mass Balance Tool'!$K$12,'Crop parameters'!$C$3:$J$509,8,FALSE)</f>
        <v>-1.1850000000000001</v>
      </c>
      <c r="F11" s="1">
        <f t="shared" si="2"/>
        <v>3.2038145534952487</v>
      </c>
      <c r="G11" s="4">
        <f>VLOOKUP('Quick Test Mass Balance Tool'!$K$10&amp;'Quick Test Mass Balance Tool'!$K$12,'Crop parameters'!$C$3:$J$509,4,FALSE)-F11</f>
        <v>105.17118544650477</v>
      </c>
      <c r="I11" s="47">
        <f t="shared" si="0"/>
        <v>8</v>
      </c>
      <c r="J11" s="1">
        <f t="shared" si="1"/>
        <v>3.2038145534952487</v>
      </c>
      <c r="K11" s="1">
        <f>IF(_xlfn.DAYS('Quick Test Mass Balance Tool'!$O$10,'Quick Test Mass Balance Tool'!$K$11)='Crop N Graphing'!A11,'Crop N Graphing'!F11,-50)</f>
        <v>-50</v>
      </c>
      <c r="L11" s="1">
        <f>IF('Quick Test Mass Balance Tool'!$X$15='Crop N Graphing'!A11,'Crop N Graphing'!F11,-50)</f>
        <v>-50</v>
      </c>
    </row>
    <row r="12" spans="1:13" x14ac:dyDescent="0.25">
      <c r="A12" s="1">
        <v>9</v>
      </c>
      <c r="B12" s="1">
        <f>VLOOKUP('Quick Test Mass Balance Tool'!$K$10&amp;'Quick Test Mass Balance Tool'!$K$12,'Crop parameters'!$C$3:$J$509,5,FALSE)</f>
        <v>0.17233999999999999</v>
      </c>
      <c r="C12" s="33">
        <f>VLOOKUP('Quick Test Mass Balance Tool'!$K$10&amp;'Quick Test Mass Balance Tool'!$K$12,'Crop parameters'!$C$3:$J$509,6,FALSE)</f>
        <v>29.87</v>
      </c>
      <c r="D12" s="1">
        <f>VLOOKUP('Quick Test Mass Balance Tool'!$K$10&amp;'Quick Test Mass Balance Tool'!$K$12,'Crop parameters'!$C$3:$J$509,7,FALSE)</f>
        <v>194.6</v>
      </c>
      <c r="E12" s="1">
        <f>VLOOKUP('Quick Test Mass Balance Tool'!$K$10&amp;'Quick Test Mass Balance Tool'!$K$12,'Crop parameters'!$C$3:$J$509,8,FALSE)</f>
        <v>-1.1850000000000001</v>
      </c>
      <c r="F12" s="1">
        <f t="shared" si="2"/>
        <v>4.0072458021928661</v>
      </c>
      <c r="G12" s="4">
        <f>VLOOKUP('Quick Test Mass Balance Tool'!$K$10&amp;'Quick Test Mass Balance Tool'!$K$12,'Crop parameters'!$C$3:$J$509,4,FALSE)-F12</f>
        <v>104.36775419780714</v>
      </c>
      <c r="I12" s="47">
        <f t="shared" si="0"/>
        <v>9</v>
      </c>
      <c r="J12" s="1">
        <f t="shared" si="1"/>
        <v>4.0072458021928661</v>
      </c>
      <c r="K12" s="1">
        <f>IF(_xlfn.DAYS('Quick Test Mass Balance Tool'!$O$10,'Quick Test Mass Balance Tool'!$K$11)='Crop N Graphing'!A12,'Crop N Graphing'!F12,-50)</f>
        <v>-50</v>
      </c>
      <c r="L12" s="1">
        <f>IF('Quick Test Mass Balance Tool'!$X$15='Crop N Graphing'!A12,'Crop N Graphing'!F12,-50)</f>
        <v>-50</v>
      </c>
    </row>
    <row r="13" spans="1:13" x14ac:dyDescent="0.25">
      <c r="A13" s="1">
        <v>10</v>
      </c>
      <c r="B13" s="1">
        <f>VLOOKUP('Quick Test Mass Balance Tool'!$K$10&amp;'Quick Test Mass Balance Tool'!$K$12,'Crop parameters'!$C$3:$J$509,5,FALSE)</f>
        <v>0.17233999999999999</v>
      </c>
      <c r="C13" s="33">
        <f>VLOOKUP('Quick Test Mass Balance Tool'!$K$10&amp;'Quick Test Mass Balance Tool'!$K$12,'Crop parameters'!$C$3:$J$509,6,FALSE)</f>
        <v>29.87</v>
      </c>
      <c r="D13" s="1">
        <f>VLOOKUP('Quick Test Mass Balance Tool'!$K$10&amp;'Quick Test Mass Balance Tool'!$K$12,'Crop parameters'!$C$3:$J$509,7,FALSE)</f>
        <v>194.6</v>
      </c>
      <c r="E13" s="1">
        <f>VLOOKUP('Quick Test Mass Balance Tool'!$K$10&amp;'Quick Test Mass Balance Tool'!$K$12,'Crop parameters'!$C$3:$J$509,8,FALSE)</f>
        <v>-1.1850000000000001</v>
      </c>
      <c r="F13" s="1">
        <f t="shared" si="2"/>
        <v>4.9530097420207007</v>
      </c>
      <c r="G13" s="4">
        <f>VLOOKUP('Quick Test Mass Balance Tool'!$K$10&amp;'Quick Test Mass Balance Tool'!$K$12,'Crop parameters'!$C$3:$J$509,4,FALSE)-F13</f>
        <v>103.42199025797932</v>
      </c>
      <c r="I13" s="47">
        <f t="shared" si="0"/>
        <v>10</v>
      </c>
      <c r="J13" s="1">
        <f t="shared" si="1"/>
        <v>4.9530097420207007</v>
      </c>
      <c r="K13" s="1">
        <f>IF(_xlfn.DAYS('Quick Test Mass Balance Tool'!$O$10,'Quick Test Mass Balance Tool'!$K$11)='Crop N Graphing'!A13,'Crop N Graphing'!F13,-50)</f>
        <v>-50</v>
      </c>
      <c r="L13" s="1">
        <f>IF('Quick Test Mass Balance Tool'!$X$15='Crop N Graphing'!A13,'Crop N Graphing'!F13,-50)</f>
        <v>-50</v>
      </c>
    </row>
    <row r="14" spans="1:13" x14ac:dyDescent="0.25">
      <c r="A14" s="1">
        <v>11</v>
      </c>
      <c r="B14" s="1">
        <f>VLOOKUP('Quick Test Mass Balance Tool'!$K$10&amp;'Quick Test Mass Balance Tool'!$K$12,'Crop parameters'!$C$3:$J$509,5,FALSE)</f>
        <v>0.17233999999999999</v>
      </c>
      <c r="C14" s="33">
        <f>VLOOKUP('Quick Test Mass Balance Tool'!$K$10&amp;'Quick Test Mass Balance Tool'!$K$12,'Crop parameters'!$C$3:$J$509,6,FALSE)</f>
        <v>29.87</v>
      </c>
      <c r="D14" s="1">
        <f>VLOOKUP('Quick Test Mass Balance Tool'!$K$10&amp;'Quick Test Mass Balance Tool'!$K$12,'Crop parameters'!$C$3:$J$509,7,FALSE)</f>
        <v>194.6</v>
      </c>
      <c r="E14" s="1">
        <f>VLOOKUP('Quick Test Mass Balance Tool'!$K$10&amp;'Quick Test Mass Balance Tool'!$K$12,'Crop parameters'!$C$3:$J$509,8,FALSE)</f>
        <v>-1.1850000000000001</v>
      </c>
      <c r="F14" s="1">
        <f t="shared" si="2"/>
        <v>6.0644503978062918</v>
      </c>
      <c r="G14" s="4">
        <f>VLOOKUP('Quick Test Mass Balance Tool'!$K$10&amp;'Quick Test Mass Balance Tool'!$K$12,'Crop parameters'!$C$3:$J$509,4,FALSE)-F14</f>
        <v>102.31054960219372</v>
      </c>
      <c r="I14" s="47">
        <f t="shared" si="0"/>
        <v>11</v>
      </c>
      <c r="J14" s="1">
        <f t="shared" si="1"/>
        <v>6.0644503978062918</v>
      </c>
      <c r="K14" s="1">
        <f>IF(_xlfn.DAYS('Quick Test Mass Balance Tool'!$O$10,'Quick Test Mass Balance Tool'!$K$11)='Crop N Graphing'!A14,'Crop N Graphing'!F14,-50)</f>
        <v>-50</v>
      </c>
      <c r="L14" s="1">
        <f>IF('Quick Test Mass Balance Tool'!$X$15='Crop N Graphing'!A14,'Crop N Graphing'!F14,-50)</f>
        <v>-50</v>
      </c>
    </row>
    <row r="15" spans="1:13" x14ac:dyDescent="0.25">
      <c r="A15" s="1">
        <v>12</v>
      </c>
      <c r="B15" s="1">
        <f>VLOOKUP('Quick Test Mass Balance Tool'!$K$10&amp;'Quick Test Mass Balance Tool'!$K$12,'Crop parameters'!$C$3:$J$509,5,FALSE)</f>
        <v>0.17233999999999999</v>
      </c>
      <c r="C15" s="33">
        <f>VLOOKUP('Quick Test Mass Balance Tool'!$K$10&amp;'Quick Test Mass Balance Tool'!$K$12,'Crop parameters'!$C$3:$J$509,6,FALSE)</f>
        <v>29.87</v>
      </c>
      <c r="D15" s="1">
        <f>VLOOKUP('Quick Test Mass Balance Tool'!$K$10&amp;'Quick Test Mass Balance Tool'!$K$12,'Crop parameters'!$C$3:$J$509,7,FALSE)</f>
        <v>194.6</v>
      </c>
      <c r="E15" s="1">
        <f>VLOOKUP('Quick Test Mass Balance Tool'!$K$10&amp;'Quick Test Mass Balance Tool'!$K$12,'Crop parameters'!$C$3:$J$509,8,FALSE)</f>
        <v>-1.1850000000000001</v>
      </c>
      <c r="F15" s="1">
        <f t="shared" si="2"/>
        <v>7.3680117044061912</v>
      </c>
      <c r="G15" s="4">
        <f>VLOOKUP('Quick Test Mass Balance Tool'!$K$10&amp;'Quick Test Mass Balance Tool'!$K$12,'Crop parameters'!$C$3:$J$509,4,FALSE)-F15</f>
        <v>101.00698829559383</v>
      </c>
      <c r="I15" s="47">
        <f t="shared" si="0"/>
        <v>12</v>
      </c>
      <c r="J15" s="1">
        <f t="shared" si="1"/>
        <v>7.3680117044061912</v>
      </c>
      <c r="K15" s="1">
        <f>IF(_xlfn.DAYS('Quick Test Mass Balance Tool'!$O$10,'Quick Test Mass Balance Tool'!$K$11)='Crop N Graphing'!A15,'Crop N Graphing'!F15,-50)</f>
        <v>-50</v>
      </c>
      <c r="L15" s="1">
        <f>IF('Quick Test Mass Balance Tool'!$X$15='Crop N Graphing'!A15,'Crop N Graphing'!F15,-50)</f>
        <v>-50</v>
      </c>
    </row>
    <row r="16" spans="1:13" x14ac:dyDescent="0.25">
      <c r="A16" s="1">
        <v>13</v>
      </c>
      <c r="B16" s="1">
        <f>VLOOKUP('Quick Test Mass Balance Tool'!$K$10&amp;'Quick Test Mass Balance Tool'!$K$12,'Crop parameters'!$C$3:$J$509,5,FALSE)</f>
        <v>0.17233999999999999</v>
      </c>
      <c r="C16" s="33">
        <f>VLOOKUP('Quick Test Mass Balance Tool'!$K$10&amp;'Quick Test Mass Balance Tool'!$K$12,'Crop parameters'!$C$3:$J$509,6,FALSE)</f>
        <v>29.87</v>
      </c>
      <c r="D16" s="1">
        <f>VLOOKUP('Quick Test Mass Balance Tool'!$K$10&amp;'Quick Test Mass Balance Tool'!$K$12,'Crop parameters'!$C$3:$J$509,7,FALSE)</f>
        <v>194.6</v>
      </c>
      <c r="E16" s="1">
        <f>VLOOKUP('Quick Test Mass Balance Tool'!$K$10&amp;'Quick Test Mass Balance Tool'!$K$12,'Crop parameters'!$C$3:$J$509,8,FALSE)</f>
        <v>-1.1850000000000001</v>
      </c>
      <c r="F16" s="1">
        <f>IF((E16+D16/(1+EXP(-B16*(A16-C16))))&lt;0,0,E16+D16/(1+EXP(-B16*(A16-C16))))</f>
        <v>8.8933637803392038</v>
      </c>
      <c r="G16" s="4">
        <f>VLOOKUP('Quick Test Mass Balance Tool'!$K$10&amp;'Quick Test Mass Balance Tool'!$K$12,'Crop parameters'!$C$3:$J$509,4,FALSE)-F16</f>
        <v>99.481636219660814</v>
      </c>
      <c r="I16" s="47">
        <f t="shared" si="0"/>
        <v>13</v>
      </c>
      <c r="J16" s="1">
        <f t="shared" si="1"/>
        <v>8.8933637803392038</v>
      </c>
      <c r="K16" s="1">
        <f>IF(_xlfn.DAYS('Quick Test Mass Balance Tool'!$O$10,'Quick Test Mass Balance Tool'!$K$11)='Crop N Graphing'!A16,'Crop N Graphing'!F16,-50)</f>
        <v>-50</v>
      </c>
      <c r="L16" s="1">
        <f>IF('Quick Test Mass Balance Tool'!$X$15='Crop N Graphing'!A16,'Crop N Graphing'!F16,-50)</f>
        <v>-50</v>
      </c>
    </row>
    <row r="17" spans="1:12" x14ac:dyDescent="0.25">
      <c r="A17" s="1">
        <v>14</v>
      </c>
      <c r="B17" s="1">
        <f>VLOOKUP('Quick Test Mass Balance Tool'!$K$10&amp;'Quick Test Mass Balance Tool'!$K$12,'Crop parameters'!$C$3:$J$509,5,FALSE)</f>
        <v>0.17233999999999999</v>
      </c>
      <c r="C17" s="33">
        <f>VLOOKUP('Quick Test Mass Balance Tool'!$K$10&amp;'Quick Test Mass Balance Tool'!$K$12,'Crop parameters'!$C$3:$J$509,6,FALSE)</f>
        <v>29.87</v>
      </c>
      <c r="D17" s="1">
        <f>VLOOKUP('Quick Test Mass Balance Tool'!$K$10&amp;'Quick Test Mass Balance Tool'!$K$12,'Crop parameters'!$C$3:$J$509,7,FALSE)</f>
        <v>194.6</v>
      </c>
      <c r="E17" s="1">
        <f>VLOOKUP('Quick Test Mass Balance Tool'!$K$10&amp;'Quick Test Mass Balance Tool'!$K$12,'Crop parameters'!$C$3:$J$509,8,FALSE)</f>
        <v>-1.1850000000000001</v>
      </c>
      <c r="F17" s="1">
        <f t="shared" si="2"/>
        <v>10.673409531382415</v>
      </c>
      <c r="G17" s="4">
        <f>VLOOKUP('Quick Test Mass Balance Tool'!$K$10&amp;'Quick Test Mass Balance Tool'!$K$12,'Crop parameters'!$C$3:$J$509,4,FALSE)-F17</f>
        <v>97.701590468617596</v>
      </c>
      <c r="I17" s="47">
        <f t="shared" si="0"/>
        <v>14</v>
      </c>
      <c r="J17" s="1">
        <f t="shared" si="1"/>
        <v>10.673409531382415</v>
      </c>
      <c r="K17" s="1">
        <f>IF(_xlfn.DAYS('Quick Test Mass Balance Tool'!$O$10,'Quick Test Mass Balance Tool'!$K$11)='Crop N Graphing'!A17,'Crop N Graphing'!F17,-50)</f>
        <v>-50</v>
      </c>
      <c r="L17" s="1">
        <f>IF('Quick Test Mass Balance Tool'!$X$15='Crop N Graphing'!A17,'Crop N Graphing'!F17,-50)</f>
        <v>-50</v>
      </c>
    </row>
    <row r="18" spans="1:12" x14ac:dyDescent="0.25">
      <c r="A18" s="1">
        <v>15</v>
      </c>
      <c r="B18" s="1">
        <f>VLOOKUP('Quick Test Mass Balance Tool'!$K$10&amp;'Quick Test Mass Balance Tool'!$K$12,'Crop parameters'!$C$3:$J$509,5,FALSE)</f>
        <v>0.17233999999999999</v>
      </c>
      <c r="C18" s="33">
        <f>VLOOKUP('Quick Test Mass Balance Tool'!$K$10&amp;'Quick Test Mass Balance Tool'!$K$12,'Crop parameters'!$C$3:$J$509,6,FALSE)</f>
        <v>29.87</v>
      </c>
      <c r="D18" s="1">
        <f>VLOOKUP('Quick Test Mass Balance Tool'!$K$10&amp;'Quick Test Mass Balance Tool'!$K$12,'Crop parameters'!$C$3:$J$509,7,FALSE)</f>
        <v>194.6</v>
      </c>
      <c r="E18" s="1">
        <f>VLOOKUP('Quick Test Mass Balance Tool'!$K$10&amp;'Quick Test Mass Balance Tool'!$K$12,'Crop parameters'!$C$3:$J$509,8,FALSE)</f>
        <v>-1.1850000000000001</v>
      </c>
      <c r="F18" s="1">
        <f t="shared" si="2"/>
        <v>12.744115095431267</v>
      </c>
      <c r="G18" s="4">
        <f>VLOOKUP('Quick Test Mass Balance Tool'!$K$10&amp;'Quick Test Mass Balance Tool'!$K$12,'Crop parameters'!$C$3:$J$509,4,FALSE)-F18</f>
        <v>95.630884904568745</v>
      </c>
      <c r="I18" s="47">
        <f t="shared" si="0"/>
        <v>15</v>
      </c>
      <c r="J18" s="1">
        <f t="shared" si="1"/>
        <v>12.744115095431267</v>
      </c>
      <c r="K18" s="1">
        <f>IF(_xlfn.DAYS('Quick Test Mass Balance Tool'!$O$10,'Quick Test Mass Balance Tool'!$K$11)='Crop N Graphing'!A18,'Crop N Graphing'!F18,-50)</f>
        <v>-50</v>
      </c>
      <c r="L18" s="1">
        <f>IF('Quick Test Mass Balance Tool'!$X$15='Crop N Graphing'!A18,'Crop N Graphing'!F18,-50)</f>
        <v>-50</v>
      </c>
    </row>
    <row r="19" spans="1:12" x14ac:dyDescent="0.25">
      <c r="A19" s="1">
        <v>16</v>
      </c>
      <c r="B19" s="1">
        <f>VLOOKUP('Quick Test Mass Balance Tool'!$K$10&amp;'Quick Test Mass Balance Tool'!$K$12,'Crop parameters'!$C$3:$J$509,5,FALSE)</f>
        <v>0.17233999999999999</v>
      </c>
      <c r="C19" s="33">
        <f>VLOOKUP('Quick Test Mass Balance Tool'!$K$10&amp;'Quick Test Mass Balance Tool'!$K$12,'Crop parameters'!$C$3:$J$509,6,FALSE)</f>
        <v>29.87</v>
      </c>
      <c r="D19" s="1">
        <f>VLOOKUP('Quick Test Mass Balance Tool'!$K$10&amp;'Quick Test Mass Balance Tool'!$K$12,'Crop parameters'!$C$3:$J$509,7,FALSE)</f>
        <v>194.6</v>
      </c>
      <c r="E19" s="1">
        <f>VLOOKUP('Quick Test Mass Balance Tool'!$K$10&amp;'Quick Test Mass Balance Tool'!$K$12,'Crop parameters'!$C$3:$J$509,8,FALSE)</f>
        <v>-1.1850000000000001</v>
      </c>
      <c r="F19" s="1">
        <f t="shared" si="2"/>
        <v>15.144095681330738</v>
      </c>
      <c r="G19" s="4">
        <f>VLOOKUP('Quick Test Mass Balance Tool'!$K$10&amp;'Quick Test Mass Balance Tool'!$K$12,'Crop parameters'!$C$3:$J$509,4,FALSE)-F19</f>
        <v>93.230904318669275</v>
      </c>
      <c r="I19" s="47">
        <f t="shared" si="0"/>
        <v>16</v>
      </c>
      <c r="J19" s="1">
        <f t="shared" si="1"/>
        <v>15.144095681330738</v>
      </c>
      <c r="K19" s="1">
        <f>IF(_xlfn.DAYS('Quick Test Mass Balance Tool'!$O$10,'Quick Test Mass Balance Tool'!$K$11)='Crop N Graphing'!A19,'Crop N Graphing'!F19,-50)</f>
        <v>-50</v>
      </c>
      <c r="L19" s="1">
        <f>IF('Quick Test Mass Balance Tool'!$X$15='Crop N Graphing'!A19,'Crop N Graphing'!F19,-50)</f>
        <v>-50</v>
      </c>
    </row>
    <row r="20" spans="1:12" x14ac:dyDescent="0.25">
      <c r="A20" s="1">
        <v>17</v>
      </c>
      <c r="B20" s="1">
        <f>VLOOKUP('Quick Test Mass Balance Tool'!$K$10&amp;'Quick Test Mass Balance Tool'!$K$12,'Crop parameters'!$C$3:$J$509,5,FALSE)</f>
        <v>0.17233999999999999</v>
      </c>
      <c r="C20" s="33">
        <f>VLOOKUP('Quick Test Mass Balance Tool'!$K$10&amp;'Quick Test Mass Balance Tool'!$K$12,'Crop parameters'!$C$3:$J$509,6,FALSE)</f>
        <v>29.87</v>
      </c>
      <c r="D20" s="1">
        <f>VLOOKUP('Quick Test Mass Balance Tool'!$K$10&amp;'Quick Test Mass Balance Tool'!$K$12,'Crop parameters'!$C$3:$J$509,7,FALSE)</f>
        <v>194.6</v>
      </c>
      <c r="E20" s="1">
        <f>VLOOKUP('Quick Test Mass Balance Tool'!$K$10&amp;'Quick Test Mass Balance Tool'!$K$12,'Crop parameters'!$C$3:$J$509,8,FALSE)</f>
        <v>-1.1850000000000001</v>
      </c>
      <c r="F20" s="1">
        <f t="shared" si="2"/>
        <v>17.913878795359796</v>
      </c>
      <c r="G20" s="4">
        <f>VLOOKUP('Quick Test Mass Balance Tool'!$K$10&amp;'Quick Test Mass Balance Tool'!$K$12,'Crop parameters'!$C$3:$J$509,4,FALSE)-F20</f>
        <v>90.461121204640222</v>
      </c>
      <c r="I20" s="47">
        <f t="shared" si="0"/>
        <v>17</v>
      </c>
      <c r="J20" s="1">
        <f t="shared" si="1"/>
        <v>17.913878795359796</v>
      </c>
      <c r="K20" s="1">
        <f>IF(_xlfn.DAYS('Quick Test Mass Balance Tool'!$O$10,'Quick Test Mass Balance Tool'!$K$11)='Crop N Graphing'!A20,'Crop N Graphing'!F20,-50)</f>
        <v>-50</v>
      </c>
      <c r="L20" s="1">
        <f>IF('Quick Test Mass Balance Tool'!$X$15='Crop N Graphing'!A20,'Crop N Graphing'!F20,-50)</f>
        <v>-50</v>
      </c>
    </row>
    <row r="21" spans="1:12" x14ac:dyDescent="0.25">
      <c r="A21" s="1">
        <v>18</v>
      </c>
      <c r="B21" s="1">
        <f>VLOOKUP('Quick Test Mass Balance Tool'!$K$10&amp;'Quick Test Mass Balance Tool'!$K$12,'Crop parameters'!$C$3:$J$509,5,FALSE)</f>
        <v>0.17233999999999999</v>
      </c>
      <c r="C21" s="33">
        <f>VLOOKUP('Quick Test Mass Balance Tool'!$K$10&amp;'Quick Test Mass Balance Tool'!$K$12,'Crop parameters'!$C$3:$J$509,6,FALSE)</f>
        <v>29.87</v>
      </c>
      <c r="D21" s="1">
        <f>VLOOKUP('Quick Test Mass Balance Tool'!$K$10&amp;'Quick Test Mass Balance Tool'!$K$12,'Crop parameters'!$C$3:$J$509,7,FALSE)</f>
        <v>194.6</v>
      </c>
      <c r="E21" s="1">
        <f>VLOOKUP('Quick Test Mass Balance Tool'!$K$10&amp;'Quick Test Mass Balance Tool'!$K$12,'Crop parameters'!$C$3:$J$509,8,FALSE)</f>
        <v>-1.1850000000000001</v>
      </c>
      <c r="F21" s="1">
        <f t="shared" si="2"/>
        <v>21.094763218907005</v>
      </c>
      <c r="G21" s="4">
        <f>VLOOKUP('Quick Test Mass Balance Tool'!$K$10&amp;'Quick Test Mass Balance Tool'!$K$12,'Crop parameters'!$C$3:$J$509,4,FALSE)-F21</f>
        <v>87.280236781093009</v>
      </c>
      <c r="I21" s="47">
        <f t="shared" si="0"/>
        <v>18</v>
      </c>
      <c r="J21" s="1">
        <f t="shared" si="1"/>
        <v>21.094763218907005</v>
      </c>
      <c r="K21" s="1">
        <f>IF(_xlfn.DAYS('Quick Test Mass Balance Tool'!$O$10,'Quick Test Mass Balance Tool'!$K$11)='Crop N Graphing'!A21,'Crop N Graphing'!F21,-50)</f>
        <v>-50</v>
      </c>
      <c r="L21" s="1">
        <f>IF('Quick Test Mass Balance Tool'!$X$15='Crop N Graphing'!A21,'Crop N Graphing'!F21,-50)</f>
        <v>-50</v>
      </c>
    </row>
    <row r="22" spans="1:12" x14ac:dyDescent="0.25">
      <c r="A22" s="1">
        <v>19</v>
      </c>
      <c r="B22" s="1">
        <f>VLOOKUP('Quick Test Mass Balance Tool'!$K$10&amp;'Quick Test Mass Balance Tool'!$K$12,'Crop parameters'!$C$3:$J$509,5,FALSE)</f>
        <v>0.17233999999999999</v>
      </c>
      <c r="C22" s="33">
        <f>VLOOKUP('Quick Test Mass Balance Tool'!$K$10&amp;'Quick Test Mass Balance Tool'!$K$12,'Crop parameters'!$C$3:$J$509,6,FALSE)</f>
        <v>29.87</v>
      </c>
      <c r="D22" s="1">
        <f>VLOOKUP('Quick Test Mass Balance Tool'!$K$10&amp;'Quick Test Mass Balance Tool'!$K$12,'Crop parameters'!$C$3:$J$509,7,FALSE)</f>
        <v>194.6</v>
      </c>
      <c r="E22" s="1">
        <f>VLOOKUP('Quick Test Mass Balance Tool'!$K$10&amp;'Quick Test Mass Balance Tool'!$K$12,'Crop parameters'!$C$3:$J$509,8,FALSE)</f>
        <v>-1.1850000000000001</v>
      </c>
      <c r="F22" s="1">
        <f t="shared" si="2"/>
        <v>24.727199302385991</v>
      </c>
      <c r="G22" s="4">
        <f>VLOOKUP('Quick Test Mass Balance Tool'!$K$10&amp;'Quick Test Mass Balance Tool'!$K$12,'Crop parameters'!$C$3:$J$509,4,FALSE)-F22</f>
        <v>83.647800697614031</v>
      </c>
      <c r="I22" s="47">
        <f t="shared" si="0"/>
        <v>19</v>
      </c>
      <c r="J22" s="1">
        <f t="shared" si="1"/>
        <v>24.727199302385991</v>
      </c>
      <c r="K22" s="1">
        <f>IF(_xlfn.DAYS('Quick Test Mass Balance Tool'!$O$10,'Quick Test Mass Balance Tool'!$K$11)='Crop N Graphing'!A22,'Crop N Graphing'!F22,-50)</f>
        <v>-50</v>
      </c>
      <c r="L22" s="1">
        <f>IF('Quick Test Mass Balance Tool'!$X$15='Crop N Graphing'!A22,'Crop N Graphing'!F22,-50)</f>
        <v>24.727199302385991</v>
      </c>
    </row>
    <row r="23" spans="1:12" x14ac:dyDescent="0.25">
      <c r="A23" s="1">
        <v>20</v>
      </c>
      <c r="B23" s="1">
        <f>VLOOKUP('Quick Test Mass Balance Tool'!$K$10&amp;'Quick Test Mass Balance Tool'!$K$12,'Crop parameters'!$C$3:$J$509,5,FALSE)</f>
        <v>0.17233999999999999</v>
      </c>
      <c r="C23" s="33">
        <f>VLOOKUP('Quick Test Mass Balance Tool'!$K$10&amp;'Quick Test Mass Balance Tool'!$K$12,'Crop parameters'!$C$3:$J$509,6,FALSE)</f>
        <v>29.87</v>
      </c>
      <c r="D23" s="1">
        <f>VLOOKUP('Quick Test Mass Balance Tool'!$K$10&amp;'Quick Test Mass Balance Tool'!$K$12,'Crop parameters'!$C$3:$J$509,7,FALSE)</f>
        <v>194.6</v>
      </c>
      <c r="E23" s="1">
        <f>VLOOKUP('Quick Test Mass Balance Tool'!$K$10&amp;'Quick Test Mass Balance Tool'!$K$12,'Crop parameters'!$C$3:$J$509,8,FALSE)</f>
        <v>-1.1850000000000001</v>
      </c>
      <c r="F23" s="1">
        <f t="shared" si="2"/>
        <v>28.848640161134242</v>
      </c>
      <c r="G23" s="4">
        <f>VLOOKUP('Quick Test Mass Balance Tool'!$K$10&amp;'Quick Test Mass Balance Tool'!$K$12,'Crop parameters'!$C$3:$J$509,4,FALSE)-F23</f>
        <v>79.526359838865773</v>
      </c>
      <c r="I23" s="47">
        <f t="shared" si="0"/>
        <v>20</v>
      </c>
      <c r="J23" s="1">
        <f t="shared" si="1"/>
        <v>28.848640161134242</v>
      </c>
      <c r="K23" s="1">
        <f>IF(_xlfn.DAYS('Quick Test Mass Balance Tool'!$O$10,'Quick Test Mass Balance Tool'!$K$11)='Crop N Graphing'!A23,'Crop N Graphing'!F23,-50)</f>
        <v>-50</v>
      </c>
      <c r="L23" s="1">
        <f>IF('Quick Test Mass Balance Tool'!$X$15='Crop N Graphing'!A23,'Crop N Graphing'!F23,-50)</f>
        <v>-50</v>
      </c>
    </row>
    <row r="24" spans="1:12" x14ac:dyDescent="0.25">
      <c r="A24" s="1">
        <v>21</v>
      </c>
      <c r="B24" s="1">
        <f>VLOOKUP('Quick Test Mass Balance Tool'!$K$10&amp;'Quick Test Mass Balance Tool'!$K$12,'Crop parameters'!$C$3:$J$509,5,FALSE)</f>
        <v>0.17233999999999999</v>
      </c>
      <c r="C24" s="33">
        <f>VLOOKUP('Quick Test Mass Balance Tool'!$K$10&amp;'Quick Test Mass Balance Tool'!$K$12,'Crop parameters'!$C$3:$J$509,6,FALSE)</f>
        <v>29.87</v>
      </c>
      <c r="D24" s="1">
        <f>VLOOKUP('Quick Test Mass Balance Tool'!$K$10&amp;'Quick Test Mass Balance Tool'!$K$12,'Crop parameters'!$C$3:$J$509,7,FALSE)</f>
        <v>194.6</v>
      </c>
      <c r="E24" s="1">
        <f>VLOOKUP('Quick Test Mass Balance Tool'!$K$10&amp;'Quick Test Mass Balance Tool'!$K$12,'Crop parameters'!$C$3:$J$509,8,FALSE)</f>
        <v>-1.1850000000000001</v>
      </c>
      <c r="F24" s="1">
        <f t="shared" si="2"/>
        <v>33.490860290023143</v>
      </c>
      <c r="G24" s="4">
        <f>VLOOKUP('Quick Test Mass Balance Tool'!$K$10&amp;'Quick Test Mass Balance Tool'!$K$12,'Crop parameters'!$C$3:$J$509,4,FALSE)-F24</f>
        <v>74.884139709976864</v>
      </c>
      <c r="I24" s="47">
        <f t="shared" si="0"/>
        <v>21</v>
      </c>
      <c r="J24" s="1">
        <f t="shared" si="1"/>
        <v>33.490860290023143</v>
      </c>
      <c r="K24" s="1">
        <f>IF(_xlfn.DAYS('Quick Test Mass Balance Tool'!$O$10,'Quick Test Mass Balance Tool'!$K$11)='Crop N Graphing'!A24,'Crop N Graphing'!F24,-50)</f>
        <v>-50</v>
      </c>
      <c r="L24" s="1">
        <f>IF('Quick Test Mass Balance Tool'!$X$15='Crop N Graphing'!A24,'Crop N Graphing'!F24,-50)</f>
        <v>-50</v>
      </c>
    </row>
    <row r="25" spans="1:12" x14ac:dyDescent="0.25">
      <c r="A25" s="1">
        <v>22</v>
      </c>
      <c r="B25" s="1">
        <f>VLOOKUP('Quick Test Mass Balance Tool'!$K$10&amp;'Quick Test Mass Balance Tool'!$K$12,'Crop parameters'!$C$3:$J$509,5,FALSE)</f>
        <v>0.17233999999999999</v>
      </c>
      <c r="C25" s="33">
        <f>VLOOKUP('Quick Test Mass Balance Tool'!$K$10&amp;'Quick Test Mass Balance Tool'!$K$12,'Crop parameters'!$C$3:$J$509,6,FALSE)</f>
        <v>29.87</v>
      </c>
      <c r="D25" s="1">
        <f>VLOOKUP('Quick Test Mass Balance Tool'!$K$10&amp;'Quick Test Mass Balance Tool'!$K$12,'Crop parameters'!$C$3:$J$509,7,FALSE)</f>
        <v>194.6</v>
      </c>
      <c r="E25" s="1">
        <f>VLOOKUP('Quick Test Mass Balance Tool'!$K$10&amp;'Quick Test Mass Balance Tool'!$K$12,'Crop parameters'!$C$3:$J$509,8,FALSE)</f>
        <v>-1.1850000000000001</v>
      </c>
      <c r="F25" s="1">
        <f t="shared" si="2"/>
        <v>38.676812197448911</v>
      </c>
      <c r="G25" s="4">
        <f>VLOOKUP('Quick Test Mass Balance Tool'!$K$10&amp;'Quick Test Mass Balance Tool'!$K$12,'Crop parameters'!$C$3:$J$509,4,FALSE)-F25</f>
        <v>69.698187802551104</v>
      </c>
      <c r="I25" s="47">
        <f t="shared" si="0"/>
        <v>22</v>
      </c>
      <c r="J25" s="1">
        <f t="shared" si="1"/>
        <v>38.676812197448911</v>
      </c>
      <c r="K25" s="1">
        <f>IF(_xlfn.DAYS('Quick Test Mass Balance Tool'!$O$10,'Quick Test Mass Balance Tool'!$K$11)='Crop N Graphing'!A25,'Crop N Graphing'!F25,-50)</f>
        <v>-50</v>
      </c>
      <c r="L25" s="1">
        <f>IF('Quick Test Mass Balance Tool'!$X$15='Crop N Graphing'!A25,'Crop N Graphing'!F25,-50)</f>
        <v>-50</v>
      </c>
    </row>
    <row r="26" spans="1:12" x14ac:dyDescent="0.25">
      <c r="A26" s="1">
        <v>23</v>
      </c>
      <c r="B26" s="1">
        <f>VLOOKUP('Quick Test Mass Balance Tool'!$K$10&amp;'Quick Test Mass Balance Tool'!$K$12,'Crop parameters'!$C$3:$J$509,5,FALSE)</f>
        <v>0.17233999999999999</v>
      </c>
      <c r="C26" s="33">
        <f>VLOOKUP('Quick Test Mass Balance Tool'!$K$10&amp;'Quick Test Mass Balance Tool'!$K$12,'Crop parameters'!$C$3:$J$509,6,FALSE)</f>
        <v>29.87</v>
      </c>
      <c r="D26" s="1">
        <f>VLOOKUP('Quick Test Mass Balance Tool'!$K$10&amp;'Quick Test Mass Balance Tool'!$K$12,'Crop parameters'!$C$3:$J$509,7,FALSE)</f>
        <v>194.6</v>
      </c>
      <c r="E26" s="1">
        <f>VLOOKUP('Quick Test Mass Balance Tool'!$K$10&amp;'Quick Test Mass Balance Tool'!$K$12,'Crop parameters'!$C$3:$J$509,8,FALSE)</f>
        <v>-1.1850000000000001</v>
      </c>
      <c r="F26" s="1">
        <f t="shared" si="2"/>
        <v>44.417192310311364</v>
      </c>
      <c r="G26" s="4">
        <f>VLOOKUP('Quick Test Mass Balance Tool'!$K$10&amp;'Quick Test Mass Balance Tool'!$K$12,'Crop parameters'!$C$3:$J$509,4,FALSE)-F26</f>
        <v>63.95780768968865</v>
      </c>
      <c r="I26" s="47">
        <f t="shared" si="0"/>
        <v>23</v>
      </c>
      <c r="J26" s="1">
        <f t="shared" si="1"/>
        <v>44.417192310311364</v>
      </c>
      <c r="K26" s="1">
        <f>IF(_xlfn.DAYS('Quick Test Mass Balance Tool'!$O$10,'Quick Test Mass Balance Tool'!$K$11)='Crop N Graphing'!A26,'Crop N Graphing'!F26,-50)</f>
        <v>-50</v>
      </c>
      <c r="L26" s="1">
        <f>IF('Quick Test Mass Balance Tool'!$X$15='Crop N Graphing'!A26,'Crop N Graphing'!F26,-50)</f>
        <v>-50</v>
      </c>
    </row>
    <row r="27" spans="1:12" x14ac:dyDescent="0.25">
      <c r="A27" s="1">
        <v>24</v>
      </c>
      <c r="B27" s="1">
        <f>VLOOKUP('Quick Test Mass Balance Tool'!$K$10&amp;'Quick Test Mass Balance Tool'!$K$12,'Crop parameters'!$C$3:$J$509,5,FALSE)</f>
        <v>0.17233999999999999</v>
      </c>
      <c r="C27" s="33">
        <f>VLOOKUP('Quick Test Mass Balance Tool'!$K$10&amp;'Quick Test Mass Balance Tool'!$K$12,'Crop parameters'!$C$3:$J$509,6,FALSE)</f>
        <v>29.87</v>
      </c>
      <c r="D27" s="1">
        <f>VLOOKUP('Quick Test Mass Balance Tool'!$K$10&amp;'Quick Test Mass Balance Tool'!$K$12,'Crop parameters'!$C$3:$J$509,7,FALSE)</f>
        <v>194.6</v>
      </c>
      <c r="E27" s="1">
        <f>VLOOKUP('Quick Test Mass Balance Tool'!$K$10&amp;'Quick Test Mass Balance Tool'!$K$12,'Crop parameters'!$C$3:$J$509,8,FALSE)</f>
        <v>-1.1850000000000001</v>
      </c>
      <c r="F27" s="1">
        <f t="shared" si="2"/>
        <v>50.707005665189563</v>
      </c>
      <c r="G27" s="4">
        <f>VLOOKUP('Quick Test Mass Balance Tool'!$K$10&amp;'Quick Test Mass Balance Tool'!$K$12,'Crop parameters'!$C$3:$J$509,4,FALSE)-F27</f>
        <v>57.667994334810452</v>
      </c>
      <c r="I27" s="47">
        <f t="shared" si="0"/>
        <v>24</v>
      </c>
      <c r="J27" s="1">
        <f t="shared" si="1"/>
        <v>50.707005665189563</v>
      </c>
      <c r="K27" s="1">
        <f>IF(_xlfn.DAYS('Quick Test Mass Balance Tool'!$O$10,'Quick Test Mass Balance Tool'!$K$11)='Crop N Graphing'!A27,'Crop N Graphing'!F27,-50)</f>
        <v>-50</v>
      </c>
      <c r="L27" s="1">
        <f>IF('Quick Test Mass Balance Tool'!$X$15='Crop N Graphing'!A27,'Crop N Graphing'!F27,-50)</f>
        <v>-50</v>
      </c>
    </row>
    <row r="28" spans="1:12" x14ac:dyDescent="0.25">
      <c r="A28" s="1">
        <v>25</v>
      </c>
      <c r="B28" s="1">
        <f>VLOOKUP('Quick Test Mass Balance Tool'!$K$10&amp;'Quick Test Mass Balance Tool'!$K$12,'Crop parameters'!$C$3:$J$509,5,FALSE)</f>
        <v>0.17233999999999999</v>
      </c>
      <c r="C28" s="33">
        <f>VLOOKUP('Quick Test Mass Balance Tool'!$K$10&amp;'Quick Test Mass Balance Tool'!$K$12,'Crop parameters'!$C$3:$J$509,6,FALSE)</f>
        <v>29.87</v>
      </c>
      <c r="D28" s="1">
        <f>VLOOKUP('Quick Test Mass Balance Tool'!$K$10&amp;'Quick Test Mass Balance Tool'!$K$12,'Crop parameters'!$C$3:$J$509,7,FALSE)</f>
        <v>194.6</v>
      </c>
      <c r="E28" s="1">
        <f>VLOOKUP('Quick Test Mass Balance Tool'!$K$10&amp;'Quick Test Mass Balance Tool'!$K$12,'Crop parameters'!$C$3:$J$509,8,FALSE)</f>
        <v>-1.1850000000000001</v>
      </c>
      <c r="F28" s="1">
        <f t="shared" si="2"/>
        <v>57.522534642431502</v>
      </c>
      <c r="G28" s="4">
        <f>VLOOKUP('Quick Test Mass Balance Tool'!$K$10&amp;'Quick Test Mass Balance Tool'!$K$12,'Crop parameters'!$C$3:$J$509,4,FALSE)-F28</f>
        <v>50.852465357568512</v>
      </c>
      <c r="I28" s="47">
        <f t="shared" si="0"/>
        <v>25</v>
      </c>
      <c r="J28" s="1">
        <f t="shared" si="1"/>
        <v>57.522534642431502</v>
      </c>
      <c r="K28" s="1">
        <f>IF(_xlfn.DAYS('Quick Test Mass Balance Tool'!$O$10,'Quick Test Mass Balance Tool'!$K$11)='Crop N Graphing'!A28,'Crop N Graphing'!F28,-50)</f>
        <v>-50</v>
      </c>
      <c r="L28" s="1">
        <f>IF('Quick Test Mass Balance Tool'!$X$15='Crop N Graphing'!A28,'Crop N Graphing'!F28,-50)</f>
        <v>-50</v>
      </c>
    </row>
    <row r="29" spans="1:12" x14ac:dyDescent="0.25">
      <c r="A29" s="1">
        <v>26</v>
      </c>
      <c r="B29" s="1">
        <f>VLOOKUP('Quick Test Mass Balance Tool'!$K$10&amp;'Quick Test Mass Balance Tool'!$K$12,'Crop parameters'!$C$3:$J$509,5,FALSE)</f>
        <v>0.17233999999999999</v>
      </c>
      <c r="C29" s="33">
        <f>VLOOKUP('Quick Test Mass Balance Tool'!$K$10&amp;'Quick Test Mass Balance Tool'!$K$12,'Crop parameters'!$C$3:$J$509,6,FALSE)</f>
        <v>29.87</v>
      </c>
      <c r="D29" s="1">
        <f>VLOOKUP('Quick Test Mass Balance Tool'!$K$10&amp;'Quick Test Mass Balance Tool'!$K$12,'Crop parameters'!$C$3:$J$509,7,FALSE)</f>
        <v>194.6</v>
      </c>
      <c r="E29" s="1">
        <f>VLOOKUP('Quick Test Mass Balance Tool'!$K$10&amp;'Quick Test Mass Balance Tool'!$K$12,'Crop parameters'!$C$3:$J$509,8,FALSE)</f>
        <v>-1.1850000000000001</v>
      </c>
      <c r="F29" s="1">
        <f t="shared" si="2"/>
        <v>64.819198931201598</v>
      </c>
      <c r="G29" s="4">
        <f>VLOOKUP('Quick Test Mass Balance Tool'!$K$10&amp;'Quick Test Mass Balance Tool'!$K$12,'Crop parameters'!$C$3:$J$509,4,FALSE)-F29</f>
        <v>43.555801068798417</v>
      </c>
      <c r="I29" s="47">
        <f t="shared" si="0"/>
        <v>26</v>
      </c>
      <c r="J29" s="1">
        <f t="shared" si="1"/>
        <v>64.819198931201598</v>
      </c>
      <c r="K29" s="1">
        <f>IF(_xlfn.DAYS('Quick Test Mass Balance Tool'!$O$10,'Quick Test Mass Balance Tool'!$K$11)='Crop N Graphing'!A29,'Crop N Graphing'!F29,-50)</f>
        <v>-50</v>
      </c>
      <c r="L29" s="1">
        <f>IF('Quick Test Mass Balance Tool'!$X$15='Crop N Graphing'!A29,'Crop N Graphing'!F29,-50)</f>
        <v>-50</v>
      </c>
    </row>
    <row r="30" spans="1:12" x14ac:dyDescent="0.25">
      <c r="A30" s="1">
        <v>27</v>
      </c>
      <c r="B30" s="1">
        <f>VLOOKUP('Quick Test Mass Balance Tool'!$K$10&amp;'Quick Test Mass Balance Tool'!$K$12,'Crop parameters'!$C$3:$J$509,5,FALSE)</f>
        <v>0.17233999999999999</v>
      </c>
      <c r="C30" s="33">
        <f>VLOOKUP('Quick Test Mass Balance Tool'!$K$10&amp;'Quick Test Mass Balance Tool'!$K$12,'Crop parameters'!$C$3:$J$509,6,FALSE)</f>
        <v>29.87</v>
      </c>
      <c r="D30" s="1">
        <f>VLOOKUP('Quick Test Mass Balance Tool'!$K$10&amp;'Quick Test Mass Balance Tool'!$K$12,'Crop parameters'!$C$3:$J$509,7,FALSE)</f>
        <v>194.6</v>
      </c>
      <c r="E30" s="1">
        <f>VLOOKUP('Quick Test Mass Balance Tool'!$K$10&amp;'Quick Test Mass Balance Tool'!$K$12,'Crop parameters'!$C$3:$J$509,8,FALSE)</f>
        <v>-1.1850000000000001</v>
      </c>
      <c r="F30" s="1">
        <f t="shared" si="2"/>
        <v>72.530804749146526</v>
      </c>
      <c r="G30" s="4">
        <f>VLOOKUP('Quick Test Mass Balance Tool'!$K$10&amp;'Quick Test Mass Balance Tool'!$K$12,'Crop parameters'!$C$3:$J$509,4,FALSE)-F30</f>
        <v>35.844195250853488</v>
      </c>
      <c r="I30" s="47">
        <f t="shared" si="0"/>
        <v>27</v>
      </c>
      <c r="J30" s="1">
        <f t="shared" si="1"/>
        <v>72.530804749146526</v>
      </c>
      <c r="K30" s="1">
        <f>IF(_xlfn.DAYS('Quick Test Mass Balance Tool'!$O$10,'Quick Test Mass Balance Tool'!$K$11)='Crop N Graphing'!A30,'Crop N Graphing'!F30,-50)</f>
        <v>-50</v>
      </c>
      <c r="L30" s="1">
        <f>IF('Quick Test Mass Balance Tool'!$X$15='Crop N Graphing'!A30,'Crop N Graphing'!F30,-50)</f>
        <v>-50</v>
      </c>
    </row>
    <row r="31" spans="1:12" x14ac:dyDescent="0.25">
      <c r="A31" s="1">
        <v>28</v>
      </c>
      <c r="B31" s="1">
        <f>VLOOKUP('Quick Test Mass Balance Tool'!$K$10&amp;'Quick Test Mass Balance Tool'!$K$12,'Crop parameters'!$C$3:$J$509,5,FALSE)</f>
        <v>0.17233999999999999</v>
      </c>
      <c r="C31" s="33">
        <f>VLOOKUP('Quick Test Mass Balance Tool'!$K$10&amp;'Quick Test Mass Balance Tool'!$K$12,'Crop parameters'!$C$3:$J$509,6,FALSE)</f>
        <v>29.87</v>
      </c>
      <c r="D31" s="1">
        <f>VLOOKUP('Quick Test Mass Balance Tool'!$K$10&amp;'Quick Test Mass Balance Tool'!$K$12,'Crop parameters'!$C$3:$J$509,7,FALSE)</f>
        <v>194.6</v>
      </c>
      <c r="E31" s="1">
        <f>VLOOKUP('Quick Test Mass Balance Tool'!$K$10&amp;'Quick Test Mass Balance Tool'!$K$12,'Crop parameters'!$C$3:$J$509,8,FALSE)</f>
        <v>-1.1850000000000001</v>
      </c>
      <c r="F31" s="1">
        <f t="shared" si="2"/>
        <v>80.570589080822131</v>
      </c>
      <c r="G31" s="4">
        <f>VLOOKUP('Quick Test Mass Balance Tool'!$K$10&amp;'Quick Test Mass Balance Tool'!$K$12,'Crop parameters'!$C$3:$J$509,4,FALSE)-F31</f>
        <v>27.804410919177883</v>
      </c>
      <c r="I31" s="47">
        <f t="shared" si="0"/>
        <v>28</v>
      </c>
      <c r="J31" s="1">
        <f t="shared" si="1"/>
        <v>80.570589080822131</v>
      </c>
      <c r="K31" s="1">
        <f>IF(_xlfn.DAYS('Quick Test Mass Balance Tool'!$O$10,'Quick Test Mass Balance Tool'!$K$11)='Crop N Graphing'!A31,'Crop N Graphing'!F31,-50)</f>
        <v>-50</v>
      </c>
      <c r="L31" s="1">
        <f>IF('Quick Test Mass Balance Tool'!$X$15='Crop N Graphing'!A31,'Crop N Graphing'!F31,-50)</f>
        <v>-50</v>
      </c>
    </row>
    <row r="32" spans="1:12" x14ac:dyDescent="0.25">
      <c r="A32" s="1">
        <v>29</v>
      </c>
      <c r="B32" s="1">
        <f>VLOOKUP('Quick Test Mass Balance Tool'!$K$10&amp;'Quick Test Mass Balance Tool'!$K$12,'Crop parameters'!$C$3:$J$509,5,FALSE)</f>
        <v>0.17233999999999999</v>
      </c>
      <c r="C32" s="33">
        <f>VLOOKUP('Quick Test Mass Balance Tool'!$K$10&amp;'Quick Test Mass Balance Tool'!$K$12,'Crop parameters'!$C$3:$J$509,6,FALSE)</f>
        <v>29.87</v>
      </c>
      <c r="D32" s="1">
        <f>VLOOKUP('Quick Test Mass Balance Tool'!$K$10&amp;'Quick Test Mass Balance Tool'!$K$12,'Crop parameters'!$C$3:$J$509,7,FALSE)</f>
        <v>194.6</v>
      </c>
      <c r="E32" s="1">
        <f>VLOOKUP('Quick Test Mass Balance Tool'!$K$10&amp;'Quick Test Mass Balance Tool'!$K$12,'Crop parameters'!$C$3:$J$509,8,FALSE)</f>
        <v>-1.1850000000000001</v>
      </c>
      <c r="F32" s="1">
        <f t="shared" si="2"/>
        <v>88.834257930510674</v>
      </c>
      <c r="G32" s="4">
        <f>VLOOKUP('Quick Test Mass Balance Tool'!$K$10&amp;'Quick Test Mass Balance Tool'!$K$12,'Crop parameters'!$C$3:$J$509,4,FALSE)-F32</f>
        <v>19.54074206948934</v>
      </c>
      <c r="I32" s="47">
        <f t="shared" si="0"/>
        <v>29</v>
      </c>
      <c r="J32" s="1">
        <f t="shared" si="1"/>
        <v>88.834257930510674</v>
      </c>
      <c r="K32" s="1">
        <f>IF(_xlfn.DAYS('Quick Test Mass Balance Tool'!$O$10,'Quick Test Mass Balance Tool'!$K$11)='Crop N Graphing'!A32,'Crop N Graphing'!F32,-50)</f>
        <v>-50</v>
      </c>
      <c r="L32" s="1">
        <f>IF('Quick Test Mass Balance Tool'!$X$15='Crop N Graphing'!A32,'Crop N Graphing'!F32,-50)</f>
        <v>-50</v>
      </c>
    </row>
    <row r="33" spans="1:12" x14ac:dyDescent="0.25">
      <c r="A33" s="1">
        <v>30</v>
      </c>
      <c r="B33" s="1">
        <f>VLOOKUP('Quick Test Mass Balance Tool'!$K$10&amp;'Quick Test Mass Balance Tool'!$K$12,'Crop parameters'!$C$3:$J$509,5,FALSE)</f>
        <v>0.17233999999999999</v>
      </c>
      <c r="C33" s="33">
        <f>VLOOKUP('Quick Test Mass Balance Tool'!$K$10&amp;'Quick Test Mass Balance Tool'!$K$12,'Crop parameters'!$C$3:$J$509,6,FALSE)</f>
        <v>29.87</v>
      </c>
      <c r="D33" s="1">
        <f>VLOOKUP('Quick Test Mass Balance Tool'!$K$10&amp;'Quick Test Mass Balance Tool'!$K$12,'Crop parameters'!$C$3:$J$509,7,FALSE)</f>
        <v>194.6</v>
      </c>
      <c r="E33" s="1">
        <f>VLOOKUP('Quick Test Mass Balance Tool'!$K$10&amp;'Quick Test Mass Balance Tool'!$K$12,'Crop parameters'!$C$3:$J$509,8,FALSE)</f>
        <v>-1.1850000000000001</v>
      </c>
      <c r="F33" s="1">
        <f t="shared" si="2"/>
        <v>97.20491874015427</v>
      </c>
      <c r="G33" s="4">
        <f>VLOOKUP('Quick Test Mass Balance Tool'!$K$10&amp;'Quick Test Mass Balance Tool'!$K$12,'Crop parameters'!$C$3:$J$509,4,FALSE)-F33</f>
        <v>11.170081259845745</v>
      </c>
      <c r="I33" s="47">
        <f t="shared" si="0"/>
        <v>30</v>
      </c>
      <c r="J33" s="1">
        <f t="shared" si="1"/>
        <v>97.20491874015427</v>
      </c>
      <c r="K33" s="1">
        <f>IF(_xlfn.DAYS('Quick Test Mass Balance Tool'!$O$10,'Quick Test Mass Balance Tool'!$K$11)='Crop N Graphing'!A33,'Crop N Graphing'!F33,-50)</f>
        <v>97.20491874015427</v>
      </c>
      <c r="L33" s="1">
        <f>IF('Quick Test Mass Balance Tool'!$X$15='Crop N Graphing'!A33,'Crop N Graphing'!F33,-50)</f>
        <v>-50</v>
      </c>
    </row>
    <row r="34" spans="1:12" x14ac:dyDescent="0.25">
      <c r="A34" s="1">
        <v>31</v>
      </c>
      <c r="B34" s="1">
        <f>VLOOKUP('Quick Test Mass Balance Tool'!$K$10&amp;'Quick Test Mass Balance Tool'!$K$12,'Crop parameters'!$C$3:$J$509,5,FALSE)</f>
        <v>0.17233999999999999</v>
      </c>
      <c r="C34" s="33">
        <f>VLOOKUP('Quick Test Mass Balance Tool'!$K$10&amp;'Quick Test Mass Balance Tool'!$K$12,'Crop parameters'!$C$3:$J$509,6,FALSE)</f>
        <v>29.87</v>
      </c>
      <c r="D34" s="1">
        <f>VLOOKUP('Quick Test Mass Balance Tool'!$K$10&amp;'Quick Test Mass Balance Tool'!$K$12,'Crop parameters'!$C$3:$J$509,7,FALSE)</f>
        <v>194.6</v>
      </c>
      <c r="E34" s="1">
        <f>VLOOKUP('Quick Test Mass Balance Tool'!$K$10&amp;'Quick Test Mass Balance Tool'!$K$12,'Crop parameters'!$C$3:$J$509,8,FALSE)</f>
        <v>-1.1850000000000001</v>
      </c>
      <c r="F34" s="1">
        <f t="shared" si="2"/>
        <v>105.55947546352951</v>
      </c>
      <c r="G34" s="4">
        <f>VLOOKUP('Quick Test Mass Balance Tool'!$K$10&amp;'Quick Test Mass Balance Tool'!$K$12,'Crop parameters'!$C$3:$J$509,4,FALSE)-F34</f>
        <v>2.8155245364705053</v>
      </c>
      <c r="I34" s="47">
        <f t="shared" si="0"/>
        <v>31</v>
      </c>
      <c r="J34" s="1">
        <f t="shared" si="1"/>
        <v>105.55947546352951</v>
      </c>
      <c r="K34" s="1">
        <f>IF(_xlfn.DAYS('Quick Test Mass Balance Tool'!$O$10,'Quick Test Mass Balance Tool'!$K$11)='Crop N Graphing'!A34,'Crop N Graphing'!F34,-50)</f>
        <v>-50</v>
      </c>
      <c r="L34" s="1">
        <f>IF('Quick Test Mass Balance Tool'!$X$15='Crop N Graphing'!A34,'Crop N Graphing'!F34,-50)</f>
        <v>-50</v>
      </c>
    </row>
    <row r="35" spans="1:12" x14ac:dyDescent="0.25">
      <c r="A35" s="1">
        <v>32</v>
      </c>
      <c r="B35" s="1">
        <f>VLOOKUP('Quick Test Mass Balance Tool'!$K$10&amp;'Quick Test Mass Balance Tool'!$K$12,'Crop parameters'!$C$3:$J$509,5,FALSE)</f>
        <v>0.17233999999999999</v>
      </c>
      <c r="C35" s="33">
        <f>VLOOKUP('Quick Test Mass Balance Tool'!$K$10&amp;'Quick Test Mass Balance Tool'!$K$12,'Crop parameters'!$C$3:$J$509,6,FALSE)</f>
        <v>29.87</v>
      </c>
      <c r="D35" s="1">
        <f>VLOOKUP('Quick Test Mass Balance Tool'!$K$10&amp;'Quick Test Mass Balance Tool'!$K$12,'Crop parameters'!$C$3:$J$509,7,FALSE)</f>
        <v>194.6</v>
      </c>
      <c r="E35" s="1">
        <f>VLOOKUP('Quick Test Mass Balance Tool'!$K$10&amp;'Quick Test Mass Balance Tool'!$K$12,'Crop parameters'!$C$3:$J$509,8,FALSE)</f>
        <v>-1.1850000000000001</v>
      </c>
      <c r="F35" s="1">
        <f t="shared" si="2"/>
        <v>113.77577333615169</v>
      </c>
      <c r="G35" s="4">
        <f>VLOOKUP('Quick Test Mass Balance Tool'!$K$10&amp;'Quick Test Mass Balance Tool'!$K$12,'Crop parameters'!$C$3:$J$509,4,FALSE)-F35</f>
        <v>-5.4007733361516728</v>
      </c>
      <c r="I35" s="47" t="str">
        <f t="shared" si="0"/>
        <v/>
      </c>
      <c r="J35" s="1" t="str">
        <f t="shared" si="1"/>
        <v/>
      </c>
      <c r="K35" s="1">
        <f>IF(_xlfn.DAYS('Quick Test Mass Balance Tool'!$O$10,'Quick Test Mass Balance Tool'!$K$11)='Crop N Graphing'!A35,'Crop N Graphing'!F35,-50)</f>
        <v>-50</v>
      </c>
      <c r="L35" s="1">
        <f>IF('Quick Test Mass Balance Tool'!$X$15='Crop N Graphing'!A35,'Crop N Graphing'!F35,-50)</f>
        <v>-50</v>
      </c>
    </row>
    <row r="36" spans="1:12" x14ac:dyDescent="0.25">
      <c r="A36" s="1">
        <v>33</v>
      </c>
      <c r="B36" s="1">
        <f>VLOOKUP('Quick Test Mass Balance Tool'!$K$10&amp;'Quick Test Mass Balance Tool'!$K$12,'Crop parameters'!$C$3:$J$509,5,FALSE)</f>
        <v>0.17233999999999999</v>
      </c>
      <c r="C36" s="33">
        <f>VLOOKUP('Quick Test Mass Balance Tool'!$K$10&amp;'Quick Test Mass Balance Tool'!$K$12,'Crop parameters'!$C$3:$J$509,6,FALSE)</f>
        <v>29.87</v>
      </c>
      <c r="D36" s="1">
        <f>VLOOKUP('Quick Test Mass Balance Tool'!$K$10&amp;'Quick Test Mass Balance Tool'!$K$12,'Crop parameters'!$C$3:$J$509,7,FALSE)</f>
        <v>194.6</v>
      </c>
      <c r="E36" s="1">
        <f>VLOOKUP('Quick Test Mass Balance Tool'!$K$10&amp;'Quick Test Mass Balance Tool'!$K$12,'Crop parameters'!$C$3:$J$509,8,FALSE)</f>
        <v>-1.1850000000000001</v>
      </c>
      <c r="F36" s="1">
        <f t="shared" si="2"/>
        <v>121.73962866972965</v>
      </c>
      <c r="G36" s="4">
        <f>VLOOKUP('Quick Test Mass Balance Tool'!$K$10&amp;'Quick Test Mass Balance Tool'!$K$12,'Crop parameters'!$C$3:$J$509,4,FALSE)-F36</f>
        <v>-13.36462866972964</v>
      </c>
      <c r="I36" s="47" t="str">
        <f t="shared" si="0"/>
        <v/>
      </c>
      <c r="J36" s="1" t="str">
        <f t="shared" si="1"/>
        <v/>
      </c>
      <c r="K36" s="1">
        <f>IF(_xlfn.DAYS('Quick Test Mass Balance Tool'!$O$10,'Quick Test Mass Balance Tool'!$K$11)='Crop N Graphing'!A36,'Crop N Graphing'!F36,-50)</f>
        <v>-50</v>
      </c>
      <c r="L36" s="1">
        <f>IF('Quick Test Mass Balance Tool'!$X$15='Crop N Graphing'!A36,'Crop N Graphing'!F36,-50)</f>
        <v>-50</v>
      </c>
    </row>
    <row r="37" spans="1:12" x14ac:dyDescent="0.25">
      <c r="A37" s="1">
        <v>34</v>
      </c>
      <c r="B37" s="1">
        <f>VLOOKUP('Quick Test Mass Balance Tool'!$K$10&amp;'Quick Test Mass Balance Tool'!$K$12,'Crop parameters'!$C$3:$J$509,5,FALSE)</f>
        <v>0.17233999999999999</v>
      </c>
      <c r="C37" s="33">
        <f>VLOOKUP('Quick Test Mass Balance Tool'!$K$10&amp;'Quick Test Mass Balance Tool'!$K$12,'Crop parameters'!$C$3:$J$509,6,FALSE)</f>
        <v>29.87</v>
      </c>
      <c r="D37" s="1">
        <f>VLOOKUP('Quick Test Mass Balance Tool'!$K$10&amp;'Quick Test Mass Balance Tool'!$K$12,'Crop parameters'!$C$3:$J$509,7,FALSE)</f>
        <v>194.6</v>
      </c>
      <c r="E37" s="1">
        <f>VLOOKUP('Quick Test Mass Balance Tool'!$K$10&amp;'Quick Test Mass Balance Tool'!$K$12,'Crop parameters'!$C$3:$J$509,8,FALSE)</f>
        <v>-1.1850000000000001</v>
      </c>
      <c r="F37" s="1">
        <f t="shared" si="2"/>
        <v>129.35090257473459</v>
      </c>
      <c r="G37" s="4">
        <f>VLOOKUP('Quick Test Mass Balance Tool'!$K$10&amp;'Quick Test Mass Balance Tool'!$K$12,'Crop parameters'!$C$3:$J$509,4,FALSE)-F37</f>
        <v>-20.975902574734576</v>
      </c>
      <c r="I37" s="47" t="str">
        <f t="shared" si="0"/>
        <v/>
      </c>
      <c r="J37" s="1" t="str">
        <f>IF(G37&lt;0,"",F37)</f>
        <v/>
      </c>
      <c r="K37" s="1">
        <f>IF(_xlfn.DAYS('Quick Test Mass Balance Tool'!$O$10,'Quick Test Mass Balance Tool'!$K$11)='Crop N Graphing'!A37,'Crop N Graphing'!F37,-50)</f>
        <v>-50</v>
      </c>
      <c r="L37" s="1">
        <f>IF('Quick Test Mass Balance Tool'!$X$15='Crop N Graphing'!A37,'Crop N Graphing'!F37,-50)</f>
        <v>-50</v>
      </c>
    </row>
    <row r="38" spans="1:12" x14ac:dyDescent="0.25">
      <c r="A38" s="1">
        <v>35</v>
      </c>
      <c r="B38" s="1">
        <f>VLOOKUP('Quick Test Mass Balance Tool'!$K$10&amp;'Quick Test Mass Balance Tool'!$K$12,'Crop parameters'!$C$3:$J$509,5,FALSE)</f>
        <v>0.17233999999999999</v>
      </c>
      <c r="C38" s="33">
        <f>VLOOKUP('Quick Test Mass Balance Tool'!$K$10&amp;'Quick Test Mass Balance Tool'!$K$12,'Crop parameters'!$C$3:$J$509,6,FALSE)</f>
        <v>29.87</v>
      </c>
      <c r="D38" s="1">
        <f>VLOOKUP('Quick Test Mass Balance Tool'!$K$10&amp;'Quick Test Mass Balance Tool'!$K$12,'Crop parameters'!$C$3:$J$509,7,FALSE)</f>
        <v>194.6</v>
      </c>
      <c r="E38" s="1">
        <f>VLOOKUP('Quick Test Mass Balance Tool'!$K$10&amp;'Quick Test Mass Balance Tool'!$K$12,'Crop parameters'!$C$3:$J$509,8,FALSE)</f>
        <v>-1.1850000000000001</v>
      </c>
      <c r="F38" s="1">
        <f t="shared" si="2"/>
        <v>136.52796918762618</v>
      </c>
      <c r="G38" s="4">
        <f>VLOOKUP('Quick Test Mass Balance Tool'!$K$10&amp;'Quick Test Mass Balance Tool'!$K$12,'Crop parameters'!$C$3:$J$509,4,FALSE)-F38</f>
        <v>-28.152969187626169</v>
      </c>
      <c r="I38" s="47" t="str">
        <f t="shared" si="0"/>
        <v/>
      </c>
      <c r="J38" s="1" t="str">
        <f t="shared" ref="J38:J101" si="3">IF(G38&lt;0,"",F38)</f>
        <v/>
      </c>
      <c r="K38" s="1">
        <f>IF(_xlfn.DAYS('Quick Test Mass Balance Tool'!$O$10,'Quick Test Mass Balance Tool'!$K$11)='Crop N Graphing'!A38,'Crop N Graphing'!F38,-50)</f>
        <v>-50</v>
      </c>
      <c r="L38" s="1">
        <f>IF('Quick Test Mass Balance Tool'!$X$15='Crop N Graphing'!A38,'Crop N Graphing'!F38,-50)</f>
        <v>-50</v>
      </c>
    </row>
    <row r="39" spans="1:12" x14ac:dyDescent="0.25">
      <c r="A39" s="1">
        <v>36</v>
      </c>
      <c r="B39" s="1">
        <f>VLOOKUP('Quick Test Mass Balance Tool'!$K$10&amp;'Quick Test Mass Balance Tool'!$K$12,'Crop parameters'!$C$3:$J$509,5,FALSE)</f>
        <v>0.17233999999999999</v>
      </c>
      <c r="C39" s="33">
        <f>VLOOKUP('Quick Test Mass Balance Tool'!$K$10&amp;'Quick Test Mass Balance Tool'!$K$12,'Crop parameters'!$C$3:$J$509,6,FALSE)</f>
        <v>29.87</v>
      </c>
      <c r="D39" s="1">
        <f>VLOOKUP('Quick Test Mass Balance Tool'!$K$10&amp;'Quick Test Mass Balance Tool'!$K$12,'Crop parameters'!$C$3:$J$509,7,FALSE)</f>
        <v>194.6</v>
      </c>
      <c r="E39" s="1">
        <f>VLOOKUP('Quick Test Mass Balance Tool'!$K$10&amp;'Quick Test Mass Balance Tool'!$K$12,'Crop parameters'!$C$3:$J$509,8,FALSE)</f>
        <v>-1.1850000000000001</v>
      </c>
      <c r="F39" s="1">
        <f t="shared" si="2"/>
        <v>143.2102318414554</v>
      </c>
      <c r="G39" s="4">
        <f>VLOOKUP('Quick Test Mass Balance Tool'!$K$10&amp;'Quick Test Mass Balance Tool'!$K$12,'Crop parameters'!$C$3:$J$509,4,FALSE)-F39</f>
        <v>-34.835231841455382</v>
      </c>
      <c r="I39" s="47" t="str">
        <f t="shared" si="0"/>
        <v/>
      </c>
      <c r="J39" s="1" t="str">
        <f t="shared" si="3"/>
        <v/>
      </c>
      <c r="K39" s="1">
        <f>IF(_xlfn.DAYS('Quick Test Mass Balance Tool'!$O$10,'Quick Test Mass Balance Tool'!$K$11)='Crop N Graphing'!A39,'Crop N Graphing'!F39,-50)</f>
        <v>-50</v>
      </c>
      <c r="L39" s="1">
        <f>IF('Quick Test Mass Balance Tool'!$X$15='Crop N Graphing'!A39,'Crop N Graphing'!F39,-50)</f>
        <v>-50</v>
      </c>
    </row>
    <row r="40" spans="1:12" x14ac:dyDescent="0.25">
      <c r="A40" s="1">
        <v>37</v>
      </c>
      <c r="B40" s="1">
        <f>VLOOKUP('Quick Test Mass Balance Tool'!$K$10&amp;'Quick Test Mass Balance Tool'!$K$12,'Crop parameters'!$C$3:$J$509,5,FALSE)</f>
        <v>0.17233999999999999</v>
      </c>
      <c r="C40" s="33">
        <f>VLOOKUP('Quick Test Mass Balance Tool'!$K$10&amp;'Quick Test Mass Balance Tool'!$K$12,'Crop parameters'!$C$3:$J$509,6,FALSE)</f>
        <v>29.87</v>
      </c>
      <c r="D40" s="1">
        <f>VLOOKUP('Quick Test Mass Balance Tool'!$K$10&amp;'Quick Test Mass Balance Tool'!$K$12,'Crop parameters'!$C$3:$J$509,7,FALSE)</f>
        <v>194.6</v>
      </c>
      <c r="E40" s="1">
        <f>VLOOKUP('Quick Test Mass Balance Tool'!$K$10&amp;'Quick Test Mass Balance Tool'!$K$12,'Crop parameters'!$C$3:$J$509,8,FALSE)</f>
        <v>-1.1850000000000001</v>
      </c>
      <c r="F40" s="1">
        <f t="shared" si="2"/>
        <v>149.35867116516786</v>
      </c>
      <c r="G40" s="4">
        <f>VLOOKUP('Quick Test Mass Balance Tool'!$K$10&amp;'Quick Test Mass Balance Tool'!$K$12,'Crop parameters'!$C$3:$J$509,4,FALSE)-F40</f>
        <v>-40.983671165167848</v>
      </c>
      <c r="I40" s="47" t="str">
        <f t="shared" si="0"/>
        <v/>
      </c>
      <c r="J40" s="1" t="str">
        <f t="shared" si="3"/>
        <v/>
      </c>
      <c r="K40" s="1">
        <f>IF(_xlfn.DAYS('Quick Test Mass Balance Tool'!$O$10,'Quick Test Mass Balance Tool'!$K$11)='Crop N Graphing'!A40,'Crop N Graphing'!F40,-50)</f>
        <v>-50</v>
      </c>
      <c r="L40" s="1">
        <f>IF('Quick Test Mass Balance Tool'!$X$15='Crop N Graphing'!A40,'Crop N Graphing'!F40,-50)</f>
        <v>-50</v>
      </c>
    </row>
    <row r="41" spans="1:12" x14ac:dyDescent="0.25">
      <c r="A41" s="1">
        <v>38</v>
      </c>
      <c r="B41" s="1">
        <f>VLOOKUP('Quick Test Mass Balance Tool'!$K$10&amp;'Quick Test Mass Balance Tool'!$K$12,'Crop parameters'!$C$3:$J$509,5,FALSE)</f>
        <v>0.17233999999999999</v>
      </c>
      <c r="C41" s="33">
        <f>VLOOKUP('Quick Test Mass Balance Tool'!$K$10&amp;'Quick Test Mass Balance Tool'!$K$12,'Crop parameters'!$C$3:$J$509,6,FALSE)</f>
        <v>29.87</v>
      </c>
      <c r="D41" s="1">
        <f>VLOOKUP('Quick Test Mass Balance Tool'!$K$10&amp;'Quick Test Mass Balance Tool'!$K$12,'Crop parameters'!$C$3:$J$509,7,FALSE)</f>
        <v>194.6</v>
      </c>
      <c r="E41" s="1">
        <f>VLOOKUP('Quick Test Mass Balance Tool'!$K$10&amp;'Quick Test Mass Balance Tool'!$K$12,'Crop parameters'!$C$3:$J$509,8,FALSE)</f>
        <v>-1.1850000000000001</v>
      </c>
      <c r="F41" s="1">
        <f>IF((E41+D41/(1+EXP(-B41*(A41-C41))))&lt;0,0,E41+D41/(1+EXP(-B41*(A41-C41))))</f>
        <v>154.95468830762854</v>
      </c>
      <c r="G41" s="4">
        <f>VLOOKUP('Quick Test Mass Balance Tool'!$K$10&amp;'Quick Test Mass Balance Tool'!$K$12,'Crop parameters'!$C$3:$J$509,4,FALSE)-F41</f>
        <v>-46.57968830762853</v>
      </c>
      <c r="I41" s="47" t="str">
        <f t="shared" si="0"/>
        <v/>
      </c>
      <c r="J41" s="1" t="str">
        <f t="shared" si="3"/>
        <v/>
      </c>
      <c r="K41" s="1">
        <f>IF(_xlfn.DAYS('Quick Test Mass Balance Tool'!$O$10,'Quick Test Mass Balance Tool'!$K$11)='Crop N Graphing'!A41,'Crop N Graphing'!F41,-50)</f>
        <v>-50</v>
      </c>
      <c r="L41" s="1">
        <f>IF('Quick Test Mass Balance Tool'!$X$15='Crop N Graphing'!A41,'Crop N Graphing'!F41,-50)</f>
        <v>-50</v>
      </c>
    </row>
    <row r="42" spans="1:12" x14ac:dyDescent="0.25">
      <c r="A42" s="1">
        <v>39</v>
      </c>
      <c r="B42" s="1">
        <f>VLOOKUP('Quick Test Mass Balance Tool'!$K$10&amp;'Quick Test Mass Balance Tool'!$K$12,'Crop parameters'!$C$3:$J$509,5,FALSE)</f>
        <v>0.17233999999999999</v>
      </c>
      <c r="C42" s="33">
        <f>VLOOKUP('Quick Test Mass Balance Tool'!$K$10&amp;'Quick Test Mass Balance Tool'!$K$12,'Crop parameters'!$C$3:$J$509,6,FALSE)</f>
        <v>29.87</v>
      </c>
      <c r="D42" s="1">
        <f>VLOOKUP('Quick Test Mass Balance Tool'!$K$10&amp;'Quick Test Mass Balance Tool'!$K$12,'Crop parameters'!$C$3:$J$509,7,FALSE)</f>
        <v>194.6</v>
      </c>
      <c r="E42" s="1">
        <f>VLOOKUP('Quick Test Mass Balance Tool'!$K$10&amp;'Quick Test Mass Balance Tool'!$K$12,'Crop parameters'!$C$3:$J$509,8,FALSE)</f>
        <v>-1.1850000000000001</v>
      </c>
      <c r="F42" s="1">
        <f t="shared" si="2"/>
        <v>159.99768410527378</v>
      </c>
      <c r="G42" s="4">
        <f>VLOOKUP('Quick Test Mass Balance Tool'!$K$10&amp;'Quick Test Mass Balance Tool'!$K$12,'Crop parameters'!$C$3:$J$509,4,FALSE)-F42</f>
        <v>-51.622684105273763</v>
      </c>
      <c r="I42" s="47" t="str">
        <f t="shared" si="0"/>
        <v/>
      </c>
      <c r="J42" s="1" t="str">
        <f t="shared" si="3"/>
        <v/>
      </c>
      <c r="K42" s="1">
        <f>IF(_xlfn.DAYS('Quick Test Mass Balance Tool'!$O$10,'Quick Test Mass Balance Tool'!$K$11)='Crop N Graphing'!A42,'Crop N Graphing'!F42,-50)</f>
        <v>-50</v>
      </c>
      <c r="L42" s="1">
        <f>IF('Quick Test Mass Balance Tool'!$X$15='Crop N Graphing'!A42,'Crop N Graphing'!F42,-50)</f>
        <v>-50</v>
      </c>
    </row>
    <row r="43" spans="1:12" x14ac:dyDescent="0.25">
      <c r="A43" s="1">
        <v>40</v>
      </c>
      <c r="B43" s="1">
        <f>VLOOKUP('Quick Test Mass Balance Tool'!$K$10&amp;'Quick Test Mass Balance Tool'!$K$12,'Crop parameters'!$C$3:$J$509,5,FALSE)</f>
        <v>0.17233999999999999</v>
      </c>
      <c r="C43" s="33">
        <f>VLOOKUP('Quick Test Mass Balance Tool'!$K$10&amp;'Quick Test Mass Balance Tool'!$K$12,'Crop parameters'!$C$3:$J$509,6,FALSE)</f>
        <v>29.87</v>
      </c>
      <c r="D43" s="1">
        <f>VLOOKUP('Quick Test Mass Balance Tool'!$K$10&amp;'Quick Test Mass Balance Tool'!$K$12,'Crop parameters'!$C$3:$J$509,7,FALSE)</f>
        <v>194.6</v>
      </c>
      <c r="E43" s="1">
        <f>VLOOKUP('Quick Test Mass Balance Tool'!$K$10&amp;'Quick Test Mass Balance Tool'!$K$12,'Crop parameters'!$C$3:$J$509,8,FALSE)</f>
        <v>-1.1850000000000001</v>
      </c>
      <c r="F43" s="1">
        <f t="shared" si="2"/>
        <v>164.50187825910598</v>
      </c>
      <c r="G43" s="4">
        <f>VLOOKUP('Quick Test Mass Balance Tool'!$K$10&amp;'Quick Test Mass Balance Tool'!$K$12,'Crop parameters'!$C$3:$J$509,4,FALSE)-F43</f>
        <v>-56.126878259105965</v>
      </c>
      <c r="I43" s="47" t="str">
        <f t="shared" si="0"/>
        <v/>
      </c>
      <c r="J43" s="1" t="str">
        <f t="shared" si="3"/>
        <v/>
      </c>
      <c r="K43" s="1">
        <f>IF(_xlfn.DAYS('Quick Test Mass Balance Tool'!$O$10,'Quick Test Mass Balance Tool'!$K$11)='Crop N Graphing'!A43,'Crop N Graphing'!F43,-50)</f>
        <v>-50</v>
      </c>
      <c r="L43" s="1">
        <f>IF('Quick Test Mass Balance Tool'!$X$15='Crop N Graphing'!A43,'Crop N Graphing'!F43,-50)</f>
        <v>-50</v>
      </c>
    </row>
    <row r="44" spans="1:12" x14ac:dyDescent="0.25">
      <c r="A44" s="1">
        <v>41</v>
      </c>
      <c r="B44" s="1">
        <f>VLOOKUP('Quick Test Mass Balance Tool'!$K$10&amp;'Quick Test Mass Balance Tool'!$K$12,'Crop parameters'!$C$3:$J$509,5,FALSE)</f>
        <v>0.17233999999999999</v>
      </c>
      <c r="C44" s="33">
        <f>VLOOKUP('Quick Test Mass Balance Tool'!$K$10&amp;'Quick Test Mass Balance Tool'!$K$12,'Crop parameters'!$C$3:$J$509,6,FALSE)</f>
        <v>29.87</v>
      </c>
      <c r="D44" s="1">
        <f>VLOOKUP('Quick Test Mass Balance Tool'!$K$10&amp;'Quick Test Mass Balance Tool'!$K$12,'Crop parameters'!$C$3:$J$509,7,FALSE)</f>
        <v>194.6</v>
      </c>
      <c r="E44" s="1">
        <f>VLOOKUP('Quick Test Mass Balance Tool'!$K$10&amp;'Quick Test Mass Balance Tool'!$K$12,'Crop parameters'!$C$3:$J$509,8,FALSE)</f>
        <v>-1.1850000000000001</v>
      </c>
      <c r="F44" s="1">
        <f t="shared" si="2"/>
        <v>168.49283972184145</v>
      </c>
      <c r="G44" s="4">
        <f>VLOOKUP('Quick Test Mass Balance Tool'!$K$10&amp;'Quick Test Mass Balance Tool'!$K$12,'Crop parameters'!$C$3:$J$509,4,FALSE)-F44</f>
        <v>-60.117839721841435</v>
      </c>
      <c r="I44" s="47" t="str">
        <f t="shared" si="0"/>
        <v/>
      </c>
      <c r="J44" s="1" t="str">
        <f t="shared" si="3"/>
        <v/>
      </c>
      <c r="K44" s="1">
        <f>IF(_xlfn.DAYS('Quick Test Mass Balance Tool'!$O$10,'Quick Test Mass Balance Tool'!$K$11)='Crop N Graphing'!A44,'Crop N Graphing'!F44,-50)</f>
        <v>-50</v>
      </c>
      <c r="L44" s="1">
        <f>IF('Quick Test Mass Balance Tool'!$X$15='Crop N Graphing'!A44,'Crop N Graphing'!F44,-50)</f>
        <v>-50</v>
      </c>
    </row>
    <row r="45" spans="1:12" x14ac:dyDescent="0.25">
      <c r="A45" s="1">
        <v>42</v>
      </c>
      <c r="B45" s="1">
        <f>VLOOKUP('Quick Test Mass Balance Tool'!$K$10&amp;'Quick Test Mass Balance Tool'!$K$12,'Crop parameters'!$C$3:$J$509,5,FALSE)</f>
        <v>0.17233999999999999</v>
      </c>
      <c r="C45" s="33">
        <f>VLOOKUP('Quick Test Mass Balance Tool'!$K$10&amp;'Quick Test Mass Balance Tool'!$K$12,'Crop parameters'!$C$3:$J$509,6,FALSE)</f>
        <v>29.87</v>
      </c>
      <c r="D45" s="1">
        <f>VLOOKUP('Quick Test Mass Balance Tool'!$K$10&amp;'Quick Test Mass Balance Tool'!$K$12,'Crop parameters'!$C$3:$J$509,7,FALSE)</f>
        <v>194.6</v>
      </c>
      <c r="E45" s="1">
        <f>VLOOKUP('Quick Test Mass Balance Tool'!$K$10&amp;'Quick Test Mass Balance Tool'!$K$12,'Crop parameters'!$C$3:$J$509,8,FALSE)</f>
        <v>-1.1850000000000001</v>
      </c>
      <c r="F45" s="1">
        <f t="shared" si="2"/>
        <v>172.00410527879555</v>
      </c>
      <c r="G45" s="4">
        <f>VLOOKUP('Quick Test Mass Balance Tool'!$K$10&amp;'Quick Test Mass Balance Tool'!$K$12,'Crop parameters'!$C$3:$J$509,4,FALSE)-F45</f>
        <v>-63.629105278795535</v>
      </c>
      <c r="I45" s="47" t="str">
        <f t="shared" si="0"/>
        <v/>
      </c>
      <c r="J45" s="1" t="str">
        <f t="shared" si="3"/>
        <v/>
      </c>
      <c r="K45" s="1">
        <f>IF(_xlfn.DAYS('Quick Test Mass Balance Tool'!$O$10,'Quick Test Mass Balance Tool'!$K$11)='Crop N Graphing'!A45,'Crop N Graphing'!F45,-50)</f>
        <v>-50</v>
      </c>
      <c r="L45" s="1">
        <f>IF('Quick Test Mass Balance Tool'!$X$15='Crop N Graphing'!A45,'Crop N Graphing'!F45,-50)</f>
        <v>-50</v>
      </c>
    </row>
    <row r="46" spans="1:12" x14ac:dyDescent="0.25">
      <c r="A46" s="1">
        <v>43</v>
      </c>
      <c r="B46" s="1">
        <f>VLOOKUP('Quick Test Mass Balance Tool'!$K$10&amp;'Quick Test Mass Balance Tool'!$K$12,'Crop parameters'!$C$3:$J$509,5,FALSE)</f>
        <v>0.17233999999999999</v>
      </c>
      <c r="C46" s="33">
        <f>VLOOKUP('Quick Test Mass Balance Tool'!$K$10&amp;'Quick Test Mass Balance Tool'!$K$12,'Crop parameters'!$C$3:$J$509,6,FALSE)</f>
        <v>29.87</v>
      </c>
      <c r="D46" s="1">
        <f>VLOOKUP('Quick Test Mass Balance Tool'!$K$10&amp;'Quick Test Mass Balance Tool'!$K$12,'Crop parameters'!$C$3:$J$509,7,FALSE)</f>
        <v>194.6</v>
      </c>
      <c r="E46" s="1">
        <f>VLOOKUP('Quick Test Mass Balance Tool'!$K$10&amp;'Quick Test Mass Balance Tool'!$K$12,'Crop parameters'!$C$3:$J$509,8,FALSE)</f>
        <v>-1.1850000000000001</v>
      </c>
      <c r="F46" s="1">
        <f t="shared" si="2"/>
        <v>175.0741443069644</v>
      </c>
      <c r="G46" s="4">
        <f>VLOOKUP('Quick Test Mass Balance Tool'!$K$10&amp;'Quick Test Mass Balance Tool'!$K$12,'Crop parameters'!$C$3:$J$509,4,FALSE)-F46</f>
        <v>-66.699144306964385</v>
      </c>
      <c r="I46" s="47" t="str">
        <f t="shared" si="0"/>
        <v/>
      </c>
      <c r="J46" s="1" t="str">
        <f t="shared" si="3"/>
        <v/>
      </c>
      <c r="K46" s="1">
        <f>IF(_xlfn.DAYS('Quick Test Mass Balance Tool'!$O$10,'Quick Test Mass Balance Tool'!$K$11)='Crop N Graphing'!A46,'Crop N Graphing'!F46,-50)</f>
        <v>-50</v>
      </c>
      <c r="L46" s="1">
        <f>IF('Quick Test Mass Balance Tool'!$X$15='Crop N Graphing'!A46,'Crop N Graphing'!F46,-50)</f>
        <v>-50</v>
      </c>
    </row>
    <row r="47" spans="1:12" x14ac:dyDescent="0.25">
      <c r="A47" s="1">
        <v>44</v>
      </c>
      <c r="B47" s="1">
        <f>VLOOKUP('Quick Test Mass Balance Tool'!$K$10&amp;'Quick Test Mass Balance Tool'!$K$12,'Crop parameters'!$C$3:$J$509,5,FALSE)</f>
        <v>0.17233999999999999</v>
      </c>
      <c r="C47" s="33">
        <f>VLOOKUP('Quick Test Mass Balance Tool'!$K$10&amp;'Quick Test Mass Balance Tool'!$K$12,'Crop parameters'!$C$3:$J$509,6,FALSE)</f>
        <v>29.87</v>
      </c>
      <c r="D47" s="1">
        <f>VLOOKUP('Quick Test Mass Balance Tool'!$K$10&amp;'Quick Test Mass Balance Tool'!$K$12,'Crop parameters'!$C$3:$J$509,7,FALSE)</f>
        <v>194.6</v>
      </c>
      <c r="E47" s="1">
        <f>VLOOKUP('Quick Test Mass Balance Tool'!$K$10&amp;'Quick Test Mass Balance Tool'!$K$12,'Crop parameters'!$C$3:$J$509,8,FALSE)</f>
        <v>-1.1850000000000001</v>
      </c>
      <c r="F47" s="1">
        <f t="shared" si="2"/>
        <v>177.74381255817008</v>
      </c>
      <c r="G47" s="4">
        <f>VLOOKUP('Quick Test Mass Balance Tool'!$K$10&amp;'Quick Test Mass Balance Tool'!$K$12,'Crop parameters'!$C$3:$J$509,4,FALSE)-F47</f>
        <v>-69.368812558170063</v>
      </c>
      <c r="I47" s="47" t="str">
        <f t="shared" si="0"/>
        <v/>
      </c>
      <c r="J47" s="1" t="str">
        <f t="shared" si="3"/>
        <v/>
      </c>
      <c r="K47" s="1">
        <f>IF(_xlfn.DAYS('Quick Test Mass Balance Tool'!$O$10,'Quick Test Mass Balance Tool'!$K$11)='Crop N Graphing'!A47,'Crop N Graphing'!F47,-50)</f>
        <v>-50</v>
      </c>
      <c r="L47" s="1">
        <f>IF('Quick Test Mass Balance Tool'!$X$15='Crop N Graphing'!A47,'Crop N Graphing'!F47,-50)</f>
        <v>-50</v>
      </c>
    </row>
    <row r="48" spans="1:12" x14ac:dyDescent="0.25">
      <c r="A48" s="1">
        <v>45</v>
      </c>
      <c r="B48" s="1">
        <f>VLOOKUP('Quick Test Mass Balance Tool'!$K$10&amp;'Quick Test Mass Balance Tool'!$K$12,'Crop parameters'!$C$3:$J$509,5,FALSE)</f>
        <v>0.17233999999999999</v>
      </c>
      <c r="C48" s="33">
        <f>VLOOKUP('Quick Test Mass Balance Tool'!$K$10&amp;'Quick Test Mass Balance Tool'!$K$12,'Crop parameters'!$C$3:$J$509,6,FALSE)</f>
        <v>29.87</v>
      </c>
      <c r="D48" s="1">
        <f>VLOOKUP('Quick Test Mass Balance Tool'!$K$10&amp;'Quick Test Mass Balance Tool'!$K$12,'Crop parameters'!$C$3:$J$509,7,FALSE)</f>
        <v>194.6</v>
      </c>
      <c r="E48" s="1">
        <f>VLOOKUP('Quick Test Mass Balance Tool'!$K$10&amp;'Quick Test Mass Balance Tool'!$K$12,'Crop parameters'!$C$3:$J$509,8,FALSE)</f>
        <v>-1.1850000000000001</v>
      </c>
      <c r="F48" s="1">
        <f t="shared" si="2"/>
        <v>180.05434360700292</v>
      </c>
      <c r="G48" s="4">
        <f>VLOOKUP('Quick Test Mass Balance Tool'!$K$10&amp;'Quick Test Mass Balance Tool'!$K$12,'Crop parameters'!$C$3:$J$509,4,FALSE)-F48</f>
        <v>-71.679343607002906</v>
      </c>
      <c r="I48" s="47" t="str">
        <f t="shared" si="0"/>
        <v/>
      </c>
      <c r="J48" s="1" t="str">
        <f t="shared" si="3"/>
        <v/>
      </c>
      <c r="K48" s="1">
        <f>IF(_xlfn.DAYS('Quick Test Mass Balance Tool'!$O$10,'Quick Test Mass Balance Tool'!$K$11)='Crop N Graphing'!A48,'Crop N Graphing'!F48,-50)</f>
        <v>-50</v>
      </c>
      <c r="L48" s="1">
        <f>IF('Quick Test Mass Balance Tool'!$X$15='Crop N Graphing'!A48,'Crop N Graphing'!F48,-50)</f>
        <v>-50</v>
      </c>
    </row>
    <row r="49" spans="1:12" x14ac:dyDescent="0.25">
      <c r="A49" s="1">
        <v>46</v>
      </c>
      <c r="B49" s="1">
        <f>VLOOKUP('Quick Test Mass Balance Tool'!$K$10&amp;'Quick Test Mass Balance Tool'!$K$12,'Crop parameters'!$C$3:$J$509,5,FALSE)</f>
        <v>0.17233999999999999</v>
      </c>
      <c r="C49" s="33">
        <f>VLOOKUP('Quick Test Mass Balance Tool'!$K$10&amp;'Quick Test Mass Balance Tool'!$K$12,'Crop parameters'!$C$3:$J$509,6,FALSE)</f>
        <v>29.87</v>
      </c>
      <c r="D49" s="1">
        <f>VLOOKUP('Quick Test Mass Balance Tool'!$K$10&amp;'Quick Test Mass Balance Tool'!$K$12,'Crop parameters'!$C$3:$J$509,7,FALSE)</f>
        <v>194.6</v>
      </c>
      <c r="E49" s="1">
        <f>VLOOKUP('Quick Test Mass Balance Tool'!$K$10&amp;'Quick Test Mass Balance Tool'!$K$12,'Crop parameters'!$C$3:$J$509,8,FALSE)</f>
        <v>-1.1850000000000001</v>
      </c>
      <c r="F49" s="1">
        <f t="shared" si="2"/>
        <v>182.04585977972738</v>
      </c>
      <c r="G49" s="4">
        <f>VLOOKUP('Quick Test Mass Balance Tool'!$K$10&amp;'Quick Test Mass Balance Tool'!$K$12,'Crop parameters'!$C$3:$J$509,4,FALSE)-F49</f>
        <v>-73.670859779727365</v>
      </c>
      <c r="I49" s="47" t="str">
        <f t="shared" si="0"/>
        <v/>
      </c>
      <c r="J49" s="1" t="str">
        <f t="shared" si="3"/>
        <v/>
      </c>
      <c r="K49" s="1">
        <f>IF(_xlfn.DAYS('Quick Test Mass Balance Tool'!$O$10,'Quick Test Mass Balance Tool'!$K$11)='Crop N Graphing'!A49,'Crop N Graphing'!F49,-50)</f>
        <v>-50</v>
      </c>
      <c r="L49" s="1">
        <f>IF('Quick Test Mass Balance Tool'!$X$15='Crop N Graphing'!A49,'Crop N Graphing'!F49,-50)</f>
        <v>-50</v>
      </c>
    </row>
    <row r="50" spans="1:12" x14ac:dyDescent="0.25">
      <c r="A50" s="1">
        <v>47</v>
      </c>
      <c r="B50" s="1">
        <f>VLOOKUP('Quick Test Mass Balance Tool'!$K$10&amp;'Quick Test Mass Balance Tool'!$K$12,'Crop parameters'!$C$3:$J$509,5,FALSE)</f>
        <v>0.17233999999999999</v>
      </c>
      <c r="C50" s="33">
        <f>VLOOKUP('Quick Test Mass Balance Tool'!$K$10&amp;'Quick Test Mass Balance Tool'!$K$12,'Crop parameters'!$C$3:$J$509,6,FALSE)</f>
        <v>29.87</v>
      </c>
      <c r="D50" s="1">
        <f>VLOOKUP('Quick Test Mass Balance Tool'!$K$10&amp;'Quick Test Mass Balance Tool'!$K$12,'Crop parameters'!$C$3:$J$509,7,FALSE)</f>
        <v>194.6</v>
      </c>
      <c r="E50" s="1">
        <f>VLOOKUP('Quick Test Mass Balance Tool'!$K$10&amp;'Quick Test Mass Balance Tool'!$K$12,'Crop parameters'!$C$3:$J$509,8,FALSE)</f>
        <v>-1.1850000000000001</v>
      </c>
      <c r="F50" s="1">
        <f t="shared" si="2"/>
        <v>183.75634393359002</v>
      </c>
      <c r="G50" s="4">
        <f>VLOOKUP('Quick Test Mass Balance Tool'!$K$10&amp;'Quick Test Mass Balance Tool'!$K$12,'Crop parameters'!$C$3:$J$509,4,FALSE)-F50</f>
        <v>-75.381343933590003</v>
      </c>
      <c r="I50" s="47" t="str">
        <f t="shared" si="0"/>
        <v/>
      </c>
      <c r="J50" s="1" t="str">
        <f t="shared" si="3"/>
        <v/>
      </c>
      <c r="K50" s="1">
        <f>IF(_xlfn.DAYS('Quick Test Mass Balance Tool'!$O$10,'Quick Test Mass Balance Tool'!$K$11)='Crop N Graphing'!A50,'Crop N Graphing'!F50,-50)</f>
        <v>-50</v>
      </c>
      <c r="L50" s="1">
        <f>IF('Quick Test Mass Balance Tool'!$X$15='Crop N Graphing'!A50,'Crop N Graphing'!F50,-50)</f>
        <v>-50</v>
      </c>
    </row>
    <row r="51" spans="1:12" x14ac:dyDescent="0.25">
      <c r="A51" s="1">
        <v>48</v>
      </c>
      <c r="B51" s="1">
        <f>VLOOKUP('Quick Test Mass Balance Tool'!$K$10&amp;'Quick Test Mass Balance Tool'!$K$12,'Crop parameters'!$C$3:$J$509,5,FALSE)</f>
        <v>0.17233999999999999</v>
      </c>
      <c r="C51" s="33">
        <f>VLOOKUP('Quick Test Mass Balance Tool'!$K$10&amp;'Quick Test Mass Balance Tool'!$K$12,'Crop parameters'!$C$3:$J$509,6,FALSE)</f>
        <v>29.87</v>
      </c>
      <c r="D51" s="1">
        <f>VLOOKUP('Quick Test Mass Balance Tool'!$K$10&amp;'Quick Test Mass Balance Tool'!$K$12,'Crop parameters'!$C$3:$J$509,7,FALSE)</f>
        <v>194.6</v>
      </c>
      <c r="E51" s="1">
        <f>VLOOKUP('Quick Test Mass Balance Tool'!$K$10&amp;'Quick Test Mass Balance Tool'!$K$12,'Crop parameters'!$C$3:$J$509,8,FALSE)</f>
        <v>-1.1850000000000001</v>
      </c>
      <c r="F51" s="1">
        <f t="shared" si="2"/>
        <v>185.22099441584436</v>
      </c>
      <c r="G51" s="4">
        <f>VLOOKUP('Quick Test Mass Balance Tool'!$K$10&amp;'Quick Test Mass Balance Tool'!$K$12,'Crop parameters'!$C$3:$J$509,4,FALSE)-F51</f>
        <v>-76.845994415844345</v>
      </c>
      <c r="I51" s="47" t="str">
        <f t="shared" si="0"/>
        <v/>
      </c>
      <c r="J51" s="1" t="str">
        <f t="shared" si="3"/>
        <v/>
      </c>
      <c r="K51" s="1">
        <f>IF(_xlfn.DAYS('Quick Test Mass Balance Tool'!$O$10,'Quick Test Mass Balance Tool'!$K$11)='Crop N Graphing'!A51,'Crop N Graphing'!F51,-50)</f>
        <v>-50</v>
      </c>
      <c r="L51" s="1">
        <f>IF('Quick Test Mass Balance Tool'!$X$15='Crop N Graphing'!A51,'Crop N Graphing'!F51,-50)</f>
        <v>-50</v>
      </c>
    </row>
    <row r="52" spans="1:12" x14ac:dyDescent="0.25">
      <c r="A52" s="1">
        <v>49</v>
      </c>
      <c r="B52" s="1">
        <f>VLOOKUP('Quick Test Mass Balance Tool'!$K$10&amp;'Quick Test Mass Balance Tool'!$K$12,'Crop parameters'!$C$3:$J$509,5,FALSE)</f>
        <v>0.17233999999999999</v>
      </c>
      <c r="C52" s="33">
        <f>VLOOKUP('Quick Test Mass Balance Tool'!$K$10&amp;'Quick Test Mass Balance Tool'!$K$12,'Crop parameters'!$C$3:$J$509,6,FALSE)</f>
        <v>29.87</v>
      </c>
      <c r="D52" s="1">
        <f>VLOOKUP('Quick Test Mass Balance Tool'!$K$10&amp;'Quick Test Mass Balance Tool'!$K$12,'Crop parameters'!$C$3:$J$509,7,FALSE)</f>
        <v>194.6</v>
      </c>
      <c r="E52" s="1">
        <f>VLOOKUP('Quick Test Mass Balance Tool'!$K$10&amp;'Quick Test Mass Balance Tool'!$K$12,'Crop parameters'!$C$3:$J$509,8,FALSE)</f>
        <v>-1.1850000000000001</v>
      </c>
      <c r="F52" s="1">
        <f t="shared" si="2"/>
        <v>186.47188168928668</v>
      </c>
      <c r="G52" s="4">
        <f>VLOOKUP('Quick Test Mass Balance Tool'!$K$10&amp;'Quick Test Mass Balance Tool'!$K$12,'Crop parameters'!$C$3:$J$509,4,FALSE)-F52</f>
        <v>-78.096881689286661</v>
      </c>
      <c r="I52" s="47" t="str">
        <f t="shared" si="0"/>
        <v/>
      </c>
      <c r="J52" s="1" t="str">
        <f t="shared" si="3"/>
        <v/>
      </c>
      <c r="K52" s="1">
        <f>IF(_xlfn.DAYS('Quick Test Mass Balance Tool'!$O$10,'Quick Test Mass Balance Tool'!$K$11)='Crop N Graphing'!A52,'Crop N Graphing'!F52,-50)</f>
        <v>-50</v>
      </c>
      <c r="L52" s="1">
        <f>IF('Quick Test Mass Balance Tool'!$X$15='Crop N Graphing'!A52,'Crop N Graphing'!F52,-50)</f>
        <v>-50</v>
      </c>
    </row>
    <row r="53" spans="1:12" x14ac:dyDescent="0.25">
      <c r="A53" s="1">
        <v>50</v>
      </c>
      <c r="B53" s="1">
        <f>VLOOKUP('Quick Test Mass Balance Tool'!$K$10&amp;'Quick Test Mass Balance Tool'!$K$12,'Crop parameters'!$C$3:$J$509,5,FALSE)</f>
        <v>0.17233999999999999</v>
      </c>
      <c r="C53" s="33">
        <f>VLOOKUP('Quick Test Mass Balance Tool'!$K$10&amp;'Quick Test Mass Balance Tool'!$K$12,'Crop parameters'!$C$3:$J$509,6,FALSE)</f>
        <v>29.87</v>
      </c>
      <c r="D53" s="1">
        <f>VLOOKUP('Quick Test Mass Balance Tool'!$K$10&amp;'Quick Test Mass Balance Tool'!$K$12,'Crop parameters'!$C$3:$J$509,7,FALSE)</f>
        <v>194.6</v>
      </c>
      <c r="E53" s="1">
        <f>VLOOKUP('Quick Test Mass Balance Tool'!$K$10&amp;'Quick Test Mass Balance Tool'!$K$12,'Crop parameters'!$C$3:$J$509,8,FALSE)</f>
        <v>-1.1850000000000001</v>
      </c>
      <c r="F53" s="1">
        <f t="shared" si="2"/>
        <v>187.53783069984675</v>
      </c>
      <c r="G53" s="4">
        <f>VLOOKUP('Quick Test Mass Balance Tool'!$K$10&amp;'Quick Test Mass Balance Tool'!$K$12,'Crop parameters'!$C$3:$J$509,4,FALSE)-F53</f>
        <v>-79.162830699846737</v>
      </c>
      <c r="I53" s="47" t="str">
        <f t="shared" si="0"/>
        <v/>
      </c>
      <c r="J53" s="1" t="str">
        <f t="shared" si="3"/>
        <v/>
      </c>
      <c r="K53" s="1">
        <f>IF(_xlfn.DAYS('Quick Test Mass Balance Tool'!$O$10,'Quick Test Mass Balance Tool'!$K$11)='Crop N Graphing'!A53,'Crop N Graphing'!F53,-50)</f>
        <v>-50</v>
      </c>
      <c r="L53" s="1">
        <f>IF('Quick Test Mass Balance Tool'!$X$15='Crop N Graphing'!A53,'Crop N Graphing'!F53,-50)</f>
        <v>-50</v>
      </c>
    </row>
    <row r="54" spans="1:12" x14ac:dyDescent="0.25">
      <c r="A54" s="1">
        <v>51</v>
      </c>
      <c r="B54" s="1">
        <f>VLOOKUP('Quick Test Mass Balance Tool'!$K$10&amp;'Quick Test Mass Balance Tool'!$K$12,'Crop parameters'!$C$3:$J$509,5,FALSE)</f>
        <v>0.17233999999999999</v>
      </c>
      <c r="C54" s="33">
        <f>VLOOKUP('Quick Test Mass Balance Tool'!$K$10&amp;'Quick Test Mass Balance Tool'!$K$12,'Crop parameters'!$C$3:$J$509,6,FALSE)</f>
        <v>29.87</v>
      </c>
      <c r="D54" s="1">
        <f>VLOOKUP('Quick Test Mass Balance Tool'!$K$10&amp;'Quick Test Mass Balance Tool'!$K$12,'Crop parameters'!$C$3:$J$509,7,FALSE)</f>
        <v>194.6</v>
      </c>
      <c r="E54" s="1">
        <f>VLOOKUP('Quick Test Mass Balance Tool'!$K$10&amp;'Quick Test Mass Balance Tool'!$K$12,'Crop parameters'!$C$3:$J$509,8,FALSE)</f>
        <v>-1.1850000000000001</v>
      </c>
      <c r="F54" s="1">
        <f t="shared" si="2"/>
        <v>188.44446352912976</v>
      </c>
      <c r="G54" s="4">
        <f>VLOOKUP('Quick Test Mass Balance Tool'!$K$10&amp;'Quick Test Mass Balance Tool'!$K$12,'Crop parameters'!$C$3:$J$509,4,FALSE)-F54</f>
        <v>-80.069463529129749</v>
      </c>
      <c r="I54" s="47" t="str">
        <f t="shared" si="0"/>
        <v/>
      </c>
      <c r="J54" s="1" t="str">
        <f t="shared" si="3"/>
        <v/>
      </c>
      <c r="K54" s="1">
        <f>IF(_xlfn.DAYS('Quick Test Mass Balance Tool'!$O$10,'Quick Test Mass Balance Tool'!$K$11)='Crop N Graphing'!A54,'Crop N Graphing'!F54,-50)</f>
        <v>-50</v>
      </c>
      <c r="L54" s="1">
        <f>IF('Quick Test Mass Balance Tool'!$X$15='Crop N Graphing'!A54,'Crop N Graphing'!F54,-50)</f>
        <v>-50</v>
      </c>
    </row>
    <row r="55" spans="1:12" x14ac:dyDescent="0.25">
      <c r="A55" s="1">
        <v>52</v>
      </c>
      <c r="B55" s="1">
        <f>VLOOKUP('Quick Test Mass Balance Tool'!$K$10&amp;'Quick Test Mass Balance Tool'!$K$12,'Crop parameters'!$C$3:$J$509,5,FALSE)</f>
        <v>0.17233999999999999</v>
      </c>
      <c r="C55" s="33">
        <f>VLOOKUP('Quick Test Mass Balance Tool'!$K$10&amp;'Quick Test Mass Balance Tool'!$K$12,'Crop parameters'!$C$3:$J$509,6,FALSE)</f>
        <v>29.87</v>
      </c>
      <c r="D55" s="1">
        <f>VLOOKUP('Quick Test Mass Balance Tool'!$K$10&amp;'Quick Test Mass Balance Tool'!$K$12,'Crop parameters'!$C$3:$J$509,7,FALSE)</f>
        <v>194.6</v>
      </c>
      <c r="E55" s="1">
        <f>VLOOKUP('Quick Test Mass Balance Tool'!$K$10&amp;'Quick Test Mass Balance Tool'!$K$12,'Crop parameters'!$C$3:$J$509,8,FALSE)</f>
        <v>-1.1850000000000001</v>
      </c>
      <c r="F55" s="1">
        <f t="shared" si="2"/>
        <v>189.21434904128179</v>
      </c>
      <c r="G55" s="4">
        <f>VLOOKUP('Quick Test Mass Balance Tool'!$K$10&amp;'Quick Test Mass Balance Tool'!$K$12,'Crop parameters'!$C$3:$J$509,4,FALSE)-F55</f>
        <v>-80.839349041281778</v>
      </c>
      <c r="I55" s="47" t="str">
        <f t="shared" si="0"/>
        <v/>
      </c>
      <c r="J55" s="1" t="str">
        <f t="shared" si="3"/>
        <v/>
      </c>
      <c r="K55" s="1">
        <f>IF(_xlfn.DAYS('Quick Test Mass Balance Tool'!$O$10,'Quick Test Mass Balance Tool'!$K$11)='Crop N Graphing'!A55,'Crop N Graphing'!F55,-50)</f>
        <v>-50</v>
      </c>
      <c r="L55" s="1">
        <f>IF('Quick Test Mass Balance Tool'!$X$15='Crop N Graphing'!A55,'Crop N Graphing'!F55,-50)</f>
        <v>-50</v>
      </c>
    </row>
    <row r="56" spans="1:12" x14ac:dyDescent="0.25">
      <c r="A56" s="1">
        <v>53</v>
      </c>
      <c r="B56" s="1">
        <f>VLOOKUP('Quick Test Mass Balance Tool'!$K$10&amp;'Quick Test Mass Balance Tool'!$K$12,'Crop parameters'!$C$3:$J$509,5,FALSE)</f>
        <v>0.17233999999999999</v>
      </c>
      <c r="C56" s="33">
        <f>VLOOKUP('Quick Test Mass Balance Tool'!$K$10&amp;'Quick Test Mass Balance Tool'!$K$12,'Crop parameters'!$C$3:$J$509,6,FALSE)</f>
        <v>29.87</v>
      </c>
      <c r="D56" s="1">
        <f>VLOOKUP('Quick Test Mass Balance Tool'!$K$10&amp;'Quick Test Mass Balance Tool'!$K$12,'Crop parameters'!$C$3:$J$509,7,FALSE)</f>
        <v>194.6</v>
      </c>
      <c r="E56" s="1">
        <f>VLOOKUP('Quick Test Mass Balance Tool'!$K$10&amp;'Quick Test Mass Balance Tool'!$K$12,'Crop parameters'!$C$3:$J$509,8,FALSE)</f>
        <v>-1.1850000000000001</v>
      </c>
      <c r="F56" s="1">
        <f t="shared" si="2"/>
        <v>189.86721812588382</v>
      </c>
      <c r="G56" s="4">
        <f>VLOOKUP('Quick Test Mass Balance Tool'!$K$10&amp;'Quick Test Mass Balance Tool'!$K$12,'Crop parameters'!$C$3:$J$509,4,FALSE)-F56</f>
        <v>-81.492218125883809</v>
      </c>
      <c r="I56" s="47" t="str">
        <f t="shared" si="0"/>
        <v/>
      </c>
      <c r="J56" s="1" t="str">
        <f t="shared" si="3"/>
        <v/>
      </c>
      <c r="K56" s="1">
        <f>IF(_xlfn.DAYS('Quick Test Mass Balance Tool'!$O$10,'Quick Test Mass Balance Tool'!$K$11)='Crop N Graphing'!A56,'Crop N Graphing'!F56,-50)</f>
        <v>-50</v>
      </c>
      <c r="L56" s="1">
        <f>IF('Quick Test Mass Balance Tool'!$X$15='Crop N Graphing'!A56,'Crop N Graphing'!F56,-50)</f>
        <v>-50</v>
      </c>
    </row>
    <row r="57" spans="1:12" x14ac:dyDescent="0.25">
      <c r="A57" s="1">
        <v>54</v>
      </c>
      <c r="B57" s="1">
        <f>VLOOKUP('Quick Test Mass Balance Tool'!$K$10&amp;'Quick Test Mass Balance Tool'!$K$12,'Crop parameters'!$C$3:$J$509,5,FALSE)</f>
        <v>0.17233999999999999</v>
      </c>
      <c r="C57" s="33">
        <f>VLOOKUP('Quick Test Mass Balance Tool'!$K$10&amp;'Quick Test Mass Balance Tool'!$K$12,'Crop parameters'!$C$3:$J$509,6,FALSE)</f>
        <v>29.87</v>
      </c>
      <c r="D57" s="1">
        <f>VLOOKUP('Quick Test Mass Balance Tool'!$K$10&amp;'Quick Test Mass Balance Tool'!$K$12,'Crop parameters'!$C$3:$J$509,7,FALSE)</f>
        <v>194.6</v>
      </c>
      <c r="E57" s="1">
        <f>VLOOKUP('Quick Test Mass Balance Tool'!$K$10&amp;'Quick Test Mass Balance Tool'!$K$12,'Crop parameters'!$C$3:$J$509,8,FALSE)</f>
        <v>-1.1850000000000001</v>
      </c>
      <c r="F57" s="1">
        <f t="shared" si="2"/>
        <v>190.42021370065916</v>
      </c>
      <c r="G57" s="4">
        <f>VLOOKUP('Quick Test Mass Balance Tool'!$K$10&amp;'Quick Test Mass Balance Tool'!$K$12,'Crop parameters'!$C$3:$J$509,4,FALSE)-F57</f>
        <v>-82.045213700659147</v>
      </c>
      <c r="I57" s="47" t="str">
        <f t="shared" si="0"/>
        <v/>
      </c>
      <c r="J57" s="1" t="str">
        <f t="shared" si="3"/>
        <v/>
      </c>
      <c r="K57" s="1">
        <f>IF(_xlfn.DAYS('Quick Test Mass Balance Tool'!$O$10,'Quick Test Mass Balance Tool'!$K$11)='Crop N Graphing'!A57,'Crop N Graphing'!F57,-50)</f>
        <v>-50</v>
      </c>
      <c r="L57" s="1">
        <f>IF('Quick Test Mass Balance Tool'!$X$15='Crop N Graphing'!A57,'Crop N Graphing'!F57,-50)</f>
        <v>-50</v>
      </c>
    </row>
    <row r="58" spans="1:12" x14ac:dyDescent="0.25">
      <c r="A58" s="1">
        <v>55</v>
      </c>
      <c r="B58" s="1">
        <f>VLOOKUP('Quick Test Mass Balance Tool'!$K$10&amp;'Quick Test Mass Balance Tool'!$K$12,'Crop parameters'!$C$3:$J$509,5,FALSE)</f>
        <v>0.17233999999999999</v>
      </c>
      <c r="C58" s="33">
        <f>VLOOKUP('Quick Test Mass Balance Tool'!$K$10&amp;'Quick Test Mass Balance Tool'!$K$12,'Crop parameters'!$C$3:$J$509,6,FALSE)</f>
        <v>29.87</v>
      </c>
      <c r="D58" s="1">
        <f>VLOOKUP('Quick Test Mass Balance Tool'!$K$10&amp;'Quick Test Mass Balance Tool'!$K$12,'Crop parameters'!$C$3:$J$509,7,FALSE)</f>
        <v>194.6</v>
      </c>
      <c r="E58" s="1">
        <f>VLOOKUP('Quick Test Mass Balance Tool'!$K$10&amp;'Quick Test Mass Balance Tool'!$K$12,'Crop parameters'!$C$3:$J$509,8,FALSE)</f>
        <v>-1.1850000000000001</v>
      </c>
      <c r="F58" s="1">
        <f t="shared" si="2"/>
        <v>190.88815343844885</v>
      </c>
      <c r="G58" s="4">
        <f>VLOOKUP('Quick Test Mass Balance Tool'!$K$10&amp;'Quick Test Mass Balance Tool'!$K$12,'Crop parameters'!$C$3:$J$509,4,FALSE)-F58</f>
        <v>-82.513153438448839</v>
      </c>
      <c r="I58" s="47" t="str">
        <f t="shared" si="0"/>
        <v/>
      </c>
      <c r="J58" s="1" t="str">
        <f t="shared" si="3"/>
        <v/>
      </c>
      <c r="K58" s="1">
        <f>IF(_xlfn.DAYS('Quick Test Mass Balance Tool'!$O$10,'Quick Test Mass Balance Tool'!$K$11)='Crop N Graphing'!A58,'Crop N Graphing'!F58,-50)</f>
        <v>-50</v>
      </c>
      <c r="L58" s="1">
        <f>IF('Quick Test Mass Balance Tool'!$X$15='Crop N Graphing'!A58,'Crop N Graphing'!F58,-50)</f>
        <v>-50</v>
      </c>
    </row>
    <row r="59" spans="1:12" x14ac:dyDescent="0.25">
      <c r="A59" s="1">
        <v>56</v>
      </c>
      <c r="B59" s="1">
        <f>VLOOKUP('Quick Test Mass Balance Tool'!$K$10&amp;'Quick Test Mass Balance Tool'!$K$12,'Crop parameters'!$C$3:$J$509,5,FALSE)</f>
        <v>0.17233999999999999</v>
      </c>
      <c r="C59" s="33">
        <f>VLOOKUP('Quick Test Mass Balance Tool'!$K$10&amp;'Quick Test Mass Balance Tool'!$K$12,'Crop parameters'!$C$3:$J$509,6,FALSE)</f>
        <v>29.87</v>
      </c>
      <c r="D59" s="1">
        <f>VLOOKUP('Quick Test Mass Balance Tool'!$K$10&amp;'Quick Test Mass Balance Tool'!$K$12,'Crop parameters'!$C$3:$J$509,7,FALSE)</f>
        <v>194.6</v>
      </c>
      <c r="E59" s="1">
        <f>VLOOKUP('Quick Test Mass Balance Tool'!$K$10&amp;'Quick Test Mass Balance Tool'!$K$12,'Crop parameters'!$C$3:$J$509,8,FALSE)</f>
        <v>-1.1850000000000001</v>
      </c>
      <c r="F59" s="1">
        <f t="shared" si="2"/>
        <v>191.28379017459878</v>
      </c>
      <c r="G59" s="4">
        <f>VLOOKUP('Quick Test Mass Balance Tool'!$K$10&amp;'Quick Test Mass Balance Tool'!$K$12,'Crop parameters'!$C$3:$J$509,4,FALSE)-F59</f>
        <v>-82.908790174598764</v>
      </c>
      <c r="I59" s="47" t="str">
        <f t="shared" si="0"/>
        <v/>
      </c>
      <c r="J59" s="1" t="str">
        <f t="shared" si="3"/>
        <v/>
      </c>
      <c r="K59" s="1">
        <f>IF(_xlfn.DAYS('Quick Test Mass Balance Tool'!$O$10,'Quick Test Mass Balance Tool'!$K$11)='Crop N Graphing'!A59,'Crop N Graphing'!F59,-50)</f>
        <v>-50</v>
      </c>
      <c r="L59" s="1">
        <f>IF('Quick Test Mass Balance Tool'!$X$15='Crop N Graphing'!A59,'Crop N Graphing'!F59,-50)</f>
        <v>-50</v>
      </c>
    </row>
    <row r="60" spans="1:12" x14ac:dyDescent="0.25">
      <c r="A60" s="1">
        <v>57</v>
      </c>
      <c r="B60" s="1">
        <f>VLOOKUP('Quick Test Mass Balance Tool'!$K$10&amp;'Quick Test Mass Balance Tool'!$K$12,'Crop parameters'!$C$3:$J$509,5,FALSE)</f>
        <v>0.17233999999999999</v>
      </c>
      <c r="C60" s="33">
        <f>VLOOKUP('Quick Test Mass Balance Tool'!$K$10&amp;'Quick Test Mass Balance Tool'!$K$12,'Crop parameters'!$C$3:$J$509,6,FALSE)</f>
        <v>29.87</v>
      </c>
      <c r="D60" s="1">
        <f>VLOOKUP('Quick Test Mass Balance Tool'!$K$10&amp;'Quick Test Mass Balance Tool'!$K$12,'Crop parameters'!$C$3:$J$509,7,FALSE)</f>
        <v>194.6</v>
      </c>
      <c r="E60" s="1">
        <f>VLOOKUP('Quick Test Mass Balance Tool'!$K$10&amp;'Quick Test Mass Balance Tool'!$K$12,'Crop parameters'!$C$3:$J$509,8,FALSE)</f>
        <v>-1.1850000000000001</v>
      </c>
      <c r="F60" s="1">
        <f t="shared" si="2"/>
        <v>191.61806029347696</v>
      </c>
      <c r="G60" s="4">
        <f>VLOOKUP('Quick Test Mass Balance Tool'!$K$10&amp;'Quick Test Mass Balance Tool'!$K$12,'Crop parameters'!$C$3:$J$509,4,FALSE)-F60</f>
        <v>-83.243060293476944</v>
      </c>
      <c r="I60" s="47" t="str">
        <f t="shared" si="0"/>
        <v/>
      </c>
      <c r="J60" s="1" t="str">
        <f t="shared" si="3"/>
        <v/>
      </c>
      <c r="K60" s="1">
        <f>IF(_xlfn.DAYS('Quick Test Mass Balance Tool'!$O$10,'Quick Test Mass Balance Tool'!$K$11)='Crop N Graphing'!A60,'Crop N Graphing'!F60,-50)</f>
        <v>-50</v>
      </c>
      <c r="L60" s="1">
        <f>IF('Quick Test Mass Balance Tool'!$X$15='Crop N Graphing'!A60,'Crop N Graphing'!F60,-50)</f>
        <v>-50</v>
      </c>
    </row>
    <row r="61" spans="1:12" x14ac:dyDescent="0.25">
      <c r="A61" s="1">
        <v>58</v>
      </c>
      <c r="B61" s="1">
        <f>VLOOKUP('Quick Test Mass Balance Tool'!$K$10&amp;'Quick Test Mass Balance Tool'!$K$12,'Crop parameters'!$C$3:$J$509,5,FALSE)</f>
        <v>0.17233999999999999</v>
      </c>
      <c r="C61" s="33">
        <f>VLOOKUP('Quick Test Mass Balance Tool'!$K$10&amp;'Quick Test Mass Balance Tool'!$K$12,'Crop parameters'!$C$3:$J$509,6,FALSE)</f>
        <v>29.87</v>
      </c>
      <c r="D61" s="1">
        <f>VLOOKUP('Quick Test Mass Balance Tool'!$K$10&amp;'Quick Test Mass Balance Tool'!$K$12,'Crop parameters'!$C$3:$J$509,7,FALSE)</f>
        <v>194.6</v>
      </c>
      <c r="E61" s="1">
        <f>VLOOKUP('Quick Test Mass Balance Tool'!$K$10&amp;'Quick Test Mass Balance Tool'!$K$12,'Crop parameters'!$C$3:$J$509,8,FALSE)</f>
        <v>-1.1850000000000001</v>
      </c>
      <c r="F61" s="1">
        <f t="shared" si="2"/>
        <v>191.90031433675341</v>
      </c>
      <c r="G61" s="4">
        <f>VLOOKUP('Quick Test Mass Balance Tool'!$K$10&amp;'Quick Test Mass Balance Tool'!$K$12,'Crop parameters'!$C$3:$J$509,4,FALSE)-F61</f>
        <v>-83.525314336753397</v>
      </c>
      <c r="I61" s="47" t="str">
        <f t="shared" si="0"/>
        <v/>
      </c>
      <c r="J61" s="1" t="str">
        <f t="shared" si="3"/>
        <v/>
      </c>
      <c r="K61" s="1">
        <f>IF(_xlfn.DAYS('Quick Test Mass Balance Tool'!$O$10,'Quick Test Mass Balance Tool'!$K$11)='Crop N Graphing'!A61,'Crop N Graphing'!F61,-50)</f>
        <v>-50</v>
      </c>
      <c r="L61" s="1">
        <f>IF('Quick Test Mass Balance Tool'!$X$15='Crop N Graphing'!A61,'Crop N Graphing'!F61,-50)</f>
        <v>-50</v>
      </c>
    </row>
    <row r="62" spans="1:12" x14ac:dyDescent="0.25">
      <c r="A62" s="1">
        <v>59</v>
      </c>
      <c r="B62" s="1">
        <f>VLOOKUP('Quick Test Mass Balance Tool'!$K$10&amp;'Quick Test Mass Balance Tool'!$K$12,'Crop parameters'!$C$3:$J$509,5,FALSE)</f>
        <v>0.17233999999999999</v>
      </c>
      <c r="C62" s="33">
        <f>VLOOKUP('Quick Test Mass Balance Tool'!$K$10&amp;'Quick Test Mass Balance Tool'!$K$12,'Crop parameters'!$C$3:$J$509,6,FALSE)</f>
        <v>29.87</v>
      </c>
      <c r="D62" s="1">
        <f>VLOOKUP('Quick Test Mass Balance Tool'!$K$10&amp;'Quick Test Mass Balance Tool'!$K$12,'Crop parameters'!$C$3:$J$509,7,FALSE)</f>
        <v>194.6</v>
      </c>
      <c r="E62" s="1">
        <f>VLOOKUP('Quick Test Mass Balance Tool'!$K$10&amp;'Quick Test Mass Balance Tool'!$K$12,'Crop parameters'!$C$3:$J$509,8,FALSE)</f>
        <v>-1.1850000000000001</v>
      </c>
      <c r="F62" s="1">
        <f t="shared" si="2"/>
        <v>192.13852689185288</v>
      </c>
      <c r="G62" s="4">
        <f>VLOOKUP('Quick Test Mass Balance Tool'!$K$10&amp;'Quick Test Mass Balance Tool'!$K$12,'Crop parameters'!$C$3:$J$509,4,FALSE)-F62</f>
        <v>-83.763526891852862</v>
      </c>
      <c r="I62" s="47" t="str">
        <f t="shared" si="0"/>
        <v/>
      </c>
      <c r="J62" s="1" t="str">
        <f t="shared" si="3"/>
        <v/>
      </c>
      <c r="K62" s="1">
        <f>IF(_xlfn.DAYS('Quick Test Mass Balance Tool'!$O$10,'Quick Test Mass Balance Tool'!$K$11)='Crop N Graphing'!A62,'Crop N Graphing'!F62,-50)</f>
        <v>-50</v>
      </c>
      <c r="L62" s="1">
        <f>IF('Quick Test Mass Balance Tool'!$X$15='Crop N Graphing'!A62,'Crop N Graphing'!F62,-50)</f>
        <v>-50</v>
      </c>
    </row>
    <row r="63" spans="1:12" x14ac:dyDescent="0.25">
      <c r="A63" s="1">
        <v>60</v>
      </c>
      <c r="B63" s="1">
        <f>VLOOKUP('Quick Test Mass Balance Tool'!$K$10&amp;'Quick Test Mass Balance Tool'!$K$12,'Crop parameters'!$C$3:$J$509,5,FALSE)</f>
        <v>0.17233999999999999</v>
      </c>
      <c r="C63" s="33">
        <f>VLOOKUP('Quick Test Mass Balance Tool'!$K$10&amp;'Quick Test Mass Balance Tool'!$K$12,'Crop parameters'!$C$3:$J$509,6,FALSE)</f>
        <v>29.87</v>
      </c>
      <c r="D63" s="1">
        <f>VLOOKUP('Quick Test Mass Balance Tool'!$K$10&amp;'Quick Test Mass Balance Tool'!$K$12,'Crop parameters'!$C$3:$J$509,7,FALSE)</f>
        <v>194.6</v>
      </c>
      <c r="E63" s="1">
        <f>VLOOKUP('Quick Test Mass Balance Tool'!$K$10&amp;'Quick Test Mass Balance Tool'!$K$12,'Crop parameters'!$C$3:$J$509,8,FALSE)</f>
        <v>-1.1850000000000001</v>
      </c>
      <c r="F63" s="1">
        <f t="shared" si="2"/>
        <v>192.33948475902289</v>
      </c>
      <c r="G63" s="4">
        <f>VLOOKUP('Quick Test Mass Balance Tool'!$K$10&amp;'Quick Test Mass Balance Tool'!$K$12,'Crop parameters'!$C$3:$J$509,4,FALSE)-F63</f>
        <v>-83.964484759022881</v>
      </c>
      <c r="I63" s="47" t="str">
        <f t="shared" si="0"/>
        <v/>
      </c>
      <c r="J63" s="1" t="str">
        <f t="shared" si="3"/>
        <v/>
      </c>
      <c r="K63" s="1">
        <f>IF(_xlfn.DAYS('Quick Test Mass Balance Tool'!$O$10,'Quick Test Mass Balance Tool'!$K$11)='Crop N Graphing'!A63,'Crop N Graphing'!F63,-50)</f>
        <v>-50</v>
      </c>
      <c r="L63" s="1">
        <f>IF('Quick Test Mass Balance Tool'!$X$15='Crop N Graphing'!A63,'Crop N Graphing'!F63,-50)</f>
        <v>-50</v>
      </c>
    </row>
    <row r="64" spans="1:12" x14ac:dyDescent="0.25">
      <c r="A64" s="1">
        <v>61</v>
      </c>
      <c r="B64" s="1">
        <f>VLOOKUP('Quick Test Mass Balance Tool'!$K$10&amp;'Quick Test Mass Balance Tool'!$K$12,'Crop parameters'!$C$3:$J$509,5,FALSE)</f>
        <v>0.17233999999999999</v>
      </c>
      <c r="C64" s="33">
        <f>VLOOKUP('Quick Test Mass Balance Tool'!$K$10&amp;'Quick Test Mass Balance Tool'!$K$12,'Crop parameters'!$C$3:$J$509,6,FALSE)</f>
        <v>29.87</v>
      </c>
      <c r="D64" s="1">
        <f>VLOOKUP('Quick Test Mass Balance Tool'!$K$10&amp;'Quick Test Mass Balance Tool'!$K$12,'Crop parameters'!$C$3:$J$509,7,FALSE)</f>
        <v>194.6</v>
      </c>
      <c r="E64" s="1">
        <f>VLOOKUP('Quick Test Mass Balance Tool'!$K$10&amp;'Quick Test Mass Balance Tool'!$K$12,'Crop parameters'!$C$3:$J$509,8,FALSE)</f>
        <v>-1.1850000000000001</v>
      </c>
      <c r="F64" s="1">
        <f t="shared" si="2"/>
        <v>192.50895367686559</v>
      </c>
      <c r="G64" s="4">
        <f>VLOOKUP('Quick Test Mass Balance Tool'!$K$10&amp;'Quick Test Mass Balance Tool'!$K$12,'Crop parameters'!$C$3:$J$509,4,FALSE)-F64</f>
        <v>-84.133953676865573</v>
      </c>
      <c r="I64" s="47" t="str">
        <f t="shared" si="0"/>
        <v/>
      </c>
      <c r="J64" s="1" t="str">
        <f t="shared" si="3"/>
        <v/>
      </c>
      <c r="K64" s="1">
        <f>IF(_xlfn.DAYS('Quick Test Mass Balance Tool'!$O$10,'Quick Test Mass Balance Tool'!$K$11)='Crop N Graphing'!A64,'Crop N Graphing'!F64,-50)</f>
        <v>-50</v>
      </c>
      <c r="L64" s="1">
        <f>IF('Quick Test Mass Balance Tool'!$X$15='Crop N Graphing'!A64,'Crop N Graphing'!F64,-50)</f>
        <v>-50</v>
      </c>
    </row>
    <row r="65" spans="1:12" x14ac:dyDescent="0.25">
      <c r="A65" s="1">
        <v>62</v>
      </c>
      <c r="B65" s="1">
        <f>VLOOKUP('Quick Test Mass Balance Tool'!$K$10&amp;'Quick Test Mass Balance Tool'!$K$12,'Crop parameters'!$C$3:$J$509,5,FALSE)</f>
        <v>0.17233999999999999</v>
      </c>
      <c r="C65" s="33">
        <f>VLOOKUP('Quick Test Mass Balance Tool'!$K$10&amp;'Quick Test Mass Balance Tool'!$K$12,'Crop parameters'!$C$3:$J$509,6,FALSE)</f>
        <v>29.87</v>
      </c>
      <c r="D65" s="1">
        <f>VLOOKUP('Quick Test Mass Balance Tool'!$K$10&amp;'Quick Test Mass Balance Tool'!$K$12,'Crop parameters'!$C$3:$J$509,7,FALSE)</f>
        <v>194.6</v>
      </c>
      <c r="E65" s="1">
        <f>VLOOKUP('Quick Test Mass Balance Tool'!$K$10&amp;'Quick Test Mass Balance Tool'!$K$12,'Crop parameters'!$C$3:$J$509,8,FALSE)</f>
        <v>-1.1850000000000001</v>
      </c>
      <c r="F65" s="1">
        <f t="shared" si="2"/>
        <v>192.65182468598098</v>
      </c>
      <c r="G65" s="4">
        <f>VLOOKUP('Quick Test Mass Balance Tool'!$K$10&amp;'Quick Test Mass Balance Tool'!$K$12,'Crop parameters'!$C$3:$J$509,4,FALSE)-F65</f>
        <v>-84.276824685980969</v>
      </c>
      <c r="I65" s="47" t="str">
        <f t="shared" si="0"/>
        <v/>
      </c>
      <c r="J65" s="1" t="str">
        <f t="shared" si="3"/>
        <v/>
      </c>
      <c r="K65" s="1">
        <f>IF(_xlfn.DAYS('Quick Test Mass Balance Tool'!$O$10,'Quick Test Mass Balance Tool'!$K$11)='Crop N Graphing'!A65,'Crop N Graphing'!F65,-50)</f>
        <v>-50</v>
      </c>
      <c r="L65" s="1">
        <f>IF('Quick Test Mass Balance Tool'!$X$15='Crop N Graphing'!A65,'Crop N Graphing'!F65,-50)</f>
        <v>-50</v>
      </c>
    </row>
    <row r="66" spans="1:12" x14ac:dyDescent="0.25">
      <c r="A66" s="1">
        <v>63</v>
      </c>
      <c r="B66" s="1">
        <f>VLOOKUP('Quick Test Mass Balance Tool'!$K$10&amp;'Quick Test Mass Balance Tool'!$K$12,'Crop parameters'!$C$3:$J$509,5,FALSE)</f>
        <v>0.17233999999999999</v>
      </c>
      <c r="C66" s="33">
        <f>VLOOKUP('Quick Test Mass Balance Tool'!$K$10&amp;'Quick Test Mass Balance Tool'!$K$12,'Crop parameters'!$C$3:$J$509,6,FALSE)</f>
        <v>29.87</v>
      </c>
      <c r="D66" s="1">
        <f>VLOOKUP('Quick Test Mass Balance Tool'!$K$10&amp;'Quick Test Mass Balance Tool'!$K$12,'Crop parameters'!$C$3:$J$509,7,FALSE)</f>
        <v>194.6</v>
      </c>
      <c r="E66" s="1">
        <f>VLOOKUP('Quick Test Mass Balance Tool'!$K$10&amp;'Quick Test Mass Balance Tool'!$K$12,'Crop parameters'!$C$3:$J$509,8,FALSE)</f>
        <v>-1.1850000000000001</v>
      </c>
      <c r="F66" s="1">
        <f t="shared" si="2"/>
        <v>192.77224166744367</v>
      </c>
      <c r="G66" s="4">
        <f>VLOOKUP('Quick Test Mass Balance Tool'!$K$10&amp;'Quick Test Mass Balance Tool'!$K$12,'Crop parameters'!$C$3:$J$509,4,FALSE)-F66</f>
        <v>-84.397241667443652</v>
      </c>
      <c r="I66" s="47" t="str">
        <f t="shared" si="0"/>
        <v/>
      </c>
      <c r="J66" s="1" t="str">
        <f t="shared" si="3"/>
        <v/>
      </c>
      <c r="K66" s="1">
        <f>IF(_xlfn.DAYS('Quick Test Mass Balance Tool'!$O$10,'Quick Test Mass Balance Tool'!$K$11)='Crop N Graphing'!A66,'Crop N Graphing'!F66,-50)</f>
        <v>-50</v>
      </c>
      <c r="L66" s="1">
        <f>IF('Quick Test Mass Balance Tool'!$X$15='Crop N Graphing'!A66,'Crop N Graphing'!F66,-50)</f>
        <v>-50</v>
      </c>
    </row>
    <row r="67" spans="1:12" x14ac:dyDescent="0.25">
      <c r="A67" s="1">
        <v>64</v>
      </c>
      <c r="B67" s="1">
        <f>VLOOKUP('Quick Test Mass Balance Tool'!$K$10&amp;'Quick Test Mass Balance Tool'!$K$12,'Crop parameters'!$C$3:$J$509,5,FALSE)</f>
        <v>0.17233999999999999</v>
      </c>
      <c r="C67" s="33">
        <f>VLOOKUP('Quick Test Mass Balance Tool'!$K$10&amp;'Quick Test Mass Balance Tool'!$K$12,'Crop parameters'!$C$3:$J$509,6,FALSE)</f>
        <v>29.87</v>
      </c>
      <c r="D67" s="1">
        <f>VLOOKUP('Quick Test Mass Balance Tool'!$K$10&amp;'Quick Test Mass Balance Tool'!$K$12,'Crop parameters'!$C$3:$J$509,7,FALSE)</f>
        <v>194.6</v>
      </c>
      <c r="E67" s="1">
        <f>VLOOKUP('Quick Test Mass Balance Tool'!$K$10&amp;'Quick Test Mass Balance Tool'!$K$12,'Crop parameters'!$C$3:$J$509,8,FALSE)</f>
        <v>-1.1850000000000001</v>
      </c>
      <c r="F67" s="1">
        <f t="shared" si="2"/>
        <v>192.87371181284104</v>
      </c>
      <c r="G67" s="4">
        <f>VLOOKUP('Quick Test Mass Balance Tool'!$K$10&amp;'Quick Test Mass Balance Tool'!$K$12,'Crop parameters'!$C$3:$J$509,4,FALSE)-F67</f>
        <v>-84.498711812841023</v>
      </c>
      <c r="I67" s="47" t="str">
        <f t="shared" ref="I67:I130" si="4">IF(ISNUMBER(J67),A67,"")</f>
        <v/>
      </c>
      <c r="J67" s="1" t="str">
        <f t="shared" si="3"/>
        <v/>
      </c>
      <c r="K67" s="1">
        <f>IF(_xlfn.DAYS('Quick Test Mass Balance Tool'!$O$10,'Quick Test Mass Balance Tool'!$K$11)='Crop N Graphing'!A67,'Crop N Graphing'!F67,-50)</f>
        <v>-50</v>
      </c>
      <c r="L67" s="1">
        <f>IF('Quick Test Mass Balance Tool'!$X$15='Crop N Graphing'!A67,'Crop N Graphing'!F67,-50)</f>
        <v>-50</v>
      </c>
    </row>
    <row r="68" spans="1:12" x14ac:dyDescent="0.25">
      <c r="A68" s="1">
        <v>65</v>
      </c>
      <c r="B68" s="1">
        <f>VLOOKUP('Quick Test Mass Balance Tool'!$K$10&amp;'Quick Test Mass Balance Tool'!$K$12,'Crop parameters'!$C$3:$J$509,5,FALSE)</f>
        <v>0.17233999999999999</v>
      </c>
      <c r="C68" s="33">
        <f>VLOOKUP('Quick Test Mass Balance Tool'!$K$10&amp;'Quick Test Mass Balance Tool'!$K$12,'Crop parameters'!$C$3:$J$509,6,FALSE)</f>
        <v>29.87</v>
      </c>
      <c r="D68" s="1">
        <f>VLOOKUP('Quick Test Mass Balance Tool'!$K$10&amp;'Quick Test Mass Balance Tool'!$K$12,'Crop parameters'!$C$3:$J$509,7,FALSE)</f>
        <v>194.6</v>
      </c>
      <c r="E68" s="1">
        <f>VLOOKUP('Quick Test Mass Balance Tool'!$K$10&amp;'Quick Test Mass Balance Tool'!$K$12,'Crop parameters'!$C$3:$J$509,8,FALSE)</f>
        <v>-1.1850000000000001</v>
      </c>
      <c r="F68" s="1">
        <f t="shared" ref="F68:F131" si="5">IF((E68+D68/(1+EXP(-B68*(A68-C68))))&lt;0,0,E68+D68/(1+EXP(-B68*(A68-C68))))</f>
        <v>192.95920084394024</v>
      </c>
      <c r="G68" s="4">
        <f>VLOOKUP('Quick Test Mass Balance Tool'!$K$10&amp;'Quick Test Mass Balance Tool'!$K$12,'Crop parameters'!$C$3:$J$509,4,FALSE)-F68</f>
        <v>-84.584200843940224</v>
      </c>
      <c r="I68" s="47" t="str">
        <f t="shared" si="4"/>
        <v/>
      </c>
      <c r="J68" s="1" t="str">
        <f t="shared" si="3"/>
        <v/>
      </c>
      <c r="K68" s="1">
        <f>IF(_xlfn.DAYS('Quick Test Mass Balance Tool'!$O$10,'Quick Test Mass Balance Tool'!$K$11)='Crop N Graphing'!A68,'Crop N Graphing'!F68,-50)</f>
        <v>-50</v>
      </c>
      <c r="L68" s="1">
        <f>IF('Quick Test Mass Balance Tool'!$X$15='Crop N Graphing'!A68,'Crop N Graphing'!F68,-50)</f>
        <v>-50</v>
      </c>
    </row>
    <row r="69" spans="1:12" x14ac:dyDescent="0.25">
      <c r="A69" s="1">
        <v>66</v>
      </c>
      <c r="B69" s="1">
        <f>VLOOKUP('Quick Test Mass Balance Tool'!$K$10&amp;'Quick Test Mass Balance Tool'!$K$12,'Crop parameters'!$C$3:$J$509,5,FALSE)</f>
        <v>0.17233999999999999</v>
      </c>
      <c r="C69" s="33">
        <f>VLOOKUP('Quick Test Mass Balance Tool'!$K$10&amp;'Quick Test Mass Balance Tool'!$K$12,'Crop parameters'!$C$3:$J$509,6,FALSE)</f>
        <v>29.87</v>
      </c>
      <c r="D69" s="1">
        <f>VLOOKUP('Quick Test Mass Balance Tool'!$K$10&amp;'Quick Test Mass Balance Tool'!$K$12,'Crop parameters'!$C$3:$J$509,7,FALSE)</f>
        <v>194.6</v>
      </c>
      <c r="E69" s="1">
        <f>VLOOKUP('Quick Test Mass Balance Tool'!$K$10&amp;'Quick Test Mass Balance Tool'!$K$12,'Crop parameters'!$C$3:$J$509,8,FALSE)</f>
        <v>-1.1850000000000001</v>
      </c>
      <c r="F69" s="1">
        <f t="shared" si="5"/>
        <v>193.03121475953677</v>
      </c>
      <c r="G69" s="4">
        <f>VLOOKUP('Quick Test Mass Balance Tool'!$K$10&amp;'Quick Test Mass Balance Tool'!$K$12,'Crop parameters'!$C$3:$J$509,4,FALSE)-F69</f>
        <v>-84.656214759536752</v>
      </c>
      <c r="I69" s="47" t="str">
        <f t="shared" si="4"/>
        <v/>
      </c>
      <c r="J69" s="1" t="str">
        <f t="shared" si="3"/>
        <v/>
      </c>
      <c r="K69" s="1">
        <f>IF(_xlfn.DAYS('Quick Test Mass Balance Tool'!$O$10,'Quick Test Mass Balance Tool'!$K$11)='Crop N Graphing'!A69,'Crop N Graphing'!F69,-50)</f>
        <v>-50</v>
      </c>
      <c r="L69" s="1">
        <f>IF('Quick Test Mass Balance Tool'!$X$15='Crop N Graphing'!A69,'Crop N Graphing'!F69,-50)</f>
        <v>-50</v>
      </c>
    </row>
    <row r="70" spans="1:12" x14ac:dyDescent="0.25">
      <c r="A70" s="1">
        <v>67</v>
      </c>
      <c r="B70" s="1">
        <f>VLOOKUP('Quick Test Mass Balance Tool'!$K$10&amp;'Quick Test Mass Balance Tool'!$K$12,'Crop parameters'!$C$3:$J$509,5,FALSE)</f>
        <v>0.17233999999999999</v>
      </c>
      <c r="C70" s="33">
        <f>VLOOKUP('Quick Test Mass Balance Tool'!$K$10&amp;'Quick Test Mass Balance Tool'!$K$12,'Crop parameters'!$C$3:$J$509,6,FALSE)</f>
        <v>29.87</v>
      </c>
      <c r="D70" s="1">
        <f>VLOOKUP('Quick Test Mass Balance Tool'!$K$10&amp;'Quick Test Mass Balance Tool'!$K$12,'Crop parameters'!$C$3:$J$509,7,FALSE)</f>
        <v>194.6</v>
      </c>
      <c r="E70" s="1">
        <f>VLOOKUP('Quick Test Mass Balance Tool'!$K$10&amp;'Quick Test Mass Balance Tool'!$K$12,'Crop parameters'!$C$3:$J$509,8,FALSE)</f>
        <v>-1.1850000000000001</v>
      </c>
      <c r="F70" s="1">
        <f t="shared" si="5"/>
        <v>193.09186978498136</v>
      </c>
      <c r="G70" s="4">
        <f>VLOOKUP('Quick Test Mass Balance Tool'!$K$10&amp;'Quick Test Mass Balance Tool'!$K$12,'Crop parameters'!$C$3:$J$509,4,FALSE)-F70</f>
        <v>-84.716869784981341</v>
      </c>
      <c r="I70" s="47" t="str">
        <f t="shared" si="4"/>
        <v/>
      </c>
      <c r="J70" s="1" t="str">
        <f t="shared" si="3"/>
        <v/>
      </c>
      <c r="K70" s="1">
        <f>IF(_xlfn.DAYS('Quick Test Mass Balance Tool'!$O$10,'Quick Test Mass Balance Tool'!$K$11)='Crop N Graphing'!A70,'Crop N Graphing'!F70,-50)</f>
        <v>-50</v>
      </c>
      <c r="L70" s="1">
        <f>IF('Quick Test Mass Balance Tool'!$X$15='Crop N Graphing'!A70,'Crop N Graphing'!F70,-50)</f>
        <v>-50</v>
      </c>
    </row>
    <row r="71" spans="1:12" x14ac:dyDescent="0.25">
      <c r="A71" s="1">
        <v>68</v>
      </c>
      <c r="B71" s="1">
        <f>VLOOKUP('Quick Test Mass Balance Tool'!$K$10&amp;'Quick Test Mass Balance Tool'!$K$12,'Crop parameters'!$C$3:$J$509,5,FALSE)</f>
        <v>0.17233999999999999</v>
      </c>
      <c r="C71" s="33">
        <f>VLOOKUP('Quick Test Mass Balance Tool'!$K$10&amp;'Quick Test Mass Balance Tool'!$K$12,'Crop parameters'!$C$3:$J$509,6,FALSE)</f>
        <v>29.87</v>
      </c>
      <c r="D71" s="1">
        <f>VLOOKUP('Quick Test Mass Balance Tool'!$K$10&amp;'Quick Test Mass Balance Tool'!$K$12,'Crop parameters'!$C$3:$J$509,7,FALSE)</f>
        <v>194.6</v>
      </c>
      <c r="E71" s="1">
        <f>VLOOKUP('Quick Test Mass Balance Tool'!$K$10&amp;'Quick Test Mass Balance Tool'!$K$12,'Crop parameters'!$C$3:$J$509,8,FALSE)</f>
        <v>-1.1850000000000001</v>
      </c>
      <c r="F71" s="1">
        <f t="shared" si="5"/>
        <v>193.14295206419129</v>
      </c>
      <c r="G71" s="4">
        <f>VLOOKUP('Quick Test Mass Balance Tool'!$K$10&amp;'Quick Test Mass Balance Tool'!$K$12,'Crop parameters'!$C$3:$J$509,4,FALSE)-F71</f>
        <v>-84.767952064191277</v>
      </c>
      <c r="I71" s="47" t="str">
        <f t="shared" si="4"/>
        <v/>
      </c>
      <c r="J71" s="1" t="str">
        <f t="shared" si="3"/>
        <v/>
      </c>
      <c r="K71" s="1">
        <f>IF(_xlfn.DAYS('Quick Test Mass Balance Tool'!$O$10,'Quick Test Mass Balance Tool'!$K$11)='Crop N Graphing'!A71,'Crop N Graphing'!F71,-50)</f>
        <v>-50</v>
      </c>
      <c r="L71" s="1">
        <f>IF('Quick Test Mass Balance Tool'!$X$15='Crop N Graphing'!A71,'Crop N Graphing'!F71,-50)</f>
        <v>-50</v>
      </c>
    </row>
    <row r="72" spans="1:12" x14ac:dyDescent="0.25">
      <c r="A72" s="1">
        <v>69</v>
      </c>
      <c r="B72" s="1">
        <f>VLOOKUP('Quick Test Mass Balance Tool'!$K$10&amp;'Quick Test Mass Balance Tool'!$K$12,'Crop parameters'!$C$3:$J$509,5,FALSE)</f>
        <v>0.17233999999999999</v>
      </c>
      <c r="C72" s="33">
        <f>VLOOKUP('Quick Test Mass Balance Tool'!$K$10&amp;'Quick Test Mass Balance Tool'!$K$12,'Crop parameters'!$C$3:$J$509,6,FALSE)</f>
        <v>29.87</v>
      </c>
      <c r="D72" s="1">
        <f>VLOOKUP('Quick Test Mass Balance Tool'!$K$10&amp;'Quick Test Mass Balance Tool'!$K$12,'Crop parameters'!$C$3:$J$509,7,FALSE)</f>
        <v>194.6</v>
      </c>
      <c r="E72" s="1">
        <f>VLOOKUP('Quick Test Mass Balance Tool'!$K$10&amp;'Quick Test Mass Balance Tool'!$K$12,'Crop parameters'!$C$3:$J$509,8,FALSE)</f>
        <v>-1.1850000000000001</v>
      </c>
      <c r="F72" s="1">
        <f t="shared" si="5"/>
        <v>193.18596848348682</v>
      </c>
      <c r="G72" s="4">
        <f>VLOOKUP('Quick Test Mass Balance Tool'!$K$10&amp;'Quick Test Mass Balance Tool'!$K$12,'Crop parameters'!$C$3:$J$509,4,FALSE)-F72</f>
        <v>-84.810968483486803</v>
      </c>
      <c r="I72" s="47" t="str">
        <f t="shared" si="4"/>
        <v/>
      </c>
      <c r="J72" s="1" t="str">
        <f t="shared" si="3"/>
        <v/>
      </c>
      <c r="K72" s="1">
        <f>IF(_xlfn.DAYS('Quick Test Mass Balance Tool'!$O$10,'Quick Test Mass Balance Tool'!$K$11)='Crop N Graphing'!A72,'Crop N Graphing'!F72,-50)</f>
        <v>-50</v>
      </c>
      <c r="L72" s="1">
        <f>IF('Quick Test Mass Balance Tool'!$X$15='Crop N Graphing'!A72,'Crop N Graphing'!F72,-50)</f>
        <v>-50</v>
      </c>
    </row>
    <row r="73" spans="1:12" x14ac:dyDescent="0.25">
      <c r="A73" s="1">
        <v>70</v>
      </c>
      <c r="B73" s="1">
        <f>VLOOKUP('Quick Test Mass Balance Tool'!$K$10&amp;'Quick Test Mass Balance Tool'!$K$12,'Crop parameters'!$C$3:$J$509,5,FALSE)</f>
        <v>0.17233999999999999</v>
      </c>
      <c r="C73" s="33">
        <f>VLOOKUP('Quick Test Mass Balance Tool'!$K$10&amp;'Quick Test Mass Balance Tool'!$K$12,'Crop parameters'!$C$3:$J$509,6,FALSE)</f>
        <v>29.87</v>
      </c>
      <c r="D73" s="1">
        <f>VLOOKUP('Quick Test Mass Balance Tool'!$K$10&amp;'Quick Test Mass Balance Tool'!$K$12,'Crop parameters'!$C$3:$J$509,7,FALSE)</f>
        <v>194.6</v>
      </c>
      <c r="E73" s="1">
        <f>VLOOKUP('Quick Test Mass Balance Tool'!$K$10&amp;'Quick Test Mass Balance Tool'!$K$12,'Crop parameters'!$C$3:$J$509,8,FALSE)</f>
        <v>-1.1850000000000001</v>
      </c>
      <c r="F73" s="1">
        <f t="shared" si="5"/>
        <v>193.22218986365075</v>
      </c>
      <c r="G73" s="4">
        <f>VLOOKUP('Quick Test Mass Balance Tool'!$K$10&amp;'Quick Test Mass Balance Tool'!$K$12,'Crop parameters'!$C$3:$J$509,4,FALSE)-F73</f>
        <v>-84.84718986365074</v>
      </c>
      <c r="I73" s="47" t="str">
        <f t="shared" si="4"/>
        <v/>
      </c>
      <c r="J73" s="1" t="str">
        <f t="shared" si="3"/>
        <v/>
      </c>
      <c r="K73" s="1">
        <f>IF(_xlfn.DAYS('Quick Test Mass Balance Tool'!$O$10,'Quick Test Mass Balance Tool'!$K$11)='Crop N Graphing'!A73,'Crop N Graphing'!F73,-50)</f>
        <v>-50</v>
      </c>
      <c r="L73" s="1">
        <f>IF('Quick Test Mass Balance Tool'!$X$15='Crop N Graphing'!A73,'Crop N Graphing'!F73,-50)</f>
        <v>-50</v>
      </c>
    </row>
    <row r="74" spans="1:12" x14ac:dyDescent="0.25">
      <c r="A74" s="1">
        <v>71</v>
      </c>
      <c r="B74" s="1">
        <f>VLOOKUP('Quick Test Mass Balance Tool'!$K$10&amp;'Quick Test Mass Balance Tool'!$K$12,'Crop parameters'!$C$3:$J$509,5,FALSE)</f>
        <v>0.17233999999999999</v>
      </c>
      <c r="C74" s="33">
        <f>VLOOKUP('Quick Test Mass Balance Tool'!$K$10&amp;'Quick Test Mass Balance Tool'!$K$12,'Crop parameters'!$C$3:$J$509,6,FALSE)</f>
        <v>29.87</v>
      </c>
      <c r="D74" s="1">
        <f>VLOOKUP('Quick Test Mass Balance Tool'!$K$10&amp;'Quick Test Mass Balance Tool'!$K$12,'Crop parameters'!$C$3:$J$509,7,FALSE)</f>
        <v>194.6</v>
      </c>
      <c r="E74" s="1">
        <f>VLOOKUP('Quick Test Mass Balance Tool'!$K$10&amp;'Quick Test Mass Balance Tool'!$K$12,'Crop parameters'!$C$3:$J$509,8,FALSE)</f>
        <v>-1.1850000000000001</v>
      </c>
      <c r="F74" s="1">
        <f t="shared" si="5"/>
        <v>193.25268760889591</v>
      </c>
      <c r="G74" s="4">
        <f>VLOOKUP('Quick Test Mass Balance Tool'!$K$10&amp;'Quick Test Mass Balance Tool'!$K$12,'Crop parameters'!$C$3:$J$509,4,FALSE)-F74</f>
        <v>-84.877687608895897</v>
      </c>
      <c r="I74" s="47" t="str">
        <f t="shared" si="4"/>
        <v/>
      </c>
      <c r="J74" s="1" t="str">
        <f t="shared" si="3"/>
        <v/>
      </c>
      <c r="K74" s="1">
        <f>IF(_xlfn.DAYS('Quick Test Mass Balance Tool'!$O$10,'Quick Test Mass Balance Tool'!$K$11)='Crop N Graphing'!A74,'Crop N Graphing'!F74,-50)</f>
        <v>-50</v>
      </c>
      <c r="L74" s="1">
        <f>IF('Quick Test Mass Balance Tool'!$X$15='Crop N Graphing'!A74,'Crop N Graphing'!F74,-50)</f>
        <v>-50</v>
      </c>
    </row>
    <row r="75" spans="1:12" x14ac:dyDescent="0.25">
      <c r="A75" s="1">
        <v>72</v>
      </c>
      <c r="B75" s="1">
        <f>VLOOKUP('Quick Test Mass Balance Tool'!$K$10&amp;'Quick Test Mass Balance Tool'!$K$12,'Crop parameters'!$C$3:$J$509,5,FALSE)</f>
        <v>0.17233999999999999</v>
      </c>
      <c r="C75" s="33">
        <f>VLOOKUP('Quick Test Mass Balance Tool'!$K$10&amp;'Quick Test Mass Balance Tool'!$K$12,'Crop parameters'!$C$3:$J$509,6,FALSE)</f>
        <v>29.87</v>
      </c>
      <c r="D75" s="1">
        <f>VLOOKUP('Quick Test Mass Balance Tool'!$K$10&amp;'Quick Test Mass Balance Tool'!$K$12,'Crop parameters'!$C$3:$J$509,7,FALSE)</f>
        <v>194.6</v>
      </c>
      <c r="E75" s="1">
        <f>VLOOKUP('Quick Test Mass Balance Tool'!$K$10&amp;'Quick Test Mass Balance Tool'!$K$12,'Crop parameters'!$C$3:$J$509,8,FALSE)</f>
        <v>-1.1850000000000001</v>
      </c>
      <c r="F75" s="1">
        <f t="shared" si="5"/>
        <v>193.27836476342142</v>
      </c>
      <c r="G75" s="4">
        <f>VLOOKUP('Quick Test Mass Balance Tool'!$K$10&amp;'Quick Test Mass Balance Tool'!$K$12,'Crop parameters'!$C$3:$J$509,4,FALSE)-F75</f>
        <v>-84.903364763421408</v>
      </c>
      <c r="I75" s="47" t="str">
        <f t="shared" si="4"/>
        <v/>
      </c>
      <c r="J75" s="1" t="str">
        <f t="shared" si="3"/>
        <v/>
      </c>
      <c r="K75" s="1">
        <f>IF(_xlfn.DAYS('Quick Test Mass Balance Tool'!$O$10,'Quick Test Mass Balance Tool'!$K$11)='Crop N Graphing'!A75,'Crop N Graphing'!F75,-50)</f>
        <v>-50</v>
      </c>
      <c r="L75" s="1">
        <f>IF('Quick Test Mass Balance Tool'!$X$15='Crop N Graphing'!A75,'Crop N Graphing'!F75,-50)</f>
        <v>-50</v>
      </c>
    </row>
    <row r="76" spans="1:12" x14ac:dyDescent="0.25">
      <c r="A76" s="1">
        <v>73</v>
      </c>
      <c r="B76" s="1">
        <f>VLOOKUP('Quick Test Mass Balance Tool'!$K$10&amp;'Quick Test Mass Balance Tool'!$K$12,'Crop parameters'!$C$3:$J$509,5,FALSE)</f>
        <v>0.17233999999999999</v>
      </c>
      <c r="C76" s="33">
        <f>VLOOKUP('Quick Test Mass Balance Tool'!$K$10&amp;'Quick Test Mass Balance Tool'!$K$12,'Crop parameters'!$C$3:$J$509,6,FALSE)</f>
        <v>29.87</v>
      </c>
      <c r="D76" s="1">
        <f>VLOOKUP('Quick Test Mass Balance Tool'!$K$10&amp;'Quick Test Mass Balance Tool'!$K$12,'Crop parameters'!$C$3:$J$509,7,FALSE)</f>
        <v>194.6</v>
      </c>
      <c r="E76" s="1">
        <f>VLOOKUP('Quick Test Mass Balance Tool'!$K$10&amp;'Quick Test Mass Balance Tool'!$K$12,'Crop parameters'!$C$3:$J$509,8,FALSE)</f>
        <v>-1.1850000000000001</v>
      </c>
      <c r="F76" s="1">
        <f t="shared" si="5"/>
        <v>193.29998230026769</v>
      </c>
      <c r="G76" s="4">
        <f>VLOOKUP('Quick Test Mass Balance Tool'!$K$10&amp;'Quick Test Mass Balance Tool'!$K$12,'Crop parameters'!$C$3:$J$509,4,FALSE)-F76</f>
        <v>-84.924982300267672</v>
      </c>
      <c r="I76" s="47" t="str">
        <f t="shared" si="4"/>
        <v/>
      </c>
      <c r="J76" s="1" t="str">
        <f t="shared" si="3"/>
        <v/>
      </c>
      <c r="K76" s="1">
        <f>IF(_xlfn.DAYS('Quick Test Mass Balance Tool'!$O$10,'Quick Test Mass Balance Tool'!$K$11)='Crop N Graphing'!A76,'Crop N Graphing'!F76,-50)</f>
        <v>-50</v>
      </c>
      <c r="L76" s="1">
        <f>IF('Quick Test Mass Balance Tool'!$X$15='Crop N Graphing'!A76,'Crop N Graphing'!F76,-50)</f>
        <v>-50</v>
      </c>
    </row>
    <row r="77" spans="1:12" x14ac:dyDescent="0.25">
      <c r="A77" s="1">
        <v>74</v>
      </c>
      <c r="B77" s="1">
        <f>VLOOKUP('Quick Test Mass Balance Tool'!$K$10&amp;'Quick Test Mass Balance Tool'!$K$12,'Crop parameters'!$C$3:$J$509,5,FALSE)</f>
        <v>0.17233999999999999</v>
      </c>
      <c r="C77" s="33">
        <f>VLOOKUP('Quick Test Mass Balance Tool'!$K$10&amp;'Quick Test Mass Balance Tool'!$K$12,'Crop parameters'!$C$3:$J$509,6,FALSE)</f>
        <v>29.87</v>
      </c>
      <c r="D77" s="1">
        <f>VLOOKUP('Quick Test Mass Balance Tool'!$K$10&amp;'Quick Test Mass Balance Tool'!$K$12,'Crop parameters'!$C$3:$J$509,7,FALSE)</f>
        <v>194.6</v>
      </c>
      <c r="E77" s="1">
        <f>VLOOKUP('Quick Test Mass Balance Tool'!$K$10&amp;'Quick Test Mass Balance Tool'!$K$12,'Crop parameters'!$C$3:$J$509,8,FALSE)</f>
        <v>-1.1850000000000001</v>
      </c>
      <c r="F77" s="1">
        <f t="shared" si="5"/>
        <v>193.31818135411777</v>
      </c>
      <c r="G77" s="4">
        <f>VLOOKUP('Quick Test Mass Balance Tool'!$K$10&amp;'Quick Test Mass Balance Tool'!$K$12,'Crop parameters'!$C$3:$J$509,4,FALSE)-F77</f>
        <v>-84.943181354117755</v>
      </c>
      <c r="I77" s="47" t="str">
        <f t="shared" si="4"/>
        <v/>
      </c>
      <c r="J77" s="1" t="str">
        <f t="shared" si="3"/>
        <v/>
      </c>
      <c r="K77" s="1">
        <f>IF(_xlfn.DAYS('Quick Test Mass Balance Tool'!$O$10,'Quick Test Mass Balance Tool'!$K$11)='Crop N Graphing'!A77,'Crop N Graphing'!F77,-50)</f>
        <v>-50</v>
      </c>
      <c r="L77" s="1">
        <f>IF('Quick Test Mass Balance Tool'!$X$15='Crop N Graphing'!A77,'Crop N Graphing'!F77,-50)</f>
        <v>-50</v>
      </c>
    </row>
    <row r="78" spans="1:12" x14ac:dyDescent="0.25">
      <c r="A78" s="1">
        <v>75</v>
      </c>
      <c r="B78" s="1">
        <f>VLOOKUP('Quick Test Mass Balance Tool'!$K$10&amp;'Quick Test Mass Balance Tool'!$K$12,'Crop parameters'!$C$3:$J$509,5,FALSE)</f>
        <v>0.17233999999999999</v>
      </c>
      <c r="C78" s="33">
        <f>VLOOKUP('Quick Test Mass Balance Tool'!$K$10&amp;'Quick Test Mass Balance Tool'!$K$12,'Crop parameters'!$C$3:$J$509,6,FALSE)</f>
        <v>29.87</v>
      </c>
      <c r="D78" s="1">
        <f>VLOOKUP('Quick Test Mass Balance Tool'!$K$10&amp;'Quick Test Mass Balance Tool'!$K$12,'Crop parameters'!$C$3:$J$509,7,FALSE)</f>
        <v>194.6</v>
      </c>
      <c r="E78" s="1">
        <f>VLOOKUP('Quick Test Mass Balance Tool'!$K$10&amp;'Quick Test Mass Balance Tool'!$K$12,'Crop parameters'!$C$3:$J$509,8,FALSE)</f>
        <v>-1.1850000000000001</v>
      </c>
      <c r="F78" s="1">
        <f t="shared" si="5"/>
        <v>193.33350200949769</v>
      </c>
      <c r="G78" s="4">
        <f>VLOOKUP('Quick Test Mass Balance Tool'!$K$10&amp;'Quick Test Mass Balance Tool'!$K$12,'Crop parameters'!$C$3:$J$509,4,FALSE)-F78</f>
        <v>-84.958502009497678</v>
      </c>
      <c r="I78" s="47" t="str">
        <f t="shared" si="4"/>
        <v/>
      </c>
      <c r="J78" s="1" t="str">
        <f t="shared" si="3"/>
        <v/>
      </c>
      <c r="K78" s="1">
        <f>IF(_xlfn.DAYS('Quick Test Mass Balance Tool'!$O$10,'Quick Test Mass Balance Tool'!$K$11)='Crop N Graphing'!A78,'Crop N Graphing'!F78,-50)</f>
        <v>-50</v>
      </c>
      <c r="L78" s="1">
        <f>IF('Quick Test Mass Balance Tool'!$X$15='Crop N Graphing'!A78,'Crop N Graphing'!F78,-50)</f>
        <v>-50</v>
      </c>
    </row>
    <row r="79" spans="1:12" x14ac:dyDescent="0.25">
      <c r="A79" s="1">
        <v>76</v>
      </c>
      <c r="B79" s="1">
        <f>VLOOKUP('Quick Test Mass Balance Tool'!$K$10&amp;'Quick Test Mass Balance Tool'!$K$12,'Crop parameters'!$C$3:$J$509,5,FALSE)</f>
        <v>0.17233999999999999</v>
      </c>
      <c r="C79" s="33">
        <f>VLOOKUP('Quick Test Mass Balance Tool'!$K$10&amp;'Quick Test Mass Balance Tool'!$K$12,'Crop parameters'!$C$3:$J$509,6,FALSE)</f>
        <v>29.87</v>
      </c>
      <c r="D79" s="1">
        <f>VLOOKUP('Quick Test Mass Balance Tool'!$K$10&amp;'Quick Test Mass Balance Tool'!$K$12,'Crop parameters'!$C$3:$J$509,7,FALSE)</f>
        <v>194.6</v>
      </c>
      <c r="E79" s="1">
        <f>VLOOKUP('Quick Test Mass Balance Tool'!$K$10&amp;'Quick Test Mass Balance Tool'!$K$12,'Crop parameters'!$C$3:$J$509,8,FALSE)</f>
        <v>-1.1850000000000001</v>
      </c>
      <c r="F79" s="1">
        <f t="shared" si="5"/>
        <v>193.34639916790505</v>
      </c>
      <c r="G79" s="4">
        <f>VLOOKUP('Quick Test Mass Balance Tool'!$K$10&amp;'Quick Test Mass Balance Tool'!$K$12,'Crop parameters'!$C$3:$J$509,4,FALSE)-F79</f>
        <v>-84.971399167905034</v>
      </c>
      <c r="I79" s="47" t="str">
        <f t="shared" si="4"/>
        <v/>
      </c>
      <c r="J79" s="1" t="str">
        <f t="shared" si="3"/>
        <v/>
      </c>
      <c r="K79" s="1">
        <f>IF(_xlfn.DAYS('Quick Test Mass Balance Tool'!$O$10,'Quick Test Mass Balance Tool'!$K$11)='Crop N Graphing'!A79,'Crop N Graphing'!F79,-50)</f>
        <v>-50</v>
      </c>
      <c r="L79" s="1">
        <f>IF('Quick Test Mass Balance Tool'!$X$15='Crop N Graphing'!A79,'Crop N Graphing'!F79,-50)</f>
        <v>-50</v>
      </c>
    </row>
    <row r="80" spans="1:12" x14ac:dyDescent="0.25">
      <c r="A80" s="1">
        <v>77</v>
      </c>
      <c r="B80" s="1">
        <f>VLOOKUP('Quick Test Mass Balance Tool'!$K$10&amp;'Quick Test Mass Balance Tool'!$K$12,'Crop parameters'!$C$3:$J$509,5,FALSE)</f>
        <v>0.17233999999999999</v>
      </c>
      <c r="C80" s="33">
        <f>VLOOKUP('Quick Test Mass Balance Tool'!$K$10&amp;'Quick Test Mass Balance Tool'!$K$12,'Crop parameters'!$C$3:$J$509,6,FALSE)</f>
        <v>29.87</v>
      </c>
      <c r="D80" s="1">
        <f>VLOOKUP('Quick Test Mass Balance Tool'!$K$10&amp;'Quick Test Mass Balance Tool'!$K$12,'Crop parameters'!$C$3:$J$509,7,FALSE)</f>
        <v>194.6</v>
      </c>
      <c r="E80" s="1">
        <f>VLOOKUP('Quick Test Mass Balance Tool'!$K$10&amp;'Quick Test Mass Balance Tool'!$K$12,'Crop parameters'!$C$3:$J$509,8,FALSE)</f>
        <v>-1.1850000000000001</v>
      </c>
      <c r="F80" s="1">
        <f t="shared" si="5"/>
        <v>193.35725594082749</v>
      </c>
      <c r="G80" s="4">
        <f>VLOOKUP('Quick Test Mass Balance Tool'!$K$10&amp;'Quick Test Mass Balance Tool'!$K$12,'Crop parameters'!$C$3:$J$509,4,FALSE)-F80</f>
        <v>-84.982255940827471</v>
      </c>
      <c r="I80" s="47" t="str">
        <f t="shared" si="4"/>
        <v/>
      </c>
      <c r="J80" s="1" t="str">
        <f t="shared" si="3"/>
        <v/>
      </c>
      <c r="K80" s="1">
        <f>IF(_xlfn.DAYS('Quick Test Mass Balance Tool'!$O$10,'Quick Test Mass Balance Tool'!$K$11)='Crop N Graphing'!A80,'Crop N Graphing'!F80,-50)</f>
        <v>-50</v>
      </c>
      <c r="L80" s="1">
        <f>IF('Quick Test Mass Balance Tool'!$X$15='Crop N Graphing'!A80,'Crop N Graphing'!F80,-50)</f>
        <v>-50</v>
      </c>
    </row>
    <row r="81" spans="1:12" x14ac:dyDescent="0.25">
      <c r="A81" s="1">
        <v>78</v>
      </c>
      <c r="B81" s="1">
        <f>VLOOKUP('Quick Test Mass Balance Tool'!$K$10&amp;'Quick Test Mass Balance Tool'!$K$12,'Crop parameters'!$C$3:$J$509,5,FALSE)</f>
        <v>0.17233999999999999</v>
      </c>
      <c r="C81" s="33">
        <f>VLOOKUP('Quick Test Mass Balance Tool'!$K$10&amp;'Quick Test Mass Balance Tool'!$K$12,'Crop parameters'!$C$3:$J$509,6,FALSE)</f>
        <v>29.87</v>
      </c>
      <c r="D81" s="1">
        <f>VLOOKUP('Quick Test Mass Balance Tool'!$K$10&amp;'Quick Test Mass Balance Tool'!$K$12,'Crop parameters'!$C$3:$J$509,7,FALSE)</f>
        <v>194.6</v>
      </c>
      <c r="E81" s="1">
        <f>VLOOKUP('Quick Test Mass Balance Tool'!$K$10&amp;'Quick Test Mass Balance Tool'!$K$12,'Crop parameters'!$C$3:$J$509,8,FALSE)</f>
        <v>-1.1850000000000001</v>
      </c>
      <c r="F81" s="1">
        <f t="shared" si="5"/>
        <v>193.36639494934158</v>
      </c>
      <c r="G81" s="4">
        <f>VLOOKUP('Quick Test Mass Balance Tool'!$K$10&amp;'Quick Test Mass Balance Tool'!$K$12,'Crop parameters'!$C$3:$J$509,4,FALSE)-F81</f>
        <v>-84.991394949341569</v>
      </c>
      <c r="I81" s="47" t="str">
        <f t="shared" si="4"/>
        <v/>
      </c>
      <c r="J81" s="1" t="str">
        <f t="shared" si="3"/>
        <v/>
      </c>
      <c r="K81" s="1">
        <f>IF(_xlfn.DAYS('Quick Test Mass Balance Tool'!$O$10,'Quick Test Mass Balance Tool'!$K$11)='Crop N Graphing'!A81,'Crop N Graphing'!F81,-50)</f>
        <v>-50</v>
      </c>
      <c r="L81" s="1">
        <f>IF('Quick Test Mass Balance Tool'!$X$15='Crop N Graphing'!A81,'Crop N Graphing'!F81,-50)</f>
        <v>-50</v>
      </c>
    </row>
    <row r="82" spans="1:12" x14ac:dyDescent="0.25">
      <c r="A82" s="1">
        <v>79</v>
      </c>
      <c r="B82" s="1">
        <f>VLOOKUP('Quick Test Mass Balance Tool'!$K$10&amp;'Quick Test Mass Balance Tool'!$K$12,'Crop parameters'!$C$3:$J$509,5,FALSE)</f>
        <v>0.17233999999999999</v>
      </c>
      <c r="C82" s="33">
        <f>VLOOKUP('Quick Test Mass Balance Tool'!$K$10&amp;'Quick Test Mass Balance Tool'!$K$12,'Crop parameters'!$C$3:$J$509,6,FALSE)</f>
        <v>29.87</v>
      </c>
      <c r="D82" s="1">
        <f>VLOOKUP('Quick Test Mass Balance Tool'!$K$10&amp;'Quick Test Mass Balance Tool'!$K$12,'Crop parameters'!$C$3:$J$509,7,FALSE)</f>
        <v>194.6</v>
      </c>
      <c r="E82" s="1">
        <f>VLOOKUP('Quick Test Mass Balance Tool'!$K$10&amp;'Quick Test Mass Balance Tool'!$K$12,'Crop parameters'!$C$3:$J$509,8,FALSE)</f>
        <v>-1.1850000000000001</v>
      </c>
      <c r="F82" s="1">
        <f t="shared" si="5"/>
        <v>193.37408785390505</v>
      </c>
      <c r="G82" s="4">
        <f>VLOOKUP('Quick Test Mass Balance Tool'!$K$10&amp;'Quick Test Mass Balance Tool'!$K$12,'Crop parameters'!$C$3:$J$509,4,FALSE)-F82</f>
        <v>-84.999087853905039</v>
      </c>
      <c r="I82" s="47" t="str">
        <f t="shared" si="4"/>
        <v/>
      </c>
      <c r="J82" s="1" t="str">
        <f t="shared" si="3"/>
        <v/>
      </c>
      <c r="K82" s="1">
        <f>IF(_xlfn.DAYS('Quick Test Mass Balance Tool'!$O$10,'Quick Test Mass Balance Tool'!$K$11)='Crop N Graphing'!A82,'Crop N Graphing'!F82,-50)</f>
        <v>-50</v>
      </c>
      <c r="L82" s="1">
        <f>IF('Quick Test Mass Balance Tool'!$X$15='Crop N Graphing'!A82,'Crop N Graphing'!F82,-50)</f>
        <v>-50</v>
      </c>
    </row>
    <row r="83" spans="1:12" x14ac:dyDescent="0.25">
      <c r="A83" s="1">
        <v>80</v>
      </c>
      <c r="B83" s="1">
        <f>VLOOKUP('Quick Test Mass Balance Tool'!$K$10&amp;'Quick Test Mass Balance Tool'!$K$12,'Crop parameters'!$C$3:$J$509,5,FALSE)</f>
        <v>0.17233999999999999</v>
      </c>
      <c r="C83" s="33">
        <f>VLOOKUP('Quick Test Mass Balance Tool'!$K$10&amp;'Quick Test Mass Balance Tool'!$K$12,'Crop parameters'!$C$3:$J$509,6,FALSE)</f>
        <v>29.87</v>
      </c>
      <c r="D83" s="1">
        <f>VLOOKUP('Quick Test Mass Balance Tool'!$K$10&amp;'Quick Test Mass Balance Tool'!$K$12,'Crop parameters'!$C$3:$J$509,7,FALSE)</f>
        <v>194.6</v>
      </c>
      <c r="E83" s="1">
        <f>VLOOKUP('Quick Test Mass Balance Tool'!$K$10&amp;'Quick Test Mass Balance Tool'!$K$12,'Crop parameters'!$C$3:$J$509,8,FALSE)</f>
        <v>-1.1850000000000001</v>
      </c>
      <c r="F83" s="1">
        <f t="shared" si="5"/>
        <v>193.3805633889871</v>
      </c>
      <c r="G83" s="4">
        <f>VLOOKUP('Quick Test Mass Balance Tool'!$K$10&amp;'Quick Test Mass Balance Tool'!$K$12,'Crop parameters'!$C$3:$J$509,4,FALSE)-F83</f>
        <v>-85.005563388987085</v>
      </c>
      <c r="I83" s="47" t="str">
        <f t="shared" si="4"/>
        <v/>
      </c>
      <c r="J83" s="1" t="str">
        <f t="shared" si="3"/>
        <v/>
      </c>
      <c r="K83" s="1">
        <f>IF(_xlfn.DAYS('Quick Test Mass Balance Tool'!$O$10,'Quick Test Mass Balance Tool'!$K$11)='Crop N Graphing'!A83,'Crop N Graphing'!F83,-50)</f>
        <v>-50</v>
      </c>
      <c r="L83" s="1">
        <f>IF('Quick Test Mass Balance Tool'!$X$15='Crop N Graphing'!A83,'Crop N Graphing'!F83,-50)</f>
        <v>-50</v>
      </c>
    </row>
    <row r="84" spans="1:12" x14ac:dyDescent="0.25">
      <c r="A84" s="1">
        <v>81</v>
      </c>
      <c r="B84" s="1">
        <f>VLOOKUP('Quick Test Mass Balance Tool'!$K$10&amp;'Quick Test Mass Balance Tool'!$K$12,'Crop parameters'!$C$3:$J$509,5,FALSE)</f>
        <v>0.17233999999999999</v>
      </c>
      <c r="C84" s="33">
        <f>VLOOKUP('Quick Test Mass Balance Tool'!$K$10&amp;'Quick Test Mass Balance Tool'!$K$12,'Crop parameters'!$C$3:$J$509,6,FALSE)</f>
        <v>29.87</v>
      </c>
      <c r="D84" s="1">
        <f>VLOOKUP('Quick Test Mass Balance Tool'!$K$10&amp;'Quick Test Mass Balance Tool'!$K$12,'Crop parameters'!$C$3:$J$509,7,FALSE)</f>
        <v>194.6</v>
      </c>
      <c r="E84" s="1">
        <f>VLOOKUP('Quick Test Mass Balance Tool'!$K$10&amp;'Quick Test Mass Balance Tool'!$K$12,'Crop parameters'!$C$3:$J$509,8,FALSE)</f>
        <v>-1.1850000000000001</v>
      </c>
      <c r="F84" s="1">
        <f t="shared" si="5"/>
        <v>193.38601413531097</v>
      </c>
      <c r="G84" s="4">
        <f>VLOOKUP('Quick Test Mass Balance Tool'!$K$10&amp;'Quick Test Mass Balance Tool'!$K$12,'Crop parameters'!$C$3:$J$509,4,FALSE)-F84</f>
        <v>-85.011014135310958</v>
      </c>
      <c r="I84" s="47" t="str">
        <f t="shared" si="4"/>
        <v/>
      </c>
      <c r="J84" s="1" t="str">
        <f t="shared" si="3"/>
        <v/>
      </c>
      <c r="K84" s="1">
        <f>IF(_xlfn.DAYS('Quick Test Mass Balance Tool'!$O$10,'Quick Test Mass Balance Tool'!$K$11)='Crop N Graphing'!A84,'Crop N Graphing'!F84,-50)</f>
        <v>-50</v>
      </c>
      <c r="L84" s="1">
        <f>IF('Quick Test Mass Balance Tool'!$X$15='Crop N Graphing'!A84,'Crop N Graphing'!F84,-50)</f>
        <v>-50</v>
      </c>
    </row>
    <row r="85" spans="1:12" x14ac:dyDescent="0.25">
      <c r="A85" s="1">
        <v>82</v>
      </c>
      <c r="B85" s="1">
        <f>VLOOKUP('Quick Test Mass Balance Tool'!$K$10&amp;'Quick Test Mass Balance Tool'!$K$12,'Crop parameters'!$C$3:$J$509,5,FALSE)</f>
        <v>0.17233999999999999</v>
      </c>
      <c r="C85" s="33">
        <f>VLOOKUP('Quick Test Mass Balance Tool'!$K$10&amp;'Quick Test Mass Balance Tool'!$K$12,'Crop parameters'!$C$3:$J$509,6,FALSE)</f>
        <v>29.87</v>
      </c>
      <c r="D85" s="1">
        <f>VLOOKUP('Quick Test Mass Balance Tool'!$K$10&amp;'Quick Test Mass Balance Tool'!$K$12,'Crop parameters'!$C$3:$J$509,7,FALSE)</f>
        <v>194.6</v>
      </c>
      <c r="E85" s="1">
        <f>VLOOKUP('Quick Test Mass Balance Tool'!$K$10&amp;'Quick Test Mass Balance Tool'!$K$12,'Crop parameters'!$C$3:$J$509,8,FALSE)</f>
        <v>-1.1850000000000001</v>
      </c>
      <c r="F85" s="1">
        <f t="shared" si="5"/>
        <v>193.39060222677384</v>
      </c>
      <c r="G85" s="4">
        <f>VLOOKUP('Quick Test Mass Balance Tool'!$K$10&amp;'Quick Test Mass Balance Tool'!$K$12,'Crop parameters'!$C$3:$J$509,4,FALSE)-F85</f>
        <v>-85.015602226773822</v>
      </c>
      <c r="I85" s="47" t="str">
        <f t="shared" si="4"/>
        <v/>
      </c>
      <c r="J85" s="1" t="str">
        <f t="shared" si="3"/>
        <v/>
      </c>
      <c r="K85" s="1">
        <f>IF(_xlfn.DAYS('Quick Test Mass Balance Tool'!$O$10,'Quick Test Mass Balance Tool'!$K$11)='Crop N Graphing'!A85,'Crop N Graphing'!F85,-50)</f>
        <v>-50</v>
      </c>
      <c r="L85" s="1">
        <f>IF('Quick Test Mass Balance Tool'!$X$15='Crop N Graphing'!A85,'Crop N Graphing'!F85,-50)</f>
        <v>-50</v>
      </c>
    </row>
    <row r="86" spans="1:12" x14ac:dyDescent="0.25">
      <c r="A86" s="1">
        <v>83</v>
      </c>
      <c r="B86" s="1">
        <f>VLOOKUP('Quick Test Mass Balance Tool'!$K$10&amp;'Quick Test Mass Balance Tool'!$K$12,'Crop parameters'!$C$3:$J$509,5,FALSE)</f>
        <v>0.17233999999999999</v>
      </c>
      <c r="C86" s="33">
        <f>VLOOKUP('Quick Test Mass Balance Tool'!$K$10&amp;'Quick Test Mass Balance Tool'!$K$12,'Crop parameters'!$C$3:$J$509,6,FALSE)</f>
        <v>29.87</v>
      </c>
      <c r="D86" s="1">
        <f>VLOOKUP('Quick Test Mass Balance Tool'!$K$10&amp;'Quick Test Mass Balance Tool'!$K$12,'Crop parameters'!$C$3:$J$509,7,FALSE)</f>
        <v>194.6</v>
      </c>
      <c r="E86" s="1">
        <f>VLOOKUP('Quick Test Mass Balance Tool'!$K$10&amp;'Quick Test Mass Balance Tool'!$K$12,'Crop parameters'!$C$3:$J$509,8,FALSE)</f>
        <v>-1.1850000000000001</v>
      </c>
      <c r="F86" s="1">
        <f t="shared" si="5"/>
        <v>193.39446415871964</v>
      </c>
      <c r="G86" s="4">
        <f>VLOOKUP('Quick Test Mass Balance Tool'!$K$10&amp;'Quick Test Mass Balance Tool'!$K$12,'Crop parameters'!$C$3:$J$509,4,FALSE)-F86</f>
        <v>-85.019464158719629</v>
      </c>
      <c r="I86" s="47" t="str">
        <f t="shared" si="4"/>
        <v/>
      </c>
      <c r="J86" s="1" t="str">
        <f t="shared" si="3"/>
        <v/>
      </c>
      <c r="K86" s="1">
        <f>IF(_xlfn.DAYS('Quick Test Mass Balance Tool'!$O$10,'Quick Test Mass Balance Tool'!$K$11)='Crop N Graphing'!A86,'Crop N Graphing'!F86,-50)</f>
        <v>-50</v>
      </c>
      <c r="L86" s="1">
        <f>IF('Quick Test Mass Balance Tool'!$X$15='Crop N Graphing'!A86,'Crop N Graphing'!F86,-50)</f>
        <v>-50</v>
      </c>
    </row>
    <row r="87" spans="1:12" x14ac:dyDescent="0.25">
      <c r="A87" s="1">
        <v>84</v>
      </c>
      <c r="B87" s="1">
        <f>VLOOKUP('Quick Test Mass Balance Tool'!$K$10&amp;'Quick Test Mass Balance Tool'!$K$12,'Crop parameters'!$C$3:$J$509,5,FALSE)</f>
        <v>0.17233999999999999</v>
      </c>
      <c r="C87" s="33">
        <f>VLOOKUP('Quick Test Mass Balance Tool'!$K$10&amp;'Quick Test Mass Balance Tool'!$K$12,'Crop parameters'!$C$3:$J$509,6,FALSE)</f>
        <v>29.87</v>
      </c>
      <c r="D87" s="1">
        <f>VLOOKUP('Quick Test Mass Balance Tool'!$K$10&amp;'Quick Test Mass Balance Tool'!$K$12,'Crop parameters'!$C$3:$J$509,7,FALSE)</f>
        <v>194.6</v>
      </c>
      <c r="E87" s="1">
        <f>VLOOKUP('Quick Test Mass Balance Tool'!$K$10&amp;'Quick Test Mass Balance Tool'!$K$12,'Crop parameters'!$C$3:$J$509,8,FALSE)</f>
        <v>-1.1850000000000001</v>
      </c>
      <c r="F87" s="1">
        <f t="shared" si="5"/>
        <v>193.39771483843018</v>
      </c>
      <c r="G87" s="4">
        <f>VLOOKUP('Quick Test Mass Balance Tool'!$K$10&amp;'Quick Test Mass Balance Tool'!$K$12,'Crop parameters'!$C$3:$J$509,4,FALSE)-F87</f>
        <v>-85.022714838430161</v>
      </c>
      <c r="I87" s="47" t="str">
        <f t="shared" si="4"/>
        <v/>
      </c>
      <c r="J87" s="1" t="str">
        <f t="shared" si="3"/>
        <v/>
      </c>
      <c r="K87" s="1">
        <f>IF(_xlfn.DAYS('Quick Test Mass Balance Tool'!$O$10,'Quick Test Mass Balance Tool'!$K$11)='Crop N Graphing'!A87,'Crop N Graphing'!F87,-50)</f>
        <v>-50</v>
      </c>
      <c r="L87" s="1">
        <f>IF('Quick Test Mass Balance Tool'!$X$15='Crop N Graphing'!A87,'Crop N Graphing'!F87,-50)</f>
        <v>-50</v>
      </c>
    </row>
    <row r="88" spans="1:12" x14ac:dyDescent="0.25">
      <c r="A88" s="1">
        <v>85</v>
      </c>
      <c r="B88" s="1">
        <f>VLOOKUP('Quick Test Mass Balance Tool'!$K$10&amp;'Quick Test Mass Balance Tool'!$K$12,'Crop parameters'!$C$3:$J$509,5,FALSE)</f>
        <v>0.17233999999999999</v>
      </c>
      <c r="C88" s="33">
        <f>VLOOKUP('Quick Test Mass Balance Tool'!$K$10&amp;'Quick Test Mass Balance Tool'!$K$12,'Crop parameters'!$C$3:$J$509,6,FALSE)</f>
        <v>29.87</v>
      </c>
      <c r="D88" s="1">
        <f>VLOOKUP('Quick Test Mass Balance Tool'!$K$10&amp;'Quick Test Mass Balance Tool'!$K$12,'Crop parameters'!$C$3:$J$509,7,FALSE)</f>
        <v>194.6</v>
      </c>
      <c r="E88" s="1">
        <f>VLOOKUP('Quick Test Mass Balance Tool'!$K$10&amp;'Quick Test Mass Balance Tool'!$K$12,'Crop parameters'!$C$3:$J$509,8,FALSE)</f>
        <v>-1.1850000000000001</v>
      </c>
      <c r="F88" s="1">
        <f t="shared" si="5"/>
        <v>193.40045099680546</v>
      </c>
      <c r="G88" s="4">
        <f>VLOOKUP('Quick Test Mass Balance Tool'!$K$10&amp;'Quick Test Mass Balance Tool'!$K$12,'Crop parameters'!$C$3:$J$509,4,FALSE)-F88</f>
        <v>-85.025450996805446</v>
      </c>
      <c r="I88" s="47" t="str">
        <f t="shared" si="4"/>
        <v/>
      </c>
      <c r="J88" s="1" t="str">
        <f t="shared" si="3"/>
        <v/>
      </c>
      <c r="K88" s="1">
        <f>IF(_xlfn.DAYS('Quick Test Mass Balance Tool'!$O$10,'Quick Test Mass Balance Tool'!$K$11)='Crop N Graphing'!A88,'Crop N Graphing'!F88,-50)</f>
        <v>-50</v>
      </c>
      <c r="L88" s="1">
        <f>IF('Quick Test Mass Balance Tool'!$X$15='Crop N Graphing'!A88,'Crop N Graphing'!F88,-50)</f>
        <v>-50</v>
      </c>
    </row>
    <row r="89" spans="1:12" x14ac:dyDescent="0.25">
      <c r="A89" s="1">
        <v>86</v>
      </c>
      <c r="B89" s="1">
        <f>VLOOKUP('Quick Test Mass Balance Tool'!$K$10&amp;'Quick Test Mass Balance Tool'!$K$12,'Crop parameters'!$C$3:$J$509,5,FALSE)</f>
        <v>0.17233999999999999</v>
      </c>
      <c r="C89" s="33">
        <f>VLOOKUP('Quick Test Mass Balance Tool'!$K$10&amp;'Quick Test Mass Balance Tool'!$K$12,'Crop parameters'!$C$3:$J$509,6,FALSE)</f>
        <v>29.87</v>
      </c>
      <c r="D89" s="1">
        <f>VLOOKUP('Quick Test Mass Balance Tool'!$K$10&amp;'Quick Test Mass Balance Tool'!$K$12,'Crop parameters'!$C$3:$J$509,7,FALSE)</f>
        <v>194.6</v>
      </c>
      <c r="E89" s="1">
        <f>VLOOKUP('Quick Test Mass Balance Tool'!$K$10&amp;'Quick Test Mass Balance Tool'!$K$12,'Crop parameters'!$C$3:$J$509,8,FALSE)</f>
        <v>-1.1850000000000001</v>
      </c>
      <c r="F89" s="1">
        <f t="shared" si="5"/>
        <v>193.40275406165932</v>
      </c>
      <c r="G89" s="4">
        <f>VLOOKUP('Quick Test Mass Balance Tool'!$K$10&amp;'Quick Test Mass Balance Tool'!$K$12,'Crop parameters'!$C$3:$J$509,4,FALSE)-F89</f>
        <v>-85.027754061659309</v>
      </c>
      <c r="I89" s="47" t="str">
        <f t="shared" si="4"/>
        <v/>
      </c>
      <c r="J89" s="1" t="str">
        <f t="shared" si="3"/>
        <v/>
      </c>
      <c r="K89" s="1">
        <f>IF(_xlfn.DAYS('Quick Test Mass Balance Tool'!$O$10,'Quick Test Mass Balance Tool'!$K$11)='Crop N Graphing'!A89,'Crop N Graphing'!F89,-50)</f>
        <v>-50</v>
      </c>
      <c r="L89" s="1">
        <f>IF('Quick Test Mass Balance Tool'!$X$15='Crop N Graphing'!A89,'Crop N Graphing'!F89,-50)</f>
        <v>-50</v>
      </c>
    </row>
    <row r="90" spans="1:12" x14ac:dyDescent="0.25">
      <c r="A90" s="1">
        <v>87</v>
      </c>
      <c r="B90" s="1">
        <f>VLOOKUP('Quick Test Mass Balance Tool'!$K$10&amp;'Quick Test Mass Balance Tool'!$K$12,'Crop parameters'!$C$3:$J$509,5,FALSE)</f>
        <v>0.17233999999999999</v>
      </c>
      <c r="C90" s="33">
        <f>VLOOKUP('Quick Test Mass Balance Tool'!$K$10&amp;'Quick Test Mass Balance Tool'!$K$12,'Crop parameters'!$C$3:$J$509,6,FALSE)</f>
        <v>29.87</v>
      </c>
      <c r="D90" s="1">
        <f>VLOOKUP('Quick Test Mass Balance Tool'!$K$10&amp;'Quick Test Mass Balance Tool'!$K$12,'Crop parameters'!$C$3:$J$509,7,FALSE)</f>
        <v>194.6</v>
      </c>
      <c r="E90" s="1">
        <f>VLOOKUP('Quick Test Mass Balance Tool'!$K$10&amp;'Quick Test Mass Balance Tool'!$K$12,'Crop parameters'!$C$3:$J$509,8,FALSE)</f>
        <v>-1.1850000000000001</v>
      </c>
      <c r="F90" s="1">
        <f t="shared" si="5"/>
        <v>193.4046925773626</v>
      </c>
      <c r="G90" s="4">
        <f>VLOOKUP('Quick Test Mass Balance Tool'!$K$10&amp;'Quick Test Mass Balance Tool'!$K$12,'Crop parameters'!$C$3:$J$509,4,FALSE)-F90</f>
        <v>-85.029692577362582</v>
      </c>
      <c r="I90" s="47" t="str">
        <f t="shared" si="4"/>
        <v/>
      </c>
      <c r="J90" s="1" t="str">
        <f t="shared" si="3"/>
        <v/>
      </c>
      <c r="K90" s="1">
        <f>IF(_xlfn.DAYS('Quick Test Mass Balance Tool'!$O$10,'Quick Test Mass Balance Tool'!$K$11)='Crop N Graphing'!A90,'Crop N Graphing'!F90,-50)</f>
        <v>-50</v>
      </c>
      <c r="L90" s="1">
        <f>IF('Quick Test Mass Balance Tool'!$X$15='Crop N Graphing'!A90,'Crop N Graphing'!F90,-50)</f>
        <v>-50</v>
      </c>
    </row>
    <row r="91" spans="1:12" x14ac:dyDescent="0.25">
      <c r="A91" s="1">
        <v>88</v>
      </c>
      <c r="B91" s="1">
        <f>VLOOKUP('Quick Test Mass Balance Tool'!$K$10&amp;'Quick Test Mass Balance Tool'!$K$12,'Crop parameters'!$C$3:$J$509,5,FALSE)</f>
        <v>0.17233999999999999</v>
      </c>
      <c r="C91" s="33">
        <f>VLOOKUP('Quick Test Mass Balance Tool'!$K$10&amp;'Quick Test Mass Balance Tool'!$K$12,'Crop parameters'!$C$3:$J$509,6,FALSE)</f>
        <v>29.87</v>
      </c>
      <c r="D91" s="1">
        <f>VLOOKUP('Quick Test Mass Balance Tool'!$K$10&amp;'Quick Test Mass Balance Tool'!$K$12,'Crop parameters'!$C$3:$J$509,7,FALSE)</f>
        <v>194.6</v>
      </c>
      <c r="E91" s="1">
        <f>VLOOKUP('Quick Test Mass Balance Tool'!$K$10&amp;'Quick Test Mass Balance Tool'!$K$12,'Crop parameters'!$C$3:$J$509,8,FALSE)</f>
        <v>-1.1850000000000001</v>
      </c>
      <c r="F91" s="1">
        <f t="shared" si="5"/>
        <v>193.40632424229767</v>
      </c>
      <c r="G91" s="4">
        <f>VLOOKUP('Quick Test Mass Balance Tool'!$K$10&amp;'Quick Test Mass Balance Tool'!$K$12,'Crop parameters'!$C$3:$J$509,4,FALSE)-F91</f>
        <v>-85.031324242297657</v>
      </c>
      <c r="I91" s="47" t="str">
        <f t="shared" si="4"/>
        <v/>
      </c>
      <c r="J91" s="1" t="str">
        <f t="shared" si="3"/>
        <v/>
      </c>
      <c r="K91" s="1">
        <f>IF(_xlfn.DAYS('Quick Test Mass Balance Tool'!$O$10,'Quick Test Mass Balance Tool'!$K$11)='Crop N Graphing'!A91,'Crop N Graphing'!F91,-50)</f>
        <v>-50</v>
      </c>
      <c r="L91" s="1">
        <f>IF('Quick Test Mass Balance Tool'!$X$15='Crop N Graphing'!A91,'Crop N Graphing'!F91,-50)</f>
        <v>-50</v>
      </c>
    </row>
    <row r="92" spans="1:12" x14ac:dyDescent="0.25">
      <c r="A92" s="1">
        <v>89</v>
      </c>
      <c r="B92" s="1">
        <f>VLOOKUP('Quick Test Mass Balance Tool'!$K$10&amp;'Quick Test Mass Balance Tool'!$K$12,'Crop parameters'!$C$3:$J$509,5,FALSE)</f>
        <v>0.17233999999999999</v>
      </c>
      <c r="C92" s="33">
        <f>VLOOKUP('Quick Test Mass Balance Tool'!$K$10&amp;'Quick Test Mass Balance Tool'!$K$12,'Crop parameters'!$C$3:$J$509,6,FALSE)</f>
        <v>29.87</v>
      </c>
      <c r="D92" s="1">
        <f>VLOOKUP('Quick Test Mass Balance Tool'!$K$10&amp;'Quick Test Mass Balance Tool'!$K$12,'Crop parameters'!$C$3:$J$509,7,FALSE)</f>
        <v>194.6</v>
      </c>
      <c r="E92" s="1">
        <f>VLOOKUP('Quick Test Mass Balance Tool'!$K$10&amp;'Quick Test Mass Balance Tool'!$K$12,'Crop parameters'!$C$3:$J$509,8,FALSE)</f>
        <v>-1.1850000000000001</v>
      </c>
      <c r="F92" s="1">
        <f t="shared" si="5"/>
        <v>193.40769762437733</v>
      </c>
      <c r="G92" s="4">
        <f>VLOOKUP('Quick Test Mass Balance Tool'!$K$10&amp;'Quick Test Mass Balance Tool'!$K$12,'Crop parameters'!$C$3:$J$509,4,FALSE)-F92</f>
        <v>-85.03269762437732</v>
      </c>
      <c r="I92" s="47" t="str">
        <f t="shared" si="4"/>
        <v/>
      </c>
      <c r="J92" s="1" t="str">
        <f t="shared" si="3"/>
        <v/>
      </c>
      <c r="K92" s="1">
        <f>IF(_xlfn.DAYS('Quick Test Mass Balance Tool'!$O$10,'Quick Test Mass Balance Tool'!$K$11)='Crop N Graphing'!A92,'Crop N Graphing'!F92,-50)</f>
        <v>-50</v>
      </c>
      <c r="L92" s="1">
        <f>IF('Quick Test Mass Balance Tool'!$X$15='Crop N Graphing'!A92,'Crop N Graphing'!F92,-50)</f>
        <v>-50</v>
      </c>
    </row>
    <row r="93" spans="1:12" x14ac:dyDescent="0.25">
      <c r="A93" s="1">
        <v>90</v>
      </c>
      <c r="B93" s="1">
        <f>VLOOKUP('Quick Test Mass Balance Tool'!$K$10&amp;'Quick Test Mass Balance Tool'!$K$12,'Crop parameters'!$C$3:$J$509,5,FALSE)</f>
        <v>0.17233999999999999</v>
      </c>
      <c r="C93" s="33">
        <f>VLOOKUP('Quick Test Mass Balance Tool'!$K$10&amp;'Quick Test Mass Balance Tool'!$K$12,'Crop parameters'!$C$3:$J$509,6,FALSE)</f>
        <v>29.87</v>
      </c>
      <c r="D93" s="1">
        <f>VLOOKUP('Quick Test Mass Balance Tool'!$K$10&amp;'Quick Test Mass Balance Tool'!$K$12,'Crop parameters'!$C$3:$J$509,7,FALSE)</f>
        <v>194.6</v>
      </c>
      <c r="E93" s="1">
        <f>VLOOKUP('Quick Test Mass Balance Tool'!$K$10&amp;'Quick Test Mass Balance Tool'!$K$12,'Crop parameters'!$C$3:$J$509,8,FALSE)</f>
        <v>-1.1850000000000001</v>
      </c>
      <c r="F93" s="1">
        <f t="shared" si="5"/>
        <v>193.40885360541554</v>
      </c>
      <c r="G93" s="4">
        <f>VLOOKUP('Quick Test Mass Balance Tool'!$K$10&amp;'Quick Test Mass Balance Tool'!$K$12,'Crop parameters'!$C$3:$J$509,4,FALSE)-F93</f>
        <v>-85.03385360541553</v>
      </c>
      <c r="I93" s="47" t="str">
        <f t="shared" si="4"/>
        <v/>
      </c>
      <c r="J93" s="1" t="str">
        <f t="shared" si="3"/>
        <v/>
      </c>
      <c r="K93" s="1">
        <f>IF(_xlfn.DAYS('Quick Test Mass Balance Tool'!$O$10,'Quick Test Mass Balance Tool'!$K$11)='Crop N Graphing'!A93,'Crop N Graphing'!F93,-50)</f>
        <v>-50</v>
      </c>
      <c r="L93" s="1">
        <f>IF('Quick Test Mass Balance Tool'!$X$15='Crop N Graphing'!A93,'Crop N Graphing'!F93,-50)</f>
        <v>-50</v>
      </c>
    </row>
    <row r="94" spans="1:12" x14ac:dyDescent="0.25">
      <c r="A94" s="1">
        <v>91</v>
      </c>
      <c r="B94" s="1">
        <f>VLOOKUP('Quick Test Mass Balance Tool'!$K$10&amp;'Quick Test Mass Balance Tool'!$K$12,'Crop parameters'!$C$3:$J$509,5,FALSE)</f>
        <v>0.17233999999999999</v>
      </c>
      <c r="C94" s="33">
        <f>VLOOKUP('Quick Test Mass Balance Tool'!$K$10&amp;'Quick Test Mass Balance Tool'!$K$12,'Crop parameters'!$C$3:$J$509,6,FALSE)</f>
        <v>29.87</v>
      </c>
      <c r="D94" s="1">
        <f>VLOOKUP('Quick Test Mass Balance Tool'!$K$10&amp;'Quick Test Mass Balance Tool'!$K$12,'Crop parameters'!$C$3:$J$509,7,FALSE)</f>
        <v>194.6</v>
      </c>
      <c r="E94" s="1">
        <f>VLOOKUP('Quick Test Mass Balance Tool'!$K$10&amp;'Quick Test Mass Balance Tool'!$K$12,'Crop parameters'!$C$3:$J$509,8,FALSE)</f>
        <v>-1.1850000000000001</v>
      </c>
      <c r="F94" s="1">
        <f t="shared" si="5"/>
        <v>193.40982659714959</v>
      </c>
      <c r="G94" s="4">
        <f>VLOOKUP('Quick Test Mass Balance Tool'!$K$10&amp;'Quick Test Mass Balance Tool'!$K$12,'Crop parameters'!$C$3:$J$509,4,FALSE)-F94</f>
        <v>-85.034826597149575</v>
      </c>
      <c r="I94" s="47" t="str">
        <f t="shared" si="4"/>
        <v/>
      </c>
      <c r="J94" s="1" t="str">
        <f t="shared" si="3"/>
        <v/>
      </c>
      <c r="K94" s="1">
        <f>IF(_xlfn.DAYS('Quick Test Mass Balance Tool'!$O$10,'Quick Test Mass Balance Tool'!$K$11)='Crop N Graphing'!A94,'Crop N Graphing'!F94,-50)</f>
        <v>-50</v>
      </c>
      <c r="L94" s="1">
        <f>IF('Quick Test Mass Balance Tool'!$X$15='Crop N Graphing'!A94,'Crop N Graphing'!F94,-50)</f>
        <v>-50</v>
      </c>
    </row>
    <row r="95" spans="1:12" x14ac:dyDescent="0.25">
      <c r="A95" s="1">
        <v>92</v>
      </c>
      <c r="B95" s="1">
        <f>VLOOKUP('Quick Test Mass Balance Tool'!$K$10&amp;'Quick Test Mass Balance Tool'!$K$12,'Crop parameters'!$C$3:$J$509,5,FALSE)</f>
        <v>0.17233999999999999</v>
      </c>
      <c r="C95" s="33">
        <f>VLOOKUP('Quick Test Mass Balance Tool'!$K$10&amp;'Quick Test Mass Balance Tool'!$K$12,'Crop parameters'!$C$3:$J$509,6,FALSE)</f>
        <v>29.87</v>
      </c>
      <c r="D95" s="1">
        <f>VLOOKUP('Quick Test Mass Balance Tool'!$K$10&amp;'Quick Test Mass Balance Tool'!$K$12,'Crop parameters'!$C$3:$J$509,7,FALSE)</f>
        <v>194.6</v>
      </c>
      <c r="E95" s="1">
        <f>VLOOKUP('Quick Test Mass Balance Tool'!$K$10&amp;'Quick Test Mass Balance Tool'!$K$12,'Crop parameters'!$C$3:$J$509,8,FALSE)</f>
        <v>-1.1850000000000001</v>
      </c>
      <c r="F95" s="1">
        <f t="shared" si="5"/>
        <v>193.41064556497301</v>
      </c>
      <c r="G95" s="4">
        <f>VLOOKUP('Quick Test Mass Balance Tool'!$K$10&amp;'Quick Test Mass Balance Tool'!$K$12,'Crop parameters'!$C$3:$J$509,4,FALSE)-F95</f>
        <v>-85.035645564972995</v>
      </c>
      <c r="I95" s="47" t="str">
        <f t="shared" si="4"/>
        <v/>
      </c>
      <c r="J95" s="1" t="str">
        <f t="shared" si="3"/>
        <v/>
      </c>
      <c r="K95" s="1">
        <f>IF(_xlfn.DAYS('Quick Test Mass Balance Tool'!$O$10,'Quick Test Mass Balance Tool'!$K$11)='Crop N Graphing'!A95,'Crop N Graphing'!F95,-50)</f>
        <v>-50</v>
      </c>
      <c r="L95" s="1">
        <f>IF('Quick Test Mass Balance Tool'!$X$15='Crop N Graphing'!A95,'Crop N Graphing'!F95,-50)</f>
        <v>-50</v>
      </c>
    </row>
    <row r="96" spans="1:12" x14ac:dyDescent="0.25">
      <c r="A96" s="1">
        <v>93</v>
      </c>
      <c r="B96" s="1">
        <f>VLOOKUP('Quick Test Mass Balance Tool'!$K$10&amp;'Quick Test Mass Balance Tool'!$K$12,'Crop parameters'!$C$3:$J$509,5,FALSE)</f>
        <v>0.17233999999999999</v>
      </c>
      <c r="C96" s="33">
        <f>VLOOKUP('Quick Test Mass Balance Tool'!$K$10&amp;'Quick Test Mass Balance Tool'!$K$12,'Crop parameters'!$C$3:$J$509,6,FALSE)</f>
        <v>29.87</v>
      </c>
      <c r="D96" s="1">
        <f>VLOOKUP('Quick Test Mass Balance Tool'!$K$10&amp;'Quick Test Mass Balance Tool'!$K$12,'Crop parameters'!$C$3:$J$509,7,FALSE)</f>
        <v>194.6</v>
      </c>
      <c r="E96" s="1">
        <f>VLOOKUP('Quick Test Mass Balance Tool'!$K$10&amp;'Quick Test Mass Balance Tool'!$K$12,'Crop parameters'!$C$3:$J$509,8,FALSE)</f>
        <v>-1.1850000000000001</v>
      </c>
      <c r="F96" s="1">
        <f t="shared" si="5"/>
        <v>193.41133488975825</v>
      </c>
      <c r="G96" s="4">
        <f>VLOOKUP('Quick Test Mass Balance Tool'!$K$10&amp;'Quick Test Mass Balance Tool'!$K$12,'Crop parameters'!$C$3:$J$509,4,FALSE)-F96</f>
        <v>-85.036334889758237</v>
      </c>
      <c r="I96" s="47" t="str">
        <f t="shared" si="4"/>
        <v/>
      </c>
      <c r="J96" s="1" t="str">
        <f t="shared" si="3"/>
        <v/>
      </c>
      <c r="K96" s="1">
        <f>IF(_xlfn.DAYS('Quick Test Mass Balance Tool'!$O$10,'Quick Test Mass Balance Tool'!$K$11)='Crop N Graphing'!A96,'Crop N Graphing'!F96,-50)</f>
        <v>-50</v>
      </c>
      <c r="L96" s="1">
        <f>IF('Quick Test Mass Balance Tool'!$X$15='Crop N Graphing'!A96,'Crop N Graphing'!F96,-50)</f>
        <v>-50</v>
      </c>
    </row>
    <row r="97" spans="1:12" x14ac:dyDescent="0.25">
      <c r="A97" s="1">
        <v>94</v>
      </c>
      <c r="B97" s="1">
        <f>VLOOKUP('Quick Test Mass Balance Tool'!$K$10&amp;'Quick Test Mass Balance Tool'!$K$12,'Crop parameters'!$C$3:$J$509,5,FALSE)</f>
        <v>0.17233999999999999</v>
      </c>
      <c r="C97" s="33">
        <f>VLOOKUP('Quick Test Mass Balance Tool'!$K$10&amp;'Quick Test Mass Balance Tool'!$K$12,'Crop parameters'!$C$3:$J$509,6,FALSE)</f>
        <v>29.87</v>
      </c>
      <c r="D97" s="1">
        <f>VLOOKUP('Quick Test Mass Balance Tool'!$K$10&amp;'Quick Test Mass Balance Tool'!$K$12,'Crop parameters'!$C$3:$J$509,7,FALSE)</f>
        <v>194.6</v>
      </c>
      <c r="E97" s="1">
        <f>VLOOKUP('Quick Test Mass Balance Tool'!$K$10&amp;'Quick Test Mass Balance Tool'!$K$12,'Crop parameters'!$C$3:$J$509,8,FALSE)</f>
        <v>-1.1850000000000001</v>
      </c>
      <c r="F97" s="1">
        <f t="shared" si="5"/>
        <v>193.41191509335468</v>
      </c>
      <c r="G97" s="4">
        <f>VLOOKUP('Quick Test Mass Balance Tool'!$K$10&amp;'Quick Test Mass Balance Tool'!$K$12,'Crop parameters'!$C$3:$J$509,4,FALSE)-F97</f>
        <v>-85.036915093354665</v>
      </c>
      <c r="I97" s="47" t="str">
        <f t="shared" si="4"/>
        <v/>
      </c>
      <c r="J97" s="1" t="str">
        <f t="shared" si="3"/>
        <v/>
      </c>
      <c r="K97" s="1">
        <f>IF(_xlfn.DAYS('Quick Test Mass Balance Tool'!$O$10,'Quick Test Mass Balance Tool'!$K$11)='Crop N Graphing'!A97,'Crop N Graphing'!F97,-50)</f>
        <v>-50</v>
      </c>
      <c r="L97" s="1">
        <f>IF('Quick Test Mass Balance Tool'!$X$15='Crop N Graphing'!A97,'Crop N Graphing'!F97,-50)</f>
        <v>-50</v>
      </c>
    </row>
    <row r="98" spans="1:12" x14ac:dyDescent="0.25">
      <c r="A98" s="1">
        <v>95</v>
      </c>
      <c r="B98" s="1">
        <f>VLOOKUP('Quick Test Mass Balance Tool'!$K$10&amp;'Quick Test Mass Balance Tool'!$K$12,'Crop parameters'!$C$3:$J$509,5,FALSE)</f>
        <v>0.17233999999999999</v>
      </c>
      <c r="C98" s="33">
        <f>VLOOKUP('Quick Test Mass Balance Tool'!$K$10&amp;'Quick Test Mass Balance Tool'!$K$12,'Crop parameters'!$C$3:$J$509,6,FALSE)</f>
        <v>29.87</v>
      </c>
      <c r="D98" s="1">
        <f>VLOOKUP('Quick Test Mass Balance Tool'!$K$10&amp;'Quick Test Mass Balance Tool'!$K$12,'Crop parameters'!$C$3:$J$509,7,FALSE)</f>
        <v>194.6</v>
      </c>
      <c r="E98" s="1">
        <f>VLOOKUP('Quick Test Mass Balance Tool'!$K$10&amp;'Quick Test Mass Balance Tool'!$K$12,'Crop parameters'!$C$3:$J$509,8,FALSE)</f>
        <v>-1.1850000000000001</v>
      </c>
      <c r="F98" s="1">
        <f t="shared" si="5"/>
        <v>193.41240344931236</v>
      </c>
      <c r="G98" s="4">
        <f>VLOOKUP('Quick Test Mass Balance Tool'!$K$10&amp;'Quick Test Mass Balance Tool'!$K$12,'Crop parameters'!$C$3:$J$509,4,FALSE)-F98</f>
        <v>-85.03740344931235</v>
      </c>
      <c r="I98" s="47" t="str">
        <f t="shared" si="4"/>
        <v/>
      </c>
      <c r="J98" s="1" t="str">
        <f t="shared" si="3"/>
        <v/>
      </c>
      <c r="K98" s="1">
        <f>IF(_xlfn.DAYS('Quick Test Mass Balance Tool'!$O$10,'Quick Test Mass Balance Tool'!$K$11)='Crop N Graphing'!A98,'Crop N Graphing'!F98,-50)</f>
        <v>-50</v>
      </c>
      <c r="L98" s="1">
        <f>IF('Quick Test Mass Balance Tool'!$X$15='Crop N Graphing'!A98,'Crop N Graphing'!F98,-50)</f>
        <v>-50</v>
      </c>
    </row>
    <row r="99" spans="1:12" x14ac:dyDescent="0.25">
      <c r="A99" s="1">
        <v>96</v>
      </c>
      <c r="B99" s="1">
        <f>VLOOKUP('Quick Test Mass Balance Tool'!$K$10&amp;'Quick Test Mass Balance Tool'!$K$12,'Crop parameters'!$C$3:$J$509,5,FALSE)</f>
        <v>0.17233999999999999</v>
      </c>
      <c r="C99" s="33">
        <f>VLOOKUP('Quick Test Mass Balance Tool'!$K$10&amp;'Quick Test Mass Balance Tool'!$K$12,'Crop parameters'!$C$3:$J$509,6,FALSE)</f>
        <v>29.87</v>
      </c>
      <c r="D99" s="1">
        <f>VLOOKUP('Quick Test Mass Balance Tool'!$K$10&amp;'Quick Test Mass Balance Tool'!$K$12,'Crop parameters'!$C$3:$J$509,7,FALSE)</f>
        <v>194.6</v>
      </c>
      <c r="E99" s="1">
        <f>VLOOKUP('Quick Test Mass Balance Tool'!$K$10&amp;'Quick Test Mass Balance Tool'!$K$12,'Crop parameters'!$C$3:$J$509,8,FALSE)</f>
        <v>-1.1850000000000001</v>
      </c>
      <c r="F99" s="1">
        <f t="shared" si="5"/>
        <v>193.41281449697831</v>
      </c>
      <c r="G99" s="4">
        <f>VLOOKUP('Quick Test Mass Balance Tool'!$K$10&amp;'Quick Test Mass Balance Tool'!$K$12,'Crop parameters'!$C$3:$J$509,4,FALSE)-F99</f>
        <v>-85.037814496978299</v>
      </c>
      <c r="I99" s="47" t="str">
        <f t="shared" si="4"/>
        <v/>
      </c>
      <c r="J99" s="1" t="str">
        <f t="shared" si="3"/>
        <v/>
      </c>
      <c r="K99" s="1">
        <f>IF(_xlfn.DAYS('Quick Test Mass Balance Tool'!$O$10,'Quick Test Mass Balance Tool'!$K$11)='Crop N Graphing'!A99,'Crop N Graphing'!F99,-50)</f>
        <v>-50</v>
      </c>
      <c r="L99" s="1">
        <f>IF('Quick Test Mass Balance Tool'!$X$15='Crop N Graphing'!A99,'Crop N Graphing'!F99,-50)</f>
        <v>-50</v>
      </c>
    </row>
    <row r="100" spans="1:12" x14ac:dyDescent="0.25">
      <c r="A100" s="1">
        <v>97</v>
      </c>
      <c r="B100" s="1">
        <f>VLOOKUP('Quick Test Mass Balance Tool'!$K$10&amp;'Quick Test Mass Balance Tool'!$K$12,'Crop parameters'!$C$3:$J$509,5,FALSE)</f>
        <v>0.17233999999999999</v>
      </c>
      <c r="C100" s="33">
        <f>VLOOKUP('Quick Test Mass Balance Tool'!$K$10&amp;'Quick Test Mass Balance Tool'!$K$12,'Crop parameters'!$C$3:$J$509,6,FALSE)</f>
        <v>29.87</v>
      </c>
      <c r="D100" s="1">
        <f>VLOOKUP('Quick Test Mass Balance Tool'!$K$10&amp;'Quick Test Mass Balance Tool'!$K$12,'Crop parameters'!$C$3:$J$509,7,FALSE)</f>
        <v>194.6</v>
      </c>
      <c r="E100" s="1">
        <f>VLOOKUP('Quick Test Mass Balance Tool'!$K$10&amp;'Quick Test Mass Balance Tool'!$K$12,'Crop parameters'!$C$3:$J$509,8,FALSE)</f>
        <v>-1.1850000000000001</v>
      </c>
      <c r="F100" s="1">
        <f t="shared" si="5"/>
        <v>193.41316047424633</v>
      </c>
      <c r="G100" s="4">
        <f>VLOOKUP('Quick Test Mass Balance Tool'!$K$10&amp;'Quick Test Mass Balance Tool'!$K$12,'Crop parameters'!$C$3:$J$509,4,FALSE)-F100</f>
        <v>-85.038160474246311</v>
      </c>
      <c r="I100" s="47" t="str">
        <f t="shared" si="4"/>
        <v/>
      </c>
      <c r="J100" s="1" t="str">
        <f t="shared" si="3"/>
        <v/>
      </c>
      <c r="K100" s="1">
        <f>IF(_xlfn.DAYS('Quick Test Mass Balance Tool'!$O$10,'Quick Test Mass Balance Tool'!$K$11)='Crop N Graphing'!A100,'Crop N Graphing'!F100,-50)</f>
        <v>-50</v>
      </c>
      <c r="L100" s="1">
        <f>IF('Quick Test Mass Balance Tool'!$X$15='Crop N Graphing'!A100,'Crop N Graphing'!F100,-50)</f>
        <v>-50</v>
      </c>
    </row>
    <row r="101" spans="1:12" x14ac:dyDescent="0.25">
      <c r="A101" s="1">
        <v>98</v>
      </c>
      <c r="B101" s="1">
        <f>VLOOKUP('Quick Test Mass Balance Tool'!$K$10&amp;'Quick Test Mass Balance Tool'!$K$12,'Crop parameters'!$C$3:$J$509,5,FALSE)</f>
        <v>0.17233999999999999</v>
      </c>
      <c r="C101" s="33">
        <f>VLOOKUP('Quick Test Mass Balance Tool'!$K$10&amp;'Quick Test Mass Balance Tool'!$K$12,'Crop parameters'!$C$3:$J$509,6,FALSE)</f>
        <v>29.87</v>
      </c>
      <c r="D101" s="1">
        <f>VLOOKUP('Quick Test Mass Balance Tool'!$K$10&amp;'Quick Test Mass Balance Tool'!$K$12,'Crop parameters'!$C$3:$J$509,7,FALSE)</f>
        <v>194.6</v>
      </c>
      <c r="E101" s="1">
        <f>VLOOKUP('Quick Test Mass Balance Tool'!$K$10&amp;'Quick Test Mass Balance Tool'!$K$12,'Crop parameters'!$C$3:$J$509,8,FALSE)</f>
        <v>-1.1850000000000001</v>
      </c>
      <c r="F101" s="1">
        <f t="shared" si="5"/>
        <v>193.41345168182679</v>
      </c>
      <c r="G101" s="4">
        <f>VLOOKUP('Quick Test Mass Balance Tool'!$K$10&amp;'Quick Test Mass Balance Tool'!$K$12,'Crop parameters'!$C$3:$J$509,4,FALSE)-F101</f>
        <v>-85.038451681826771</v>
      </c>
      <c r="I101" s="47" t="str">
        <f t="shared" si="4"/>
        <v/>
      </c>
      <c r="J101" s="1" t="str">
        <f t="shared" si="3"/>
        <v/>
      </c>
      <c r="K101" s="1">
        <f>IF(_xlfn.DAYS('Quick Test Mass Balance Tool'!$O$10,'Quick Test Mass Balance Tool'!$K$11)='Crop N Graphing'!A101,'Crop N Graphing'!F101,-50)</f>
        <v>-50</v>
      </c>
      <c r="L101" s="1">
        <f>IF('Quick Test Mass Balance Tool'!$X$15='Crop N Graphing'!A101,'Crop N Graphing'!F101,-50)</f>
        <v>-50</v>
      </c>
    </row>
    <row r="102" spans="1:12" x14ac:dyDescent="0.25">
      <c r="A102" s="1">
        <v>99</v>
      </c>
      <c r="B102" s="1">
        <f>VLOOKUP('Quick Test Mass Balance Tool'!$K$10&amp;'Quick Test Mass Balance Tool'!$K$12,'Crop parameters'!$C$3:$J$509,5,FALSE)</f>
        <v>0.17233999999999999</v>
      </c>
      <c r="C102" s="33">
        <f>VLOOKUP('Quick Test Mass Balance Tool'!$K$10&amp;'Quick Test Mass Balance Tool'!$K$12,'Crop parameters'!$C$3:$J$509,6,FALSE)</f>
        <v>29.87</v>
      </c>
      <c r="D102" s="1">
        <f>VLOOKUP('Quick Test Mass Balance Tool'!$K$10&amp;'Quick Test Mass Balance Tool'!$K$12,'Crop parameters'!$C$3:$J$509,7,FALSE)</f>
        <v>194.6</v>
      </c>
      <c r="E102" s="1">
        <f>VLOOKUP('Quick Test Mass Balance Tool'!$K$10&amp;'Quick Test Mass Balance Tool'!$K$12,'Crop parameters'!$C$3:$J$509,8,FALSE)</f>
        <v>-1.1850000000000001</v>
      </c>
      <c r="F102" s="1">
        <f t="shared" si="5"/>
        <v>193.41369678986948</v>
      </c>
      <c r="G102" s="4">
        <f>VLOOKUP('Quick Test Mass Balance Tool'!$K$10&amp;'Quick Test Mass Balance Tool'!$K$12,'Crop parameters'!$C$3:$J$509,4,FALSE)-F102</f>
        <v>-85.038696789869462</v>
      </c>
      <c r="I102" s="47" t="str">
        <f t="shared" si="4"/>
        <v/>
      </c>
      <c r="J102" s="1" t="str">
        <f t="shared" ref="J102:J165" si="6">IF(G102&lt;0,"",F102)</f>
        <v/>
      </c>
      <c r="K102" s="1">
        <f>IF(_xlfn.DAYS('Quick Test Mass Balance Tool'!$O$10,'Quick Test Mass Balance Tool'!$K$11)='Crop N Graphing'!A102,'Crop N Graphing'!F102,-50)</f>
        <v>-50</v>
      </c>
      <c r="L102" s="1">
        <f>IF('Quick Test Mass Balance Tool'!$X$15='Crop N Graphing'!A102,'Crop N Graphing'!F102,-50)</f>
        <v>-50</v>
      </c>
    </row>
    <row r="103" spans="1:12" x14ac:dyDescent="0.25">
      <c r="A103" s="1">
        <v>100</v>
      </c>
      <c r="B103" s="1">
        <f>VLOOKUP('Quick Test Mass Balance Tool'!$K$10&amp;'Quick Test Mass Balance Tool'!$K$12,'Crop parameters'!$C$3:$J$509,5,FALSE)</f>
        <v>0.17233999999999999</v>
      </c>
      <c r="C103" s="33">
        <f>VLOOKUP('Quick Test Mass Balance Tool'!$K$10&amp;'Quick Test Mass Balance Tool'!$K$12,'Crop parameters'!$C$3:$J$509,6,FALSE)</f>
        <v>29.87</v>
      </c>
      <c r="D103" s="1">
        <f>VLOOKUP('Quick Test Mass Balance Tool'!$K$10&amp;'Quick Test Mass Balance Tool'!$K$12,'Crop parameters'!$C$3:$J$509,7,FALSE)</f>
        <v>194.6</v>
      </c>
      <c r="E103" s="1">
        <f>VLOOKUP('Quick Test Mass Balance Tool'!$K$10&amp;'Quick Test Mass Balance Tool'!$K$12,'Crop parameters'!$C$3:$J$509,8,FALSE)</f>
        <v>-1.1850000000000001</v>
      </c>
      <c r="F103" s="1">
        <f t="shared" si="5"/>
        <v>193.4139030960593</v>
      </c>
      <c r="G103" s="4">
        <f>VLOOKUP('Quick Test Mass Balance Tool'!$K$10&amp;'Quick Test Mass Balance Tool'!$K$12,'Crop parameters'!$C$3:$J$509,4,FALSE)-F103</f>
        <v>-85.038903096059286</v>
      </c>
      <c r="I103" s="47" t="str">
        <f t="shared" si="4"/>
        <v/>
      </c>
      <c r="J103" s="1" t="str">
        <f t="shared" si="6"/>
        <v/>
      </c>
      <c r="K103" s="1">
        <f>IF(_xlfn.DAYS('Quick Test Mass Balance Tool'!$O$10,'Quick Test Mass Balance Tool'!$K$11)='Crop N Graphing'!A103,'Crop N Graphing'!F103,-50)</f>
        <v>-50</v>
      </c>
      <c r="L103" s="1">
        <f>IF('Quick Test Mass Balance Tool'!$X$15='Crop N Graphing'!A103,'Crop N Graphing'!F103,-50)</f>
        <v>-50</v>
      </c>
    </row>
    <row r="104" spans="1:12" x14ac:dyDescent="0.25">
      <c r="A104" s="1">
        <v>101</v>
      </c>
      <c r="B104" s="1">
        <f>VLOOKUP('Quick Test Mass Balance Tool'!$K$10&amp;'Quick Test Mass Balance Tool'!$K$12,'Crop parameters'!$C$3:$J$509,5,FALSE)</f>
        <v>0.17233999999999999</v>
      </c>
      <c r="C104" s="33">
        <f>VLOOKUP('Quick Test Mass Balance Tool'!$K$10&amp;'Quick Test Mass Balance Tool'!$K$12,'Crop parameters'!$C$3:$J$509,6,FALSE)</f>
        <v>29.87</v>
      </c>
      <c r="D104" s="1">
        <f>VLOOKUP('Quick Test Mass Balance Tool'!$K$10&amp;'Quick Test Mass Balance Tool'!$K$12,'Crop parameters'!$C$3:$J$509,7,FALSE)</f>
        <v>194.6</v>
      </c>
      <c r="E104" s="1">
        <f>VLOOKUP('Quick Test Mass Balance Tool'!$K$10&amp;'Quick Test Mass Balance Tool'!$K$12,'Crop parameters'!$C$3:$J$509,8,FALSE)</f>
        <v>-1.1850000000000001</v>
      </c>
      <c r="F104" s="1">
        <f t="shared" si="5"/>
        <v>193.41407674286361</v>
      </c>
      <c r="G104" s="4">
        <f>VLOOKUP('Quick Test Mass Balance Tool'!$K$10&amp;'Quick Test Mass Balance Tool'!$K$12,'Crop parameters'!$C$3:$J$509,4,FALSE)-F104</f>
        <v>-85.0390767428636</v>
      </c>
      <c r="I104" s="47" t="str">
        <f t="shared" si="4"/>
        <v/>
      </c>
      <c r="J104" s="1" t="str">
        <f t="shared" si="6"/>
        <v/>
      </c>
      <c r="K104" s="1">
        <f>IF(_xlfn.DAYS('Quick Test Mass Balance Tool'!$O$10,'Quick Test Mass Balance Tool'!$K$11)='Crop N Graphing'!A104,'Crop N Graphing'!F104,-50)</f>
        <v>-50</v>
      </c>
      <c r="L104" s="1">
        <f>IF('Quick Test Mass Balance Tool'!$X$15='Crop N Graphing'!A104,'Crop N Graphing'!F104,-50)</f>
        <v>-50</v>
      </c>
    </row>
    <row r="105" spans="1:12" x14ac:dyDescent="0.25">
      <c r="A105" s="1">
        <v>102</v>
      </c>
      <c r="B105" s="1">
        <f>VLOOKUP('Quick Test Mass Balance Tool'!$K$10&amp;'Quick Test Mass Balance Tool'!$K$12,'Crop parameters'!$C$3:$J$509,5,FALSE)</f>
        <v>0.17233999999999999</v>
      </c>
      <c r="C105" s="33">
        <f>VLOOKUP('Quick Test Mass Balance Tool'!$K$10&amp;'Quick Test Mass Balance Tool'!$K$12,'Crop parameters'!$C$3:$J$509,6,FALSE)</f>
        <v>29.87</v>
      </c>
      <c r="D105" s="1">
        <f>VLOOKUP('Quick Test Mass Balance Tool'!$K$10&amp;'Quick Test Mass Balance Tool'!$K$12,'Crop parameters'!$C$3:$J$509,7,FALSE)</f>
        <v>194.6</v>
      </c>
      <c r="E105" s="1">
        <f>VLOOKUP('Quick Test Mass Balance Tool'!$K$10&amp;'Quick Test Mass Balance Tool'!$K$12,'Crop parameters'!$C$3:$J$509,8,FALSE)</f>
        <v>-1.1850000000000001</v>
      </c>
      <c r="F105" s="1">
        <f t="shared" si="5"/>
        <v>193.41422290039463</v>
      </c>
      <c r="G105" s="4">
        <f>VLOOKUP('Quick Test Mass Balance Tool'!$K$10&amp;'Quick Test Mass Balance Tool'!$K$12,'Crop parameters'!$C$3:$J$509,4,FALSE)-F105</f>
        <v>-85.03922290039462</v>
      </c>
      <c r="I105" s="47" t="str">
        <f t="shared" si="4"/>
        <v/>
      </c>
      <c r="J105" s="1" t="str">
        <f t="shared" si="6"/>
        <v/>
      </c>
      <c r="K105" s="1">
        <f>IF(_xlfn.DAYS('Quick Test Mass Balance Tool'!$O$10,'Quick Test Mass Balance Tool'!$K$11)='Crop N Graphing'!A105,'Crop N Graphing'!F105,-50)</f>
        <v>-50</v>
      </c>
      <c r="L105" s="1">
        <f>IF('Quick Test Mass Balance Tool'!$X$15='Crop N Graphing'!A105,'Crop N Graphing'!F105,-50)</f>
        <v>-50</v>
      </c>
    </row>
    <row r="106" spans="1:12" x14ac:dyDescent="0.25">
      <c r="A106" s="1">
        <v>103</v>
      </c>
      <c r="B106" s="1">
        <f>VLOOKUP('Quick Test Mass Balance Tool'!$K$10&amp;'Quick Test Mass Balance Tool'!$K$12,'Crop parameters'!$C$3:$J$509,5,FALSE)</f>
        <v>0.17233999999999999</v>
      </c>
      <c r="C106" s="33">
        <f>VLOOKUP('Quick Test Mass Balance Tool'!$K$10&amp;'Quick Test Mass Balance Tool'!$K$12,'Crop parameters'!$C$3:$J$509,6,FALSE)</f>
        <v>29.87</v>
      </c>
      <c r="D106" s="1">
        <f>VLOOKUP('Quick Test Mass Balance Tool'!$K$10&amp;'Quick Test Mass Balance Tool'!$K$12,'Crop parameters'!$C$3:$J$509,7,FALSE)</f>
        <v>194.6</v>
      </c>
      <c r="E106" s="1">
        <f>VLOOKUP('Quick Test Mass Balance Tool'!$K$10&amp;'Quick Test Mass Balance Tool'!$K$12,'Crop parameters'!$C$3:$J$509,8,FALSE)</f>
        <v>-1.1850000000000001</v>
      </c>
      <c r="F106" s="1">
        <f t="shared" si="5"/>
        <v>193.41434592032806</v>
      </c>
      <c r="G106" s="4">
        <f>VLOOKUP('Quick Test Mass Balance Tool'!$K$10&amp;'Quick Test Mass Balance Tool'!$K$12,'Crop parameters'!$C$3:$J$509,4,FALSE)-F106</f>
        <v>-85.039345920328046</v>
      </c>
      <c r="I106" s="47" t="str">
        <f t="shared" si="4"/>
        <v/>
      </c>
      <c r="J106" s="1" t="str">
        <f t="shared" si="6"/>
        <v/>
      </c>
      <c r="K106" s="1">
        <f>IF(_xlfn.DAYS('Quick Test Mass Balance Tool'!$O$10,'Quick Test Mass Balance Tool'!$K$11)='Crop N Graphing'!A106,'Crop N Graphing'!F106,-50)</f>
        <v>-50</v>
      </c>
      <c r="L106" s="1">
        <f>IF('Quick Test Mass Balance Tool'!$X$15='Crop N Graphing'!A106,'Crop N Graphing'!F106,-50)</f>
        <v>-50</v>
      </c>
    </row>
    <row r="107" spans="1:12" x14ac:dyDescent="0.25">
      <c r="A107" s="1">
        <v>104</v>
      </c>
      <c r="B107" s="1">
        <f>VLOOKUP('Quick Test Mass Balance Tool'!$K$10&amp;'Quick Test Mass Balance Tool'!$K$12,'Crop parameters'!$C$3:$J$509,5,FALSE)</f>
        <v>0.17233999999999999</v>
      </c>
      <c r="C107" s="33">
        <f>VLOOKUP('Quick Test Mass Balance Tool'!$K$10&amp;'Quick Test Mass Balance Tool'!$K$12,'Crop parameters'!$C$3:$J$509,6,FALSE)</f>
        <v>29.87</v>
      </c>
      <c r="D107" s="1">
        <f>VLOOKUP('Quick Test Mass Balance Tool'!$K$10&amp;'Quick Test Mass Balance Tool'!$K$12,'Crop parameters'!$C$3:$J$509,7,FALSE)</f>
        <v>194.6</v>
      </c>
      <c r="E107" s="1">
        <f>VLOOKUP('Quick Test Mass Balance Tool'!$K$10&amp;'Quick Test Mass Balance Tool'!$K$12,'Crop parameters'!$C$3:$J$509,8,FALSE)</f>
        <v>-1.1850000000000001</v>
      </c>
      <c r="F107" s="1">
        <f t="shared" si="5"/>
        <v>193.41444946545917</v>
      </c>
      <c r="G107" s="4">
        <f>VLOOKUP('Quick Test Mass Balance Tool'!$K$10&amp;'Quick Test Mass Balance Tool'!$K$12,'Crop parameters'!$C$3:$J$509,4,FALSE)-F107</f>
        <v>-85.039449465459157</v>
      </c>
      <c r="I107" s="47" t="str">
        <f t="shared" si="4"/>
        <v/>
      </c>
      <c r="J107" s="1" t="str">
        <f t="shared" si="6"/>
        <v/>
      </c>
      <c r="K107" s="1">
        <f>IF(_xlfn.DAYS('Quick Test Mass Balance Tool'!$O$10,'Quick Test Mass Balance Tool'!$K$11)='Crop N Graphing'!A107,'Crop N Graphing'!F107,-50)</f>
        <v>-50</v>
      </c>
      <c r="L107" s="1">
        <f>IF('Quick Test Mass Balance Tool'!$X$15='Crop N Graphing'!A107,'Crop N Graphing'!F107,-50)</f>
        <v>-50</v>
      </c>
    </row>
    <row r="108" spans="1:12" x14ac:dyDescent="0.25">
      <c r="A108" s="1">
        <v>105</v>
      </c>
      <c r="B108" s="1">
        <f>VLOOKUP('Quick Test Mass Balance Tool'!$K$10&amp;'Quick Test Mass Balance Tool'!$K$12,'Crop parameters'!$C$3:$J$509,5,FALSE)</f>
        <v>0.17233999999999999</v>
      </c>
      <c r="C108" s="33">
        <f>VLOOKUP('Quick Test Mass Balance Tool'!$K$10&amp;'Quick Test Mass Balance Tool'!$K$12,'Crop parameters'!$C$3:$J$509,6,FALSE)</f>
        <v>29.87</v>
      </c>
      <c r="D108" s="1">
        <f>VLOOKUP('Quick Test Mass Balance Tool'!$K$10&amp;'Quick Test Mass Balance Tool'!$K$12,'Crop parameters'!$C$3:$J$509,7,FALSE)</f>
        <v>194.6</v>
      </c>
      <c r="E108" s="1">
        <f>VLOOKUP('Quick Test Mass Balance Tool'!$K$10&amp;'Quick Test Mass Balance Tool'!$K$12,'Crop parameters'!$C$3:$J$509,8,FALSE)</f>
        <v>-1.1850000000000001</v>
      </c>
      <c r="F108" s="1">
        <f t="shared" si="5"/>
        <v>193.41453661875133</v>
      </c>
      <c r="G108" s="4">
        <f>VLOOKUP('Quick Test Mass Balance Tool'!$K$10&amp;'Quick Test Mass Balance Tool'!$K$12,'Crop parameters'!$C$3:$J$509,4,FALSE)-F108</f>
        <v>-85.039536618751313</v>
      </c>
      <c r="I108" s="47" t="str">
        <f t="shared" si="4"/>
        <v/>
      </c>
      <c r="J108" s="1" t="str">
        <f t="shared" si="6"/>
        <v/>
      </c>
      <c r="K108" s="1">
        <f>IF(_xlfn.DAYS('Quick Test Mass Balance Tool'!$O$10,'Quick Test Mass Balance Tool'!$K$11)='Crop N Graphing'!A108,'Crop N Graphing'!F108,-50)</f>
        <v>-50</v>
      </c>
      <c r="L108" s="1">
        <f>IF('Quick Test Mass Balance Tool'!$X$15='Crop N Graphing'!A108,'Crop N Graphing'!F108,-50)</f>
        <v>-50</v>
      </c>
    </row>
    <row r="109" spans="1:12" x14ac:dyDescent="0.25">
      <c r="A109" s="1">
        <v>106</v>
      </c>
      <c r="B109" s="1">
        <f>VLOOKUP('Quick Test Mass Balance Tool'!$K$10&amp;'Quick Test Mass Balance Tool'!$K$12,'Crop parameters'!$C$3:$J$509,5,FALSE)</f>
        <v>0.17233999999999999</v>
      </c>
      <c r="C109" s="33">
        <f>VLOOKUP('Quick Test Mass Balance Tool'!$K$10&amp;'Quick Test Mass Balance Tool'!$K$12,'Crop parameters'!$C$3:$J$509,6,FALSE)</f>
        <v>29.87</v>
      </c>
      <c r="D109" s="1">
        <f>VLOOKUP('Quick Test Mass Balance Tool'!$K$10&amp;'Quick Test Mass Balance Tool'!$K$12,'Crop parameters'!$C$3:$J$509,7,FALSE)</f>
        <v>194.6</v>
      </c>
      <c r="E109" s="1">
        <f>VLOOKUP('Quick Test Mass Balance Tool'!$K$10&amp;'Quick Test Mass Balance Tool'!$K$12,'Crop parameters'!$C$3:$J$509,8,FALSE)</f>
        <v>-1.1850000000000001</v>
      </c>
      <c r="F109" s="1">
        <f t="shared" si="5"/>
        <v>193.41460997512331</v>
      </c>
      <c r="G109" s="4">
        <f>VLOOKUP('Quick Test Mass Balance Tool'!$K$10&amp;'Quick Test Mass Balance Tool'!$K$12,'Crop parameters'!$C$3:$J$509,4,FALSE)-F109</f>
        <v>-85.039609975123298</v>
      </c>
      <c r="I109" s="47" t="str">
        <f t="shared" si="4"/>
        <v/>
      </c>
      <c r="J109" s="1" t="str">
        <f t="shared" si="6"/>
        <v/>
      </c>
      <c r="K109" s="1">
        <f>IF(_xlfn.DAYS('Quick Test Mass Balance Tool'!$O$10,'Quick Test Mass Balance Tool'!$K$11)='Crop N Graphing'!A109,'Crop N Graphing'!F109,-50)</f>
        <v>-50</v>
      </c>
      <c r="L109" s="1">
        <f>IF('Quick Test Mass Balance Tool'!$X$15='Crop N Graphing'!A109,'Crop N Graphing'!F109,-50)</f>
        <v>-50</v>
      </c>
    </row>
    <row r="110" spans="1:12" x14ac:dyDescent="0.25">
      <c r="A110" s="1">
        <v>107</v>
      </c>
      <c r="B110" s="1">
        <f>VLOOKUP('Quick Test Mass Balance Tool'!$K$10&amp;'Quick Test Mass Balance Tool'!$K$12,'Crop parameters'!$C$3:$J$509,5,FALSE)</f>
        <v>0.17233999999999999</v>
      </c>
      <c r="C110" s="33">
        <f>VLOOKUP('Quick Test Mass Balance Tool'!$K$10&amp;'Quick Test Mass Balance Tool'!$K$12,'Crop parameters'!$C$3:$J$509,6,FALSE)</f>
        <v>29.87</v>
      </c>
      <c r="D110" s="1">
        <f>VLOOKUP('Quick Test Mass Balance Tool'!$K$10&amp;'Quick Test Mass Balance Tool'!$K$12,'Crop parameters'!$C$3:$J$509,7,FALSE)</f>
        <v>194.6</v>
      </c>
      <c r="E110" s="1">
        <f>VLOOKUP('Quick Test Mass Balance Tool'!$K$10&amp;'Quick Test Mass Balance Tool'!$K$12,'Crop parameters'!$C$3:$J$509,8,FALSE)</f>
        <v>-1.1850000000000001</v>
      </c>
      <c r="F110" s="1">
        <f t="shared" si="5"/>
        <v>193.41467171870721</v>
      </c>
      <c r="G110" s="4">
        <f>VLOOKUP('Quick Test Mass Balance Tool'!$K$10&amp;'Quick Test Mass Balance Tool'!$K$12,'Crop parameters'!$C$3:$J$509,4,FALSE)-F110</f>
        <v>-85.039671718707197</v>
      </c>
      <c r="I110" s="47" t="str">
        <f t="shared" si="4"/>
        <v/>
      </c>
      <c r="J110" s="1" t="str">
        <f t="shared" si="6"/>
        <v/>
      </c>
      <c r="K110" s="1">
        <f>IF(_xlfn.DAYS('Quick Test Mass Balance Tool'!$O$10,'Quick Test Mass Balance Tool'!$K$11)='Crop N Graphing'!A110,'Crop N Graphing'!F110,-50)</f>
        <v>-50</v>
      </c>
      <c r="L110" s="1">
        <f>IF('Quick Test Mass Balance Tool'!$X$15='Crop N Graphing'!A110,'Crop N Graphing'!F110,-50)</f>
        <v>-50</v>
      </c>
    </row>
    <row r="111" spans="1:12" x14ac:dyDescent="0.25">
      <c r="A111" s="1">
        <v>108</v>
      </c>
      <c r="B111" s="1">
        <f>VLOOKUP('Quick Test Mass Balance Tool'!$K$10&amp;'Quick Test Mass Balance Tool'!$K$12,'Crop parameters'!$C$3:$J$509,5,FALSE)</f>
        <v>0.17233999999999999</v>
      </c>
      <c r="C111" s="33">
        <f>VLOOKUP('Quick Test Mass Balance Tool'!$K$10&amp;'Quick Test Mass Balance Tool'!$K$12,'Crop parameters'!$C$3:$J$509,6,FALSE)</f>
        <v>29.87</v>
      </c>
      <c r="D111" s="1">
        <f>VLOOKUP('Quick Test Mass Balance Tool'!$K$10&amp;'Quick Test Mass Balance Tool'!$K$12,'Crop parameters'!$C$3:$J$509,7,FALSE)</f>
        <v>194.6</v>
      </c>
      <c r="E111" s="1">
        <f>VLOOKUP('Quick Test Mass Balance Tool'!$K$10&amp;'Quick Test Mass Balance Tool'!$K$12,'Crop parameters'!$C$3:$J$509,8,FALSE)</f>
        <v>-1.1850000000000001</v>
      </c>
      <c r="F111" s="1">
        <f t="shared" si="5"/>
        <v>193.41472368787683</v>
      </c>
      <c r="G111" s="4">
        <f>VLOOKUP('Quick Test Mass Balance Tool'!$K$10&amp;'Quick Test Mass Balance Tool'!$K$12,'Crop parameters'!$C$3:$J$509,4,FALSE)-F111</f>
        <v>-85.039723687876815</v>
      </c>
      <c r="I111" s="47" t="str">
        <f t="shared" si="4"/>
        <v/>
      </c>
      <c r="J111" s="1" t="str">
        <f t="shared" si="6"/>
        <v/>
      </c>
      <c r="K111" s="1">
        <f>IF(_xlfn.DAYS('Quick Test Mass Balance Tool'!$O$10,'Quick Test Mass Balance Tool'!$K$11)='Crop N Graphing'!A111,'Crop N Graphing'!F111,-50)</f>
        <v>-50</v>
      </c>
      <c r="L111" s="1">
        <f>IF('Quick Test Mass Balance Tool'!$X$15='Crop N Graphing'!A111,'Crop N Graphing'!F111,-50)</f>
        <v>-50</v>
      </c>
    </row>
    <row r="112" spans="1:12" x14ac:dyDescent="0.25">
      <c r="A112" s="1">
        <v>109</v>
      </c>
      <c r="B112" s="1">
        <f>VLOOKUP('Quick Test Mass Balance Tool'!$K$10&amp;'Quick Test Mass Balance Tool'!$K$12,'Crop parameters'!$C$3:$J$509,5,FALSE)</f>
        <v>0.17233999999999999</v>
      </c>
      <c r="C112" s="33">
        <f>VLOOKUP('Quick Test Mass Balance Tool'!$K$10&amp;'Quick Test Mass Balance Tool'!$K$12,'Crop parameters'!$C$3:$J$509,6,FALSE)</f>
        <v>29.87</v>
      </c>
      <c r="D112" s="1">
        <f>VLOOKUP('Quick Test Mass Balance Tool'!$K$10&amp;'Quick Test Mass Balance Tool'!$K$12,'Crop parameters'!$C$3:$J$509,7,FALSE)</f>
        <v>194.6</v>
      </c>
      <c r="E112" s="1">
        <f>VLOOKUP('Quick Test Mass Balance Tool'!$K$10&amp;'Quick Test Mass Balance Tool'!$K$12,'Crop parameters'!$C$3:$J$509,8,FALSE)</f>
        <v>-1.1850000000000001</v>
      </c>
      <c r="F112" s="1">
        <f t="shared" si="5"/>
        <v>193.41476742998194</v>
      </c>
      <c r="G112" s="4">
        <f>VLOOKUP('Quick Test Mass Balance Tool'!$K$10&amp;'Quick Test Mass Balance Tool'!$K$12,'Crop parameters'!$C$3:$J$509,4,FALSE)-F112</f>
        <v>-85.039767429981922</v>
      </c>
      <c r="I112" s="47" t="str">
        <f t="shared" si="4"/>
        <v/>
      </c>
      <c r="J112" s="1" t="str">
        <f t="shared" si="6"/>
        <v/>
      </c>
      <c r="K112" s="1">
        <f>IF(_xlfn.DAYS('Quick Test Mass Balance Tool'!$O$10,'Quick Test Mass Balance Tool'!$K$11)='Crop N Graphing'!A112,'Crop N Graphing'!F112,-50)</f>
        <v>-50</v>
      </c>
      <c r="L112" s="1">
        <f>IF('Quick Test Mass Balance Tool'!$X$15='Crop N Graphing'!A112,'Crop N Graphing'!F112,-50)</f>
        <v>-50</v>
      </c>
    </row>
    <row r="113" spans="1:12" x14ac:dyDescent="0.25">
      <c r="A113" s="1">
        <v>110</v>
      </c>
      <c r="B113" s="1">
        <f>VLOOKUP('Quick Test Mass Balance Tool'!$K$10&amp;'Quick Test Mass Balance Tool'!$K$12,'Crop parameters'!$C$3:$J$509,5,FALSE)</f>
        <v>0.17233999999999999</v>
      </c>
      <c r="C113" s="33">
        <f>VLOOKUP('Quick Test Mass Balance Tool'!$K$10&amp;'Quick Test Mass Balance Tool'!$K$12,'Crop parameters'!$C$3:$J$509,6,FALSE)</f>
        <v>29.87</v>
      </c>
      <c r="D113" s="1">
        <f>VLOOKUP('Quick Test Mass Balance Tool'!$K$10&amp;'Quick Test Mass Balance Tool'!$K$12,'Crop parameters'!$C$3:$J$509,7,FALSE)</f>
        <v>194.6</v>
      </c>
      <c r="E113" s="1">
        <f>VLOOKUP('Quick Test Mass Balance Tool'!$K$10&amp;'Quick Test Mass Balance Tool'!$K$12,'Crop parameters'!$C$3:$J$509,8,FALSE)</f>
        <v>-1.1850000000000001</v>
      </c>
      <c r="F113" s="1">
        <f t="shared" si="5"/>
        <v>193.41480424741863</v>
      </c>
      <c r="G113" s="4">
        <f>VLOOKUP('Quick Test Mass Balance Tool'!$K$10&amp;'Quick Test Mass Balance Tool'!$K$12,'Crop parameters'!$C$3:$J$509,4,FALSE)-F113</f>
        <v>-85.039804247418616</v>
      </c>
      <c r="I113" s="47" t="str">
        <f t="shared" si="4"/>
        <v/>
      </c>
      <c r="J113" s="1" t="str">
        <f t="shared" si="6"/>
        <v/>
      </c>
      <c r="K113" s="1">
        <f>IF(_xlfn.DAYS('Quick Test Mass Balance Tool'!$O$10,'Quick Test Mass Balance Tool'!$K$11)='Crop N Graphing'!A113,'Crop N Graphing'!F113,-50)</f>
        <v>-50</v>
      </c>
      <c r="L113" s="1">
        <f>IF('Quick Test Mass Balance Tool'!$X$15='Crop N Graphing'!A113,'Crop N Graphing'!F113,-50)</f>
        <v>-50</v>
      </c>
    </row>
    <row r="114" spans="1:12" x14ac:dyDescent="0.25">
      <c r="A114" s="1">
        <v>111</v>
      </c>
      <c r="B114" s="1">
        <f>VLOOKUP('Quick Test Mass Balance Tool'!$K$10&amp;'Quick Test Mass Balance Tool'!$K$12,'Crop parameters'!$C$3:$J$509,5,FALSE)</f>
        <v>0.17233999999999999</v>
      </c>
      <c r="C114" s="33">
        <f>VLOOKUP('Quick Test Mass Balance Tool'!$K$10&amp;'Quick Test Mass Balance Tool'!$K$12,'Crop parameters'!$C$3:$J$509,6,FALSE)</f>
        <v>29.87</v>
      </c>
      <c r="D114" s="1">
        <f>VLOOKUP('Quick Test Mass Balance Tool'!$K$10&amp;'Quick Test Mass Balance Tool'!$K$12,'Crop parameters'!$C$3:$J$509,7,FALSE)</f>
        <v>194.6</v>
      </c>
      <c r="E114" s="1">
        <f>VLOOKUP('Quick Test Mass Balance Tool'!$K$10&amp;'Quick Test Mass Balance Tool'!$K$12,'Crop parameters'!$C$3:$J$509,8,FALSE)</f>
        <v>-1.1850000000000001</v>
      </c>
      <c r="F114" s="1">
        <f t="shared" si="5"/>
        <v>193.4148352364063</v>
      </c>
      <c r="G114" s="4">
        <f>VLOOKUP('Quick Test Mass Balance Tool'!$K$10&amp;'Quick Test Mass Balance Tool'!$K$12,'Crop parameters'!$C$3:$J$509,4,FALSE)-F114</f>
        <v>-85.03983523640629</v>
      </c>
      <c r="I114" s="47" t="str">
        <f t="shared" si="4"/>
        <v/>
      </c>
      <c r="J114" s="1" t="str">
        <f t="shared" si="6"/>
        <v/>
      </c>
      <c r="K114" s="1">
        <f>IF(_xlfn.DAYS('Quick Test Mass Balance Tool'!$O$10,'Quick Test Mass Balance Tool'!$K$11)='Crop N Graphing'!A114,'Crop N Graphing'!F114,-50)</f>
        <v>-50</v>
      </c>
      <c r="L114" s="1">
        <f>IF('Quick Test Mass Balance Tool'!$X$15='Crop N Graphing'!A114,'Crop N Graphing'!F114,-50)</f>
        <v>-50</v>
      </c>
    </row>
    <row r="115" spans="1:12" x14ac:dyDescent="0.25">
      <c r="A115" s="1">
        <v>112</v>
      </c>
      <c r="B115" s="1">
        <f>VLOOKUP('Quick Test Mass Balance Tool'!$K$10&amp;'Quick Test Mass Balance Tool'!$K$12,'Crop parameters'!$C$3:$J$509,5,FALSE)</f>
        <v>0.17233999999999999</v>
      </c>
      <c r="C115" s="33">
        <f>VLOOKUP('Quick Test Mass Balance Tool'!$K$10&amp;'Quick Test Mass Balance Tool'!$K$12,'Crop parameters'!$C$3:$J$509,6,FALSE)</f>
        <v>29.87</v>
      </c>
      <c r="D115" s="1">
        <f>VLOOKUP('Quick Test Mass Balance Tool'!$K$10&amp;'Quick Test Mass Balance Tool'!$K$12,'Crop parameters'!$C$3:$J$509,7,FALSE)</f>
        <v>194.6</v>
      </c>
      <c r="E115" s="1">
        <f>VLOOKUP('Quick Test Mass Balance Tool'!$K$10&amp;'Quick Test Mass Balance Tool'!$K$12,'Crop parameters'!$C$3:$J$509,8,FALSE)</f>
        <v>-1.1850000000000001</v>
      </c>
      <c r="F115" s="1">
        <f t="shared" si="5"/>
        <v>193.41486131962637</v>
      </c>
      <c r="G115" s="4">
        <f>VLOOKUP('Quick Test Mass Balance Tool'!$K$10&amp;'Quick Test Mass Balance Tool'!$K$12,'Crop parameters'!$C$3:$J$509,4,FALSE)-F115</f>
        <v>-85.039861319626354</v>
      </c>
      <c r="I115" s="47" t="str">
        <f t="shared" si="4"/>
        <v/>
      </c>
      <c r="J115" s="1" t="str">
        <f t="shared" si="6"/>
        <v/>
      </c>
      <c r="K115" s="1">
        <f>IF(_xlfn.DAYS('Quick Test Mass Balance Tool'!$O$10,'Quick Test Mass Balance Tool'!$K$11)='Crop N Graphing'!A115,'Crop N Graphing'!F115,-50)</f>
        <v>-50</v>
      </c>
      <c r="L115" s="1">
        <f>IF('Quick Test Mass Balance Tool'!$X$15='Crop N Graphing'!A115,'Crop N Graphing'!F115,-50)</f>
        <v>-50</v>
      </c>
    </row>
    <row r="116" spans="1:12" x14ac:dyDescent="0.25">
      <c r="A116" s="1">
        <v>113</v>
      </c>
      <c r="B116" s="1">
        <f>VLOOKUP('Quick Test Mass Balance Tool'!$K$10&amp;'Quick Test Mass Balance Tool'!$K$12,'Crop parameters'!$C$3:$J$509,5,FALSE)</f>
        <v>0.17233999999999999</v>
      </c>
      <c r="C116" s="33">
        <f>VLOOKUP('Quick Test Mass Balance Tool'!$K$10&amp;'Quick Test Mass Balance Tool'!$K$12,'Crop parameters'!$C$3:$J$509,6,FALSE)</f>
        <v>29.87</v>
      </c>
      <c r="D116" s="1">
        <f>VLOOKUP('Quick Test Mass Balance Tool'!$K$10&amp;'Quick Test Mass Balance Tool'!$K$12,'Crop parameters'!$C$3:$J$509,7,FALSE)</f>
        <v>194.6</v>
      </c>
      <c r="E116" s="1">
        <f>VLOOKUP('Quick Test Mass Balance Tool'!$K$10&amp;'Quick Test Mass Balance Tool'!$K$12,'Crop parameters'!$C$3:$J$509,8,FALSE)</f>
        <v>-1.1850000000000001</v>
      </c>
      <c r="F116" s="1">
        <f t="shared" si="5"/>
        <v>193.41488327369419</v>
      </c>
      <c r="G116" s="4">
        <f>VLOOKUP('Quick Test Mass Balance Tool'!$K$10&amp;'Quick Test Mass Balance Tool'!$K$12,'Crop parameters'!$C$3:$J$509,4,FALSE)-F116</f>
        <v>-85.039883273694173</v>
      </c>
      <c r="I116" s="47" t="str">
        <f t="shared" si="4"/>
        <v/>
      </c>
      <c r="J116" s="1" t="str">
        <f>IF(G116&lt;0,"",F116)</f>
        <v/>
      </c>
      <c r="K116" s="1">
        <f>IF(_xlfn.DAYS('Quick Test Mass Balance Tool'!$O$10,'Quick Test Mass Balance Tool'!$K$11)='Crop N Graphing'!A116,'Crop N Graphing'!F116,-50)</f>
        <v>-50</v>
      </c>
      <c r="L116" s="1">
        <f>IF('Quick Test Mass Balance Tool'!$X$15='Crop N Graphing'!A116,'Crop N Graphing'!F116,-50)</f>
        <v>-50</v>
      </c>
    </row>
    <row r="117" spans="1:12" x14ac:dyDescent="0.25">
      <c r="A117" s="1">
        <v>114</v>
      </c>
      <c r="B117" s="1">
        <f>VLOOKUP('Quick Test Mass Balance Tool'!$K$10&amp;'Quick Test Mass Balance Tool'!$K$12,'Crop parameters'!$C$3:$J$509,5,FALSE)</f>
        <v>0.17233999999999999</v>
      </c>
      <c r="C117" s="33">
        <f>VLOOKUP('Quick Test Mass Balance Tool'!$K$10&amp;'Quick Test Mass Balance Tool'!$K$12,'Crop parameters'!$C$3:$J$509,6,FALSE)</f>
        <v>29.87</v>
      </c>
      <c r="D117" s="1">
        <f>VLOOKUP('Quick Test Mass Balance Tool'!$K$10&amp;'Quick Test Mass Balance Tool'!$K$12,'Crop parameters'!$C$3:$J$509,7,FALSE)</f>
        <v>194.6</v>
      </c>
      <c r="E117" s="1">
        <f>VLOOKUP('Quick Test Mass Balance Tool'!$K$10&amp;'Quick Test Mass Balance Tool'!$K$12,'Crop parameters'!$C$3:$J$509,8,FALSE)</f>
        <v>-1.1850000000000001</v>
      </c>
      <c r="F117" s="1">
        <f t="shared" si="5"/>
        <v>193.41490175228213</v>
      </c>
      <c r="G117" s="4">
        <f>VLOOKUP('Quick Test Mass Balance Tool'!$K$10&amp;'Quick Test Mass Balance Tool'!$K$12,'Crop parameters'!$C$3:$J$509,4,FALSE)-F117</f>
        <v>-85.03990175228212</v>
      </c>
      <c r="I117" s="47" t="str">
        <f t="shared" si="4"/>
        <v/>
      </c>
      <c r="J117" s="1" t="str">
        <f t="shared" si="6"/>
        <v/>
      </c>
      <c r="K117" s="1">
        <f>IF(_xlfn.DAYS('Quick Test Mass Balance Tool'!$O$10,'Quick Test Mass Balance Tool'!$K$11)='Crop N Graphing'!A117,'Crop N Graphing'!F117,-50)</f>
        <v>-50</v>
      </c>
      <c r="L117" s="1">
        <f>IF('Quick Test Mass Balance Tool'!$X$15='Crop N Graphing'!A117,'Crop N Graphing'!F117,-50)</f>
        <v>-50</v>
      </c>
    </row>
    <row r="118" spans="1:12" x14ac:dyDescent="0.25">
      <c r="A118" s="1">
        <v>115</v>
      </c>
      <c r="B118" s="1">
        <f>VLOOKUP('Quick Test Mass Balance Tool'!$K$10&amp;'Quick Test Mass Balance Tool'!$K$12,'Crop parameters'!$C$3:$J$509,5,FALSE)</f>
        <v>0.17233999999999999</v>
      </c>
      <c r="C118" s="33">
        <f>VLOOKUP('Quick Test Mass Balance Tool'!$K$10&amp;'Quick Test Mass Balance Tool'!$K$12,'Crop parameters'!$C$3:$J$509,6,FALSE)</f>
        <v>29.87</v>
      </c>
      <c r="D118" s="1">
        <f>VLOOKUP('Quick Test Mass Balance Tool'!$K$10&amp;'Quick Test Mass Balance Tool'!$K$12,'Crop parameters'!$C$3:$J$509,7,FALSE)</f>
        <v>194.6</v>
      </c>
      <c r="E118" s="1">
        <f>VLOOKUP('Quick Test Mass Balance Tool'!$K$10&amp;'Quick Test Mass Balance Tool'!$K$12,'Crop parameters'!$C$3:$J$509,8,FALSE)</f>
        <v>-1.1850000000000001</v>
      </c>
      <c r="F118" s="1">
        <f>IF((E118+D118/(1+EXP(-B118*(A118-C118))))&lt;0,0,E118+D118/(1+EXP(-B118*(A118-C118))))</f>
        <v>193.41491730558201</v>
      </c>
      <c r="G118" s="4">
        <f>VLOOKUP('Quick Test Mass Balance Tool'!$K$10&amp;'Quick Test Mass Balance Tool'!$K$12,'Crop parameters'!$C$3:$J$509,4,FALSE)-F118</f>
        <v>-85.039917305581994</v>
      </c>
      <c r="I118" s="47" t="str">
        <f t="shared" si="4"/>
        <v/>
      </c>
      <c r="J118" s="1" t="str">
        <f t="shared" si="6"/>
        <v/>
      </c>
      <c r="K118" s="1">
        <f>IF(_xlfn.DAYS('Quick Test Mass Balance Tool'!$O$10,'Quick Test Mass Balance Tool'!$K$11)='Crop N Graphing'!A118,'Crop N Graphing'!F118,-50)</f>
        <v>-50</v>
      </c>
      <c r="L118" s="1">
        <f>IF('Quick Test Mass Balance Tool'!$X$15='Crop N Graphing'!A118,'Crop N Graphing'!F118,-50)</f>
        <v>-50</v>
      </c>
    </row>
    <row r="119" spans="1:12" x14ac:dyDescent="0.25">
      <c r="A119" s="1">
        <v>116</v>
      </c>
      <c r="B119" s="1">
        <f>VLOOKUP('Quick Test Mass Balance Tool'!$K$10&amp;'Quick Test Mass Balance Tool'!$K$12,'Crop parameters'!$C$3:$J$509,5,FALSE)</f>
        <v>0.17233999999999999</v>
      </c>
      <c r="C119" s="33">
        <f>VLOOKUP('Quick Test Mass Balance Tool'!$K$10&amp;'Quick Test Mass Balance Tool'!$K$12,'Crop parameters'!$C$3:$J$509,6,FALSE)</f>
        <v>29.87</v>
      </c>
      <c r="D119" s="1">
        <f>VLOOKUP('Quick Test Mass Balance Tool'!$K$10&amp;'Quick Test Mass Balance Tool'!$K$12,'Crop parameters'!$C$3:$J$509,7,FALSE)</f>
        <v>194.6</v>
      </c>
      <c r="E119" s="1">
        <f>VLOOKUP('Quick Test Mass Balance Tool'!$K$10&amp;'Quick Test Mass Balance Tool'!$K$12,'Crop parameters'!$C$3:$J$509,8,FALSE)</f>
        <v>-1.1850000000000001</v>
      </c>
      <c r="F119" s="1">
        <f>IF((E119+D119/(1+EXP(-B119*(A119-C119))))&lt;0,0,E119+D119/(1+EXP(-B119*(A119-C119))))</f>
        <v>193.41493039668674</v>
      </c>
      <c r="G119" s="4">
        <f>VLOOKUP('Quick Test Mass Balance Tool'!$K$10&amp;'Quick Test Mass Balance Tool'!$K$12,'Crop parameters'!$C$3:$J$509,4,FALSE)-F119</f>
        <v>-85.039930396686728</v>
      </c>
      <c r="I119" s="47" t="str">
        <f t="shared" si="4"/>
        <v/>
      </c>
      <c r="J119" s="1" t="str">
        <f t="shared" si="6"/>
        <v/>
      </c>
      <c r="K119" s="1">
        <f>IF(_xlfn.DAYS('Quick Test Mass Balance Tool'!$O$10,'Quick Test Mass Balance Tool'!$K$11)='Crop N Graphing'!A119,'Crop N Graphing'!F119,-50)</f>
        <v>-50</v>
      </c>
      <c r="L119" s="1">
        <f>IF('Quick Test Mass Balance Tool'!$X$15='Crop N Graphing'!A119,'Crop N Graphing'!F119,-50)</f>
        <v>-50</v>
      </c>
    </row>
    <row r="120" spans="1:12" x14ac:dyDescent="0.25">
      <c r="A120" s="1">
        <v>117</v>
      </c>
      <c r="B120" s="1">
        <f>VLOOKUP('Quick Test Mass Balance Tool'!$K$10&amp;'Quick Test Mass Balance Tool'!$K$12,'Crop parameters'!$C$3:$J$509,5,FALSE)</f>
        <v>0.17233999999999999</v>
      </c>
      <c r="C120" s="33">
        <f>VLOOKUP('Quick Test Mass Balance Tool'!$K$10&amp;'Quick Test Mass Balance Tool'!$K$12,'Crop parameters'!$C$3:$J$509,6,FALSE)</f>
        <v>29.87</v>
      </c>
      <c r="D120" s="1">
        <f>VLOOKUP('Quick Test Mass Balance Tool'!$K$10&amp;'Quick Test Mass Balance Tool'!$K$12,'Crop parameters'!$C$3:$J$509,7,FALSE)</f>
        <v>194.6</v>
      </c>
      <c r="E120" s="1">
        <f>VLOOKUP('Quick Test Mass Balance Tool'!$K$10&amp;'Quick Test Mass Balance Tool'!$K$12,'Crop parameters'!$C$3:$J$509,8,FALSE)</f>
        <v>-1.1850000000000001</v>
      </c>
      <c r="F120" s="1">
        <f t="shared" si="5"/>
        <v>193.41494141537871</v>
      </c>
      <c r="G120" s="4">
        <f>VLOOKUP('Quick Test Mass Balance Tool'!$K$10&amp;'Quick Test Mass Balance Tool'!$K$12,'Crop parameters'!$C$3:$J$509,4,FALSE)-F120</f>
        <v>-85.039941415378692</v>
      </c>
      <c r="I120" s="47" t="str">
        <f t="shared" si="4"/>
        <v/>
      </c>
      <c r="J120" s="1" t="str">
        <f t="shared" si="6"/>
        <v/>
      </c>
      <c r="K120" s="1">
        <f>IF(_xlfn.DAYS('Quick Test Mass Balance Tool'!$O$10,'Quick Test Mass Balance Tool'!$K$11)='Crop N Graphing'!A120,'Crop N Graphing'!F120,-50)</f>
        <v>-50</v>
      </c>
      <c r="L120" s="1">
        <f>IF('Quick Test Mass Balance Tool'!$X$15='Crop N Graphing'!A120,'Crop N Graphing'!F120,-50)</f>
        <v>-50</v>
      </c>
    </row>
    <row r="121" spans="1:12" x14ac:dyDescent="0.25">
      <c r="A121" s="1">
        <v>118</v>
      </c>
      <c r="B121" s="1">
        <f>VLOOKUP('Quick Test Mass Balance Tool'!$K$10&amp;'Quick Test Mass Balance Tool'!$K$12,'Crop parameters'!$C$3:$J$509,5,FALSE)</f>
        <v>0.17233999999999999</v>
      </c>
      <c r="C121" s="33">
        <f>VLOOKUP('Quick Test Mass Balance Tool'!$K$10&amp;'Quick Test Mass Balance Tool'!$K$12,'Crop parameters'!$C$3:$J$509,6,FALSE)</f>
        <v>29.87</v>
      </c>
      <c r="D121" s="1">
        <f>VLOOKUP('Quick Test Mass Balance Tool'!$K$10&amp;'Quick Test Mass Balance Tool'!$K$12,'Crop parameters'!$C$3:$J$509,7,FALSE)</f>
        <v>194.6</v>
      </c>
      <c r="E121" s="1">
        <f>VLOOKUP('Quick Test Mass Balance Tool'!$K$10&amp;'Quick Test Mass Balance Tool'!$K$12,'Crop parameters'!$C$3:$J$509,8,FALSE)</f>
        <v>-1.1850000000000001</v>
      </c>
      <c r="F121" s="1">
        <f t="shared" si="5"/>
        <v>193.41495068973501</v>
      </c>
      <c r="G121" s="4">
        <f>VLOOKUP('Quick Test Mass Balance Tool'!$K$10&amp;'Quick Test Mass Balance Tool'!$K$12,'Crop parameters'!$C$3:$J$509,4,FALSE)-F121</f>
        <v>-85.039950689734994</v>
      </c>
      <c r="I121" s="47" t="str">
        <f t="shared" si="4"/>
        <v/>
      </c>
      <c r="J121" s="1" t="str">
        <f t="shared" si="6"/>
        <v/>
      </c>
      <c r="K121" s="1">
        <f>IF(_xlfn.DAYS('Quick Test Mass Balance Tool'!$O$10,'Quick Test Mass Balance Tool'!$K$11)='Crop N Graphing'!A121,'Crop N Graphing'!F121,-50)</f>
        <v>-50</v>
      </c>
      <c r="L121" s="1">
        <f>IF('Quick Test Mass Balance Tool'!$X$15='Crop N Graphing'!A121,'Crop N Graphing'!F121,-50)</f>
        <v>-50</v>
      </c>
    </row>
    <row r="122" spans="1:12" x14ac:dyDescent="0.25">
      <c r="A122" s="1">
        <v>119</v>
      </c>
      <c r="B122" s="1">
        <f>VLOOKUP('Quick Test Mass Balance Tool'!$K$10&amp;'Quick Test Mass Balance Tool'!$K$12,'Crop parameters'!$C$3:$J$509,5,FALSE)</f>
        <v>0.17233999999999999</v>
      </c>
      <c r="C122" s="33">
        <f>VLOOKUP('Quick Test Mass Balance Tool'!$K$10&amp;'Quick Test Mass Balance Tool'!$K$12,'Crop parameters'!$C$3:$J$509,6,FALSE)</f>
        <v>29.87</v>
      </c>
      <c r="D122" s="1">
        <f>VLOOKUP('Quick Test Mass Balance Tool'!$K$10&amp;'Quick Test Mass Balance Tool'!$K$12,'Crop parameters'!$C$3:$J$509,7,FALSE)</f>
        <v>194.6</v>
      </c>
      <c r="E122" s="1">
        <f>VLOOKUP('Quick Test Mass Balance Tool'!$K$10&amp;'Quick Test Mass Balance Tool'!$K$12,'Crop parameters'!$C$3:$J$509,8,FALSE)</f>
        <v>-1.1850000000000001</v>
      </c>
      <c r="F122" s="1">
        <f t="shared" si="5"/>
        <v>193.41495849589595</v>
      </c>
      <c r="G122" s="4">
        <f>VLOOKUP('Quick Test Mass Balance Tool'!$K$10&amp;'Quick Test Mass Balance Tool'!$K$12,'Crop parameters'!$C$3:$J$509,4,FALSE)-F122</f>
        <v>-85.039958495895931</v>
      </c>
      <c r="I122" s="47" t="str">
        <f t="shared" si="4"/>
        <v/>
      </c>
      <c r="J122" s="1" t="str">
        <f t="shared" si="6"/>
        <v/>
      </c>
      <c r="K122" s="1">
        <f>IF(_xlfn.DAYS('Quick Test Mass Balance Tool'!$O$10,'Quick Test Mass Balance Tool'!$K$11)='Crop N Graphing'!A122,'Crop N Graphing'!F122,-50)</f>
        <v>-50</v>
      </c>
      <c r="L122" s="1">
        <f>IF('Quick Test Mass Balance Tool'!$X$15='Crop N Graphing'!A122,'Crop N Graphing'!F122,-50)</f>
        <v>-50</v>
      </c>
    </row>
    <row r="123" spans="1:12" x14ac:dyDescent="0.25">
      <c r="A123" s="1">
        <v>120</v>
      </c>
      <c r="B123" s="1">
        <f>VLOOKUP('Quick Test Mass Balance Tool'!$K$10&amp;'Quick Test Mass Balance Tool'!$K$12,'Crop parameters'!$C$3:$J$509,5,FALSE)</f>
        <v>0.17233999999999999</v>
      </c>
      <c r="C123" s="33">
        <f>VLOOKUP('Quick Test Mass Balance Tool'!$K$10&amp;'Quick Test Mass Balance Tool'!$K$12,'Crop parameters'!$C$3:$J$509,6,FALSE)</f>
        <v>29.87</v>
      </c>
      <c r="D123" s="1">
        <f>VLOOKUP('Quick Test Mass Balance Tool'!$K$10&amp;'Quick Test Mass Balance Tool'!$K$12,'Crop parameters'!$C$3:$J$509,7,FALSE)</f>
        <v>194.6</v>
      </c>
      <c r="E123" s="1">
        <f>VLOOKUP('Quick Test Mass Balance Tool'!$K$10&amp;'Quick Test Mass Balance Tool'!$K$12,'Crop parameters'!$C$3:$J$509,8,FALSE)</f>
        <v>-1.1850000000000001</v>
      </c>
      <c r="F123" s="1">
        <f t="shared" si="5"/>
        <v>193.4149650662871</v>
      </c>
      <c r="G123" s="4">
        <f>VLOOKUP('Quick Test Mass Balance Tool'!$K$10&amp;'Quick Test Mass Balance Tool'!$K$12,'Crop parameters'!$C$3:$J$509,4,FALSE)-F123</f>
        <v>-85.039965066287081</v>
      </c>
      <c r="I123" s="47" t="str">
        <f t="shared" si="4"/>
        <v/>
      </c>
      <c r="J123" s="1" t="str">
        <f t="shared" si="6"/>
        <v/>
      </c>
      <c r="K123" s="1">
        <f>IF(_xlfn.DAYS('Quick Test Mass Balance Tool'!$O$10,'Quick Test Mass Balance Tool'!$K$11)='Crop N Graphing'!A123,'Crop N Graphing'!F123,-50)</f>
        <v>-50</v>
      </c>
      <c r="L123" s="1">
        <f>IF('Quick Test Mass Balance Tool'!$X$15='Crop N Graphing'!A123,'Crop N Graphing'!F123,-50)</f>
        <v>-50</v>
      </c>
    </row>
    <row r="124" spans="1:12" x14ac:dyDescent="0.25">
      <c r="A124" s="1">
        <v>121</v>
      </c>
      <c r="B124" s="1">
        <f>VLOOKUP('Quick Test Mass Balance Tool'!$K$10&amp;'Quick Test Mass Balance Tool'!$K$12,'Crop parameters'!$C$3:$J$509,5,FALSE)</f>
        <v>0.17233999999999999</v>
      </c>
      <c r="C124" s="33">
        <f>VLOOKUP('Quick Test Mass Balance Tool'!$K$10&amp;'Quick Test Mass Balance Tool'!$K$12,'Crop parameters'!$C$3:$J$509,6,FALSE)</f>
        <v>29.87</v>
      </c>
      <c r="D124" s="1">
        <f>VLOOKUP('Quick Test Mass Balance Tool'!$K$10&amp;'Quick Test Mass Balance Tool'!$K$12,'Crop parameters'!$C$3:$J$509,7,FALSE)</f>
        <v>194.6</v>
      </c>
      <c r="E124" s="1">
        <f>VLOOKUP('Quick Test Mass Balance Tool'!$K$10&amp;'Quick Test Mass Balance Tool'!$K$12,'Crop parameters'!$C$3:$J$509,8,FALSE)</f>
        <v>-1.1850000000000001</v>
      </c>
      <c r="F124" s="1">
        <f t="shared" si="5"/>
        <v>193.41497059653935</v>
      </c>
      <c r="G124" s="4">
        <f>VLOOKUP('Quick Test Mass Balance Tool'!$K$10&amp;'Quick Test Mass Balance Tool'!$K$12,'Crop parameters'!$C$3:$J$509,4,FALSE)-F124</f>
        <v>-85.039970596539334</v>
      </c>
      <c r="I124" s="47" t="str">
        <f t="shared" si="4"/>
        <v/>
      </c>
      <c r="J124" s="1" t="str">
        <f t="shared" si="6"/>
        <v/>
      </c>
      <c r="K124" s="1">
        <f>IF(_xlfn.DAYS('Quick Test Mass Balance Tool'!$O$10,'Quick Test Mass Balance Tool'!$K$11)='Crop N Graphing'!A124,'Crop N Graphing'!F124,-50)</f>
        <v>-50</v>
      </c>
      <c r="L124" s="1">
        <f>IF('Quick Test Mass Balance Tool'!$X$15='Crop N Graphing'!A124,'Crop N Graphing'!F124,-50)</f>
        <v>-50</v>
      </c>
    </row>
    <row r="125" spans="1:12" x14ac:dyDescent="0.25">
      <c r="A125" s="1">
        <v>122</v>
      </c>
      <c r="B125" s="1">
        <f>VLOOKUP('Quick Test Mass Balance Tool'!$K$10&amp;'Quick Test Mass Balance Tool'!$K$12,'Crop parameters'!$C$3:$J$509,5,FALSE)</f>
        <v>0.17233999999999999</v>
      </c>
      <c r="C125" s="33">
        <f>VLOOKUP('Quick Test Mass Balance Tool'!$K$10&amp;'Quick Test Mass Balance Tool'!$K$12,'Crop parameters'!$C$3:$J$509,6,FALSE)</f>
        <v>29.87</v>
      </c>
      <c r="D125" s="1">
        <f>VLOOKUP('Quick Test Mass Balance Tool'!$K$10&amp;'Quick Test Mass Balance Tool'!$K$12,'Crop parameters'!$C$3:$J$509,7,FALSE)</f>
        <v>194.6</v>
      </c>
      <c r="E125" s="1">
        <f>VLOOKUP('Quick Test Mass Balance Tool'!$K$10&amp;'Quick Test Mass Balance Tool'!$K$12,'Crop parameters'!$C$3:$J$509,8,FALSE)</f>
        <v>-1.1850000000000001</v>
      </c>
      <c r="F125" s="1">
        <f t="shared" si="5"/>
        <v>193.4149752513139</v>
      </c>
      <c r="G125" s="4">
        <f>VLOOKUP('Quick Test Mass Balance Tool'!$K$10&amp;'Quick Test Mass Balance Tool'!$K$12,'Crop parameters'!$C$3:$J$509,4,FALSE)-F125</f>
        <v>-85.039975251313891</v>
      </c>
      <c r="I125" s="47" t="str">
        <f t="shared" si="4"/>
        <v/>
      </c>
      <c r="J125" s="1" t="str">
        <f t="shared" si="6"/>
        <v/>
      </c>
      <c r="K125" s="1">
        <f>IF(_xlfn.DAYS('Quick Test Mass Balance Tool'!$O$10,'Quick Test Mass Balance Tool'!$K$11)='Crop N Graphing'!A125,'Crop N Graphing'!F125,-50)</f>
        <v>-50</v>
      </c>
      <c r="L125" s="1">
        <f>IF('Quick Test Mass Balance Tool'!$X$15='Crop N Graphing'!A125,'Crop N Graphing'!F125,-50)</f>
        <v>-50</v>
      </c>
    </row>
    <row r="126" spans="1:12" x14ac:dyDescent="0.25">
      <c r="A126" s="1">
        <v>123</v>
      </c>
      <c r="B126" s="1">
        <f>VLOOKUP('Quick Test Mass Balance Tool'!$K$10&amp;'Quick Test Mass Balance Tool'!$K$12,'Crop parameters'!$C$3:$J$509,5,FALSE)</f>
        <v>0.17233999999999999</v>
      </c>
      <c r="C126" s="33">
        <f>VLOOKUP('Quick Test Mass Balance Tool'!$K$10&amp;'Quick Test Mass Balance Tool'!$K$12,'Crop parameters'!$C$3:$J$509,6,FALSE)</f>
        <v>29.87</v>
      </c>
      <c r="D126" s="1">
        <f>VLOOKUP('Quick Test Mass Balance Tool'!$K$10&amp;'Quick Test Mass Balance Tool'!$K$12,'Crop parameters'!$C$3:$J$509,7,FALSE)</f>
        <v>194.6</v>
      </c>
      <c r="E126" s="1">
        <f>VLOOKUP('Quick Test Mass Balance Tool'!$K$10&amp;'Quick Test Mass Balance Tool'!$K$12,'Crop parameters'!$C$3:$J$509,8,FALSE)</f>
        <v>-1.1850000000000001</v>
      </c>
      <c r="F126" s="1">
        <f t="shared" si="5"/>
        <v>193.41497916920497</v>
      </c>
      <c r="G126" s="4">
        <f>VLOOKUP('Quick Test Mass Balance Tool'!$K$10&amp;'Quick Test Mass Balance Tool'!$K$12,'Crop parameters'!$C$3:$J$509,4,FALSE)-F126</f>
        <v>-85.039979169204955</v>
      </c>
      <c r="I126" s="47" t="str">
        <f t="shared" si="4"/>
        <v/>
      </c>
      <c r="J126" s="1" t="str">
        <f t="shared" si="6"/>
        <v/>
      </c>
      <c r="K126" s="1">
        <f>IF(_xlfn.DAYS('Quick Test Mass Balance Tool'!$O$10,'Quick Test Mass Balance Tool'!$K$11)='Crop N Graphing'!A126,'Crop N Graphing'!F126,-50)</f>
        <v>-50</v>
      </c>
      <c r="L126" s="1">
        <f>IF('Quick Test Mass Balance Tool'!$X$15='Crop N Graphing'!A126,'Crop N Graphing'!F126,-50)</f>
        <v>-50</v>
      </c>
    </row>
    <row r="127" spans="1:12" x14ac:dyDescent="0.25">
      <c r="A127" s="1">
        <v>124</v>
      </c>
      <c r="B127" s="1">
        <f>VLOOKUP('Quick Test Mass Balance Tool'!$K$10&amp;'Quick Test Mass Balance Tool'!$K$12,'Crop parameters'!$C$3:$J$509,5,FALSE)</f>
        <v>0.17233999999999999</v>
      </c>
      <c r="C127" s="33">
        <f>VLOOKUP('Quick Test Mass Balance Tool'!$K$10&amp;'Quick Test Mass Balance Tool'!$K$12,'Crop parameters'!$C$3:$J$509,6,FALSE)</f>
        <v>29.87</v>
      </c>
      <c r="D127" s="1">
        <f>VLOOKUP('Quick Test Mass Balance Tool'!$K$10&amp;'Quick Test Mass Balance Tool'!$K$12,'Crop parameters'!$C$3:$J$509,7,FALSE)</f>
        <v>194.6</v>
      </c>
      <c r="E127" s="1">
        <f>VLOOKUP('Quick Test Mass Balance Tool'!$K$10&amp;'Quick Test Mass Balance Tool'!$K$12,'Crop parameters'!$C$3:$J$509,8,FALSE)</f>
        <v>-1.1850000000000001</v>
      </c>
      <c r="F127" s="1">
        <f t="shared" si="5"/>
        <v>193.41498246686643</v>
      </c>
      <c r="G127" s="4">
        <f>VLOOKUP('Quick Test Mass Balance Tool'!$K$10&amp;'Quick Test Mass Balance Tool'!$K$12,'Crop parameters'!$C$3:$J$509,4,FALSE)-F127</f>
        <v>-85.039982466866419</v>
      </c>
      <c r="I127" s="47" t="str">
        <f t="shared" si="4"/>
        <v/>
      </c>
      <c r="J127" s="1" t="str">
        <f t="shared" si="6"/>
        <v/>
      </c>
      <c r="K127" s="1">
        <f>IF(_xlfn.DAYS('Quick Test Mass Balance Tool'!$O$10,'Quick Test Mass Balance Tool'!$K$11)='Crop N Graphing'!A127,'Crop N Graphing'!F127,-50)</f>
        <v>-50</v>
      </c>
      <c r="L127" s="1">
        <f>IF('Quick Test Mass Balance Tool'!$X$15='Crop N Graphing'!A127,'Crop N Graphing'!F127,-50)</f>
        <v>-50</v>
      </c>
    </row>
    <row r="128" spans="1:12" x14ac:dyDescent="0.25">
      <c r="A128" s="1">
        <v>125</v>
      </c>
      <c r="B128" s="1">
        <f>VLOOKUP('Quick Test Mass Balance Tool'!$K$10&amp;'Quick Test Mass Balance Tool'!$K$12,'Crop parameters'!$C$3:$J$509,5,FALSE)</f>
        <v>0.17233999999999999</v>
      </c>
      <c r="C128" s="33">
        <f>VLOOKUP('Quick Test Mass Balance Tool'!$K$10&amp;'Quick Test Mass Balance Tool'!$K$12,'Crop parameters'!$C$3:$J$509,6,FALSE)</f>
        <v>29.87</v>
      </c>
      <c r="D128" s="1">
        <f>VLOOKUP('Quick Test Mass Balance Tool'!$K$10&amp;'Quick Test Mass Balance Tool'!$K$12,'Crop parameters'!$C$3:$J$509,7,FALSE)</f>
        <v>194.6</v>
      </c>
      <c r="E128" s="1">
        <f>VLOOKUP('Quick Test Mass Balance Tool'!$K$10&amp;'Quick Test Mass Balance Tool'!$K$12,'Crop parameters'!$C$3:$J$509,8,FALSE)</f>
        <v>-1.1850000000000001</v>
      </c>
      <c r="F128" s="1">
        <f t="shared" si="5"/>
        <v>193.41498524248487</v>
      </c>
      <c r="G128" s="4">
        <f>VLOOKUP('Quick Test Mass Balance Tool'!$K$10&amp;'Quick Test Mass Balance Tool'!$K$12,'Crop parameters'!$C$3:$J$509,4,FALSE)-F128</f>
        <v>-85.03998524248486</v>
      </c>
      <c r="I128" s="47" t="str">
        <f t="shared" si="4"/>
        <v/>
      </c>
      <c r="J128" s="1" t="str">
        <f t="shared" si="6"/>
        <v/>
      </c>
      <c r="K128" s="1">
        <f>IF(_xlfn.DAYS('Quick Test Mass Balance Tool'!$O$10,'Quick Test Mass Balance Tool'!$K$11)='Crop N Graphing'!A128,'Crop N Graphing'!F128,-50)</f>
        <v>-50</v>
      </c>
      <c r="L128" s="1">
        <f>IF('Quick Test Mass Balance Tool'!$X$15='Crop N Graphing'!A128,'Crop N Graphing'!F128,-50)</f>
        <v>-50</v>
      </c>
    </row>
    <row r="129" spans="1:12" x14ac:dyDescent="0.25">
      <c r="A129" s="1">
        <v>126</v>
      </c>
      <c r="B129" s="1">
        <f>VLOOKUP('Quick Test Mass Balance Tool'!$K$10&amp;'Quick Test Mass Balance Tool'!$K$12,'Crop parameters'!$C$3:$J$509,5,FALSE)</f>
        <v>0.17233999999999999</v>
      </c>
      <c r="C129" s="33">
        <f>VLOOKUP('Quick Test Mass Balance Tool'!$K$10&amp;'Quick Test Mass Balance Tool'!$K$12,'Crop parameters'!$C$3:$J$509,6,FALSE)</f>
        <v>29.87</v>
      </c>
      <c r="D129" s="1">
        <f>VLOOKUP('Quick Test Mass Balance Tool'!$K$10&amp;'Quick Test Mass Balance Tool'!$K$12,'Crop parameters'!$C$3:$J$509,7,FALSE)</f>
        <v>194.6</v>
      </c>
      <c r="E129" s="1">
        <f>VLOOKUP('Quick Test Mass Balance Tool'!$K$10&amp;'Quick Test Mass Balance Tool'!$K$12,'Crop parameters'!$C$3:$J$509,8,FALSE)</f>
        <v>-1.1850000000000001</v>
      </c>
      <c r="F129" s="1">
        <f t="shared" si="5"/>
        <v>193.41498757870346</v>
      </c>
      <c r="G129" s="4">
        <f>VLOOKUP('Quick Test Mass Balance Tool'!$K$10&amp;'Quick Test Mass Balance Tool'!$K$12,'Crop parameters'!$C$3:$J$509,4,FALSE)-F129</f>
        <v>-85.039987578703446</v>
      </c>
      <c r="I129" s="47" t="str">
        <f t="shared" si="4"/>
        <v/>
      </c>
      <c r="J129" s="1" t="str">
        <f t="shared" si="6"/>
        <v/>
      </c>
      <c r="K129" s="1">
        <f>IF(_xlfn.DAYS('Quick Test Mass Balance Tool'!$O$10,'Quick Test Mass Balance Tool'!$K$11)='Crop N Graphing'!A129,'Crop N Graphing'!F129,-50)</f>
        <v>-50</v>
      </c>
      <c r="L129" s="1">
        <f>IF('Quick Test Mass Balance Tool'!$X$15='Crop N Graphing'!A129,'Crop N Graphing'!F129,-50)</f>
        <v>-50</v>
      </c>
    </row>
    <row r="130" spans="1:12" x14ac:dyDescent="0.25">
      <c r="A130" s="1">
        <v>127</v>
      </c>
      <c r="B130" s="1">
        <f>VLOOKUP('Quick Test Mass Balance Tool'!$K$10&amp;'Quick Test Mass Balance Tool'!$K$12,'Crop parameters'!$C$3:$J$509,5,FALSE)</f>
        <v>0.17233999999999999</v>
      </c>
      <c r="C130" s="33">
        <f>VLOOKUP('Quick Test Mass Balance Tool'!$K$10&amp;'Quick Test Mass Balance Tool'!$K$12,'Crop parameters'!$C$3:$J$509,6,FALSE)</f>
        <v>29.87</v>
      </c>
      <c r="D130" s="1">
        <f>VLOOKUP('Quick Test Mass Balance Tool'!$K$10&amp;'Quick Test Mass Balance Tool'!$K$12,'Crop parameters'!$C$3:$J$509,7,FALSE)</f>
        <v>194.6</v>
      </c>
      <c r="E130" s="1">
        <f>VLOOKUP('Quick Test Mass Balance Tool'!$K$10&amp;'Quick Test Mass Balance Tool'!$K$12,'Crop parameters'!$C$3:$J$509,8,FALSE)</f>
        <v>-1.1850000000000001</v>
      </c>
      <c r="F130" s="1">
        <f t="shared" si="5"/>
        <v>193.41498954508216</v>
      </c>
      <c r="G130" s="4">
        <f>VLOOKUP('Quick Test Mass Balance Tool'!$K$10&amp;'Quick Test Mass Balance Tool'!$K$12,'Crop parameters'!$C$3:$J$509,4,FALSE)-F130</f>
        <v>-85.03998954508215</v>
      </c>
      <c r="I130" s="47" t="str">
        <f t="shared" si="4"/>
        <v/>
      </c>
      <c r="J130" s="1" t="str">
        <f t="shared" si="6"/>
        <v/>
      </c>
      <c r="K130" s="1">
        <f>IF(_xlfn.DAYS('Quick Test Mass Balance Tool'!$O$10,'Quick Test Mass Balance Tool'!$K$11)='Crop N Graphing'!A130,'Crop N Graphing'!F130,-50)</f>
        <v>-50</v>
      </c>
      <c r="L130" s="1">
        <f>IF('Quick Test Mass Balance Tool'!$X$15='Crop N Graphing'!A130,'Crop N Graphing'!F130,-50)</f>
        <v>-50</v>
      </c>
    </row>
    <row r="131" spans="1:12" x14ac:dyDescent="0.25">
      <c r="A131" s="1">
        <v>128</v>
      </c>
      <c r="B131" s="1">
        <f>VLOOKUP('Quick Test Mass Balance Tool'!$K$10&amp;'Quick Test Mass Balance Tool'!$K$12,'Crop parameters'!$C$3:$J$509,5,FALSE)</f>
        <v>0.17233999999999999</v>
      </c>
      <c r="C131" s="33">
        <f>VLOOKUP('Quick Test Mass Balance Tool'!$K$10&amp;'Quick Test Mass Balance Tool'!$K$12,'Crop parameters'!$C$3:$J$509,6,FALSE)</f>
        <v>29.87</v>
      </c>
      <c r="D131" s="1">
        <f>VLOOKUP('Quick Test Mass Balance Tool'!$K$10&amp;'Quick Test Mass Balance Tool'!$K$12,'Crop parameters'!$C$3:$J$509,7,FALSE)</f>
        <v>194.6</v>
      </c>
      <c r="E131" s="1">
        <f>VLOOKUP('Quick Test Mass Balance Tool'!$K$10&amp;'Quick Test Mass Balance Tool'!$K$12,'Crop parameters'!$C$3:$J$509,8,FALSE)</f>
        <v>-1.1850000000000001</v>
      </c>
      <c r="F131" s="1">
        <f t="shared" si="5"/>
        <v>193.41499120016931</v>
      </c>
      <c r="G131" s="4">
        <f>VLOOKUP('Quick Test Mass Balance Tool'!$K$10&amp;'Quick Test Mass Balance Tool'!$K$12,'Crop parameters'!$C$3:$J$509,4,FALSE)-F131</f>
        <v>-85.039991200169297</v>
      </c>
      <c r="I131" s="47" t="str">
        <f t="shared" ref="I131:I194" si="7">IF(ISNUMBER(J131),A131,"")</f>
        <v/>
      </c>
      <c r="J131" s="1" t="str">
        <f t="shared" si="6"/>
        <v/>
      </c>
      <c r="K131" s="1">
        <f>IF(_xlfn.DAYS('Quick Test Mass Balance Tool'!$O$10,'Quick Test Mass Balance Tool'!$K$11)='Crop N Graphing'!A131,'Crop N Graphing'!F131,-50)</f>
        <v>-50</v>
      </c>
      <c r="L131" s="1">
        <f>IF('Quick Test Mass Balance Tool'!$X$15='Crop N Graphing'!A131,'Crop N Graphing'!F131,-50)</f>
        <v>-50</v>
      </c>
    </row>
    <row r="132" spans="1:12" x14ac:dyDescent="0.25">
      <c r="A132" s="1">
        <v>129</v>
      </c>
      <c r="B132" s="1">
        <f>VLOOKUP('Quick Test Mass Balance Tool'!$K$10&amp;'Quick Test Mass Balance Tool'!$K$12,'Crop parameters'!$C$3:$J$509,5,FALSE)</f>
        <v>0.17233999999999999</v>
      </c>
      <c r="C132" s="33">
        <f>VLOOKUP('Quick Test Mass Balance Tool'!$K$10&amp;'Quick Test Mass Balance Tool'!$K$12,'Crop parameters'!$C$3:$J$509,6,FALSE)</f>
        <v>29.87</v>
      </c>
      <c r="D132" s="1">
        <f>VLOOKUP('Quick Test Mass Balance Tool'!$K$10&amp;'Quick Test Mass Balance Tool'!$K$12,'Crop parameters'!$C$3:$J$509,7,FALSE)</f>
        <v>194.6</v>
      </c>
      <c r="E132" s="1">
        <f>VLOOKUP('Quick Test Mass Balance Tool'!$K$10&amp;'Quick Test Mass Balance Tool'!$K$12,'Crop parameters'!$C$3:$J$509,8,FALSE)</f>
        <v>-1.1850000000000001</v>
      </c>
      <c r="F132" s="1">
        <f t="shared" ref="F132:F153" si="8">IF((E132+D132/(1+EXP(-B132*(A132-C132))))&lt;0,0,E132+D132/(1+EXP(-B132*(A132-C132))))</f>
        <v>193.41499259324448</v>
      </c>
      <c r="G132" s="4">
        <f>VLOOKUP('Quick Test Mass Balance Tool'!$K$10&amp;'Quick Test Mass Balance Tool'!$K$12,'Crop parameters'!$C$3:$J$509,4,FALSE)-F132</f>
        <v>-85.039992593244463</v>
      </c>
      <c r="I132" s="47" t="str">
        <f t="shared" si="7"/>
        <v/>
      </c>
      <c r="J132" s="1" t="str">
        <f t="shared" si="6"/>
        <v/>
      </c>
      <c r="K132" s="1">
        <f>IF(_xlfn.DAYS('Quick Test Mass Balance Tool'!$O$10,'Quick Test Mass Balance Tool'!$K$11)='Crop N Graphing'!A132,'Crop N Graphing'!F132,-50)</f>
        <v>-50</v>
      </c>
      <c r="L132" s="1">
        <f>IF('Quick Test Mass Balance Tool'!$X$15='Crop N Graphing'!A132,'Crop N Graphing'!F132,-50)</f>
        <v>-50</v>
      </c>
    </row>
    <row r="133" spans="1:12" x14ac:dyDescent="0.25">
      <c r="A133" s="1">
        <v>130</v>
      </c>
      <c r="B133" s="1">
        <f>VLOOKUP('Quick Test Mass Balance Tool'!$K$10&amp;'Quick Test Mass Balance Tool'!$K$12,'Crop parameters'!$C$3:$J$509,5,FALSE)</f>
        <v>0.17233999999999999</v>
      </c>
      <c r="C133" s="33">
        <f>VLOOKUP('Quick Test Mass Balance Tool'!$K$10&amp;'Quick Test Mass Balance Tool'!$K$12,'Crop parameters'!$C$3:$J$509,6,FALSE)</f>
        <v>29.87</v>
      </c>
      <c r="D133" s="1">
        <f>VLOOKUP('Quick Test Mass Balance Tool'!$K$10&amp;'Quick Test Mass Balance Tool'!$K$12,'Crop parameters'!$C$3:$J$509,7,FALSE)</f>
        <v>194.6</v>
      </c>
      <c r="E133" s="1">
        <f>VLOOKUP('Quick Test Mass Balance Tool'!$K$10&amp;'Quick Test Mass Balance Tool'!$K$12,'Crop parameters'!$C$3:$J$509,8,FALSE)</f>
        <v>-1.1850000000000001</v>
      </c>
      <c r="F133" s="1">
        <f t="shared" si="8"/>
        <v>193.41499376578608</v>
      </c>
      <c r="G133" s="4">
        <f>VLOOKUP('Quick Test Mass Balance Tool'!$K$10&amp;'Quick Test Mass Balance Tool'!$K$12,'Crop parameters'!$C$3:$J$509,4,FALSE)-F133</f>
        <v>-85.039993765786065</v>
      </c>
      <c r="I133" s="47" t="str">
        <f t="shared" si="7"/>
        <v/>
      </c>
      <c r="J133" s="1" t="str">
        <f t="shared" si="6"/>
        <v/>
      </c>
      <c r="K133" s="1">
        <f>IF(_xlfn.DAYS('Quick Test Mass Balance Tool'!$O$10,'Quick Test Mass Balance Tool'!$K$11)='Crop N Graphing'!A133,'Crop N Graphing'!F133,-50)</f>
        <v>-50</v>
      </c>
      <c r="L133" s="1">
        <f>IF('Quick Test Mass Balance Tool'!$X$15='Crop N Graphing'!A133,'Crop N Graphing'!F133,-50)</f>
        <v>-50</v>
      </c>
    </row>
    <row r="134" spans="1:12" x14ac:dyDescent="0.25">
      <c r="A134" s="1">
        <v>131</v>
      </c>
      <c r="B134" s="1">
        <f>VLOOKUP('Quick Test Mass Balance Tool'!$K$10&amp;'Quick Test Mass Balance Tool'!$K$12,'Crop parameters'!$C$3:$J$509,5,FALSE)</f>
        <v>0.17233999999999999</v>
      </c>
      <c r="C134" s="33">
        <f>VLOOKUP('Quick Test Mass Balance Tool'!$K$10&amp;'Quick Test Mass Balance Tool'!$K$12,'Crop parameters'!$C$3:$J$509,6,FALSE)</f>
        <v>29.87</v>
      </c>
      <c r="D134" s="1">
        <f>VLOOKUP('Quick Test Mass Balance Tool'!$K$10&amp;'Quick Test Mass Balance Tool'!$K$12,'Crop parameters'!$C$3:$J$509,7,FALSE)</f>
        <v>194.6</v>
      </c>
      <c r="E134" s="1">
        <f>VLOOKUP('Quick Test Mass Balance Tool'!$K$10&amp;'Quick Test Mass Balance Tool'!$K$12,'Crop parameters'!$C$3:$J$509,8,FALSE)</f>
        <v>-1.1850000000000001</v>
      </c>
      <c r="F134" s="1">
        <f t="shared" si="8"/>
        <v>193.41499475270606</v>
      </c>
      <c r="G134" s="4">
        <f>VLOOKUP('Quick Test Mass Balance Tool'!$K$10&amp;'Quick Test Mass Balance Tool'!$K$12,'Crop parameters'!$C$3:$J$509,4,FALSE)-F134</f>
        <v>-85.03999475270605</v>
      </c>
      <c r="I134" s="47" t="str">
        <f t="shared" si="7"/>
        <v/>
      </c>
      <c r="J134" s="1" t="str">
        <f t="shared" si="6"/>
        <v/>
      </c>
      <c r="K134" s="1">
        <f>IF(_xlfn.DAYS('Quick Test Mass Balance Tool'!$O$10,'Quick Test Mass Balance Tool'!$K$11)='Crop N Graphing'!A134,'Crop N Graphing'!F134,-50)</f>
        <v>-50</v>
      </c>
      <c r="L134" s="1">
        <f>IF('Quick Test Mass Balance Tool'!$X$15='Crop N Graphing'!A134,'Crop N Graphing'!F134,-50)</f>
        <v>-50</v>
      </c>
    </row>
    <row r="135" spans="1:12" x14ac:dyDescent="0.25">
      <c r="A135" s="1">
        <v>132</v>
      </c>
      <c r="B135" s="1">
        <f>VLOOKUP('Quick Test Mass Balance Tool'!$K$10&amp;'Quick Test Mass Balance Tool'!$K$12,'Crop parameters'!$C$3:$J$509,5,FALSE)</f>
        <v>0.17233999999999999</v>
      </c>
      <c r="C135" s="33">
        <f>VLOOKUP('Quick Test Mass Balance Tool'!$K$10&amp;'Quick Test Mass Balance Tool'!$K$12,'Crop parameters'!$C$3:$J$509,6,FALSE)</f>
        <v>29.87</v>
      </c>
      <c r="D135" s="1">
        <f>VLOOKUP('Quick Test Mass Balance Tool'!$K$10&amp;'Quick Test Mass Balance Tool'!$K$12,'Crop parameters'!$C$3:$J$509,7,FALSE)</f>
        <v>194.6</v>
      </c>
      <c r="E135" s="1">
        <f>VLOOKUP('Quick Test Mass Balance Tool'!$K$10&amp;'Quick Test Mass Balance Tool'!$K$12,'Crop parameters'!$C$3:$J$509,8,FALSE)</f>
        <v>-1.1850000000000001</v>
      </c>
      <c r="F135" s="1">
        <f t="shared" si="8"/>
        <v>193.4149955833897</v>
      </c>
      <c r="G135" s="4">
        <f>VLOOKUP('Quick Test Mass Balance Tool'!$K$10&amp;'Quick Test Mass Balance Tool'!$K$12,'Crop parameters'!$C$3:$J$509,4,FALSE)-F135</f>
        <v>-85.039995583389683</v>
      </c>
      <c r="I135" s="47" t="str">
        <f t="shared" si="7"/>
        <v/>
      </c>
      <c r="J135" s="1" t="str">
        <f t="shared" si="6"/>
        <v/>
      </c>
      <c r="K135" s="1">
        <f>IF(_xlfn.DAYS('Quick Test Mass Balance Tool'!$O$10,'Quick Test Mass Balance Tool'!$K$11)='Crop N Graphing'!A135,'Crop N Graphing'!F135,-50)</f>
        <v>-50</v>
      </c>
      <c r="L135" s="1">
        <f>IF('Quick Test Mass Balance Tool'!$X$15='Crop N Graphing'!A135,'Crop N Graphing'!F135,-50)</f>
        <v>-50</v>
      </c>
    </row>
    <row r="136" spans="1:12" x14ac:dyDescent="0.25">
      <c r="A136" s="1">
        <v>133</v>
      </c>
      <c r="B136" s="1">
        <f>VLOOKUP('Quick Test Mass Balance Tool'!$K$10&amp;'Quick Test Mass Balance Tool'!$K$12,'Crop parameters'!$C$3:$J$509,5,FALSE)</f>
        <v>0.17233999999999999</v>
      </c>
      <c r="C136" s="33">
        <f>VLOOKUP('Quick Test Mass Balance Tool'!$K$10&amp;'Quick Test Mass Balance Tool'!$K$12,'Crop parameters'!$C$3:$J$509,6,FALSE)</f>
        <v>29.87</v>
      </c>
      <c r="D136" s="1">
        <f>VLOOKUP('Quick Test Mass Balance Tool'!$K$10&amp;'Quick Test Mass Balance Tool'!$K$12,'Crop parameters'!$C$3:$J$509,7,FALSE)</f>
        <v>194.6</v>
      </c>
      <c r="E136" s="1">
        <f>VLOOKUP('Quick Test Mass Balance Tool'!$K$10&amp;'Quick Test Mass Balance Tool'!$K$12,'Crop parameters'!$C$3:$J$509,8,FALSE)</f>
        <v>-1.1850000000000001</v>
      </c>
      <c r="F136" s="1">
        <f t="shared" si="8"/>
        <v>193.4149962825702</v>
      </c>
      <c r="G136" s="4">
        <f>VLOOKUP('Quick Test Mass Balance Tool'!$K$10&amp;'Quick Test Mass Balance Tool'!$K$12,'Crop parameters'!$C$3:$J$509,4,FALSE)-F136</f>
        <v>-85.039996282570186</v>
      </c>
      <c r="I136" s="47" t="str">
        <f t="shared" si="7"/>
        <v/>
      </c>
      <c r="J136" s="1" t="str">
        <f t="shared" si="6"/>
        <v/>
      </c>
      <c r="K136" s="1">
        <f>IF(_xlfn.DAYS('Quick Test Mass Balance Tool'!$O$10,'Quick Test Mass Balance Tool'!$K$11)='Crop N Graphing'!A136,'Crop N Graphing'!F136,-50)</f>
        <v>-50</v>
      </c>
      <c r="L136" s="1">
        <f>IF('Quick Test Mass Balance Tool'!$X$15='Crop N Graphing'!A136,'Crop N Graphing'!F136,-50)</f>
        <v>-50</v>
      </c>
    </row>
    <row r="137" spans="1:12" x14ac:dyDescent="0.25">
      <c r="A137" s="1">
        <v>134</v>
      </c>
      <c r="B137" s="1">
        <f>VLOOKUP('Quick Test Mass Balance Tool'!$K$10&amp;'Quick Test Mass Balance Tool'!$K$12,'Crop parameters'!$C$3:$J$509,5,FALSE)</f>
        <v>0.17233999999999999</v>
      </c>
      <c r="C137" s="33">
        <f>VLOOKUP('Quick Test Mass Balance Tool'!$K$10&amp;'Quick Test Mass Balance Tool'!$K$12,'Crop parameters'!$C$3:$J$509,6,FALSE)</f>
        <v>29.87</v>
      </c>
      <c r="D137" s="1">
        <f>VLOOKUP('Quick Test Mass Balance Tool'!$K$10&amp;'Quick Test Mass Balance Tool'!$K$12,'Crop parameters'!$C$3:$J$509,7,FALSE)</f>
        <v>194.6</v>
      </c>
      <c r="E137" s="1">
        <f>VLOOKUP('Quick Test Mass Balance Tool'!$K$10&amp;'Quick Test Mass Balance Tool'!$K$12,'Crop parameters'!$C$3:$J$509,8,FALSE)</f>
        <v>-1.1850000000000001</v>
      </c>
      <c r="F137" s="1">
        <f t="shared" si="8"/>
        <v>193.41499687106554</v>
      </c>
      <c r="G137" s="4">
        <f>VLOOKUP('Quick Test Mass Balance Tool'!$K$10&amp;'Quick Test Mass Balance Tool'!$K$12,'Crop parameters'!$C$3:$J$509,4,FALSE)-F137</f>
        <v>-85.039996871065526</v>
      </c>
      <c r="I137" s="47" t="str">
        <f t="shared" si="7"/>
        <v/>
      </c>
      <c r="J137" s="1" t="str">
        <f t="shared" si="6"/>
        <v/>
      </c>
      <c r="K137" s="1">
        <f>IF(_xlfn.DAYS('Quick Test Mass Balance Tool'!$O$10,'Quick Test Mass Balance Tool'!$K$11)='Crop N Graphing'!A137,'Crop N Graphing'!F137,-50)</f>
        <v>-50</v>
      </c>
      <c r="L137" s="1">
        <f>IF('Quick Test Mass Balance Tool'!$X$15='Crop N Graphing'!A137,'Crop N Graphing'!F137,-50)</f>
        <v>-50</v>
      </c>
    </row>
    <row r="138" spans="1:12" x14ac:dyDescent="0.25">
      <c r="A138" s="1">
        <v>135</v>
      </c>
      <c r="B138" s="1">
        <f>VLOOKUP('Quick Test Mass Balance Tool'!$K$10&amp;'Quick Test Mass Balance Tool'!$K$12,'Crop parameters'!$C$3:$J$509,5,FALSE)</f>
        <v>0.17233999999999999</v>
      </c>
      <c r="C138" s="33">
        <f>VLOOKUP('Quick Test Mass Balance Tool'!$K$10&amp;'Quick Test Mass Balance Tool'!$K$12,'Crop parameters'!$C$3:$J$509,6,FALSE)</f>
        <v>29.87</v>
      </c>
      <c r="D138" s="1">
        <f>VLOOKUP('Quick Test Mass Balance Tool'!$K$10&amp;'Quick Test Mass Balance Tool'!$K$12,'Crop parameters'!$C$3:$J$509,7,FALSE)</f>
        <v>194.6</v>
      </c>
      <c r="E138" s="1">
        <f>VLOOKUP('Quick Test Mass Balance Tool'!$K$10&amp;'Quick Test Mass Balance Tool'!$K$12,'Crop parameters'!$C$3:$J$509,8,FALSE)</f>
        <v>-1.1850000000000001</v>
      </c>
      <c r="F138" s="1">
        <f t="shared" si="8"/>
        <v>193.41499736639793</v>
      </c>
      <c r="G138" s="4">
        <f>VLOOKUP('Quick Test Mass Balance Tool'!$K$10&amp;'Quick Test Mass Balance Tool'!$K$12,'Crop parameters'!$C$3:$J$509,4,FALSE)-F138</f>
        <v>-85.039997366397913</v>
      </c>
      <c r="I138" s="47" t="str">
        <f t="shared" si="7"/>
        <v/>
      </c>
      <c r="J138" s="1" t="str">
        <f t="shared" si="6"/>
        <v/>
      </c>
      <c r="K138" s="1">
        <f>IF(_xlfn.DAYS('Quick Test Mass Balance Tool'!$O$10,'Quick Test Mass Balance Tool'!$K$11)='Crop N Graphing'!A138,'Crop N Graphing'!F138,-50)</f>
        <v>-50</v>
      </c>
      <c r="L138" s="1">
        <f>IF('Quick Test Mass Balance Tool'!$X$15='Crop N Graphing'!A138,'Crop N Graphing'!F138,-50)</f>
        <v>-50</v>
      </c>
    </row>
    <row r="139" spans="1:12" x14ac:dyDescent="0.25">
      <c r="A139" s="1">
        <v>136</v>
      </c>
      <c r="B139" s="1">
        <f>VLOOKUP('Quick Test Mass Balance Tool'!$K$10&amp;'Quick Test Mass Balance Tool'!$K$12,'Crop parameters'!$C$3:$J$509,5,FALSE)</f>
        <v>0.17233999999999999</v>
      </c>
      <c r="C139" s="33">
        <f>VLOOKUP('Quick Test Mass Balance Tool'!$K$10&amp;'Quick Test Mass Balance Tool'!$K$12,'Crop parameters'!$C$3:$J$509,6,FALSE)</f>
        <v>29.87</v>
      </c>
      <c r="D139" s="1">
        <f>VLOOKUP('Quick Test Mass Balance Tool'!$K$10&amp;'Quick Test Mass Balance Tool'!$K$12,'Crop parameters'!$C$3:$J$509,7,FALSE)</f>
        <v>194.6</v>
      </c>
      <c r="E139" s="1">
        <f>VLOOKUP('Quick Test Mass Balance Tool'!$K$10&amp;'Quick Test Mass Balance Tool'!$K$12,'Crop parameters'!$C$3:$J$509,8,FALSE)</f>
        <v>-1.1850000000000001</v>
      </c>
      <c r="F139" s="1">
        <f t="shared" si="8"/>
        <v>193.4149977833157</v>
      </c>
      <c r="G139" s="4">
        <f>VLOOKUP('Quick Test Mass Balance Tool'!$K$10&amp;'Quick Test Mass Balance Tool'!$K$12,'Crop parameters'!$C$3:$J$509,4,FALSE)-F139</f>
        <v>-85.039997783315684</v>
      </c>
      <c r="I139" s="47" t="str">
        <f t="shared" si="7"/>
        <v/>
      </c>
      <c r="J139" s="1" t="str">
        <f t="shared" si="6"/>
        <v/>
      </c>
      <c r="K139" s="1">
        <f>IF(_xlfn.DAYS('Quick Test Mass Balance Tool'!$O$10,'Quick Test Mass Balance Tool'!$K$11)='Crop N Graphing'!A139,'Crop N Graphing'!F139,-50)</f>
        <v>-50</v>
      </c>
      <c r="L139" s="1">
        <f>IF('Quick Test Mass Balance Tool'!$X$15='Crop N Graphing'!A139,'Crop N Graphing'!F139,-50)</f>
        <v>-50</v>
      </c>
    </row>
    <row r="140" spans="1:12" x14ac:dyDescent="0.25">
      <c r="A140" s="1">
        <v>137</v>
      </c>
      <c r="B140" s="1">
        <f>VLOOKUP('Quick Test Mass Balance Tool'!$K$10&amp;'Quick Test Mass Balance Tool'!$K$12,'Crop parameters'!$C$3:$J$509,5,FALSE)</f>
        <v>0.17233999999999999</v>
      </c>
      <c r="C140" s="33">
        <f>VLOOKUP('Quick Test Mass Balance Tool'!$K$10&amp;'Quick Test Mass Balance Tool'!$K$12,'Crop parameters'!$C$3:$J$509,6,FALSE)</f>
        <v>29.87</v>
      </c>
      <c r="D140" s="1">
        <f>VLOOKUP('Quick Test Mass Balance Tool'!$K$10&amp;'Quick Test Mass Balance Tool'!$K$12,'Crop parameters'!$C$3:$J$509,7,FALSE)</f>
        <v>194.6</v>
      </c>
      <c r="E140" s="1">
        <f>VLOOKUP('Quick Test Mass Balance Tool'!$K$10&amp;'Quick Test Mass Balance Tool'!$K$12,'Crop parameters'!$C$3:$J$509,8,FALSE)</f>
        <v>-1.1850000000000001</v>
      </c>
      <c r="F140" s="1">
        <f t="shared" si="8"/>
        <v>193.41499813423246</v>
      </c>
      <c r="G140" s="4">
        <f>VLOOKUP('Quick Test Mass Balance Tool'!$K$10&amp;'Quick Test Mass Balance Tool'!$K$12,'Crop parameters'!$C$3:$J$509,4,FALSE)-F140</f>
        <v>-85.039998134232448</v>
      </c>
      <c r="I140" s="47" t="str">
        <f t="shared" si="7"/>
        <v/>
      </c>
      <c r="J140" s="1" t="str">
        <f t="shared" si="6"/>
        <v/>
      </c>
      <c r="K140" s="1">
        <f>IF(_xlfn.DAYS('Quick Test Mass Balance Tool'!$O$10,'Quick Test Mass Balance Tool'!$K$11)='Crop N Graphing'!A140,'Crop N Graphing'!F140,-50)</f>
        <v>-50</v>
      </c>
      <c r="L140" s="1">
        <f>IF('Quick Test Mass Balance Tool'!$X$15='Crop N Graphing'!A140,'Crop N Graphing'!F140,-50)</f>
        <v>-50</v>
      </c>
    </row>
    <row r="141" spans="1:12" x14ac:dyDescent="0.25">
      <c r="A141" s="1">
        <v>138</v>
      </c>
      <c r="B141" s="1">
        <f>VLOOKUP('Quick Test Mass Balance Tool'!$K$10&amp;'Quick Test Mass Balance Tool'!$K$12,'Crop parameters'!$C$3:$J$509,5,FALSE)</f>
        <v>0.17233999999999999</v>
      </c>
      <c r="C141" s="33">
        <f>VLOOKUP('Quick Test Mass Balance Tool'!$K$10&amp;'Quick Test Mass Balance Tool'!$K$12,'Crop parameters'!$C$3:$J$509,6,FALSE)</f>
        <v>29.87</v>
      </c>
      <c r="D141" s="1">
        <f>VLOOKUP('Quick Test Mass Balance Tool'!$K$10&amp;'Quick Test Mass Balance Tool'!$K$12,'Crop parameters'!$C$3:$J$509,7,FALSE)</f>
        <v>194.6</v>
      </c>
      <c r="E141" s="1">
        <f>VLOOKUP('Quick Test Mass Balance Tool'!$K$10&amp;'Quick Test Mass Balance Tool'!$K$12,'Crop parameters'!$C$3:$J$509,8,FALSE)</f>
        <v>-1.1850000000000001</v>
      </c>
      <c r="F141" s="1">
        <f t="shared" si="8"/>
        <v>193.41499842959664</v>
      </c>
      <c r="G141" s="4">
        <f>VLOOKUP('Quick Test Mass Balance Tool'!$K$10&amp;'Quick Test Mass Balance Tool'!$K$12,'Crop parameters'!$C$3:$J$509,4,FALSE)-F141</f>
        <v>-85.039998429596622</v>
      </c>
      <c r="I141" s="47" t="str">
        <f t="shared" si="7"/>
        <v/>
      </c>
      <c r="J141" s="1" t="str">
        <f t="shared" si="6"/>
        <v/>
      </c>
      <c r="K141" s="1">
        <f>IF(_xlfn.DAYS('Quick Test Mass Balance Tool'!$O$10,'Quick Test Mass Balance Tool'!$K$11)='Crop N Graphing'!A141,'Crop N Graphing'!F141,-50)</f>
        <v>-50</v>
      </c>
      <c r="L141" s="1">
        <f>IF('Quick Test Mass Balance Tool'!$X$15='Crop N Graphing'!A141,'Crop N Graphing'!F141,-50)</f>
        <v>-50</v>
      </c>
    </row>
    <row r="142" spans="1:12" x14ac:dyDescent="0.25">
      <c r="A142" s="1">
        <v>139</v>
      </c>
      <c r="B142" s="1">
        <f>VLOOKUP('Quick Test Mass Balance Tool'!$K$10&amp;'Quick Test Mass Balance Tool'!$K$12,'Crop parameters'!$C$3:$J$509,5,FALSE)</f>
        <v>0.17233999999999999</v>
      </c>
      <c r="C142" s="33">
        <f>VLOOKUP('Quick Test Mass Balance Tool'!$K$10&amp;'Quick Test Mass Balance Tool'!$K$12,'Crop parameters'!$C$3:$J$509,6,FALSE)</f>
        <v>29.87</v>
      </c>
      <c r="D142" s="1">
        <f>VLOOKUP('Quick Test Mass Balance Tool'!$K$10&amp;'Quick Test Mass Balance Tool'!$K$12,'Crop parameters'!$C$3:$J$509,7,FALSE)</f>
        <v>194.6</v>
      </c>
      <c r="E142" s="1">
        <f>VLOOKUP('Quick Test Mass Balance Tool'!$K$10&amp;'Quick Test Mass Balance Tool'!$K$12,'Crop parameters'!$C$3:$J$509,8,FALSE)</f>
        <v>-1.1850000000000001</v>
      </c>
      <c r="F142" s="1">
        <f t="shared" si="8"/>
        <v>193.41499867820255</v>
      </c>
      <c r="G142" s="4">
        <f>VLOOKUP('Quick Test Mass Balance Tool'!$K$10&amp;'Quick Test Mass Balance Tool'!$K$12,'Crop parameters'!$C$3:$J$509,4,FALSE)-F142</f>
        <v>-85.039998678202537</v>
      </c>
      <c r="I142" s="47" t="str">
        <f t="shared" si="7"/>
        <v/>
      </c>
      <c r="J142" s="1" t="str">
        <f t="shared" si="6"/>
        <v/>
      </c>
      <c r="K142" s="1">
        <f>IF(_xlfn.DAYS('Quick Test Mass Balance Tool'!$O$10,'Quick Test Mass Balance Tool'!$K$11)='Crop N Graphing'!A142,'Crop N Graphing'!F142,-50)</f>
        <v>-50</v>
      </c>
      <c r="L142" s="1">
        <f>IF('Quick Test Mass Balance Tool'!$X$15='Crop N Graphing'!A142,'Crop N Graphing'!F142,-50)</f>
        <v>-50</v>
      </c>
    </row>
    <row r="143" spans="1:12" x14ac:dyDescent="0.25">
      <c r="A143" s="1">
        <v>140</v>
      </c>
      <c r="B143" s="1">
        <f>VLOOKUP('Quick Test Mass Balance Tool'!$K$10&amp;'Quick Test Mass Balance Tool'!$K$12,'Crop parameters'!$C$3:$J$509,5,FALSE)</f>
        <v>0.17233999999999999</v>
      </c>
      <c r="C143" s="33">
        <f>VLOOKUP('Quick Test Mass Balance Tool'!$K$10&amp;'Quick Test Mass Balance Tool'!$K$12,'Crop parameters'!$C$3:$J$509,6,FALSE)</f>
        <v>29.87</v>
      </c>
      <c r="D143" s="1">
        <f>VLOOKUP('Quick Test Mass Balance Tool'!$K$10&amp;'Quick Test Mass Balance Tool'!$K$12,'Crop parameters'!$C$3:$J$509,7,FALSE)</f>
        <v>194.6</v>
      </c>
      <c r="E143" s="1">
        <f>VLOOKUP('Quick Test Mass Balance Tool'!$K$10&amp;'Quick Test Mass Balance Tool'!$K$12,'Crop parameters'!$C$3:$J$509,8,FALSE)</f>
        <v>-1.1850000000000001</v>
      </c>
      <c r="F143" s="1">
        <f t="shared" si="8"/>
        <v>193.41499888745241</v>
      </c>
      <c r="G143" s="4">
        <f>VLOOKUP('Quick Test Mass Balance Tool'!$K$10&amp;'Quick Test Mass Balance Tool'!$K$12,'Crop parameters'!$C$3:$J$509,4,FALSE)-F143</f>
        <v>-85.039998887452398</v>
      </c>
      <c r="I143" s="47" t="str">
        <f t="shared" si="7"/>
        <v/>
      </c>
      <c r="J143" s="1" t="str">
        <f>IF(G143&lt;0,"",F143)</f>
        <v/>
      </c>
      <c r="K143" s="1">
        <f>IF(_xlfn.DAYS('Quick Test Mass Balance Tool'!$O$10,'Quick Test Mass Balance Tool'!$K$11)='Crop N Graphing'!A143,'Crop N Graphing'!F143,-50)</f>
        <v>-50</v>
      </c>
      <c r="L143" s="1">
        <f>IF('Quick Test Mass Balance Tool'!$X$15='Crop N Graphing'!A143,'Crop N Graphing'!F143,-50)</f>
        <v>-50</v>
      </c>
    </row>
    <row r="144" spans="1:12" x14ac:dyDescent="0.25">
      <c r="A144" s="1">
        <v>141</v>
      </c>
      <c r="B144" s="1">
        <f>VLOOKUP('Quick Test Mass Balance Tool'!$K$10&amp;'Quick Test Mass Balance Tool'!$K$12,'Crop parameters'!$C$3:$J$509,5,FALSE)</f>
        <v>0.17233999999999999</v>
      </c>
      <c r="C144" s="33">
        <f>VLOOKUP('Quick Test Mass Balance Tool'!$K$10&amp;'Quick Test Mass Balance Tool'!$K$12,'Crop parameters'!$C$3:$J$509,6,FALSE)</f>
        <v>29.87</v>
      </c>
      <c r="D144" s="1">
        <f>VLOOKUP('Quick Test Mass Balance Tool'!$K$10&amp;'Quick Test Mass Balance Tool'!$K$12,'Crop parameters'!$C$3:$J$509,7,FALSE)</f>
        <v>194.6</v>
      </c>
      <c r="E144" s="1">
        <f>VLOOKUP('Quick Test Mass Balance Tool'!$K$10&amp;'Quick Test Mass Balance Tool'!$K$12,'Crop parameters'!$C$3:$J$509,8,FALSE)</f>
        <v>-1.1850000000000001</v>
      </c>
      <c r="F144" s="1">
        <f t="shared" si="8"/>
        <v>193.41499906357652</v>
      </c>
      <c r="G144" s="4">
        <f>VLOOKUP('Quick Test Mass Balance Tool'!$K$10&amp;'Quick Test Mass Balance Tool'!$K$12,'Crop parameters'!$C$3:$J$509,4,FALSE)-F144</f>
        <v>-85.039999063576502</v>
      </c>
      <c r="I144" s="47" t="str">
        <f t="shared" si="7"/>
        <v/>
      </c>
      <c r="J144" s="1" t="str">
        <f>IF(G144&lt;0,"",F144)</f>
        <v/>
      </c>
      <c r="K144" s="1">
        <f>IF(_xlfn.DAYS('Quick Test Mass Balance Tool'!$O$10,'Quick Test Mass Balance Tool'!$K$11)='Crop N Graphing'!A144,'Crop N Graphing'!F144,-50)</f>
        <v>-50</v>
      </c>
      <c r="L144" s="1">
        <f>IF('Quick Test Mass Balance Tool'!$X$15='Crop N Graphing'!A144,'Crop N Graphing'!F144,-50)</f>
        <v>-50</v>
      </c>
    </row>
    <row r="145" spans="1:12" x14ac:dyDescent="0.25">
      <c r="A145" s="1">
        <v>142</v>
      </c>
      <c r="B145" s="1">
        <f>VLOOKUP('Quick Test Mass Balance Tool'!$K$10&amp;'Quick Test Mass Balance Tool'!$K$12,'Crop parameters'!$C$3:$J$509,5,FALSE)</f>
        <v>0.17233999999999999</v>
      </c>
      <c r="C145" s="33">
        <f>VLOOKUP('Quick Test Mass Balance Tool'!$K$10&amp;'Quick Test Mass Balance Tool'!$K$12,'Crop parameters'!$C$3:$J$509,6,FALSE)</f>
        <v>29.87</v>
      </c>
      <c r="D145" s="1">
        <f>VLOOKUP('Quick Test Mass Balance Tool'!$K$10&amp;'Quick Test Mass Balance Tool'!$K$12,'Crop parameters'!$C$3:$J$509,7,FALSE)</f>
        <v>194.6</v>
      </c>
      <c r="E145" s="1">
        <f>VLOOKUP('Quick Test Mass Balance Tool'!$K$10&amp;'Quick Test Mass Balance Tool'!$K$12,'Crop parameters'!$C$3:$J$509,8,FALSE)</f>
        <v>-1.1850000000000001</v>
      </c>
      <c r="F145" s="1">
        <f t="shared" si="8"/>
        <v>193.41499921181895</v>
      </c>
      <c r="G145" s="4">
        <f>VLOOKUP('Quick Test Mass Balance Tool'!$K$10&amp;'Quick Test Mass Balance Tool'!$K$12,'Crop parameters'!$C$3:$J$509,4,FALSE)-F145</f>
        <v>-85.039999211818937</v>
      </c>
      <c r="I145" s="47" t="str">
        <f t="shared" si="7"/>
        <v/>
      </c>
      <c r="J145" s="1" t="str">
        <f t="shared" si="6"/>
        <v/>
      </c>
      <c r="K145" s="1">
        <f>IF(_xlfn.DAYS('Quick Test Mass Balance Tool'!$O$10,'Quick Test Mass Balance Tool'!$K$11)='Crop N Graphing'!A145,'Crop N Graphing'!F145,-50)</f>
        <v>-50</v>
      </c>
      <c r="L145" s="1">
        <f>IF('Quick Test Mass Balance Tool'!$X$15='Crop N Graphing'!A145,'Crop N Graphing'!F145,-50)</f>
        <v>-50</v>
      </c>
    </row>
    <row r="146" spans="1:12" x14ac:dyDescent="0.25">
      <c r="A146" s="1">
        <v>143</v>
      </c>
      <c r="B146" s="1">
        <f>VLOOKUP('Quick Test Mass Balance Tool'!$K$10&amp;'Quick Test Mass Balance Tool'!$K$12,'Crop parameters'!$C$3:$J$509,5,FALSE)</f>
        <v>0.17233999999999999</v>
      </c>
      <c r="C146" s="33">
        <f>VLOOKUP('Quick Test Mass Balance Tool'!$K$10&amp;'Quick Test Mass Balance Tool'!$K$12,'Crop parameters'!$C$3:$J$509,6,FALSE)</f>
        <v>29.87</v>
      </c>
      <c r="D146" s="1">
        <f>VLOOKUP('Quick Test Mass Balance Tool'!$K$10&amp;'Quick Test Mass Balance Tool'!$K$12,'Crop parameters'!$C$3:$J$509,7,FALSE)</f>
        <v>194.6</v>
      </c>
      <c r="E146" s="1">
        <f>VLOOKUP('Quick Test Mass Balance Tool'!$K$10&amp;'Quick Test Mass Balance Tool'!$K$12,'Crop parameters'!$C$3:$J$509,8,FALSE)</f>
        <v>-1.1850000000000001</v>
      </c>
      <c r="F146" s="1">
        <f t="shared" si="8"/>
        <v>193.41499933659355</v>
      </c>
      <c r="G146" s="4">
        <f>VLOOKUP('Quick Test Mass Balance Tool'!$K$10&amp;'Quick Test Mass Balance Tool'!$K$12,'Crop parameters'!$C$3:$J$509,4,FALSE)-F146</f>
        <v>-85.039999336593539</v>
      </c>
      <c r="I146" s="47" t="str">
        <f t="shared" si="7"/>
        <v/>
      </c>
      <c r="J146" s="1" t="str">
        <f t="shared" si="6"/>
        <v/>
      </c>
      <c r="K146" s="1">
        <f>IF(_xlfn.DAYS('Quick Test Mass Balance Tool'!$O$10,'Quick Test Mass Balance Tool'!$K$11)='Crop N Graphing'!A146,'Crop N Graphing'!F146,-50)</f>
        <v>-50</v>
      </c>
      <c r="L146" s="1">
        <f>IF('Quick Test Mass Balance Tool'!$X$15='Crop N Graphing'!A146,'Crop N Graphing'!F146,-50)</f>
        <v>-50</v>
      </c>
    </row>
    <row r="147" spans="1:12" x14ac:dyDescent="0.25">
      <c r="A147" s="1">
        <v>144</v>
      </c>
      <c r="B147" s="1">
        <f>VLOOKUP('Quick Test Mass Balance Tool'!$K$10&amp;'Quick Test Mass Balance Tool'!$K$12,'Crop parameters'!$C$3:$J$509,5,FALSE)</f>
        <v>0.17233999999999999</v>
      </c>
      <c r="C147" s="33">
        <f>VLOOKUP('Quick Test Mass Balance Tool'!$K$10&amp;'Quick Test Mass Balance Tool'!$K$12,'Crop parameters'!$C$3:$J$509,6,FALSE)</f>
        <v>29.87</v>
      </c>
      <c r="D147" s="1">
        <f>VLOOKUP('Quick Test Mass Balance Tool'!$K$10&amp;'Quick Test Mass Balance Tool'!$K$12,'Crop parameters'!$C$3:$J$509,7,FALSE)</f>
        <v>194.6</v>
      </c>
      <c r="E147" s="1">
        <f>VLOOKUP('Quick Test Mass Balance Tool'!$K$10&amp;'Quick Test Mass Balance Tool'!$K$12,'Crop parameters'!$C$3:$J$509,8,FALSE)</f>
        <v>-1.1850000000000001</v>
      </c>
      <c r="F147" s="1">
        <f t="shared" si="8"/>
        <v>193.41499944161549</v>
      </c>
      <c r="G147" s="4">
        <f>VLOOKUP('Quick Test Mass Balance Tool'!$K$10&amp;'Quick Test Mass Balance Tool'!$K$12,'Crop parameters'!$C$3:$J$509,4,FALSE)-F147</f>
        <v>-85.039999441615478</v>
      </c>
      <c r="I147" s="47" t="str">
        <f t="shared" si="7"/>
        <v/>
      </c>
      <c r="J147" s="1" t="str">
        <f t="shared" si="6"/>
        <v/>
      </c>
      <c r="K147" s="1">
        <f>IF(_xlfn.DAYS('Quick Test Mass Balance Tool'!$O$10,'Quick Test Mass Balance Tool'!$K$11)='Crop N Graphing'!A147,'Crop N Graphing'!F147,-50)</f>
        <v>-50</v>
      </c>
      <c r="L147" s="1">
        <f>IF('Quick Test Mass Balance Tool'!$X$15='Crop N Graphing'!A147,'Crop N Graphing'!F147,-50)</f>
        <v>-50</v>
      </c>
    </row>
    <row r="148" spans="1:12" x14ac:dyDescent="0.25">
      <c r="A148" s="1">
        <v>145</v>
      </c>
      <c r="B148" s="1">
        <f>VLOOKUP('Quick Test Mass Balance Tool'!$K$10&amp;'Quick Test Mass Balance Tool'!$K$12,'Crop parameters'!$C$3:$J$509,5,FALSE)</f>
        <v>0.17233999999999999</v>
      </c>
      <c r="C148" s="33">
        <f>VLOOKUP('Quick Test Mass Balance Tool'!$K$10&amp;'Quick Test Mass Balance Tool'!$K$12,'Crop parameters'!$C$3:$J$509,6,FALSE)</f>
        <v>29.87</v>
      </c>
      <c r="D148" s="1">
        <f>VLOOKUP('Quick Test Mass Balance Tool'!$K$10&amp;'Quick Test Mass Balance Tool'!$K$12,'Crop parameters'!$C$3:$J$509,7,FALSE)</f>
        <v>194.6</v>
      </c>
      <c r="E148" s="1">
        <f>VLOOKUP('Quick Test Mass Balance Tool'!$K$10&amp;'Quick Test Mass Balance Tool'!$K$12,'Crop parameters'!$C$3:$J$509,8,FALSE)</f>
        <v>-1.1850000000000001</v>
      </c>
      <c r="F148" s="1">
        <f t="shared" si="8"/>
        <v>193.4149995300117</v>
      </c>
      <c r="G148" s="4">
        <f>VLOOKUP('Quick Test Mass Balance Tool'!$K$10&amp;'Quick Test Mass Balance Tool'!$K$12,'Crop parameters'!$C$3:$J$509,4,FALSE)-F148</f>
        <v>-85.039999530011684</v>
      </c>
      <c r="I148" s="47" t="str">
        <f t="shared" si="7"/>
        <v/>
      </c>
      <c r="J148" s="1" t="str">
        <f t="shared" si="6"/>
        <v/>
      </c>
      <c r="K148" s="1">
        <f>IF(_xlfn.DAYS('Quick Test Mass Balance Tool'!$O$10,'Quick Test Mass Balance Tool'!$K$11)='Crop N Graphing'!A148,'Crop N Graphing'!F148,-50)</f>
        <v>-50</v>
      </c>
      <c r="L148" s="1">
        <f>IF('Quick Test Mass Balance Tool'!$X$15='Crop N Graphing'!A148,'Crop N Graphing'!F148,-50)</f>
        <v>-50</v>
      </c>
    </row>
    <row r="149" spans="1:12" x14ac:dyDescent="0.25">
      <c r="A149" s="1">
        <v>146</v>
      </c>
      <c r="B149" s="1">
        <f>VLOOKUP('Quick Test Mass Balance Tool'!$K$10&amp;'Quick Test Mass Balance Tool'!$K$12,'Crop parameters'!$C$3:$J$509,5,FALSE)</f>
        <v>0.17233999999999999</v>
      </c>
      <c r="C149" s="33">
        <f>VLOOKUP('Quick Test Mass Balance Tool'!$K$10&amp;'Quick Test Mass Balance Tool'!$K$12,'Crop parameters'!$C$3:$J$509,6,FALSE)</f>
        <v>29.87</v>
      </c>
      <c r="D149" s="1">
        <f>VLOOKUP('Quick Test Mass Balance Tool'!$K$10&amp;'Quick Test Mass Balance Tool'!$K$12,'Crop parameters'!$C$3:$J$509,7,FALSE)</f>
        <v>194.6</v>
      </c>
      <c r="E149" s="1">
        <f>VLOOKUP('Quick Test Mass Balance Tool'!$K$10&amp;'Quick Test Mass Balance Tool'!$K$12,'Crop parameters'!$C$3:$J$509,8,FALSE)</f>
        <v>-1.1850000000000001</v>
      </c>
      <c r="F149" s="1">
        <f t="shared" si="8"/>
        <v>193.41499960441413</v>
      </c>
      <c r="G149" s="4">
        <f>VLOOKUP('Quick Test Mass Balance Tool'!$K$10&amp;'Quick Test Mass Balance Tool'!$K$12,'Crop parameters'!$C$3:$J$509,4,FALSE)-F149</f>
        <v>-85.03999960441412</v>
      </c>
      <c r="I149" s="47" t="str">
        <f t="shared" si="7"/>
        <v/>
      </c>
      <c r="J149" s="1" t="str">
        <f t="shared" si="6"/>
        <v/>
      </c>
      <c r="K149" s="1">
        <f>IF(_xlfn.DAYS('Quick Test Mass Balance Tool'!$O$10,'Quick Test Mass Balance Tool'!$K$11)='Crop N Graphing'!A149,'Crop N Graphing'!F149,-50)</f>
        <v>-50</v>
      </c>
      <c r="L149" s="1">
        <f>IF('Quick Test Mass Balance Tool'!$X$15='Crop N Graphing'!A149,'Crop N Graphing'!F149,-50)</f>
        <v>-50</v>
      </c>
    </row>
    <row r="150" spans="1:12" x14ac:dyDescent="0.25">
      <c r="A150" s="1">
        <v>147</v>
      </c>
      <c r="B150" s="1">
        <f>VLOOKUP('Quick Test Mass Balance Tool'!$K$10&amp;'Quick Test Mass Balance Tool'!$K$12,'Crop parameters'!$C$3:$J$509,5,FALSE)</f>
        <v>0.17233999999999999</v>
      </c>
      <c r="C150" s="33">
        <f>VLOOKUP('Quick Test Mass Balance Tool'!$K$10&amp;'Quick Test Mass Balance Tool'!$K$12,'Crop parameters'!$C$3:$J$509,6,FALSE)</f>
        <v>29.87</v>
      </c>
      <c r="D150" s="1">
        <f>VLOOKUP('Quick Test Mass Balance Tool'!$K$10&amp;'Quick Test Mass Balance Tool'!$K$12,'Crop parameters'!$C$3:$J$509,7,FALSE)</f>
        <v>194.6</v>
      </c>
      <c r="E150" s="1">
        <f>VLOOKUP('Quick Test Mass Balance Tool'!$K$10&amp;'Quick Test Mass Balance Tool'!$K$12,'Crop parameters'!$C$3:$J$509,8,FALSE)</f>
        <v>-1.1850000000000001</v>
      </c>
      <c r="F150" s="1">
        <f t="shared" si="8"/>
        <v>193.41499966703819</v>
      </c>
      <c r="G150" s="4">
        <f>VLOOKUP('Quick Test Mass Balance Tool'!$K$10&amp;'Quick Test Mass Balance Tool'!$K$12,'Crop parameters'!$C$3:$J$509,4,FALSE)-F150</f>
        <v>-85.039999667038174</v>
      </c>
      <c r="I150" s="47" t="str">
        <f t="shared" si="7"/>
        <v/>
      </c>
      <c r="J150" s="1" t="str">
        <f t="shared" si="6"/>
        <v/>
      </c>
      <c r="K150" s="1">
        <f>IF(_xlfn.DAYS('Quick Test Mass Balance Tool'!$O$10,'Quick Test Mass Balance Tool'!$K$11)='Crop N Graphing'!A150,'Crop N Graphing'!F150,-50)</f>
        <v>-50</v>
      </c>
      <c r="L150" s="1">
        <f>IF('Quick Test Mass Balance Tool'!$X$15='Crop N Graphing'!A150,'Crop N Graphing'!F150,-50)</f>
        <v>-50</v>
      </c>
    </row>
    <row r="151" spans="1:12" x14ac:dyDescent="0.25">
      <c r="A151" s="1">
        <v>148</v>
      </c>
      <c r="B151" s="1">
        <f>VLOOKUP('Quick Test Mass Balance Tool'!$K$10&amp;'Quick Test Mass Balance Tool'!$K$12,'Crop parameters'!$C$3:$J$509,5,FALSE)</f>
        <v>0.17233999999999999</v>
      </c>
      <c r="C151" s="33">
        <f>VLOOKUP('Quick Test Mass Balance Tool'!$K$10&amp;'Quick Test Mass Balance Tool'!$K$12,'Crop parameters'!$C$3:$J$509,6,FALSE)</f>
        <v>29.87</v>
      </c>
      <c r="D151" s="1">
        <f>VLOOKUP('Quick Test Mass Balance Tool'!$K$10&amp;'Quick Test Mass Balance Tool'!$K$12,'Crop parameters'!$C$3:$J$509,7,FALSE)</f>
        <v>194.6</v>
      </c>
      <c r="E151" s="1">
        <f>VLOOKUP('Quick Test Mass Balance Tool'!$K$10&amp;'Quick Test Mass Balance Tool'!$K$12,'Crop parameters'!$C$3:$J$509,8,FALSE)</f>
        <v>-1.1850000000000001</v>
      </c>
      <c r="F151" s="1">
        <f t="shared" si="8"/>
        <v>193.41499971974841</v>
      </c>
      <c r="G151" s="4">
        <f>VLOOKUP('Quick Test Mass Balance Tool'!$K$10&amp;'Quick Test Mass Balance Tool'!$K$12,'Crop parameters'!$C$3:$J$509,4,FALSE)-F151</f>
        <v>-85.039999719748394</v>
      </c>
      <c r="I151" s="47" t="str">
        <f t="shared" si="7"/>
        <v/>
      </c>
      <c r="J151" s="1" t="str">
        <f t="shared" si="6"/>
        <v/>
      </c>
      <c r="K151" s="1">
        <f>IF(_xlfn.DAYS('Quick Test Mass Balance Tool'!$O$10,'Quick Test Mass Balance Tool'!$K$11)='Crop N Graphing'!A151,'Crop N Graphing'!F151,-50)</f>
        <v>-50</v>
      </c>
      <c r="L151" s="1">
        <f>IF('Quick Test Mass Balance Tool'!$X$15='Crop N Graphing'!A151,'Crop N Graphing'!F151,-50)</f>
        <v>-50</v>
      </c>
    </row>
    <row r="152" spans="1:12" x14ac:dyDescent="0.25">
      <c r="A152" s="1">
        <v>149</v>
      </c>
      <c r="B152" s="1">
        <f>VLOOKUP('Quick Test Mass Balance Tool'!$K$10&amp;'Quick Test Mass Balance Tool'!$K$12,'Crop parameters'!$C$3:$J$509,5,FALSE)</f>
        <v>0.17233999999999999</v>
      </c>
      <c r="C152" s="33">
        <f>VLOOKUP('Quick Test Mass Balance Tool'!$K$10&amp;'Quick Test Mass Balance Tool'!$K$12,'Crop parameters'!$C$3:$J$509,6,FALSE)</f>
        <v>29.87</v>
      </c>
      <c r="D152" s="1">
        <f>VLOOKUP('Quick Test Mass Balance Tool'!$K$10&amp;'Quick Test Mass Balance Tool'!$K$12,'Crop parameters'!$C$3:$J$509,7,FALSE)</f>
        <v>194.6</v>
      </c>
      <c r="E152" s="1">
        <f>VLOOKUP('Quick Test Mass Balance Tool'!$K$10&amp;'Quick Test Mass Balance Tool'!$K$12,'Crop parameters'!$C$3:$J$509,8,FALSE)</f>
        <v>-1.1850000000000001</v>
      </c>
      <c r="F152" s="1">
        <f t="shared" si="8"/>
        <v>193.41499976411419</v>
      </c>
      <c r="G152" s="4">
        <f>VLOOKUP('Quick Test Mass Balance Tool'!$K$10&amp;'Quick Test Mass Balance Tool'!$K$12,'Crop parameters'!$C$3:$J$509,4,FALSE)-F152</f>
        <v>-85.039999764114171</v>
      </c>
      <c r="I152" s="47" t="str">
        <f t="shared" si="7"/>
        <v/>
      </c>
      <c r="J152" s="1" t="str">
        <f t="shared" si="6"/>
        <v/>
      </c>
      <c r="K152" s="1">
        <f>IF(_xlfn.DAYS('Quick Test Mass Balance Tool'!$O$10,'Quick Test Mass Balance Tool'!$K$11)='Crop N Graphing'!A152,'Crop N Graphing'!F152,-50)</f>
        <v>-50</v>
      </c>
      <c r="L152" s="1">
        <f>IF('Quick Test Mass Balance Tool'!$X$15='Crop N Graphing'!A152,'Crop N Graphing'!F152,-50)</f>
        <v>-50</v>
      </c>
    </row>
    <row r="153" spans="1:12" x14ac:dyDescent="0.25">
      <c r="A153" s="1">
        <v>150</v>
      </c>
      <c r="B153" s="1">
        <f>VLOOKUP('Quick Test Mass Balance Tool'!$K$10&amp;'Quick Test Mass Balance Tool'!$K$12,'Crop parameters'!$C$3:$J$509,5,FALSE)</f>
        <v>0.17233999999999999</v>
      </c>
      <c r="C153" s="33">
        <f>VLOOKUP('Quick Test Mass Balance Tool'!$K$10&amp;'Quick Test Mass Balance Tool'!$K$12,'Crop parameters'!$C$3:$J$509,6,FALSE)</f>
        <v>29.87</v>
      </c>
      <c r="D153" s="1">
        <f>VLOOKUP('Quick Test Mass Balance Tool'!$K$10&amp;'Quick Test Mass Balance Tool'!$K$12,'Crop parameters'!$C$3:$J$509,7,FALSE)</f>
        <v>194.6</v>
      </c>
      <c r="E153" s="1">
        <f>VLOOKUP('Quick Test Mass Balance Tool'!$K$10&amp;'Quick Test Mass Balance Tool'!$K$12,'Crop parameters'!$C$3:$J$509,8,FALSE)</f>
        <v>-1.1850000000000001</v>
      </c>
      <c r="F153" s="1">
        <f t="shared" si="8"/>
        <v>193.41499980145656</v>
      </c>
      <c r="G153" s="4">
        <f>VLOOKUP('Quick Test Mass Balance Tool'!$K$10&amp;'Quick Test Mass Balance Tool'!$K$12,'Crop parameters'!$C$3:$J$509,4,FALSE)-F153</f>
        <v>-85.039999801456545</v>
      </c>
      <c r="I153" s="47" t="str">
        <f t="shared" si="7"/>
        <v/>
      </c>
      <c r="J153" s="1" t="str">
        <f t="shared" si="6"/>
        <v/>
      </c>
      <c r="K153" s="1">
        <f>IF(_xlfn.DAYS('Quick Test Mass Balance Tool'!$O$10,'Quick Test Mass Balance Tool'!$K$11)='Crop N Graphing'!A153,'Crop N Graphing'!F153,-50)</f>
        <v>-50</v>
      </c>
      <c r="L153" s="1">
        <f>IF('Quick Test Mass Balance Tool'!$X$15='Crop N Graphing'!A153,'Crop N Graphing'!F153,-50)</f>
        <v>-50</v>
      </c>
    </row>
    <row r="154" spans="1:12" x14ac:dyDescent="0.25">
      <c r="A154" s="1">
        <v>151</v>
      </c>
      <c r="B154" s="1">
        <f>VLOOKUP('Quick Test Mass Balance Tool'!$K$10&amp;'Quick Test Mass Balance Tool'!$K$12,'Crop parameters'!$C$3:$J$509,5,FALSE)</f>
        <v>0.17233999999999999</v>
      </c>
      <c r="C154" s="33">
        <f>VLOOKUP('Quick Test Mass Balance Tool'!$K$10&amp;'Quick Test Mass Balance Tool'!$K$12,'Crop parameters'!$C$3:$J$509,6,FALSE)</f>
        <v>29.87</v>
      </c>
      <c r="D154" s="1">
        <f>VLOOKUP('Quick Test Mass Balance Tool'!$K$10&amp;'Quick Test Mass Balance Tool'!$K$12,'Crop parameters'!$C$3:$J$509,7,FALSE)</f>
        <v>194.6</v>
      </c>
      <c r="E154" s="1">
        <f>VLOOKUP('Quick Test Mass Balance Tool'!$K$10&amp;'Quick Test Mass Balance Tool'!$K$12,'Crop parameters'!$C$3:$J$509,8,FALSE)</f>
        <v>-1.1850000000000001</v>
      </c>
      <c r="F154" s="1">
        <f t="shared" ref="F154:F203" si="9">IF((E154+D154/(1+EXP(-B154*(A154-C154))))&lt;0,0,E154+D154/(1+EXP(-B154*(A154-C154))))</f>
        <v>193.41499983288739</v>
      </c>
      <c r="G154" s="4">
        <f>VLOOKUP('Quick Test Mass Balance Tool'!$K$10&amp;'Quick Test Mass Balance Tool'!$K$12,'Crop parameters'!$C$3:$J$509,4,FALSE)-F154</f>
        <v>-85.039999832887375</v>
      </c>
      <c r="I154" s="47" t="str">
        <f t="shared" si="7"/>
        <v/>
      </c>
      <c r="J154" s="1" t="str">
        <f t="shared" si="6"/>
        <v/>
      </c>
      <c r="K154" s="1">
        <f>IF(_xlfn.DAYS('Quick Test Mass Balance Tool'!$O$10,'Quick Test Mass Balance Tool'!$K$11)='Crop N Graphing'!A154,'Crop N Graphing'!F154,-50)</f>
        <v>-50</v>
      </c>
      <c r="L154" s="1">
        <f>IF('Quick Test Mass Balance Tool'!$X$15='Crop N Graphing'!A154,'Crop N Graphing'!F154,-50)</f>
        <v>-50</v>
      </c>
    </row>
    <row r="155" spans="1:12" x14ac:dyDescent="0.25">
      <c r="A155" s="1">
        <v>152</v>
      </c>
      <c r="B155" s="1">
        <f>VLOOKUP('Quick Test Mass Balance Tool'!$K$10&amp;'Quick Test Mass Balance Tool'!$K$12,'Crop parameters'!$C$3:$J$509,5,FALSE)</f>
        <v>0.17233999999999999</v>
      </c>
      <c r="C155" s="33">
        <f>VLOOKUP('Quick Test Mass Balance Tool'!$K$10&amp;'Quick Test Mass Balance Tool'!$K$12,'Crop parameters'!$C$3:$J$509,6,FALSE)</f>
        <v>29.87</v>
      </c>
      <c r="D155" s="1">
        <f>VLOOKUP('Quick Test Mass Balance Tool'!$K$10&amp;'Quick Test Mass Balance Tool'!$K$12,'Crop parameters'!$C$3:$J$509,7,FALSE)</f>
        <v>194.6</v>
      </c>
      <c r="E155" s="1">
        <f>VLOOKUP('Quick Test Mass Balance Tool'!$K$10&amp;'Quick Test Mass Balance Tool'!$K$12,'Crop parameters'!$C$3:$J$509,8,FALSE)</f>
        <v>-1.1850000000000001</v>
      </c>
      <c r="F155" s="1">
        <f t="shared" si="9"/>
        <v>193.41499985934249</v>
      </c>
      <c r="G155" s="4">
        <f>VLOOKUP('Quick Test Mass Balance Tool'!$K$10&amp;'Quick Test Mass Balance Tool'!$K$12,'Crop parameters'!$C$3:$J$509,4,FALSE)-F155</f>
        <v>-85.039999859342473</v>
      </c>
      <c r="I155" s="47" t="str">
        <f t="shared" si="7"/>
        <v/>
      </c>
      <c r="J155" s="1" t="str">
        <f t="shared" si="6"/>
        <v/>
      </c>
      <c r="K155" s="1">
        <f>IF(_xlfn.DAYS('Quick Test Mass Balance Tool'!$O$10,'Quick Test Mass Balance Tool'!$K$11)='Crop N Graphing'!A155,'Crop N Graphing'!F155,-50)</f>
        <v>-50</v>
      </c>
      <c r="L155" s="1">
        <f>IF('Quick Test Mass Balance Tool'!$X$15='Crop N Graphing'!A155,'Crop N Graphing'!F155,-50)</f>
        <v>-50</v>
      </c>
    </row>
    <row r="156" spans="1:12" x14ac:dyDescent="0.25">
      <c r="A156" s="1">
        <v>153</v>
      </c>
      <c r="B156" s="1">
        <f>VLOOKUP('Quick Test Mass Balance Tool'!$K$10&amp;'Quick Test Mass Balance Tool'!$K$12,'Crop parameters'!$C$3:$J$509,5,FALSE)</f>
        <v>0.17233999999999999</v>
      </c>
      <c r="C156" s="33">
        <f>VLOOKUP('Quick Test Mass Balance Tool'!$K$10&amp;'Quick Test Mass Balance Tool'!$K$12,'Crop parameters'!$C$3:$J$509,6,FALSE)</f>
        <v>29.87</v>
      </c>
      <c r="D156" s="1">
        <f>VLOOKUP('Quick Test Mass Balance Tool'!$K$10&amp;'Quick Test Mass Balance Tool'!$K$12,'Crop parameters'!$C$3:$J$509,7,FALSE)</f>
        <v>194.6</v>
      </c>
      <c r="E156" s="1">
        <f>VLOOKUP('Quick Test Mass Balance Tool'!$K$10&amp;'Quick Test Mass Balance Tool'!$K$12,'Crop parameters'!$C$3:$J$509,8,FALSE)</f>
        <v>-1.1850000000000001</v>
      </c>
      <c r="F156" s="1">
        <f t="shared" si="9"/>
        <v>193.41499988160959</v>
      </c>
      <c r="G156" s="4">
        <f>VLOOKUP('Quick Test Mass Balance Tool'!$K$10&amp;'Quick Test Mass Balance Tool'!$K$12,'Crop parameters'!$C$3:$J$509,4,FALSE)-F156</f>
        <v>-85.039999881609575</v>
      </c>
      <c r="I156" s="47" t="str">
        <f t="shared" si="7"/>
        <v/>
      </c>
      <c r="J156" s="1" t="str">
        <f t="shared" si="6"/>
        <v/>
      </c>
      <c r="K156" s="1">
        <f>IF(_xlfn.DAYS('Quick Test Mass Balance Tool'!$O$10,'Quick Test Mass Balance Tool'!$K$11)='Crop N Graphing'!A156,'Crop N Graphing'!F156,-50)</f>
        <v>-50</v>
      </c>
      <c r="L156" s="1">
        <f>IF('Quick Test Mass Balance Tool'!$X$15='Crop N Graphing'!A156,'Crop N Graphing'!F156,-50)</f>
        <v>-50</v>
      </c>
    </row>
    <row r="157" spans="1:12" x14ac:dyDescent="0.25">
      <c r="A157" s="1">
        <v>154</v>
      </c>
      <c r="B157" s="1">
        <f>VLOOKUP('Quick Test Mass Balance Tool'!$K$10&amp;'Quick Test Mass Balance Tool'!$K$12,'Crop parameters'!$C$3:$J$509,5,FALSE)</f>
        <v>0.17233999999999999</v>
      </c>
      <c r="C157" s="33">
        <f>VLOOKUP('Quick Test Mass Balance Tool'!$K$10&amp;'Quick Test Mass Balance Tool'!$K$12,'Crop parameters'!$C$3:$J$509,6,FALSE)</f>
        <v>29.87</v>
      </c>
      <c r="D157" s="1">
        <f>VLOOKUP('Quick Test Mass Balance Tool'!$K$10&amp;'Quick Test Mass Balance Tool'!$K$12,'Crop parameters'!$C$3:$J$509,7,FALSE)</f>
        <v>194.6</v>
      </c>
      <c r="E157" s="1">
        <f>VLOOKUP('Quick Test Mass Balance Tool'!$K$10&amp;'Quick Test Mass Balance Tool'!$K$12,'Crop parameters'!$C$3:$J$509,8,FALSE)</f>
        <v>-1.1850000000000001</v>
      </c>
      <c r="F157" s="1">
        <f t="shared" si="9"/>
        <v>193.4149999003516</v>
      </c>
      <c r="G157" s="4">
        <f>VLOOKUP('Quick Test Mass Balance Tool'!$K$10&amp;'Quick Test Mass Balance Tool'!$K$12,'Crop parameters'!$C$3:$J$509,4,FALSE)-F157</f>
        <v>-85.039999900351589</v>
      </c>
      <c r="I157" s="47" t="str">
        <f t="shared" si="7"/>
        <v/>
      </c>
      <c r="J157" s="1" t="str">
        <f t="shared" si="6"/>
        <v/>
      </c>
      <c r="K157" s="1">
        <f>IF(_xlfn.DAYS('Quick Test Mass Balance Tool'!$O$10,'Quick Test Mass Balance Tool'!$K$11)='Crop N Graphing'!A157,'Crop N Graphing'!F157,-50)</f>
        <v>-50</v>
      </c>
      <c r="L157" s="1">
        <f>IF('Quick Test Mass Balance Tool'!$X$15='Crop N Graphing'!A157,'Crop N Graphing'!F157,-50)</f>
        <v>-50</v>
      </c>
    </row>
    <row r="158" spans="1:12" x14ac:dyDescent="0.25">
      <c r="A158" s="1">
        <v>155</v>
      </c>
      <c r="B158" s="1">
        <f>VLOOKUP('Quick Test Mass Balance Tool'!$K$10&amp;'Quick Test Mass Balance Tool'!$K$12,'Crop parameters'!$C$3:$J$509,5,FALSE)</f>
        <v>0.17233999999999999</v>
      </c>
      <c r="C158" s="33">
        <f>VLOOKUP('Quick Test Mass Balance Tool'!$K$10&amp;'Quick Test Mass Balance Tool'!$K$12,'Crop parameters'!$C$3:$J$509,6,FALSE)</f>
        <v>29.87</v>
      </c>
      <c r="D158" s="1">
        <f>VLOOKUP('Quick Test Mass Balance Tool'!$K$10&amp;'Quick Test Mass Balance Tool'!$K$12,'Crop parameters'!$C$3:$J$509,7,FALSE)</f>
        <v>194.6</v>
      </c>
      <c r="E158" s="1">
        <f>VLOOKUP('Quick Test Mass Balance Tool'!$K$10&amp;'Quick Test Mass Balance Tool'!$K$12,'Crop parameters'!$C$3:$J$509,8,FALSE)</f>
        <v>-1.1850000000000001</v>
      </c>
      <c r="F158" s="1">
        <f t="shared" si="9"/>
        <v>193.41499991612665</v>
      </c>
      <c r="G158" s="4">
        <f>VLOOKUP('Quick Test Mass Balance Tool'!$K$10&amp;'Quick Test Mass Balance Tool'!$K$12,'Crop parameters'!$C$3:$J$509,4,FALSE)-F158</f>
        <v>-85.039999916126632</v>
      </c>
      <c r="I158" s="47" t="str">
        <f t="shared" si="7"/>
        <v/>
      </c>
      <c r="J158" s="1" t="str">
        <f t="shared" si="6"/>
        <v/>
      </c>
      <c r="K158" s="1">
        <f>IF(_xlfn.DAYS('Quick Test Mass Balance Tool'!$O$10,'Quick Test Mass Balance Tool'!$K$11)='Crop N Graphing'!A158,'Crop N Graphing'!F158,-50)</f>
        <v>-50</v>
      </c>
      <c r="L158" s="1">
        <f>IF('Quick Test Mass Balance Tool'!$X$15='Crop N Graphing'!A158,'Crop N Graphing'!F158,-50)</f>
        <v>-50</v>
      </c>
    </row>
    <row r="159" spans="1:12" x14ac:dyDescent="0.25">
      <c r="A159" s="1">
        <v>156</v>
      </c>
      <c r="B159" s="1">
        <f>VLOOKUP('Quick Test Mass Balance Tool'!$K$10&amp;'Quick Test Mass Balance Tool'!$K$12,'Crop parameters'!$C$3:$J$509,5,FALSE)</f>
        <v>0.17233999999999999</v>
      </c>
      <c r="C159" s="33">
        <f>VLOOKUP('Quick Test Mass Balance Tool'!$K$10&amp;'Quick Test Mass Balance Tool'!$K$12,'Crop parameters'!$C$3:$J$509,6,FALSE)</f>
        <v>29.87</v>
      </c>
      <c r="D159" s="1">
        <f>VLOOKUP('Quick Test Mass Balance Tool'!$K$10&amp;'Quick Test Mass Balance Tool'!$K$12,'Crop parameters'!$C$3:$J$509,7,FALSE)</f>
        <v>194.6</v>
      </c>
      <c r="E159" s="1">
        <f>VLOOKUP('Quick Test Mass Balance Tool'!$K$10&amp;'Quick Test Mass Balance Tool'!$K$12,'Crop parameters'!$C$3:$J$509,8,FALSE)</f>
        <v>-1.1850000000000001</v>
      </c>
      <c r="F159" s="1">
        <f t="shared" si="9"/>
        <v>193.41499992940439</v>
      </c>
      <c r="G159" s="4">
        <f>VLOOKUP('Quick Test Mass Balance Tool'!$K$10&amp;'Quick Test Mass Balance Tool'!$K$12,'Crop parameters'!$C$3:$J$509,4,FALSE)-F159</f>
        <v>-85.039999929404374</v>
      </c>
      <c r="I159" s="47" t="str">
        <f t="shared" si="7"/>
        <v/>
      </c>
      <c r="J159" s="1" t="str">
        <f t="shared" si="6"/>
        <v/>
      </c>
      <c r="K159" s="1">
        <f>IF(_xlfn.DAYS('Quick Test Mass Balance Tool'!$O$10,'Quick Test Mass Balance Tool'!$K$11)='Crop N Graphing'!A159,'Crop N Graphing'!F159,-50)</f>
        <v>-50</v>
      </c>
      <c r="L159" s="1">
        <f>IF('Quick Test Mass Balance Tool'!$X$15='Crop N Graphing'!A159,'Crop N Graphing'!F159,-50)</f>
        <v>-50</v>
      </c>
    </row>
    <row r="160" spans="1:12" x14ac:dyDescent="0.25">
      <c r="A160" s="1">
        <v>157</v>
      </c>
      <c r="B160" s="1">
        <f>VLOOKUP('Quick Test Mass Balance Tool'!$K$10&amp;'Quick Test Mass Balance Tool'!$K$12,'Crop parameters'!$C$3:$J$509,5,FALSE)</f>
        <v>0.17233999999999999</v>
      </c>
      <c r="C160" s="33">
        <f>VLOOKUP('Quick Test Mass Balance Tool'!$K$10&amp;'Quick Test Mass Balance Tool'!$K$12,'Crop parameters'!$C$3:$J$509,6,FALSE)</f>
        <v>29.87</v>
      </c>
      <c r="D160" s="1">
        <f>VLOOKUP('Quick Test Mass Balance Tool'!$K$10&amp;'Quick Test Mass Balance Tool'!$K$12,'Crop parameters'!$C$3:$J$509,7,FALSE)</f>
        <v>194.6</v>
      </c>
      <c r="E160" s="1">
        <f>VLOOKUP('Quick Test Mass Balance Tool'!$K$10&amp;'Quick Test Mass Balance Tool'!$K$12,'Crop parameters'!$C$3:$J$509,8,FALSE)</f>
        <v>-1.1850000000000001</v>
      </c>
      <c r="F160" s="1">
        <f t="shared" si="9"/>
        <v>193.41499994058017</v>
      </c>
      <c r="G160" s="4">
        <f>VLOOKUP('Quick Test Mass Balance Tool'!$K$10&amp;'Quick Test Mass Balance Tool'!$K$12,'Crop parameters'!$C$3:$J$509,4,FALSE)-F160</f>
        <v>-85.039999940580159</v>
      </c>
      <c r="I160" s="47" t="str">
        <f t="shared" si="7"/>
        <v/>
      </c>
      <c r="J160" s="1" t="str">
        <f t="shared" si="6"/>
        <v/>
      </c>
      <c r="K160" s="1">
        <f>IF(_xlfn.DAYS('Quick Test Mass Balance Tool'!$O$10,'Quick Test Mass Balance Tool'!$K$11)='Crop N Graphing'!A160,'Crop N Graphing'!F160,-50)</f>
        <v>-50</v>
      </c>
      <c r="L160" s="1">
        <f>IF('Quick Test Mass Balance Tool'!$X$15='Crop N Graphing'!A160,'Crop N Graphing'!F160,-50)</f>
        <v>-50</v>
      </c>
    </row>
    <row r="161" spans="1:12" x14ac:dyDescent="0.25">
      <c r="A161" s="1">
        <v>158</v>
      </c>
      <c r="B161" s="1">
        <f>VLOOKUP('Quick Test Mass Balance Tool'!$K$10&amp;'Quick Test Mass Balance Tool'!$K$12,'Crop parameters'!$C$3:$J$509,5,FALSE)</f>
        <v>0.17233999999999999</v>
      </c>
      <c r="C161" s="33">
        <f>VLOOKUP('Quick Test Mass Balance Tool'!$K$10&amp;'Quick Test Mass Balance Tool'!$K$12,'Crop parameters'!$C$3:$J$509,6,FALSE)</f>
        <v>29.87</v>
      </c>
      <c r="D161" s="1">
        <f>VLOOKUP('Quick Test Mass Balance Tool'!$K$10&amp;'Quick Test Mass Balance Tool'!$K$12,'Crop parameters'!$C$3:$J$509,7,FALSE)</f>
        <v>194.6</v>
      </c>
      <c r="E161" s="1">
        <f>VLOOKUP('Quick Test Mass Balance Tool'!$K$10&amp;'Quick Test Mass Balance Tool'!$K$12,'Crop parameters'!$C$3:$J$509,8,FALSE)</f>
        <v>-1.1850000000000001</v>
      </c>
      <c r="F161" s="1">
        <f t="shared" si="9"/>
        <v>193.41499994998676</v>
      </c>
      <c r="G161" s="4">
        <f>VLOOKUP('Quick Test Mass Balance Tool'!$K$10&amp;'Quick Test Mass Balance Tool'!$K$12,'Crop parameters'!$C$3:$J$509,4,FALSE)-F161</f>
        <v>-85.03999994998675</v>
      </c>
      <c r="I161" s="47" t="str">
        <f t="shared" si="7"/>
        <v/>
      </c>
      <c r="J161" s="1" t="str">
        <f t="shared" si="6"/>
        <v/>
      </c>
      <c r="K161" s="1">
        <f>IF(_xlfn.DAYS('Quick Test Mass Balance Tool'!$O$10,'Quick Test Mass Balance Tool'!$K$11)='Crop N Graphing'!A161,'Crop N Graphing'!F161,-50)</f>
        <v>-50</v>
      </c>
      <c r="L161" s="1">
        <f>IF('Quick Test Mass Balance Tool'!$X$15='Crop N Graphing'!A161,'Crop N Graphing'!F161,-50)</f>
        <v>-50</v>
      </c>
    </row>
    <row r="162" spans="1:12" x14ac:dyDescent="0.25">
      <c r="A162" s="1">
        <v>159</v>
      </c>
      <c r="B162" s="1">
        <f>VLOOKUP('Quick Test Mass Balance Tool'!$K$10&amp;'Quick Test Mass Balance Tool'!$K$12,'Crop parameters'!$C$3:$J$509,5,FALSE)</f>
        <v>0.17233999999999999</v>
      </c>
      <c r="C162" s="33">
        <f>VLOOKUP('Quick Test Mass Balance Tool'!$K$10&amp;'Quick Test Mass Balance Tool'!$K$12,'Crop parameters'!$C$3:$J$509,6,FALSE)</f>
        <v>29.87</v>
      </c>
      <c r="D162" s="1">
        <f>VLOOKUP('Quick Test Mass Balance Tool'!$K$10&amp;'Quick Test Mass Balance Tool'!$K$12,'Crop parameters'!$C$3:$J$509,7,FALSE)</f>
        <v>194.6</v>
      </c>
      <c r="E162" s="1">
        <f>VLOOKUP('Quick Test Mass Balance Tool'!$K$10&amp;'Quick Test Mass Balance Tool'!$K$12,'Crop parameters'!$C$3:$J$509,8,FALSE)</f>
        <v>-1.1850000000000001</v>
      </c>
      <c r="F162" s="1">
        <f t="shared" si="9"/>
        <v>193.4149999579042</v>
      </c>
      <c r="G162" s="4">
        <f>VLOOKUP('Quick Test Mass Balance Tool'!$K$10&amp;'Quick Test Mass Balance Tool'!$K$12,'Crop parameters'!$C$3:$J$509,4,FALSE)-F162</f>
        <v>-85.039999957904186</v>
      </c>
      <c r="I162" s="47" t="str">
        <f t="shared" si="7"/>
        <v/>
      </c>
      <c r="J162" s="1" t="str">
        <f t="shared" si="6"/>
        <v/>
      </c>
      <c r="K162" s="1">
        <f>IF(_xlfn.DAYS('Quick Test Mass Balance Tool'!$O$10,'Quick Test Mass Balance Tool'!$K$11)='Crop N Graphing'!A162,'Crop N Graphing'!F162,-50)</f>
        <v>-50</v>
      </c>
      <c r="L162" s="1">
        <f>IF('Quick Test Mass Balance Tool'!$X$15='Crop N Graphing'!A162,'Crop N Graphing'!F162,-50)</f>
        <v>-50</v>
      </c>
    </row>
    <row r="163" spans="1:12" x14ac:dyDescent="0.25">
      <c r="A163" s="1">
        <v>160</v>
      </c>
      <c r="B163" s="1">
        <f>VLOOKUP('Quick Test Mass Balance Tool'!$K$10&amp;'Quick Test Mass Balance Tool'!$K$12,'Crop parameters'!$C$3:$J$509,5,FALSE)</f>
        <v>0.17233999999999999</v>
      </c>
      <c r="C163" s="33">
        <f>VLOOKUP('Quick Test Mass Balance Tool'!$K$10&amp;'Quick Test Mass Balance Tool'!$K$12,'Crop parameters'!$C$3:$J$509,6,FALSE)</f>
        <v>29.87</v>
      </c>
      <c r="D163" s="1">
        <f>VLOOKUP('Quick Test Mass Balance Tool'!$K$10&amp;'Quick Test Mass Balance Tool'!$K$12,'Crop parameters'!$C$3:$J$509,7,FALSE)</f>
        <v>194.6</v>
      </c>
      <c r="E163" s="1">
        <f>VLOOKUP('Quick Test Mass Balance Tool'!$K$10&amp;'Quick Test Mass Balance Tool'!$K$12,'Crop parameters'!$C$3:$J$509,8,FALSE)</f>
        <v>-1.1850000000000001</v>
      </c>
      <c r="F163" s="1">
        <f t="shared" si="9"/>
        <v>193.41499996456827</v>
      </c>
      <c r="G163" s="4">
        <f>VLOOKUP('Quick Test Mass Balance Tool'!$K$10&amp;'Quick Test Mass Balance Tool'!$K$12,'Crop parameters'!$C$3:$J$509,4,FALSE)-F163</f>
        <v>-85.039999964568253</v>
      </c>
      <c r="I163" s="47" t="str">
        <f t="shared" si="7"/>
        <v/>
      </c>
      <c r="J163" s="1" t="str">
        <f t="shared" si="6"/>
        <v/>
      </c>
      <c r="K163" s="1">
        <f>IF(_xlfn.DAYS('Quick Test Mass Balance Tool'!$O$10,'Quick Test Mass Balance Tool'!$K$11)='Crop N Graphing'!A163,'Crop N Graphing'!F163,-50)</f>
        <v>-50</v>
      </c>
      <c r="L163" s="1">
        <f>IF('Quick Test Mass Balance Tool'!$X$15='Crop N Graphing'!A163,'Crop N Graphing'!F163,-50)</f>
        <v>-50</v>
      </c>
    </row>
    <row r="164" spans="1:12" x14ac:dyDescent="0.25">
      <c r="A164" s="1">
        <v>161</v>
      </c>
      <c r="B164" s="1">
        <f>VLOOKUP('Quick Test Mass Balance Tool'!$K$10&amp;'Quick Test Mass Balance Tool'!$K$12,'Crop parameters'!$C$3:$J$509,5,FALSE)</f>
        <v>0.17233999999999999</v>
      </c>
      <c r="C164" s="33">
        <f>VLOOKUP('Quick Test Mass Balance Tool'!$K$10&amp;'Quick Test Mass Balance Tool'!$K$12,'Crop parameters'!$C$3:$J$509,6,FALSE)</f>
        <v>29.87</v>
      </c>
      <c r="D164" s="1">
        <f>VLOOKUP('Quick Test Mass Balance Tool'!$K$10&amp;'Quick Test Mass Balance Tool'!$K$12,'Crop parameters'!$C$3:$J$509,7,FALSE)</f>
        <v>194.6</v>
      </c>
      <c r="E164" s="1">
        <f>VLOOKUP('Quick Test Mass Balance Tool'!$K$10&amp;'Quick Test Mass Balance Tool'!$K$12,'Crop parameters'!$C$3:$J$509,8,FALSE)</f>
        <v>-1.1850000000000001</v>
      </c>
      <c r="F164" s="1">
        <f t="shared" si="9"/>
        <v>193.41499997017735</v>
      </c>
      <c r="G164" s="4">
        <f>VLOOKUP('Quick Test Mass Balance Tool'!$K$10&amp;'Quick Test Mass Balance Tool'!$K$12,'Crop parameters'!$C$3:$J$509,4,FALSE)-F164</f>
        <v>-85.039999970177334</v>
      </c>
      <c r="I164" s="47" t="str">
        <f t="shared" si="7"/>
        <v/>
      </c>
      <c r="J164" s="1" t="str">
        <f t="shared" si="6"/>
        <v/>
      </c>
      <c r="K164" s="1">
        <f>IF(_xlfn.DAYS('Quick Test Mass Balance Tool'!$O$10,'Quick Test Mass Balance Tool'!$K$11)='Crop N Graphing'!A164,'Crop N Graphing'!F164,-50)</f>
        <v>-50</v>
      </c>
      <c r="L164" s="1">
        <f>IF('Quick Test Mass Balance Tool'!$X$15='Crop N Graphing'!A164,'Crop N Graphing'!F164,-50)</f>
        <v>-50</v>
      </c>
    </row>
    <row r="165" spans="1:12" x14ac:dyDescent="0.25">
      <c r="A165" s="1">
        <v>162</v>
      </c>
      <c r="B165" s="1">
        <f>VLOOKUP('Quick Test Mass Balance Tool'!$K$10&amp;'Quick Test Mass Balance Tool'!$K$12,'Crop parameters'!$C$3:$J$509,5,FALSE)</f>
        <v>0.17233999999999999</v>
      </c>
      <c r="C165" s="33">
        <f>VLOOKUP('Quick Test Mass Balance Tool'!$K$10&amp;'Quick Test Mass Balance Tool'!$K$12,'Crop parameters'!$C$3:$J$509,6,FALSE)</f>
        <v>29.87</v>
      </c>
      <c r="D165" s="1">
        <f>VLOOKUP('Quick Test Mass Balance Tool'!$K$10&amp;'Quick Test Mass Balance Tool'!$K$12,'Crop parameters'!$C$3:$J$509,7,FALSE)</f>
        <v>194.6</v>
      </c>
      <c r="E165" s="1">
        <f>VLOOKUP('Quick Test Mass Balance Tool'!$K$10&amp;'Quick Test Mass Balance Tool'!$K$12,'Crop parameters'!$C$3:$J$509,8,FALSE)</f>
        <v>-1.1850000000000001</v>
      </c>
      <c r="F165" s="1">
        <f t="shared" si="9"/>
        <v>193.41499997489851</v>
      </c>
      <c r="G165" s="4">
        <f>VLOOKUP('Quick Test Mass Balance Tool'!$K$10&amp;'Quick Test Mass Balance Tool'!$K$12,'Crop parameters'!$C$3:$J$509,4,FALSE)-F165</f>
        <v>-85.039999974898492</v>
      </c>
      <c r="I165" s="47" t="str">
        <f t="shared" si="7"/>
        <v/>
      </c>
      <c r="J165" s="1" t="str">
        <f t="shared" si="6"/>
        <v/>
      </c>
      <c r="K165" s="1">
        <f>IF(_xlfn.DAYS('Quick Test Mass Balance Tool'!$O$10,'Quick Test Mass Balance Tool'!$K$11)='Crop N Graphing'!A165,'Crop N Graphing'!F165,-50)</f>
        <v>-50</v>
      </c>
      <c r="L165" s="1">
        <f>IF('Quick Test Mass Balance Tool'!$X$15='Crop N Graphing'!A165,'Crop N Graphing'!F165,-50)</f>
        <v>-50</v>
      </c>
    </row>
    <row r="166" spans="1:12" x14ac:dyDescent="0.25">
      <c r="A166" s="1">
        <v>163</v>
      </c>
      <c r="B166" s="1">
        <f>VLOOKUP('Quick Test Mass Balance Tool'!$K$10&amp;'Quick Test Mass Balance Tool'!$K$12,'Crop parameters'!$C$3:$J$509,5,FALSE)</f>
        <v>0.17233999999999999</v>
      </c>
      <c r="C166" s="33">
        <f>VLOOKUP('Quick Test Mass Balance Tool'!$K$10&amp;'Quick Test Mass Balance Tool'!$K$12,'Crop parameters'!$C$3:$J$509,6,FALSE)</f>
        <v>29.87</v>
      </c>
      <c r="D166" s="1">
        <f>VLOOKUP('Quick Test Mass Balance Tool'!$K$10&amp;'Quick Test Mass Balance Tool'!$K$12,'Crop parameters'!$C$3:$J$509,7,FALSE)</f>
        <v>194.6</v>
      </c>
      <c r="E166" s="1">
        <f>VLOOKUP('Quick Test Mass Balance Tool'!$K$10&amp;'Quick Test Mass Balance Tool'!$K$12,'Crop parameters'!$C$3:$J$509,8,FALSE)</f>
        <v>-1.1850000000000001</v>
      </c>
      <c r="F166" s="1">
        <f t="shared" si="9"/>
        <v>193.41499997887223</v>
      </c>
      <c r="G166" s="4">
        <f>VLOOKUP('Quick Test Mass Balance Tool'!$K$10&amp;'Quick Test Mass Balance Tool'!$K$12,'Crop parameters'!$C$3:$J$509,4,FALSE)-F166</f>
        <v>-85.039999978872217</v>
      </c>
      <c r="I166" s="47" t="str">
        <f t="shared" si="7"/>
        <v/>
      </c>
      <c r="J166" s="1" t="str">
        <f>IF(G166&lt;0,"",F166)</f>
        <v/>
      </c>
      <c r="K166" s="1">
        <f>IF(_xlfn.DAYS('Quick Test Mass Balance Tool'!$O$10,'Quick Test Mass Balance Tool'!$K$11)='Crop N Graphing'!A166,'Crop N Graphing'!F166,-50)</f>
        <v>-50</v>
      </c>
      <c r="L166" s="1">
        <f>IF('Quick Test Mass Balance Tool'!$X$15='Crop N Graphing'!A166,'Crop N Graphing'!F166,-50)</f>
        <v>-50</v>
      </c>
    </row>
    <row r="167" spans="1:12" x14ac:dyDescent="0.25">
      <c r="A167" s="1">
        <v>164</v>
      </c>
      <c r="B167" s="1">
        <f>VLOOKUP('Quick Test Mass Balance Tool'!$K$10&amp;'Quick Test Mass Balance Tool'!$K$12,'Crop parameters'!$C$3:$J$509,5,FALSE)</f>
        <v>0.17233999999999999</v>
      </c>
      <c r="C167" s="33">
        <f>VLOOKUP('Quick Test Mass Balance Tool'!$K$10&amp;'Quick Test Mass Balance Tool'!$K$12,'Crop parameters'!$C$3:$J$509,6,FALSE)</f>
        <v>29.87</v>
      </c>
      <c r="D167" s="1">
        <f>VLOOKUP('Quick Test Mass Balance Tool'!$K$10&amp;'Quick Test Mass Balance Tool'!$K$12,'Crop parameters'!$C$3:$J$509,7,FALSE)</f>
        <v>194.6</v>
      </c>
      <c r="E167" s="1">
        <f>VLOOKUP('Quick Test Mass Balance Tool'!$K$10&amp;'Quick Test Mass Balance Tool'!$K$12,'Crop parameters'!$C$3:$J$509,8,FALSE)</f>
        <v>-1.1850000000000001</v>
      </c>
      <c r="F167" s="1">
        <f t="shared" si="9"/>
        <v>193.41499998221693</v>
      </c>
      <c r="G167" s="4">
        <f>VLOOKUP('Quick Test Mass Balance Tool'!$K$10&amp;'Quick Test Mass Balance Tool'!$K$12,'Crop parameters'!$C$3:$J$509,4,FALSE)-F167</f>
        <v>-85.039999982216912</v>
      </c>
      <c r="I167" s="47" t="str">
        <f t="shared" si="7"/>
        <v/>
      </c>
      <c r="J167" s="1" t="str">
        <f t="shared" ref="J167:J203" si="10">IF(G167&lt;0,"",F167)</f>
        <v/>
      </c>
      <c r="K167" s="1">
        <f>IF(_xlfn.DAYS('Quick Test Mass Balance Tool'!$O$10,'Quick Test Mass Balance Tool'!$K$11)='Crop N Graphing'!A167,'Crop N Graphing'!F167,-50)</f>
        <v>-50</v>
      </c>
      <c r="L167" s="1">
        <f>IF('Quick Test Mass Balance Tool'!$X$15='Crop N Graphing'!A167,'Crop N Graphing'!F167,-50)</f>
        <v>-50</v>
      </c>
    </row>
    <row r="168" spans="1:12" x14ac:dyDescent="0.25">
      <c r="A168" s="1">
        <v>165</v>
      </c>
      <c r="B168" s="1">
        <f>VLOOKUP('Quick Test Mass Balance Tool'!$K$10&amp;'Quick Test Mass Balance Tool'!$K$12,'Crop parameters'!$C$3:$J$509,5,FALSE)</f>
        <v>0.17233999999999999</v>
      </c>
      <c r="C168" s="33">
        <f>VLOOKUP('Quick Test Mass Balance Tool'!$K$10&amp;'Quick Test Mass Balance Tool'!$K$12,'Crop parameters'!$C$3:$J$509,6,FALSE)</f>
        <v>29.87</v>
      </c>
      <c r="D168" s="1">
        <f>VLOOKUP('Quick Test Mass Balance Tool'!$K$10&amp;'Quick Test Mass Balance Tool'!$K$12,'Crop parameters'!$C$3:$J$509,7,FALSE)</f>
        <v>194.6</v>
      </c>
      <c r="E168" s="1">
        <f>VLOOKUP('Quick Test Mass Balance Tool'!$K$10&amp;'Quick Test Mass Balance Tool'!$K$12,'Crop parameters'!$C$3:$J$509,8,FALSE)</f>
        <v>-1.1850000000000001</v>
      </c>
      <c r="F168" s="1">
        <f t="shared" si="9"/>
        <v>193.4149999850321</v>
      </c>
      <c r="G168" s="4">
        <f>VLOOKUP('Quick Test Mass Balance Tool'!$K$10&amp;'Quick Test Mass Balance Tool'!$K$12,'Crop parameters'!$C$3:$J$509,4,FALSE)-F168</f>
        <v>-85.039999985032082</v>
      </c>
      <c r="I168" s="47" t="str">
        <f t="shared" si="7"/>
        <v/>
      </c>
      <c r="J168" s="1" t="str">
        <f t="shared" si="10"/>
        <v/>
      </c>
      <c r="K168" s="1">
        <f>IF(_xlfn.DAYS('Quick Test Mass Balance Tool'!$O$10,'Quick Test Mass Balance Tool'!$K$11)='Crop N Graphing'!A168,'Crop N Graphing'!F168,-50)</f>
        <v>-50</v>
      </c>
      <c r="L168" s="1">
        <f>IF('Quick Test Mass Balance Tool'!$X$15='Crop N Graphing'!A168,'Crop N Graphing'!F168,-50)</f>
        <v>-50</v>
      </c>
    </row>
    <row r="169" spans="1:12" x14ac:dyDescent="0.25">
      <c r="A169" s="1">
        <v>166</v>
      </c>
      <c r="B169" s="1">
        <f>VLOOKUP('Quick Test Mass Balance Tool'!$K$10&amp;'Quick Test Mass Balance Tool'!$K$12,'Crop parameters'!$C$3:$J$509,5,FALSE)</f>
        <v>0.17233999999999999</v>
      </c>
      <c r="C169" s="33">
        <f>VLOOKUP('Quick Test Mass Balance Tool'!$K$10&amp;'Quick Test Mass Balance Tool'!$K$12,'Crop parameters'!$C$3:$J$509,6,FALSE)</f>
        <v>29.87</v>
      </c>
      <c r="D169" s="1">
        <f>VLOOKUP('Quick Test Mass Balance Tool'!$K$10&amp;'Quick Test Mass Balance Tool'!$K$12,'Crop parameters'!$C$3:$J$509,7,FALSE)</f>
        <v>194.6</v>
      </c>
      <c r="E169" s="1">
        <f>VLOOKUP('Quick Test Mass Balance Tool'!$K$10&amp;'Quick Test Mass Balance Tool'!$K$12,'Crop parameters'!$C$3:$J$509,8,FALSE)</f>
        <v>-1.1850000000000001</v>
      </c>
      <c r="F169" s="1">
        <f t="shared" si="9"/>
        <v>193.41499998740164</v>
      </c>
      <c r="G169" s="4">
        <f>VLOOKUP('Quick Test Mass Balance Tool'!$K$10&amp;'Quick Test Mass Balance Tool'!$K$12,'Crop parameters'!$C$3:$J$509,4,FALSE)-F169</f>
        <v>-85.039999987401629</v>
      </c>
      <c r="I169" s="47" t="str">
        <f t="shared" si="7"/>
        <v/>
      </c>
      <c r="J169" s="1" t="str">
        <f t="shared" si="10"/>
        <v/>
      </c>
      <c r="K169" s="1">
        <f>IF(_xlfn.DAYS('Quick Test Mass Balance Tool'!$O$10,'Quick Test Mass Balance Tool'!$K$11)='Crop N Graphing'!A169,'Crop N Graphing'!F169,-50)</f>
        <v>-50</v>
      </c>
      <c r="L169" s="1">
        <f>IF('Quick Test Mass Balance Tool'!$X$15='Crop N Graphing'!A169,'Crop N Graphing'!F169,-50)</f>
        <v>-50</v>
      </c>
    </row>
    <row r="170" spans="1:12" x14ac:dyDescent="0.25">
      <c r="A170" s="1">
        <v>167</v>
      </c>
      <c r="B170" s="1">
        <f>VLOOKUP('Quick Test Mass Balance Tool'!$K$10&amp;'Quick Test Mass Balance Tool'!$K$12,'Crop parameters'!$C$3:$J$509,5,FALSE)</f>
        <v>0.17233999999999999</v>
      </c>
      <c r="C170" s="33">
        <f>VLOOKUP('Quick Test Mass Balance Tool'!$K$10&amp;'Quick Test Mass Balance Tool'!$K$12,'Crop parameters'!$C$3:$J$509,6,FALSE)</f>
        <v>29.87</v>
      </c>
      <c r="D170" s="1">
        <f>VLOOKUP('Quick Test Mass Balance Tool'!$K$10&amp;'Quick Test Mass Balance Tool'!$K$12,'Crop parameters'!$C$3:$J$509,7,FALSE)</f>
        <v>194.6</v>
      </c>
      <c r="E170" s="1">
        <f>VLOOKUP('Quick Test Mass Balance Tool'!$K$10&amp;'Quick Test Mass Balance Tool'!$K$12,'Crop parameters'!$C$3:$J$509,8,FALSE)</f>
        <v>-1.1850000000000001</v>
      </c>
      <c r="F170" s="1">
        <f t="shared" si="9"/>
        <v>193.41499998939602</v>
      </c>
      <c r="G170" s="4">
        <f>VLOOKUP('Quick Test Mass Balance Tool'!$K$10&amp;'Quick Test Mass Balance Tool'!$K$12,'Crop parameters'!$C$3:$J$509,4,FALSE)-F170</f>
        <v>-85.039999989396009</v>
      </c>
      <c r="I170" s="47" t="str">
        <f t="shared" si="7"/>
        <v/>
      </c>
      <c r="J170" s="1" t="str">
        <f t="shared" si="10"/>
        <v/>
      </c>
      <c r="K170" s="1">
        <f>IF(_xlfn.DAYS('Quick Test Mass Balance Tool'!$O$10,'Quick Test Mass Balance Tool'!$K$11)='Crop N Graphing'!A170,'Crop N Graphing'!F170,-50)</f>
        <v>-50</v>
      </c>
      <c r="L170" s="1">
        <f>IF('Quick Test Mass Balance Tool'!$X$15='Crop N Graphing'!A170,'Crop N Graphing'!F170,-50)</f>
        <v>-50</v>
      </c>
    </row>
    <row r="171" spans="1:12" x14ac:dyDescent="0.25">
      <c r="A171" s="1">
        <v>168</v>
      </c>
      <c r="B171" s="1">
        <f>VLOOKUP('Quick Test Mass Balance Tool'!$K$10&amp;'Quick Test Mass Balance Tool'!$K$12,'Crop parameters'!$C$3:$J$509,5,FALSE)</f>
        <v>0.17233999999999999</v>
      </c>
      <c r="C171" s="33">
        <f>VLOOKUP('Quick Test Mass Balance Tool'!$K$10&amp;'Quick Test Mass Balance Tool'!$K$12,'Crop parameters'!$C$3:$J$509,6,FALSE)</f>
        <v>29.87</v>
      </c>
      <c r="D171" s="1">
        <f>VLOOKUP('Quick Test Mass Balance Tool'!$K$10&amp;'Quick Test Mass Balance Tool'!$K$12,'Crop parameters'!$C$3:$J$509,7,FALSE)</f>
        <v>194.6</v>
      </c>
      <c r="E171" s="1">
        <f>VLOOKUP('Quick Test Mass Balance Tool'!$K$10&amp;'Quick Test Mass Balance Tool'!$K$12,'Crop parameters'!$C$3:$J$509,8,FALSE)</f>
        <v>-1.1850000000000001</v>
      </c>
      <c r="F171" s="1">
        <f t="shared" si="9"/>
        <v>193.41499999107472</v>
      </c>
      <c r="G171" s="4">
        <f>VLOOKUP('Quick Test Mass Balance Tool'!$K$10&amp;'Quick Test Mass Balance Tool'!$K$12,'Crop parameters'!$C$3:$J$509,4,FALSE)-F171</f>
        <v>-85.039999991074708</v>
      </c>
      <c r="I171" s="47" t="str">
        <f t="shared" si="7"/>
        <v/>
      </c>
      <c r="J171" s="1" t="str">
        <f t="shared" si="10"/>
        <v/>
      </c>
      <c r="K171" s="1">
        <f>IF(_xlfn.DAYS('Quick Test Mass Balance Tool'!$O$10,'Quick Test Mass Balance Tool'!$K$11)='Crop N Graphing'!A171,'Crop N Graphing'!F171,-50)</f>
        <v>-50</v>
      </c>
      <c r="L171" s="1">
        <f>IF('Quick Test Mass Balance Tool'!$X$15='Crop N Graphing'!A171,'Crop N Graphing'!F171,-50)</f>
        <v>-50</v>
      </c>
    </row>
    <row r="172" spans="1:12" x14ac:dyDescent="0.25">
      <c r="A172" s="1">
        <v>169</v>
      </c>
      <c r="B172" s="1">
        <f>VLOOKUP('Quick Test Mass Balance Tool'!$K$10&amp;'Quick Test Mass Balance Tool'!$K$12,'Crop parameters'!$C$3:$J$509,5,FALSE)</f>
        <v>0.17233999999999999</v>
      </c>
      <c r="C172" s="33">
        <f>VLOOKUP('Quick Test Mass Balance Tool'!$K$10&amp;'Quick Test Mass Balance Tool'!$K$12,'Crop parameters'!$C$3:$J$509,6,FALSE)</f>
        <v>29.87</v>
      </c>
      <c r="D172" s="1">
        <f>VLOOKUP('Quick Test Mass Balance Tool'!$K$10&amp;'Quick Test Mass Balance Tool'!$K$12,'Crop parameters'!$C$3:$J$509,7,FALSE)</f>
        <v>194.6</v>
      </c>
      <c r="E172" s="1">
        <f>VLOOKUP('Quick Test Mass Balance Tool'!$K$10&amp;'Quick Test Mass Balance Tool'!$K$12,'Crop parameters'!$C$3:$J$509,8,FALSE)</f>
        <v>-1.1850000000000001</v>
      </c>
      <c r="F172" s="1">
        <f t="shared" si="9"/>
        <v>193.41499999248765</v>
      </c>
      <c r="G172" s="4">
        <f>VLOOKUP('Quick Test Mass Balance Tool'!$K$10&amp;'Quick Test Mass Balance Tool'!$K$12,'Crop parameters'!$C$3:$J$509,4,FALSE)-F172</f>
        <v>-85.039999992487637</v>
      </c>
      <c r="I172" s="47" t="str">
        <f t="shared" si="7"/>
        <v/>
      </c>
      <c r="J172" s="1" t="str">
        <f t="shared" si="10"/>
        <v/>
      </c>
      <c r="K172" s="1">
        <f>IF(_xlfn.DAYS('Quick Test Mass Balance Tool'!$O$10,'Quick Test Mass Balance Tool'!$K$11)='Crop N Graphing'!A172,'Crop N Graphing'!F172,-50)</f>
        <v>-50</v>
      </c>
      <c r="L172" s="1">
        <f>IF('Quick Test Mass Balance Tool'!$X$15='Crop N Graphing'!A172,'Crop N Graphing'!F172,-50)</f>
        <v>-50</v>
      </c>
    </row>
    <row r="173" spans="1:12" x14ac:dyDescent="0.25">
      <c r="A173" s="1">
        <v>170</v>
      </c>
      <c r="B173" s="1">
        <f>VLOOKUP('Quick Test Mass Balance Tool'!$K$10&amp;'Quick Test Mass Balance Tool'!$K$12,'Crop parameters'!$C$3:$J$509,5,FALSE)</f>
        <v>0.17233999999999999</v>
      </c>
      <c r="C173" s="33">
        <f>VLOOKUP('Quick Test Mass Balance Tool'!$K$10&amp;'Quick Test Mass Balance Tool'!$K$12,'Crop parameters'!$C$3:$J$509,6,FALSE)</f>
        <v>29.87</v>
      </c>
      <c r="D173" s="1">
        <f>VLOOKUP('Quick Test Mass Balance Tool'!$K$10&amp;'Quick Test Mass Balance Tool'!$K$12,'Crop parameters'!$C$3:$J$509,7,FALSE)</f>
        <v>194.6</v>
      </c>
      <c r="E173" s="1">
        <f>VLOOKUP('Quick Test Mass Balance Tool'!$K$10&amp;'Quick Test Mass Balance Tool'!$K$12,'Crop parameters'!$C$3:$J$509,8,FALSE)</f>
        <v>-1.1850000000000001</v>
      </c>
      <c r="F173" s="1">
        <f t="shared" si="9"/>
        <v>193.41499999367693</v>
      </c>
      <c r="G173" s="4">
        <f>VLOOKUP('Quick Test Mass Balance Tool'!$K$10&amp;'Quick Test Mass Balance Tool'!$K$12,'Crop parameters'!$C$3:$J$509,4,FALSE)-F173</f>
        <v>-85.039999993676915</v>
      </c>
      <c r="I173" s="47" t="str">
        <f t="shared" si="7"/>
        <v/>
      </c>
      <c r="J173" s="1" t="str">
        <f t="shared" si="10"/>
        <v/>
      </c>
      <c r="K173" s="1">
        <f>IF(_xlfn.DAYS('Quick Test Mass Balance Tool'!$O$10,'Quick Test Mass Balance Tool'!$K$11)='Crop N Graphing'!A173,'Crop N Graphing'!F173,-50)</f>
        <v>-50</v>
      </c>
      <c r="L173" s="1">
        <f>IF('Quick Test Mass Balance Tool'!$X$15='Crop N Graphing'!A173,'Crop N Graphing'!F173,-50)</f>
        <v>-50</v>
      </c>
    </row>
    <row r="174" spans="1:12" x14ac:dyDescent="0.25">
      <c r="A174" s="1">
        <v>171</v>
      </c>
      <c r="B174" s="1">
        <f>VLOOKUP('Quick Test Mass Balance Tool'!$K$10&amp;'Quick Test Mass Balance Tool'!$K$12,'Crop parameters'!$C$3:$J$509,5,FALSE)</f>
        <v>0.17233999999999999</v>
      </c>
      <c r="C174" s="33">
        <f>VLOOKUP('Quick Test Mass Balance Tool'!$K$10&amp;'Quick Test Mass Balance Tool'!$K$12,'Crop parameters'!$C$3:$J$509,6,FALSE)</f>
        <v>29.87</v>
      </c>
      <c r="D174" s="1">
        <f>VLOOKUP('Quick Test Mass Balance Tool'!$K$10&amp;'Quick Test Mass Balance Tool'!$K$12,'Crop parameters'!$C$3:$J$509,7,FALSE)</f>
        <v>194.6</v>
      </c>
      <c r="E174" s="1">
        <f>VLOOKUP('Quick Test Mass Balance Tool'!$K$10&amp;'Quick Test Mass Balance Tool'!$K$12,'Crop parameters'!$C$3:$J$509,8,FALSE)</f>
        <v>-1.1850000000000001</v>
      </c>
      <c r="F174" s="1">
        <f t="shared" si="9"/>
        <v>193.41499999467788</v>
      </c>
      <c r="G174" s="4">
        <f>VLOOKUP('Quick Test Mass Balance Tool'!$K$10&amp;'Quick Test Mass Balance Tool'!$K$12,'Crop parameters'!$C$3:$J$509,4,FALSE)-F174</f>
        <v>-85.039999994677871</v>
      </c>
      <c r="I174" s="47" t="str">
        <f t="shared" si="7"/>
        <v/>
      </c>
      <c r="J174" s="1" t="str">
        <f t="shared" si="10"/>
        <v/>
      </c>
      <c r="K174" s="1">
        <f>IF(_xlfn.DAYS('Quick Test Mass Balance Tool'!$O$10,'Quick Test Mass Balance Tool'!$K$11)='Crop N Graphing'!A174,'Crop N Graphing'!F174,-50)</f>
        <v>-50</v>
      </c>
      <c r="L174" s="1">
        <f>IF('Quick Test Mass Balance Tool'!$X$15='Crop N Graphing'!A174,'Crop N Graphing'!F174,-50)</f>
        <v>-50</v>
      </c>
    </row>
    <row r="175" spans="1:12" x14ac:dyDescent="0.25">
      <c r="A175" s="1">
        <v>172</v>
      </c>
      <c r="B175" s="1">
        <f>VLOOKUP('Quick Test Mass Balance Tool'!$K$10&amp;'Quick Test Mass Balance Tool'!$K$12,'Crop parameters'!$C$3:$J$509,5,FALSE)</f>
        <v>0.17233999999999999</v>
      </c>
      <c r="C175" s="33">
        <f>VLOOKUP('Quick Test Mass Balance Tool'!$K$10&amp;'Quick Test Mass Balance Tool'!$K$12,'Crop parameters'!$C$3:$J$509,6,FALSE)</f>
        <v>29.87</v>
      </c>
      <c r="D175" s="1">
        <f>VLOOKUP('Quick Test Mass Balance Tool'!$K$10&amp;'Quick Test Mass Balance Tool'!$K$12,'Crop parameters'!$C$3:$J$509,7,FALSE)</f>
        <v>194.6</v>
      </c>
      <c r="E175" s="1">
        <f>VLOOKUP('Quick Test Mass Balance Tool'!$K$10&amp;'Quick Test Mass Balance Tool'!$K$12,'Crop parameters'!$C$3:$J$509,8,FALSE)</f>
        <v>-1.1850000000000001</v>
      </c>
      <c r="F175" s="1">
        <f t="shared" si="9"/>
        <v>193.41499999552042</v>
      </c>
      <c r="G175" s="4">
        <f>VLOOKUP('Quick Test Mass Balance Tool'!$K$10&amp;'Quick Test Mass Balance Tool'!$K$12,'Crop parameters'!$C$3:$J$509,4,FALSE)-F175</f>
        <v>-85.039999995520404</v>
      </c>
      <c r="I175" s="47" t="str">
        <f t="shared" si="7"/>
        <v/>
      </c>
      <c r="J175" s="1" t="str">
        <f t="shared" si="10"/>
        <v/>
      </c>
      <c r="K175" s="1">
        <f>IF(_xlfn.DAYS('Quick Test Mass Balance Tool'!$O$10,'Quick Test Mass Balance Tool'!$K$11)='Crop N Graphing'!A175,'Crop N Graphing'!F175,-50)</f>
        <v>-50</v>
      </c>
      <c r="L175" s="1">
        <f>IF('Quick Test Mass Balance Tool'!$X$15='Crop N Graphing'!A175,'Crop N Graphing'!F175,-50)</f>
        <v>-50</v>
      </c>
    </row>
    <row r="176" spans="1:12" x14ac:dyDescent="0.25">
      <c r="A176" s="1">
        <v>173</v>
      </c>
      <c r="B176" s="1">
        <f>VLOOKUP('Quick Test Mass Balance Tool'!$K$10&amp;'Quick Test Mass Balance Tool'!$K$12,'Crop parameters'!$C$3:$J$509,5,FALSE)</f>
        <v>0.17233999999999999</v>
      </c>
      <c r="C176" s="33">
        <f>VLOOKUP('Quick Test Mass Balance Tool'!$K$10&amp;'Quick Test Mass Balance Tool'!$K$12,'Crop parameters'!$C$3:$J$509,6,FALSE)</f>
        <v>29.87</v>
      </c>
      <c r="D176" s="1">
        <f>VLOOKUP('Quick Test Mass Balance Tool'!$K$10&amp;'Quick Test Mass Balance Tool'!$K$12,'Crop parameters'!$C$3:$J$509,7,FALSE)</f>
        <v>194.6</v>
      </c>
      <c r="E176" s="1">
        <f>VLOOKUP('Quick Test Mass Balance Tool'!$K$10&amp;'Quick Test Mass Balance Tool'!$K$12,'Crop parameters'!$C$3:$J$509,8,FALSE)</f>
        <v>-1.1850000000000001</v>
      </c>
      <c r="F176" s="1">
        <f t="shared" si="9"/>
        <v>193.4149999962296</v>
      </c>
      <c r="G176" s="4">
        <f>VLOOKUP('Quick Test Mass Balance Tool'!$K$10&amp;'Quick Test Mass Balance Tool'!$K$12,'Crop parameters'!$C$3:$J$509,4,FALSE)-F176</f>
        <v>-85.039999996229582</v>
      </c>
      <c r="I176" s="47" t="str">
        <f t="shared" si="7"/>
        <v/>
      </c>
      <c r="J176" s="1" t="str">
        <f t="shared" si="10"/>
        <v/>
      </c>
      <c r="K176" s="1">
        <f>IF(_xlfn.DAYS('Quick Test Mass Balance Tool'!$O$10,'Quick Test Mass Balance Tool'!$K$11)='Crop N Graphing'!A176,'Crop N Graphing'!F176,-50)</f>
        <v>-50</v>
      </c>
      <c r="L176" s="1">
        <f>IF('Quick Test Mass Balance Tool'!$X$15='Crop N Graphing'!A176,'Crop N Graphing'!F176,-50)</f>
        <v>-50</v>
      </c>
    </row>
    <row r="177" spans="1:12" x14ac:dyDescent="0.25">
      <c r="A177" s="1">
        <v>174</v>
      </c>
      <c r="B177" s="1">
        <f>VLOOKUP('Quick Test Mass Balance Tool'!$K$10&amp;'Quick Test Mass Balance Tool'!$K$12,'Crop parameters'!$C$3:$J$509,5,FALSE)</f>
        <v>0.17233999999999999</v>
      </c>
      <c r="C177" s="33">
        <f>VLOOKUP('Quick Test Mass Balance Tool'!$K$10&amp;'Quick Test Mass Balance Tool'!$K$12,'Crop parameters'!$C$3:$J$509,6,FALSE)</f>
        <v>29.87</v>
      </c>
      <c r="D177" s="1">
        <f>VLOOKUP('Quick Test Mass Balance Tool'!$K$10&amp;'Quick Test Mass Balance Tool'!$K$12,'Crop parameters'!$C$3:$J$509,7,FALSE)</f>
        <v>194.6</v>
      </c>
      <c r="E177" s="1">
        <f>VLOOKUP('Quick Test Mass Balance Tool'!$K$10&amp;'Quick Test Mass Balance Tool'!$K$12,'Crop parameters'!$C$3:$J$509,8,FALSE)</f>
        <v>-1.1850000000000001</v>
      </c>
      <c r="F177" s="1">
        <f t="shared" si="9"/>
        <v>193.41499999682645</v>
      </c>
      <c r="G177" s="4">
        <f>VLOOKUP('Quick Test Mass Balance Tool'!$K$10&amp;'Quick Test Mass Balance Tool'!$K$12,'Crop parameters'!$C$3:$J$509,4,FALSE)-F177</f>
        <v>-85.039999996826438</v>
      </c>
      <c r="I177" s="47" t="str">
        <f t="shared" si="7"/>
        <v/>
      </c>
      <c r="J177" s="1" t="str">
        <f t="shared" si="10"/>
        <v/>
      </c>
      <c r="K177" s="1">
        <f>IF(_xlfn.DAYS('Quick Test Mass Balance Tool'!$O$10,'Quick Test Mass Balance Tool'!$K$11)='Crop N Graphing'!A177,'Crop N Graphing'!F177,-50)</f>
        <v>-50</v>
      </c>
      <c r="L177" s="1">
        <f>IF('Quick Test Mass Balance Tool'!$X$15='Crop N Graphing'!A177,'Crop N Graphing'!F177,-50)</f>
        <v>-50</v>
      </c>
    </row>
    <row r="178" spans="1:12" x14ac:dyDescent="0.25">
      <c r="A178" s="1">
        <v>175</v>
      </c>
      <c r="B178" s="1">
        <f>VLOOKUP('Quick Test Mass Balance Tool'!$K$10&amp;'Quick Test Mass Balance Tool'!$K$12,'Crop parameters'!$C$3:$J$509,5,FALSE)</f>
        <v>0.17233999999999999</v>
      </c>
      <c r="C178" s="33">
        <f>VLOOKUP('Quick Test Mass Balance Tool'!$K$10&amp;'Quick Test Mass Balance Tool'!$K$12,'Crop parameters'!$C$3:$J$509,6,FALSE)</f>
        <v>29.87</v>
      </c>
      <c r="D178" s="1">
        <f>VLOOKUP('Quick Test Mass Balance Tool'!$K$10&amp;'Quick Test Mass Balance Tool'!$K$12,'Crop parameters'!$C$3:$J$509,7,FALSE)</f>
        <v>194.6</v>
      </c>
      <c r="E178" s="1">
        <f>VLOOKUP('Quick Test Mass Balance Tool'!$K$10&amp;'Quick Test Mass Balance Tool'!$K$12,'Crop parameters'!$C$3:$J$509,8,FALSE)</f>
        <v>-1.1850000000000001</v>
      </c>
      <c r="F178" s="1">
        <f t="shared" si="9"/>
        <v>193.41499999732883</v>
      </c>
      <c r="G178" s="4">
        <f>VLOOKUP('Quick Test Mass Balance Tool'!$K$10&amp;'Quick Test Mass Balance Tool'!$K$12,'Crop parameters'!$C$3:$J$509,4,FALSE)-F178</f>
        <v>-85.03999999732882</v>
      </c>
      <c r="I178" s="47" t="str">
        <f t="shared" si="7"/>
        <v/>
      </c>
      <c r="J178" s="1" t="str">
        <f t="shared" si="10"/>
        <v/>
      </c>
      <c r="K178" s="1">
        <f>IF(_xlfn.DAYS('Quick Test Mass Balance Tool'!$O$10,'Quick Test Mass Balance Tool'!$K$11)='Crop N Graphing'!A178,'Crop N Graphing'!F178,-50)</f>
        <v>-50</v>
      </c>
      <c r="L178" s="1">
        <f>IF('Quick Test Mass Balance Tool'!$X$15='Crop N Graphing'!A178,'Crop N Graphing'!F178,-50)</f>
        <v>-50</v>
      </c>
    </row>
    <row r="179" spans="1:12" x14ac:dyDescent="0.25">
      <c r="A179" s="1">
        <v>176</v>
      </c>
      <c r="B179" s="1">
        <f>VLOOKUP('Quick Test Mass Balance Tool'!$K$10&amp;'Quick Test Mass Balance Tool'!$K$12,'Crop parameters'!$C$3:$J$509,5,FALSE)</f>
        <v>0.17233999999999999</v>
      </c>
      <c r="C179" s="33">
        <f>VLOOKUP('Quick Test Mass Balance Tool'!$K$10&amp;'Quick Test Mass Balance Tool'!$K$12,'Crop parameters'!$C$3:$J$509,6,FALSE)</f>
        <v>29.87</v>
      </c>
      <c r="D179" s="1">
        <f>VLOOKUP('Quick Test Mass Balance Tool'!$K$10&amp;'Quick Test Mass Balance Tool'!$K$12,'Crop parameters'!$C$3:$J$509,7,FALSE)</f>
        <v>194.6</v>
      </c>
      <c r="E179" s="1">
        <f>VLOOKUP('Quick Test Mass Balance Tool'!$K$10&amp;'Quick Test Mass Balance Tool'!$K$12,'Crop parameters'!$C$3:$J$509,8,FALSE)</f>
        <v>-1.1850000000000001</v>
      </c>
      <c r="F179" s="1">
        <f t="shared" si="9"/>
        <v>193.41499999775169</v>
      </c>
      <c r="G179" s="4">
        <f>VLOOKUP('Quick Test Mass Balance Tool'!$K$10&amp;'Quick Test Mass Balance Tool'!$K$12,'Crop parameters'!$C$3:$J$509,4,FALSE)-F179</f>
        <v>-85.039999997751679</v>
      </c>
      <c r="I179" s="47" t="str">
        <f t="shared" si="7"/>
        <v/>
      </c>
      <c r="J179" s="1" t="str">
        <f t="shared" si="10"/>
        <v/>
      </c>
      <c r="K179" s="1">
        <f>IF(_xlfn.DAYS('Quick Test Mass Balance Tool'!$O$10,'Quick Test Mass Balance Tool'!$K$11)='Crop N Graphing'!A179,'Crop N Graphing'!F179,-50)</f>
        <v>-50</v>
      </c>
      <c r="L179" s="1">
        <f>IF('Quick Test Mass Balance Tool'!$X$15='Crop N Graphing'!A179,'Crop N Graphing'!F179,-50)</f>
        <v>-50</v>
      </c>
    </row>
    <row r="180" spans="1:12" x14ac:dyDescent="0.25">
      <c r="A180" s="1">
        <v>177</v>
      </c>
      <c r="B180" s="1">
        <f>VLOOKUP('Quick Test Mass Balance Tool'!$K$10&amp;'Quick Test Mass Balance Tool'!$K$12,'Crop parameters'!$C$3:$J$509,5,FALSE)</f>
        <v>0.17233999999999999</v>
      </c>
      <c r="C180" s="33">
        <f>VLOOKUP('Quick Test Mass Balance Tool'!$K$10&amp;'Quick Test Mass Balance Tool'!$K$12,'Crop parameters'!$C$3:$J$509,6,FALSE)</f>
        <v>29.87</v>
      </c>
      <c r="D180" s="1">
        <f>VLOOKUP('Quick Test Mass Balance Tool'!$K$10&amp;'Quick Test Mass Balance Tool'!$K$12,'Crop parameters'!$C$3:$J$509,7,FALSE)</f>
        <v>194.6</v>
      </c>
      <c r="E180" s="1">
        <f>VLOOKUP('Quick Test Mass Balance Tool'!$K$10&amp;'Quick Test Mass Balance Tool'!$K$12,'Crop parameters'!$C$3:$J$509,8,FALSE)</f>
        <v>-1.1850000000000001</v>
      </c>
      <c r="F180" s="1">
        <f t="shared" si="9"/>
        <v>193.41499999810762</v>
      </c>
      <c r="G180" s="4">
        <f>VLOOKUP('Quick Test Mass Balance Tool'!$K$10&amp;'Quick Test Mass Balance Tool'!$K$12,'Crop parameters'!$C$3:$J$509,4,FALSE)-F180</f>
        <v>-85.039999998107604</v>
      </c>
      <c r="I180" s="47" t="str">
        <f t="shared" si="7"/>
        <v/>
      </c>
      <c r="J180" s="1" t="str">
        <f t="shared" si="10"/>
        <v/>
      </c>
      <c r="K180" s="1">
        <f>IF(_xlfn.DAYS('Quick Test Mass Balance Tool'!$O$10,'Quick Test Mass Balance Tool'!$K$11)='Crop N Graphing'!A180,'Crop N Graphing'!F180,-50)</f>
        <v>-50</v>
      </c>
      <c r="L180" s="1">
        <f>IF('Quick Test Mass Balance Tool'!$X$15='Crop N Graphing'!A180,'Crop N Graphing'!F180,-50)</f>
        <v>-50</v>
      </c>
    </row>
    <row r="181" spans="1:12" x14ac:dyDescent="0.25">
      <c r="A181" s="1">
        <v>178</v>
      </c>
      <c r="B181" s="1">
        <f>VLOOKUP('Quick Test Mass Balance Tool'!$K$10&amp;'Quick Test Mass Balance Tool'!$K$12,'Crop parameters'!$C$3:$J$509,5,FALSE)</f>
        <v>0.17233999999999999</v>
      </c>
      <c r="C181" s="33">
        <f>VLOOKUP('Quick Test Mass Balance Tool'!$K$10&amp;'Quick Test Mass Balance Tool'!$K$12,'Crop parameters'!$C$3:$J$509,6,FALSE)</f>
        <v>29.87</v>
      </c>
      <c r="D181" s="1">
        <f>VLOOKUP('Quick Test Mass Balance Tool'!$K$10&amp;'Quick Test Mass Balance Tool'!$K$12,'Crop parameters'!$C$3:$J$509,7,FALSE)</f>
        <v>194.6</v>
      </c>
      <c r="E181" s="1">
        <f>VLOOKUP('Quick Test Mass Balance Tool'!$K$10&amp;'Quick Test Mass Balance Tool'!$K$12,'Crop parameters'!$C$3:$J$509,8,FALSE)</f>
        <v>-1.1850000000000001</v>
      </c>
      <c r="F181" s="1">
        <f t="shared" si="9"/>
        <v>193.41499999840718</v>
      </c>
      <c r="G181" s="4">
        <f>VLOOKUP('Quick Test Mass Balance Tool'!$K$10&amp;'Quick Test Mass Balance Tool'!$K$12,'Crop parameters'!$C$3:$J$509,4,FALSE)-F181</f>
        <v>-85.039999998407168</v>
      </c>
      <c r="I181" s="47" t="str">
        <f t="shared" si="7"/>
        <v/>
      </c>
      <c r="J181" s="1" t="str">
        <f t="shared" si="10"/>
        <v/>
      </c>
      <c r="K181" s="1">
        <f>IF(_xlfn.DAYS('Quick Test Mass Balance Tool'!$O$10,'Quick Test Mass Balance Tool'!$K$11)='Crop N Graphing'!A181,'Crop N Graphing'!F181,-50)</f>
        <v>-50</v>
      </c>
      <c r="L181" s="1">
        <f>IF('Quick Test Mass Balance Tool'!$X$15='Crop N Graphing'!A181,'Crop N Graphing'!F181,-50)</f>
        <v>-50</v>
      </c>
    </row>
    <row r="182" spans="1:12" x14ac:dyDescent="0.25">
      <c r="A182" s="1">
        <v>179</v>
      </c>
      <c r="B182" s="1">
        <f>VLOOKUP('Quick Test Mass Balance Tool'!$K$10&amp;'Quick Test Mass Balance Tool'!$K$12,'Crop parameters'!$C$3:$J$509,5,FALSE)</f>
        <v>0.17233999999999999</v>
      </c>
      <c r="C182" s="33">
        <f>VLOOKUP('Quick Test Mass Balance Tool'!$K$10&amp;'Quick Test Mass Balance Tool'!$K$12,'Crop parameters'!$C$3:$J$509,6,FALSE)</f>
        <v>29.87</v>
      </c>
      <c r="D182" s="1">
        <f>VLOOKUP('Quick Test Mass Balance Tool'!$K$10&amp;'Quick Test Mass Balance Tool'!$K$12,'Crop parameters'!$C$3:$J$509,7,FALSE)</f>
        <v>194.6</v>
      </c>
      <c r="E182" s="1">
        <f>VLOOKUP('Quick Test Mass Balance Tool'!$K$10&amp;'Quick Test Mass Balance Tool'!$K$12,'Crop parameters'!$C$3:$J$509,8,FALSE)</f>
        <v>-1.1850000000000001</v>
      </c>
      <c r="F182" s="1">
        <f t="shared" si="9"/>
        <v>193.41499999865937</v>
      </c>
      <c r="G182" s="4">
        <f>VLOOKUP('Quick Test Mass Balance Tool'!$K$10&amp;'Quick Test Mass Balance Tool'!$K$12,'Crop parameters'!$C$3:$J$509,4,FALSE)-F182</f>
        <v>-85.039999998659354</v>
      </c>
      <c r="I182" s="47" t="str">
        <f t="shared" si="7"/>
        <v/>
      </c>
      <c r="J182" s="1" t="str">
        <f t="shared" si="10"/>
        <v/>
      </c>
      <c r="K182" s="1">
        <f>IF(_xlfn.DAYS('Quick Test Mass Balance Tool'!$O$10,'Quick Test Mass Balance Tool'!$K$11)='Crop N Graphing'!A182,'Crop N Graphing'!F182,-50)</f>
        <v>-50</v>
      </c>
      <c r="L182" s="1">
        <f>IF('Quick Test Mass Balance Tool'!$X$15='Crop N Graphing'!A182,'Crop N Graphing'!F182,-50)</f>
        <v>-50</v>
      </c>
    </row>
    <row r="183" spans="1:12" x14ac:dyDescent="0.25">
      <c r="A183" s="1">
        <v>180</v>
      </c>
      <c r="B183" s="1">
        <f>VLOOKUP('Quick Test Mass Balance Tool'!$K$10&amp;'Quick Test Mass Balance Tool'!$K$12,'Crop parameters'!$C$3:$J$509,5,FALSE)</f>
        <v>0.17233999999999999</v>
      </c>
      <c r="C183" s="33">
        <f>VLOOKUP('Quick Test Mass Balance Tool'!$K$10&amp;'Quick Test Mass Balance Tool'!$K$12,'Crop parameters'!$C$3:$J$509,6,FALSE)</f>
        <v>29.87</v>
      </c>
      <c r="D183" s="1">
        <f>VLOOKUP('Quick Test Mass Balance Tool'!$K$10&amp;'Quick Test Mass Balance Tool'!$K$12,'Crop parameters'!$C$3:$J$509,7,FALSE)</f>
        <v>194.6</v>
      </c>
      <c r="E183" s="1">
        <f>VLOOKUP('Quick Test Mass Balance Tool'!$K$10&amp;'Quick Test Mass Balance Tool'!$K$12,'Crop parameters'!$C$3:$J$509,8,FALSE)</f>
        <v>-1.1850000000000001</v>
      </c>
      <c r="F183" s="1">
        <f t="shared" si="9"/>
        <v>193.41499999887156</v>
      </c>
      <c r="G183" s="4">
        <f>VLOOKUP('Quick Test Mass Balance Tool'!$K$10&amp;'Quick Test Mass Balance Tool'!$K$12,'Crop parameters'!$C$3:$J$509,4,FALSE)-F183</f>
        <v>-85.039999998871551</v>
      </c>
      <c r="I183" s="47" t="str">
        <f t="shared" si="7"/>
        <v/>
      </c>
      <c r="J183" s="1" t="str">
        <f t="shared" si="10"/>
        <v/>
      </c>
      <c r="K183" s="1">
        <f>IF(_xlfn.DAYS('Quick Test Mass Balance Tool'!$O$10,'Quick Test Mass Balance Tool'!$K$11)='Crop N Graphing'!A183,'Crop N Graphing'!F183,-50)</f>
        <v>-50</v>
      </c>
      <c r="L183" s="1">
        <f>IF('Quick Test Mass Balance Tool'!$X$15='Crop N Graphing'!A183,'Crop N Graphing'!F183,-50)</f>
        <v>-50</v>
      </c>
    </row>
    <row r="184" spans="1:12" x14ac:dyDescent="0.25">
      <c r="A184" s="1">
        <v>181</v>
      </c>
      <c r="B184" s="1">
        <f>VLOOKUP('Quick Test Mass Balance Tool'!$K$10&amp;'Quick Test Mass Balance Tool'!$K$12,'Crop parameters'!$C$3:$J$509,5,FALSE)</f>
        <v>0.17233999999999999</v>
      </c>
      <c r="C184" s="33">
        <f>VLOOKUP('Quick Test Mass Balance Tool'!$K$10&amp;'Quick Test Mass Balance Tool'!$K$12,'Crop parameters'!$C$3:$J$509,6,FALSE)</f>
        <v>29.87</v>
      </c>
      <c r="D184" s="1">
        <f>VLOOKUP('Quick Test Mass Balance Tool'!$K$10&amp;'Quick Test Mass Balance Tool'!$K$12,'Crop parameters'!$C$3:$J$509,7,FALSE)</f>
        <v>194.6</v>
      </c>
      <c r="E184" s="1">
        <f>VLOOKUP('Quick Test Mass Balance Tool'!$K$10&amp;'Quick Test Mass Balance Tool'!$K$12,'Crop parameters'!$C$3:$J$509,8,FALSE)</f>
        <v>-1.1850000000000001</v>
      </c>
      <c r="F184" s="1">
        <f t="shared" si="9"/>
        <v>193.41499999905025</v>
      </c>
      <c r="G184" s="4">
        <f>VLOOKUP('Quick Test Mass Balance Tool'!$K$10&amp;'Quick Test Mass Balance Tool'!$K$12,'Crop parameters'!$C$3:$J$509,4,FALSE)-F184</f>
        <v>-85.039999999050238</v>
      </c>
      <c r="I184" s="47" t="str">
        <f t="shared" si="7"/>
        <v/>
      </c>
      <c r="J184" s="1" t="str">
        <f t="shared" si="10"/>
        <v/>
      </c>
      <c r="K184" s="1">
        <f>IF(_xlfn.DAYS('Quick Test Mass Balance Tool'!$O$10,'Quick Test Mass Balance Tool'!$K$11)='Crop N Graphing'!A184,'Crop N Graphing'!F184,-50)</f>
        <v>-50</v>
      </c>
      <c r="L184" s="1">
        <f>IF('Quick Test Mass Balance Tool'!$X$15='Crop N Graphing'!A184,'Crop N Graphing'!F184,-50)</f>
        <v>-50</v>
      </c>
    </row>
    <row r="185" spans="1:12" x14ac:dyDescent="0.25">
      <c r="A185" s="1">
        <v>182</v>
      </c>
      <c r="B185" s="1">
        <f>VLOOKUP('Quick Test Mass Balance Tool'!$K$10&amp;'Quick Test Mass Balance Tool'!$K$12,'Crop parameters'!$C$3:$J$509,5,FALSE)</f>
        <v>0.17233999999999999</v>
      </c>
      <c r="C185" s="33">
        <f>VLOOKUP('Quick Test Mass Balance Tool'!$K$10&amp;'Quick Test Mass Balance Tool'!$K$12,'Crop parameters'!$C$3:$J$509,6,FALSE)</f>
        <v>29.87</v>
      </c>
      <c r="D185" s="1">
        <f>VLOOKUP('Quick Test Mass Balance Tool'!$K$10&amp;'Quick Test Mass Balance Tool'!$K$12,'Crop parameters'!$C$3:$J$509,7,FALSE)</f>
        <v>194.6</v>
      </c>
      <c r="E185" s="1">
        <f>VLOOKUP('Quick Test Mass Balance Tool'!$K$10&amp;'Quick Test Mass Balance Tool'!$K$12,'Crop parameters'!$C$3:$J$509,8,FALSE)</f>
        <v>-1.1850000000000001</v>
      </c>
      <c r="F185" s="1">
        <f t="shared" si="9"/>
        <v>193.41499999920057</v>
      </c>
      <c r="G185" s="4">
        <f>VLOOKUP('Quick Test Mass Balance Tool'!$K$10&amp;'Quick Test Mass Balance Tool'!$K$12,'Crop parameters'!$C$3:$J$509,4,FALSE)-F185</f>
        <v>-85.03999999920056</v>
      </c>
      <c r="I185" s="47" t="str">
        <f t="shared" si="7"/>
        <v/>
      </c>
      <c r="J185" s="1" t="str">
        <f t="shared" si="10"/>
        <v/>
      </c>
      <c r="K185" s="1">
        <f>IF(_xlfn.DAYS('Quick Test Mass Balance Tool'!$O$10,'Quick Test Mass Balance Tool'!$K$11)='Crop N Graphing'!A185,'Crop N Graphing'!F185,-50)</f>
        <v>-50</v>
      </c>
      <c r="L185" s="1">
        <f>IF('Quick Test Mass Balance Tool'!$X$15='Crop N Graphing'!A185,'Crop N Graphing'!F185,-50)</f>
        <v>-50</v>
      </c>
    </row>
    <row r="186" spans="1:12" x14ac:dyDescent="0.25">
      <c r="A186" s="1">
        <v>183</v>
      </c>
      <c r="B186" s="1">
        <f>VLOOKUP('Quick Test Mass Balance Tool'!$K$10&amp;'Quick Test Mass Balance Tool'!$K$12,'Crop parameters'!$C$3:$J$509,5,FALSE)</f>
        <v>0.17233999999999999</v>
      </c>
      <c r="C186" s="33">
        <f>VLOOKUP('Quick Test Mass Balance Tool'!$K$10&amp;'Quick Test Mass Balance Tool'!$K$12,'Crop parameters'!$C$3:$J$509,6,FALSE)</f>
        <v>29.87</v>
      </c>
      <c r="D186" s="1">
        <f>VLOOKUP('Quick Test Mass Balance Tool'!$K$10&amp;'Quick Test Mass Balance Tool'!$K$12,'Crop parameters'!$C$3:$J$509,7,FALSE)</f>
        <v>194.6</v>
      </c>
      <c r="E186" s="1">
        <f>VLOOKUP('Quick Test Mass Balance Tool'!$K$10&amp;'Quick Test Mass Balance Tool'!$K$12,'Crop parameters'!$C$3:$J$509,8,FALSE)</f>
        <v>-1.1850000000000001</v>
      </c>
      <c r="F186" s="1">
        <f t="shared" si="9"/>
        <v>193.41499999932714</v>
      </c>
      <c r="G186" s="4">
        <f>VLOOKUP('Quick Test Mass Balance Tool'!$K$10&amp;'Quick Test Mass Balance Tool'!$K$12,'Crop parameters'!$C$3:$J$509,4,FALSE)-F186</f>
        <v>-85.039999999327122</v>
      </c>
      <c r="I186" s="47" t="str">
        <f t="shared" si="7"/>
        <v/>
      </c>
      <c r="J186" s="1" t="str">
        <f t="shared" si="10"/>
        <v/>
      </c>
      <c r="K186" s="1">
        <f>IF(_xlfn.DAYS('Quick Test Mass Balance Tool'!$O$10,'Quick Test Mass Balance Tool'!$K$11)='Crop N Graphing'!A186,'Crop N Graphing'!F186,-50)</f>
        <v>-50</v>
      </c>
      <c r="L186" s="1">
        <f>IF('Quick Test Mass Balance Tool'!$X$15='Crop N Graphing'!A186,'Crop N Graphing'!F186,-50)</f>
        <v>-50</v>
      </c>
    </row>
    <row r="187" spans="1:12" x14ac:dyDescent="0.25">
      <c r="A187" s="1">
        <v>184</v>
      </c>
      <c r="B187" s="1">
        <f>VLOOKUP('Quick Test Mass Balance Tool'!$K$10&amp;'Quick Test Mass Balance Tool'!$K$12,'Crop parameters'!$C$3:$J$509,5,FALSE)</f>
        <v>0.17233999999999999</v>
      </c>
      <c r="C187" s="33">
        <f>VLOOKUP('Quick Test Mass Balance Tool'!$K$10&amp;'Quick Test Mass Balance Tool'!$K$12,'Crop parameters'!$C$3:$J$509,6,FALSE)</f>
        <v>29.87</v>
      </c>
      <c r="D187" s="1">
        <f>VLOOKUP('Quick Test Mass Balance Tool'!$K$10&amp;'Quick Test Mass Balance Tool'!$K$12,'Crop parameters'!$C$3:$J$509,7,FALSE)</f>
        <v>194.6</v>
      </c>
      <c r="E187" s="1">
        <f>VLOOKUP('Quick Test Mass Balance Tool'!$K$10&amp;'Quick Test Mass Balance Tool'!$K$12,'Crop parameters'!$C$3:$J$509,8,FALSE)</f>
        <v>-1.1850000000000001</v>
      </c>
      <c r="F187" s="1">
        <f t="shared" si="9"/>
        <v>193.41499999943363</v>
      </c>
      <c r="G187" s="4">
        <f>VLOOKUP('Quick Test Mass Balance Tool'!$K$10&amp;'Quick Test Mass Balance Tool'!$K$12,'Crop parameters'!$C$3:$J$509,4,FALSE)-F187</f>
        <v>-85.039999999433618</v>
      </c>
      <c r="I187" s="47" t="str">
        <f t="shared" si="7"/>
        <v/>
      </c>
      <c r="J187" s="1" t="str">
        <f t="shared" si="10"/>
        <v/>
      </c>
      <c r="K187" s="1">
        <f>IF(_xlfn.DAYS('Quick Test Mass Balance Tool'!$O$10,'Quick Test Mass Balance Tool'!$K$11)='Crop N Graphing'!A187,'Crop N Graphing'!F187,-50)</f>
        <v>-50</v>
      </c>
      <c r="L187" s="1">
        <f>IF('Quick Test Mass Balance Tool'!$X$15='Crop N Graphing'!A187,'Crop N Graphing'!F187,-50)</f>
        <v>-50</v>
      </c>
    </row>
    <row r="188" spans="1:12" x14ac:dyDescent="0.25">
      <c r="A188" s="1">
        <v>185</v>
      </c>
      <c r="B188" s="1">
        <f>VLOOKUP('Quick Test Mass Balance Tool'!$K$10&amp;'Quick Test Mass Balance Tool'!$K$12,'Crop parameters'!$C$3:$J$509,5,FALSE)</f>
        <v>0.17233999999999999</v>
      </c>
      <c r="C188" s="33">
        <f>VLOOKUP('Quick Test Mass Balance Tool'!$K$10&amp;'Quick Test Mass Balance Tool'!$K$12,'Crop parameters'!$C$3:$J$509,6,FALSE)</f>
        <v>29.87</v>
      </c>
      <c r="D188" s="1">
        <f>VLOOKUP('Quick Test Mass Balance Tool'!$K$10&amp;'Quick Test Mass Balance Tool'!$K$12,'Crop parameters'!$C$3:$J$509,7,FALSE)</f>
        <v>194.6</v>
      </c>
      <c r="E188" s="1">
        <f>VLOOKUP('Quick Test Mass Balance Tool'!$K$10&amp;'Quick Test Mass Balance Tool'!$K$12,'Crop parameters'!$C$3:$J$509,8,FALSE)</f>
        <v>-1.1850000000000001</v>
      </c>
      <c r="F188" s="1">
        <f t="shared" si="9"/>
        <v>193.4149999995233</v>
      </c>
      <c r="G188" s="4">
        <f>VLOOKUP('Quick Test Mass Balance Tool'!$K$10&amp;'Quick Test Mass Balance Tool'!$K$12,'Crop parameters'!$C$3:$J$509,4,FALSE)-F188</f>
        <v>-85.039999999523289</v>
      </c>
      <c r="I188" s="47" t="str">
        <f t="shared" si="7"/>
        <v/>
      </c>
      <c r="J188" s="1" t="str">
        <f t="shared" si="10"/>
        <v/>
      </c>
      <c r="K188" s="1">
        <f>IF(_xlfn.DAYS('Quick Test Mass Balance Tool'!$O$10,'Quick Test Mass Balance Tool'!$K$11)='Crop N Graphing'!A188,'Crop N Graphing'!F188,-50)</f>
        <v>-50</v>
      </c>
      <c r="L188" s="1">
        <f>IF('Quick Test Mass Balance Tool'!$X$15='Crop N Graphing'!A188,'Crop N Graphing'!F188,-50)</f>
        <v>-50</v>
      </c>
    </row>
    <row r="189" spans="1:12" x14ac:dyDescent="0.25">
      <c r="A189" s="1">
        <v>186</v>
      </c>
      <c r="B189" s="1">
        <f>VLOOKUP('Quick Test Mass Balance Tool'!$K$10&amp;'Quick Test Mass Balance Tool'!$K$12,'Crop parameters'!$C$3:$J$509,5,FALSE)</f>
        <v>0.17233999999999999</v>
      </c>
      <c r="C189" s="33">
        <f>VLOOKUP('Quick Test Mass Balance Tool'!$K$10&amp;'Quick Test Mass Balance Tool'!$K$12,'Crop parameters'!$C$3:$J$509,6,FALSE)</f>
        <v>29.87</v>
      </c>
      <c r="D189" s="1">
        <f>VLOOKUP('Quick Test Mass Balance Tool'!$K$10&amp;'Quick Test Mass Balance Tool'!$K$12,'Crop parameters'!$C$3:$J$509,7,FALSE)</f>
        <v>194.6</v>
      </c>
      <c r="E189" s="1">
        <f>VLOOKUP('Quick Test Mass Balance Tool'!$K$10&amp;'Quick Test Mass Balance Tool'!$K$12,'Crop parameters'!$C$3:$J$509,8,FALSE)</f>
        <v>-1.1850000000000001</v>
      </c>
      <c r="F189" s="1">
        <f t="shared" si="9"/>
        <v>193.41499999959879</v>
      </c>
      <c r="G189" s="4">
        <f>VLOOKUP('Quick Test Mass Balance Tool'!$K$10&amp;'Quick Test Mass Balance Tool'!$K$12,'Crop parameters'!$C$3:$J$509,4,FALSE)-F189</f>
        <v>-85.039999999598777</v>
      </c>
      <c r="I189" s="47" t="str">
        <f t="shared" si="7"/>
        <v/>
      </c>
      <c r="J189" s="1" t="str">
        <f t="shared" si="10"/>
        <v/>
      </c>
      <c r="K189" s="1">
        <f>IF(_xlfn.DAYS('Quick Test Mass Balance Tool'!$O$10,'Quick Test Mass Balance Tool'!$K$11)='Crop N Graphing'!A189,'Crop N Graphing'!F189,-50)</f>
        <v>-50</v>
      </c>
      <c r="L189" s="1">
        <f>IF('Quick Test Mass Balance Tool'!$X$15='Crop N Graphing'!A189,'Crop N Graphing'!F189,-50)</f>
        <v>-50</v>
      </c>
    </row>
    <row r="190" spans="1:12" x14ac:dyDescent="0.25">
      <c r="A190" s="1">
        <v>187</v>
      </c>
      <c r="B190" s="1">
        <f>VLOOKUP('Quick Test Mass Balance Tool'!$K$10&amp;'Quick Test Mass Balance Tool'!$K$12,'Crop parameters'!$C$3:$J$509,5,FALSE)</f>
        <v>0.17233999999999999</v>
      </c>
      <c r="C190" s="33">
        <f>VLOOKUP('Quick Test Mass Balance Tool'!$K$10&amp;'Quick Test Mass Balance Tool'!$K$12,'Crop parameters'!$C$3:$J$509,6,FALSE)</f>
        <v>29.87</v>
      </c>
      <c r="D190" s="1">
        <f>VLOOKUP('Quick Test Mass Balance Tool'!$K$10&amp;'Quick Test Mass Balance Tool'!$K$12,'Crop parameters'!$C$3:$J$509,7,FALSE)</f>
        <v>194.6</v>
      </c>
      <c r="E190" s="1">
        <f>VLOOKUP('Quick Test Mass Balance Tool'!$K$10&amp;'Quick Test Mass Balance Tool'!$K$12,'Crop parameters'!$C$3:$J$509,8,FALSE)</f>
        <v>-1.1850000000000001</v>
      </c>
      <c r="F190" s="1">
        <f t="shared" si="9"/>
        <v>193.41499999966226</v>
      </c>
      <c r="G190" s="4">
        <f>VLOOKUP('Quick Test Mass Balance Tool'!$K$10&amp;'Quick Test Mass Balance Tool'!$K$12,'Crop parameters'!$C$3:$J$509,4,FALSE)-F190</f>
        <v>-85.039999999662243</v>
      </c>
      <c r="I190" s="47" t="str">
        <f t="shared" si="7"/>
        <v/>
      </c>
      <c r="J190" s="1" t="str">
        <f t="shared" si="10"/>
        <v/>
      </c>
      <c r="K190" s="1">
        <f>IF(_xlfn.DAYS('Quick Test Mass Balance Tool'!$O$10,'Quick Test Mass Balance Tool'!$K$11)='Crop N Graphing'!A190,'Crop N Graphing'!F190,-50)</f>
        <v>-50</v>
      </c>
      <c r="L190" s="1">
        <f>IF('Quick Test Mass Balance Tool'!$X$15='Crop N Graphing'!A190,'Crop N Graphing'!F190,-50)</f>
        <v>-50</v>
      </c>
    </row>
    <row r="191" spans="1:12" x14ac:dyDescent="0.25">
      <c r="A191" s="1">
        <v>188</v>
      </c>
      <c r="B191" s="1">
        <f>VLOOKUP('Quick Test Mass Balance Tool'!$K$10&amp;'Quick Test Mass Balance Tool'!$K$12,'Crop parameters'!$C$3:$J$509,5,FALSE)</f>
        <v>0.17233999999999999</v>
      </c>
      <c r="C191" s="33">
        <f>VLOOKUP('Quick Test Mass Balance Tool'!$K$10&amp;'Quick Test Mass Balance Tool'!$K$12,'Crop parameters'!$C$3:$J$509,6,FALSE)</f>
        <v>29.87</v>
      </c>
      <c r="D191" s="1">
        <f>VLOOKUP('Quick Test Mass Balance Tool'!$K$10&amp;'Quick Test Mass Balance Tool'!$K$12,'Crop parameters'!$C$3:$J$509,7,FALSE)</f>
        <v>194.6</v>
      </c>
      <c r="E191" s="1">
        <f>VLOOKUP('Quick Test Mass Balance Tool'!$K$10&amp;'Quick Test Mass Balance Tool'!$K$12,'Crop parameters'!$C$3:$J$509,8,FALSE)</f>
        <v>-1.1850000000000001</v>
      </c>
      <c r="F191" s="1">
        <f t="shared" si="9"/>
        <v>193.41499999971575</v>
      </c>
      <c r="G191" s="4">
        <f>VLOOKUP('Quick Test Mass Balance Tool'!$K$10&amp;'Quick Test Mass Balance Tool'!$K$12,'Crop parameters'!$C$3:$J$509,4,FALSE)-F191</f>
        <v>-85.039999999715732</v>
      </c>
      <c r="I191" s="47" t="str">
        <f t="shared" si="7"/>
        <v/>
      </c>
      <c r="J191" s="1" t="str">
        <f t="shared" si="10"/>
        <v/>
      </c>
      <c r="K191" s="1">
        <f>IF(_xlfn.DAYS('Quick Test Mass Balance Tool'!$O$10,'Quick Test Mass Balance Tool'!$K$11)='Crop N Graphing'!A191,'Crop N Graphing'!F191,-50)</f>
        <v>-50</v>
      </c>
      <c r="L191" s="1">
        <f>IF('Quick Test Mass Balance Tool'!$X$15='Crop N Graphing'!A191,'Crop N Graphing'!F191,-50)</f>
        <v>-50</v>
      </c>
    </row>
    <row r="192" spans="1:12" x14ac:dyDescent="0.25">
      <c r="A192" s="1">
        <v>189</v>
      </c>
      <c r="B192" s="1">
        <f>VLOOKUP('Quick Test Mass Balance Tool'!$K$10&amp;'Quick Test Mass Balance Tool'!$K$12,'Crop parameters'!$C$3:$J$509,5,FALSE)</f>
        <v>0.17233999999999999</v>
      </c>
      <c r="C192" s="33">
        <f>VLOOKUP('Quick Test Mass Balance Tool'!$K$10&amp;'Quick Test Mass Balance Tool'!$K$12,'Crop parameters'!$C$3:$J$509,6,FALSE)</f>
        <v>29.87</v>
      </c>
      <c r="D192" s="1">
        <f>VLOOKUP('Quick Test Mass Balance Tool'!$K$10&amp;'Quick Test Mass Balance Tool'!$K$12,'Crop parameters'!$C$3:$J$509,7,FALSE)</f>
        <v>194.6</v>
      </c>
      <c r="E192" s="1">
        <f>VLOOKUP('Quick Test Mass Balance Tool'!$K$10&amp;'Quick Test Mass Balance Tool'!$K$12,'Crop parameters'!$C$3:$J$509,8,FALSE)</f>
        <v>-1.1850000000000001</v>
      </c>
      <c r="F192" s="1">
        <f t="shared" si="9"/>
        <v>193.41499999976074</v>
      </c>
      <c r="G192" s="4">
        <f>VLOOKUP('Quick Test Mass Balance Tool'!$K$10&amp;'Quick Test Mass Balance Tool'!$K$12,'Crop parameters'!$C$3:$J$509,4,FALSE)-F192</f>
        <v>-85.039999999760724</v>
      </c>
      <c r="I192" s="47" t="str">
        <f t="shared" si="7"/>
        <v/>
      </c>
      <c r="J192" s="1" t="str">
        <f t="shared" si="10"/>
        <v/>
      </c>
      <c r="K192" s="1">
        <f>IF(_xlfn.DAYS('Quick Test Mass Balance Tool'!$O$10,'Quick Test Mass Balance Tool'!$K$11)='Crop N Graphing'!A192,'Crop N Graphing'!F192,-50)</f>
        <v>-50</v>
      </c>
      <c r="L192" s="1">
        <f>IF('Quick Test Mass Balance Tool'!$X$15='Crop N Graphing'!A192,'Crop N Graphing'!F192,-50)</f>
        <v>-50</v>
      </c>
    </row>
    <row r="193" spans="1:12" x14ac:dyDescent="0.25">
      <c r="A193" s="1">
        <v>190</v>
      </c>
      <c r="B193" s="1">
        <f>VLOOKUP('Quick Test Mass Balance Tool'!$K$10&amp;'Quick Test Mass Balance Tool'!$K$12,'Crop parameters'!$C$3:$J$509,5,FALSE)</f>
        <v>0.17233999999999999</v>
      </c>
      <c r="C193" s="33">
        <f>VLOOKUP('Quick Test Mass Balance Tool'!$K$10&amp;'Quick Test Mass Balance Tool'!$K$12,'Crop parameters'!$C$3:$J$509,6,FALSE)</f>
        <v>29.87</v>
      </c>
      <c r="D193" s="1">
        <f>VLOOKUP('Quick Test Mass Balance Tool'!$K$10&amp;'Quick Test Mass Balance Tool'!$K$12,'Crop parameters'!$C$3:$J$509,7,FALSE)</f>
        <v>194.6</v>
      </c>
      <c r="E193" s="1">
        <f>VLOOKUP('Quick Test Mass Balance Tool'!$K$10&amp;'Quick Test Mass Balance Tool'!$K$12,'Crop parameters'!$C$3:$J$509,8,FALSE)</f>
        <v>-1.1850000000000001</v>
      </c>
      <c r="F193" s="1">
        <f t="shared" si="9"/>
        <v>193.41499999979862</v>
      </c>
      <c r="G193" s="4">
        <f>VLOOKUP('Quick Test Mass Balance Tool'!$K$10&amp;'Quick Test Mass Balance Tool'!$K$12,'Crop parameters'!$C$3:$J$509,4,FALSE)-F193</f>
        <v>-85.03999999979861</v>
      </c>
      <c r="I193" s="47" t="str">
        <f t="shared" si="7"/>
        <v/>
      </c>
      <c r="J193" s="1" t="str">
        <f t="shared" si="10"/>
        <v/>
      </c>
      <c r="K193" s="1">
        <f>IF(_xlfn.DAYS('Quick Test Mass Balance Tool'!$O$10,'Quick Test Mass Balance Tool'!$K$11)='Crop N Graphing'!A193,'Crop N Graphing'!F193,-50)</f>
        <v>-50</v>
      </c>
      <c r="L193" s="1">
        <f>IF('Quick Test Mass Balance Tool'!$X$15='Crop N Graphing'!A193,'Crop N Graphing'!F193,-50)</f>
        <v>-50</v>
      </c>
    </row>
    <row r="194" spans="1:12" x14ac:dyDescent="0.25">
      <c r="A194" s="1">
        <v>191</v>
      </c>
      <c r="B194" s="1">
        <f>VLOOKUP('Quick Test Mass Balance Tool'!$K$10&amp;'Quick Test Mass Balance Tool'!$K$12,'Crop parameters'!$C$3:$J$509,5,FALSE)</f>
        <v>0.17233999999999999</v>
      </c>
      <c r="C194" s="33">
        <f>VLOOKUP('Quick Test Mass Balance Tool'!$K$10&amp;'Quick Test Mass Balance Tool'!$K$12,'Crop parameters'!$C$3:$J$509,6,FALSE)</f>
        <v>29.87</v>
      </c>
      <c r="D194" s="1">
        <f>VLOOKUP('Quick Test Mass Balance Tool'!$K$10&amp;'Quick Test Mass Balance Tool'!$K$12,'Crop parameters'!$C$3:$J$509,7,FALSE)</f>
        <v>194.6</v>
      </c>
      <c r="E194" s="1">
        <f>VLOOKUP('Quick Test Mass Balance Tool'!$K$10&amp;'Quick Test Mass Balance Tool'!$K$12,'Crop parameters'!$C$3:$J$509,8,FALSE)</f>
        <v>-1.1850000000000001</v>
      </c>
      <c r="F194" s="1">
        <f t="shared" si="9"/>
        <v>193.41499999983048</v>
      </c>
      <c r="G194" s="4">
        <f>VLOOKUP('Quick Test Mass Balance Tool'!$K$10&amp;'Quick Test Mass Balance Tool'!$K$12,'Crop parameters'!$C$3:$J$509,4,FALSE)-F194</f>
        <v>-85.039999999830471</v>
      </c>
      <c r="I194" s="47" t="str">
        <f t="shared" si="7"/>
        <v/>
      </c>
      <c r="J194" s="1" t="str">
        <f t="shared" si="10"/>
        <v/>
      </c>
      <c r="K194" s="1">
        <f>IF(_xlfn.DAYS('Quick Test Mass Balance Tool'!$O$10,'Quick Test Mass Balance Tool'!$K$11)='Crop N Graphing'!A194,'Crop N Graphing'!F194,-50)</f>
        <v>-50</v>
      </c>
      <c r="L194" s="1">
        <f>IF('Quick Test Mass Balance Tool'!$X$15='Crop N Graphing'!A194,'Crop N Graphing'!F194,-50)</f>
        <v>-50</v>
      </c>
    </row>
    <row r="195" spans="1:12" x14ac:dyDescent="0.25">
      <c r="A195" s="1">
        <v>192</v>
      </c>
      <c r="B195" s="1">
        <f>VLOOKUP('Quick Test Mass Balance Tool'!$K$10&amp;'Quick Test Mass Balance Tool'!$K$12,'Crop parameters'!$C$3:$J$509,5,FALSE)</f>
        <v>0.17233999999999999</v>
      </c>
      <c r="C195" s="33">
        <f>VLOOKUP('Quick Test Mass Balance Tool'!$K$10&amp;'Quick Test Mass Balance Tool'!$K$12,'Crop parameters'!$C$3:$J$509,6,FALSE)</f>
        <v>29.87</v>
      </c>
      <c r="D195" s="1">
        <f>VLOOKUP('Quick Test Mass Balance Tool'!$K$10&amp;'Quick Test Mass Balance Tool'!$K$12,'Crop parameters'!$C$3:$J$509,7,FALSE)</f>
        <v>194.6</v>
      </c>
      <c r="E195" s="1">
        <f>VLOOKUP('Quick Test Mass Balance Tool'!$K$10&amp;'Quick Test Mass Balance Tool'!$K$12,'Crop parameters'!$C$3:$J$509,8,FALSE)</f>
        <v>-1.1850000000000001</v>
      </c>
      <c r="F195" s="1">
        <f t="shared" si="9"/>
        <v>193.41499999985732</v>
      </c>
      <c r="G195" s="4">
        <f>VLOOKUP('Quick Test Mass Balance Tool'!$K$10&amp;'Quick Test Mass Balance Tool'!$K$12,'Crop parameters'!$C$3:$J$509,4,FALSE)-F195</f>
        <v>-85.039999999857301</v>
      </c>
      <c r="I195" s="47" t="str">
        <f t="shared" ref="I195:I203" si="11">IF(ISNUMBER(J195),A195,"")</f>
        <v/>
      </c>
      <c r="J195" s="1" t="str">
        <f t="shared" si="10"/>
        <v/>
      </c>
      <c r="K195" s="1">
        <f>IF(_xlfn.DAYS('Quick Test Mass Balance Tool'!$O$10,'Quick Test Mass Balance Tool'!$K$11)='Crop N Graphing'!A195,'Crop N Graphing'!F195,-50)</f>
        <v>-50</v>
      </c>
      <c r="L195" s="1">
        <f>IF('Quick Test Mass Balance Tool'!$X$15='Crop N Graphing'!A195,'Crop N Graphing'!F195,-50)</f>
        <v>-50</v>
      </c>
    </row>
    <row r="196" spans="1:12" x14ac:dyDescent="0.25">
      <c r="A196" s="1">
        <v>193</v>
      </c>
      <c r="B196" s="1">
        <f>VLOOKUP('Quick Test Mass Balance Tool'!$K$10&amp;'Quick Test Mass Balance Tool'!$K$12,'Crop parameters'!$C$3:$J$509,5,FALSE)</f>
        <v>0.17233999999999999</v>
      </c>
      <c r="C196" s="33">
        <f>VLOOKUP('Quick Test Mass Balance Tool'!$K$10&amp;'Quick Test Mass Balance Tool'!$K$12,'Crop parameters'!$C$3:$J$509,6,FALSE)</f>
        <v>29.87</v>
      </c>
      <c r="D196" s="1">
        <f>VLOOKUP('Quick Test Mass Balance Tool'!$K$10&amp;'Quick Test Mass Balance Tool'!$K$12,'Crop parameters'!$C$3:$J$509,7,FALSE)</f>
        <v>194.6</v>
      </c>
      <c r="E196" s="1">
        <f>VLOOKUP('Quick Test Mass Balance Tool'!$K$10&amp;'Quick Test Mass Balance Tool'!$K$12,'Crop parameters'!$C$3:$J$509,8,FALSE)</f>
        <v>-1.1850000000000001</v>
      </c>
      <c r="F196" s="1">
        <f t="shared" si="9"/>
        <v>193.41499999987991</v>
      </c>
      <c r="G196" s="4">
        <f>VLOOKUP('Quick Test Mass Balance Tool'!$K$10&amp;'Quick Test Mass Balance Tool'!$K$12,'Crop parameters'!$C$3:$J$509,4,FALSE)-F196</f>
        <v>-85.039999999879896</v>
      </c>
      <c r="I196" s="47" t="str">
        <f t="shared" si="11"/>
        <v/>
      </c>
      <c r="J196" s="1" t="str">
        <f t="shared" si="10"/>
        <v/>
      </c>
      <c r="K196" s="1">
        <f>IF(_xlfn.DAYS('Quick Test Mass Balance Tool'!$O$10,'Quick Test Mass Balance Tool'!$K$11)='Crop N Graphing'!A196,'Crop N Graphing'!F196,-50)</f>
        <v>-50</v>
      </c>
      <c r="L196" s="1">
        <f>IF('Quick Test Mass Balance Tool'!$X$15='Crop N Graphing'!A196,'Crop N Graphing'!F196,-50)</f>
        <v>-50</v>
      </c>
    </row>
    <row r="197" spans="1:12" x14ac:dyDescent="0.25">
      <c r="A197" s="1">
        <v>194</v>
      </c>
      <c r="B197" s="1">
        <f>VLOOKUP('Quick Test Mass Balance Tool'!$K$10&amp;'Quick Test Mass Balance Tool'!$K$12,'Crop parameters'!$C$3:$J$509,5,FALSE)</f>
        <v>0.17233999999999999</v>
      </c>
      <c r="C197" s="33">
        <f>VLOOKUP('Quick Test Mass Balance Tool'!$K$10&amp;'Quick Test Mass Balance Tool'!$K$12,'Crop parameters'!$C$3:$J$509,6,FALSE)</f>
        <v>29.87</v>
      </c>
      <c r="D197" s="1">
        <f>VLOOKUP('Quick Test Mass Balance Tool'!$K$10&amp;'Quick Test Mass Balance Tool'!$K$12,'Crop parameters'!$C$3:$J$509,7,FALSE)</f>
        <v>194.6</v>
      </c>
      <c r="E197" s="1">
        <f>VLOOKUP('Quick Test Mass Balance Tool'!$K$10&amp;'Quick Test Mass Balance Tool'!$K$12,'Crop parameters'!$C$3:$J$509,8,FALSE)</f>
        <v>-1.1850000000000001</v>
      </c>
      <c r="F197" s="1">
        <f t="shared" si="9"/>
        <v>193.41499999989892</v>
      </c>
      <c r="G197" s="4">
        <f>VLOOKUP('Quick Test Mass Balance Tool'!$K$10&amp;'Quick Test Mass Balance Tool'!$K$12,'Crop parameters'!$C$3:$J$509,4,FALSE)-F197</f>
        <v>-85.03999999989891</v>
      </c>
      <c r="I197" s="47" t="str">
        <f t="shared" si="11"/>
        <v/>
      </c>
      <c r="J197" s="1" t="str">
        <f t="shared" si="10"/>
        <v/>
      </c>
      <c r="K197" s="1">
        <f>IF(_xlfn.DAYS('Quick Test Mass Balance Tool'!$O$10,'Quick Test Mass Balance Tool'!$K$11)='Crop N Graphing'!A197,'Crop N Graphing'!F197,-50)</f>
        <v>-50</v>
      </c>
      <c r="L197" s="1">
        <f>IF('Quick Test Mass Balance Tool'!$X$15='Crop N Graphing'!A197,'Crop N Graphing'!F197,-50)</f>
        <v>-50</v>
      </c>
    </row>
    <row r="198" spans="1:12" x14ac:dyDescent="0.25">
      <c r="A198" s="1">
        <v>195</v>
      </c>
      <c r="B198" s="1">
        <f>VLOOKUP('Quick Test Mass Balance Tool'!$K$10&amp;'Quick Test Mass Balance Tool'!$K$12,'Crop parameters'!$C$3:$J$509,5,FALSE)</f>
        <v>0.17233999999999999</v>
      </c>
      <c r="C198" s="33">
        <f>VLOOKUP('Quick Test Mass Balance Tool'!$K$10&amp;'Quick Test Mass Balance Tool'!$K$12,'Crop parameters'!$C$3:$J$509,6,FALSE)</f>
        <v>29.87</v>
      </c>
      <c r="D198" s="1">
        <f>VLOOKUP('Quick Test Mass Balance Tool'!$K$10&amp;'Quick Test Mass Balance Tool'!$K$12,'Crop parameters'!$C$3:$J$509,7,FALSE)</f>
        <v>194.6</v>
      </c>
      <c r="E198" s="1">
        <f>VLOOKUP('Quick Test Mass Balance Tool'!$K$10&amp;'Quick Test Mass Balance Tool'!$K$12,'Crop parameters'!$C$3:$J$509,8,FALSE)</f>
        <v>-1.1850000000000001</v>
      </c>
      <c r="F198" s="1">
        <f t="shared" si="9"/>
        <v>193.41499999991493</v>
      </c>
      <c r="G198" s="4">
        <f>VLOOKUP('Quick Test Mass Balance Tool'!$K$10&amp;'Quick Test Mass Balance Tool'!$K$12,'Crop parameters'!$C$3:$J$509,4,FALSE)-F198</f>
        <v>-85.039999999914912</v>
      </c>
      <c r="I198" s="47" t="str">
        <f t="shared" si="11"/>
        <v/>
      </c>
      <c r="J198" s="1" t="str">
        <f t="shared" si="10"/>
        <v/>
      </c>
      <c r="K198" s="1">
        <f>IF(_xlfn.DAYS('Quick Test Mass Balance Tool'!$O$10,'Quick Test Mass Balance Tool'!$K$11)='Crop N Graphing'!A198,'Crop N Graphing'!F198,-50)</f>
        <v>-50</v>
      </c>
      <c r="L198" s="1">
        <f>IF('Quick Test Mass Balance Tool'!$X$15='Crop N Graphing'!A198,'Crop N Graphing'!F198,-50)</f>
        <v>-50</v>
      </c>
    </row>
    <row r="199" spans="1:12" x14ac:dyDescent="0.25">
      <c r="A199" s="1">
        <v>196</v>
      </c>
      <c r="B199" s="1">
        <f>VLOOKUP('Quick Test Mass Balance Tool'!$K$10&amp;'Quick Test Mass Balance Tool'!$K$12,'Crop parameters'!$C$3:$J$509,5,FALSE)</f>
        <v>0.17233999999999999</v>
      </c>
      <c r="C199" s="33">
        <f>VLOOKUP('Quick Test Mass Balance Tool'!$K$10&amp;'Quick Test Mass Balance Tool'!$K$12,'Crop parameters'!$C$3:$J$509,6,FALSE)</f>
        <v>29.87</v>
      </c>
      <c r="D199" s="1">
        <f>VLOOKUP('Quick Test Mass Balance Tool'!$K$10&amp;'Quick Test Mass Balance Tool'!$K$12,'Crop parameters'!$C$3:$J$509,7,FALSE)</f>
        <v>194.6</v>
      </c>
      <c r="E199" s="1">
        <f>VLOOKUP('Quick Test Mass Balance Tool'!$K$10&amp;'Quick Test Mass Balance Tool'!$K$12,'Crop parameters'!$C$3:$J$509,8,FALSE)</f>
        <v>-1.1850000000000001</v>
      </c>
      <c r="F199" s="1">
        <f t="shared" si="9"/>
        <v>193.4149999999284</v>
      </c>
      <c r="G199" s="4">
        <f>VLOOKUP('Quick Test Mass Balance Tool'!$K$10&amp;'Quick Test Mass Balance Tool'!$K$12,'Crop parameters'!$C$3:$J$509,4,FALSE)-F199</f>
        <v>-85.039999999928384</v>
      </c>
      <c r="I199" s="47" t="str">
        <f t="shared" si="11"/>
        <v/>
      </c>
      <c r="J199" s="1" t="str">
        <f t="shared" si="10"/>
        <v/>
      </c>
      <c r="K199" s="1">
        <f>IF(_xlfn.DAYS('Quick Test Mass Balance Tool'!$O$10,'Quick Test Mass Balance Tool'!$K$11)='Crop N Graphing'!A199,'Crop N Graphing'!F199,-50)</f>
        <v>-50</v>
      </c>
      <c r="L199" s="1">
        <f>IF('Quick Test Mass Balance Tool'!$X$15='Crop N Graphing'!A199,'Crop N Graphing'!F199,-50)</f>
        <v>-50</v>
      </c>
    </row>
    <row r="200" spans="1:12" x14ac:dyDescent="0.25">
      <c r="A200" s="1">
        <v>197</v>
      </c>
      <c r="B200" s="1">
        <f>VLOOKUP('Quick Test Mass Balance Tool'!$K$10&amp;'Quick Test Mass Balance Tool'!$K$12,'Crop parameters'!$C$3:$J$509,5,FALSE)</f>
        <v>0.17233999999999999</v>
      </c>
      <c r="C200" s="33">
        <f>VLOOKUP('Quick Test Mass Balance Tool'!$K$10&amp;'Quick Test Mass Balance Tool'!$K$12,'Crop parameters'!$C$3:$J$509,6,FALSE)</f>
        <v>29.87</v>
      </c>
      <c r="D200" s="1">
        <f>VLOOKUP('Quick Test Mass Balance Tool'!$K$10&amp;'Quick Test Mass Balance Tool'!$K$12,'Crop parameters'!$C$3:$J$509,7,FALSE)</f>
        <v>194.6</v>
      </c>
      <c r="E200" s="1">
        <f>VLOOKUP('Quick Test Mass Balance Tool'!$K$10&amp;'Quick Test Mass Balance Tool'!$K$12,'Crop parameters'!$C$3:$J$509,8,FALSE)</f>
        <v>-1.1850000000000001</v>
      </c>
      <c r="F200" s="1">
        <f t="shared" si="9"/>
        <v>193.41499999993971</v>
      </c>
      <c r="G200" s="4">
        <f>VLOOKUP('Quick Test Mass Balance Tool'!$K$10&amp;'Quick Test Mass Balance Tool'!$K$12,'Crop parameters'!$C$3:$J$509,4,FALSE)-F200</f>
        <v>-85.039999999939695</v>
      </c>
      <c r="I200" s="47" t="str">
        <f t="shared" si="11"/>
        <v/>
      </c>
      <c r="J200" s="1" t="str">
        <f t="shared" si="10"/>
        <v/>
      </c>
      <c r="K200" s="1">
        <f>IF(_xlfn.DAYS('Quick Test Mass Balance Tool'!$O$10,'Quick Test Mass Balance Tool'!$K$11)='Crop N Graphing'!A200,'Crop N Graphing'!F200,-50)</f>
        <v>-50</v>
      </c>
      <c r="L200" s="1">
        <f>IF('Quick Test Mass Balance Tool'!$X$15='Crop N Graphing'!A200,'Crop N Graphing'!F200,-50)</f>
        <v>-50</v>
      </c>
    </row>
    <row r="201" spans="1:12" x14ac:dyDescent="0.25">
      <c r="A201" s="1">
        <v>198</v>
      </c>
      <c r="B201" s="1">
        <f>VLOOKUP('Quick Test Mass Balance Tool'!$K$10&amp;'Quick Test Mass Balance Tool'!$K$12,'Crop parameters'!$C$3:$J$509,5,FALSE)</f>
        <v>0.17233999999999999</v>
      </c>
      <c r="C201" s="33">
        <f>VLOOKUP('Quick Test Mass Balance Tool'!$K$10&amp;'Quick Test Mass Balance Tool'!$K$12,'Crop parameters'!$C$3:$J$509,6,FALSE)</f>
        <v>29.87</v>
      </c>
      <c r="D201" s="1">
        <f>VLOOKUP('Quick Test Mass Balance Tool'!$K$10&amp;'Quick Test Mass Balance Tool'!$K$12,'Crop parameters'!$C$3:$J$509,7,FALSE)</f>
        <v>194.6</v>
      </c>
      <c r="E201" s="1">
        <f>VLOOKUP('Quick Test Mass Balance Tool'!$K$10&amp;'Quick Test Mass Balance Tool'!$K$12,'Crop parameters'!$C$3:$J$509,8,FALSE)</f>
        <v>-1.1850000000000001</v>
      </c>
      <c r="F201" s="1">
        <f t="shared" si="9"/>
        <v>193.41499999994926</v>
      </c>
      <c r="G201" s="4">
        <f>VLOOKUP('Quick Test Mass Balance Tool'!$K$10&amp;'Quick Test Mass Balance Tool'!$K$12,'Crop parameters'!$C$3:$J$509,4,FALSE)-F201</f>
        <v>-85.039999999949245</v>
      </c>
      <c r="I201" s="47" t="str">
        <f t="shared" si="11"/>
        <v/>
      </c>
      <c r="J201" s="1" t="str">
        <f t="shared" si="10"/>
        <v/>
      </c>
      <c r="K201" s="1">
        <f>IF(_xlfn.DAYS('Quick Test Mass Balance Tool'!$O$10,'Quick Test Mass Balance Tool'!$K$11)='Crop N Graphing'!A201,'Crop N Graphing'!F201,-50)</f>
        <v>-50</v>
      </c>
      <c r="L201" s="1">
        <f>IF('Quick Test Mass Balance Tool'!$X$15='Crop N Graphing'!A201,'Crop N Graphing'!F201,-50)</f>
        <v>-50</v>
      </c>
    </row>
    <row r="202" spans="1:12" x14ac:dyDescent="0.25">
      <c r="A202" s="1">
        <v>199</v>
      </c>
      <c r="B202" s="1">
        <f>VLOOKUP('Quick Test Mass Balance Tool'!$K$10&amp;'Quick Test Mass Balance Tool'!$K$12,'Crop parameters'!$C$3:$J$509,5,FALSE)</f>
        <v>0.17233999999999999</v>
      </c>
      <c r="C202" s="33">
        <f>VLOOKUP('Quick Test Mass Balance Tool'!$K$10&amp;'Quick Test Mass Balance Tool'!$K$12,'Crop parameters'!$C$3:$J$509,6,FALSE)</f>
        <v>29.87</v>
      </c>
      <c r="D202" s="1">
        <f>VLOOKUP('Quick Test Mass Balance Tool'!$K$10&amp;'Quick Test Mass Balance Tool'!$K$12,'Crop parameters'!$C$3:$J$509,7,FALSE)</f>
        <v>194.6</v>
      </c>
      <c r="E202" s="1">
        <f>VLOOKUP('Quick Test Mass Balance Tool'!$K$10&amp;'Quick Test Mass Balance Tool'!$K$12,'Crop parameters'!$C$3:$J$509,8,FALSE)</f>
        <v>-1.1850000000000001</v>
      </c>
      <c r="F202" s="1">
        <f t="shared" si="9"/>
        <v>193.4149999999573</v>
      </c>
      <c r="G202" s="4">
        <f>VLOOKUP('Quick Test Mass Balance Tool'!$K$10&amp;'Quick Test Mass Balance Tool'!$K$12,'Crop parameters'!$C$3:$J$509,4,FALSE)-F202</f>
        <v>-85.039999999957288</v>
      </c>
      <c r="I202" s="47" t="str">
        <f t="shared" si="11"/>
        <v/>
      </c>
      <c r="J202" s="1" t="str">
        <f t="shared" si="10"/>
        <v/>
      </c>
      <c r="K202" s="1">
        <f>IF(_xlfn.DAYS('Quick Test Mass Balance Tool'!$O$10,'Quick Test Mass Balance Tool'!$K$11)='Crop N Graphing'!A202,'Crop N Graphing'!F202,-50)</f>
        <v>-50</v>
      </c>
      <c r="L202" s="1">
        <f>IF('Quick Test Mass Balance Tool'!$X$15='Crop N Graphing'!A202,'Crop N Graphing'!F202,-50)</f>
        <v>-50</v>
      </c>
    </row>
    <row r="203" spans="1:12" x14ac:dyDescent="0.25">
      <c r="A203" s="1">
        <v>200</v>
      </c>
      <c r="B203" s="1">
        <f>VLOOKUP('Quick Test Mass Balance Tool'!$K$10&amp;'Quick Test Mass Balance Tool'!$K$12,'Crop parameters'!$C$3:$J$509,5,FALSE)</f>
        <v>0.17233999999999999</v>
      </c>
      <c r="C203" s="33">
        <f>VLOOKUP('Quick Test Mass Balance Tool'!$K$10&amp;'Quick Test Mass Balance Tool'!$K$12,'Crop parameters'!$C$3:$J$509,6,FALSE)</f>
        <v>29.87</v>
      </c>
      <c r="D203" s="1">
        <f>VLOOKUP('Quick Test Mass Balance Tool'!$K$10&amp;'Quick Test Mass Balance Tool'!$K$12,'Crop parameters'!$C$3:$J$509,7,FALSE)</f>
        <v>194.6</v>
      </c>
      <c r="E203" s="1">
        <f>VLOOKUP('Quick Test Mass Balance Tool'!$K$10&amp;'Quick Test Mass Balance Tool'!$K$12,'Crop parameters'!$C$3:$J$509,8,FALSE)</f>
        <v>-1.1850000000000001</v>
      </c>
      <c r="F203" s="1">
        <f t="shared" si="9"/>
        <v>193.41499999996404</v>
      </c>
      <c r="G203" s="4">
        <f>VLOOKUP('Quick Test Mass Balance Tool'!$K$10&amp;'Quick Test Mass Balance Tool'!$K$12,'Crop parameters'!$C$3:$J$509,4,FALSE)-F203</f>
        <v>-85.039999999964024</v>
      </c>
      <c r="I203" s="47" t="str">
        <f t="shared" si="11"/>
        <v/>
      </c>
      <c r="J203" s="1" t="str">
        <f t="shared" si="10"/>
        <v/>
      </c>
      <c r="K203" s="1">
        <f>IF(_xlfn.DAYS('Quick Test Mass Balance Tool'!$O$10,'Quick Test Mass Balance Tool'!$K$11)='Crop N Graphing'!A203,'Crop N Graphing'!F203,-50)</f>
        <v>-50</v>
      </c>
      <c r="L203" s="1">
        <f>IF('Quick Test Mass Balance Tool'!$X$15='Crop N Graphing'!A203,'Crop N Graphing'!F203,-50)</f>
        <v>-50</v>
      </c>
    </row>
    <row r="204" spans="1:12" x14ac:dyDescent="0.25">
      <c r="A204" s="55">
        <v>201</v>
      </c>
      <c r="B204" s="55">
        <f>VLOOKUP('Quick Test Mass Balance Tool'!$K$10&amp;'Quick Test Mass Balance Tool'!$K$12,'Crop parameters'!$C$3:$J$509,5,FALSE)</f>
        <v>0.17233999999999999</v>
      </c>
      <c r="C204" s="33">
        <f>VLOOKUP('Quick Test Mass Balance Tool'!$K$10&amp;'Quick Test Mass Balance Tool'!$K$12,'Crop parameters'!$C$3:$J$509,6,FALSE)</f>
        <v>29.87</v>
      </c>
      <c r="D204" s="55">
        <f>VLOOKUP('Quick Test Mass Balance Tool'!$K$10&amp;'Quick Test Mass Balance Tool'!$K$12,'Crop parameters'!$C$3:$J$509,7,FALSE)</f>
        <v>194.6</v>
      </c>
      <c r="E204" s="55">
        <f>VLOOKUP('Quick Test Mass Balance Tool'!$K$10&amp;'Quick Test Mass Balance Tool'!$K$12,'Crop parameters'!$C$3:$J$509,8,FALSE)</f>
        <v>-1.1850000000000001</v>
      </c>
      <c r="F204" s="55">
        <f t="shared" ref="F204:F267" si="12">IF((E204+D204/(1+EXP(-B204*(A204-C204))))&lt;0,0,E204+D204/(1+EXP(-B204*(A204-C204))))</f>
        <v>193.41499999996975</v>
      </c>
      <c r="G204" s="4">
        <f>VLOOKUP('Quick Test Mass Balance Tool'!$K$10&amp;'Quick Test Mass Balance Tool'!$K$12,'Crop parameters'!$C$3:$J$509,4,FALSE)-F204</f>
        <v>-85.039999999969737</v>
      </c>
      <c r="I204" s="54" t="str">
        <f t="shared" ref="I204:I249" si="13">IF(ISNUMBER(J204),A204,"")</f>
        <v/>
      </c>
      <c r="J204" s="55" t="str">
        <f t="shared" ref="J204:J253" si="14">IF(G204&lt;0,"",F204)</f>
        <v/>
      </c>
      <c r="K204" s="55">
        <f>IF(_xlfn.DAYS('Quick Test Mass Balance Tool'!$O$10,'Quick Test Mass Balance Tool'!$K$11)='Crop N Graphing'!A204,'Crop N Graphing'!F204,-50)</f>
        <v>-50</v>
      </c>
      <c r="L204" s="55">
        <f>IF('Quick Test Mass Balance Tool'!$X$15='Crop N Graphing'!A204,'Crop N Graphing'!F204,-50)</f>
        <v>-50</v>
      </c>
    </row>
    <row r="205" spans="1:12" x14ac:dyDescent="0.25">
      <c r="A205" s="55">
        <v>202</v>
      </c>
      <c r="B205" s="55">
        <f>VLOOKUP('Quick Test Mass Balance Tool'!$K$10&amp;'Quick Test Mass Balance Tool'!$K$12,'Crop parameters'!$C$3:$J$509,5,FALSE)</f>
        <v>0.17233999999999999</v>
      </c>
      <c r="C205" s="33">
        <f>VLOOKUP('Quick Test Mass Balance Tool'!$K$10&amp;'Quick Test Mass Balance Tool'!$K$12,'Crop parameters'!$C$3:$J$509,6,FALSE)</f>
        <v>29.87</v>
      </c>
      <c r="D205" s="55">
        <f>VLOOKUP('Quick Test Mass Balance Tool'!$K$10&amp;'Quick Test Mass Balance Tool'!$K$12,'Crop parameters'!$C$3:$J$509,7,FALSE)</f>
        <v>194.6</v>
      </c>
      <c r="E205" s="55">
        <f>VLOOKUP('Quick Test Mass Balance Tool'!$K$10&amp;'Quick Test Mass Balance Tool'!$K$12,'Crop parameters'!$C$3:$J$509,8,FALSE)</f>
        <v>-1.1850000000000001</v>
      </c>
      <c r="F205" s="55">
        <f t="shared" si="12"/>
        <v>193.41499999997455</v>
      </c>
      <c r="G205" s="4">
        <f>VLOOKUP('Quick Test Mass Balance Tool'!$K$10&amp;'Quick Test Mass Balance Tool'!$K$12,'Crop parameters'!$C$3:$J$509,4,FALSE)-F205</f>
        <v>-85.03999999997454</v>
      </c>
      <c r="I205" s="54" t="str">
        <f t="shared" si="13"/>
        <v/>
      </c>
      <c r="J205" s="55" t="str">
        <f t="shared" si="14"/>
        <v/>
      </c>
      <c r="K205" s="55">
        <f>IF(_xlfn.DAYS('Quick Test Mass Balance Tool'!$O$10,'Quick Test Mass Balance Tool'!$K$11)='Crop N Graphing'!A205,'Crop N Graphing'!F205,-50)</f>
        <v>-50</v>
      </c>
      <c r="L205" s="55">
        <f>IF('Quick Test Mass Balance Tool'!$X$15='Crop N Graphing'!A205,'Crop N Graphing'!F205,-50)</f>
        <v>-50</v>
      </c>
    </row>
    <row r="206" spans="1:12" x14ac:dyDescent="0.25">
      <c r="A206" s="55">
        <v>203</v>
      </c>
      <c r="B206" s="55">
        <f>VLOOKUP('Quick Test Mass Balance Tool'!$K$10&amp;'Quick Test Mass Balance Tool'!$K$12,'Crop parameters'!$C$3:$J$509,5,FALSE)</f>
        <v>0.17233999999999999</v>
      </c>
      <c r="C206" s="33">
        <f>VLOOKUP('Quick Test Mass Balance Tool'!$K$10&amp;'Quick Test Mass Balance Tool'!$K$12,'Crop parameters'!$C$3:$J$509,6,FALSE)</f>
        <v>29.87</v>
      </c>
      <c r="D206" s="55">
        <f>VLOOKUP('Quick Test Mass Balance Tool'!$K$10&amp;'Quick Test Mass Balance Tool'!$K$12,'Crop parameters'!$C$3:$J$509,7,FALSE)</f>
        <v>194.6</v>
      </c>
      <c r="E206" s="55">
        <f>VLOOKUP('Quick Test Mass Balance Tool'!$K$10&amp;'Quick Test Mass Balance Tool'!$K$12,'Crop parameters'!$C$3:$J$509,8,FALSE)</f>
        <v>-1.1850000000000001</v>
      </c>
      <c r="F206" s="55">
        <f t="shared" si="12"/>
        <v>193.41499999997856</v>
      </c>
      <c r="G206" s="4">
        <f>VLOOKUP('Quick Test Mass Balance Tool'!$K$10&amp;'Quick Test Mass Balance Tool'!$K$12,'Crop parameters'!$C$3:$J$509,4,FALSE)-F206</f>
        <v>-85.039999999978548</v>
      </c>
      <c r="I206" s="54" t="str">
        <f t="shared" si="13"/>
        <v/>
      </c>
      <c r="J206" s="55" t="str">
        <f t="shared" si="14"/>
        <v/>
      </c>
      <c r="K206" s="55">
        <f>IF(_xlfn.DAYS('Quick Test Mass Balance Tool'!$O$10,'Quick Test Mass Balance Tool'!$K$11)='Crop N Graphing'!A206,'Crop N Graphing'!F206,-50)</f>
        <v>-50</v>
      </c>
      <c r="L206" s="55">
        <f>IF('Quick Test Mass Balance Tool'!$X$15='Crop N Graphing'!A206,'Crop N Graphing'!F206,-50)</f>
        <v>-50</v>
      </c>
    </row>
    <row r="207" spans="1:12" x14ac:dyDescent="0.25">
      <c r="A207" s="55">
        <v>204</v>
      </c>
      <c r="B207" s="55">
        <f>VLOOKUP('Quick Test Mass Balance Tool'!$K$10&amp;'Quick Test Mass Balance Tool'!$K$12,'Crop parameters'!$C$3:$J$509,5,FALSE)</f>
        <v>0.17233999999999999</v>
      </c>
      <c r="C207" s="33">
        <f>VLOOKUP('Quick Test Mass Balance Tool'!$K$10&amp;'Quick Test Mass Balance Tool'!$K$12,'Crop parameters'!$C$3:$J$509,6,FALSE)</f>
        <v>29.87</v>
      </c>
      <c r="D207" s="55">
        <f>VLOOKUP('Quick Test Mass Balance Tool'!$K$10&amp;'Quick Test Mass Balance Tool'!$K$12,'Crop parameters'!$C$3:$J$509,7,FALSE)</f>
        <v>194.6</v>
      </c>
      <c r="E207" s="55">
        <f>VLOOKUP('Quick Test Mass Balance Tool'!$K$10&amp;'Quick Test Mass Balance Tool'!$K$12,'Crop parameters'!$C$3:$J$509,8,FALSE)</f>
        <v>-1.1850000000000001</v>
      </c>
      <c r="F207" s="55">
        <f t="shared" si="12"/>
        <v>193.41499999998197</v>
      </c>
      <c r="G207" s="4">
        <f>VLOOKUP('Quick Test Mass Balance Tool'!$K$10&amp;'Quick Test Mass Balance Tool'!$K$12,'Crop parameters'!$C$3:$J$509,4,FALSE)-F207</f>
        <v>-85.039999999981958</v>
      </c>
      <c r="I207" s="54" t="str">
        <f t="shared" si="13"/>
        <v/>
      </c>
      <c r="J207" s="55" t="str">
        <f t="shared" si="14"/>
        <v/>
      </c>
      <c r="K207" s="55">
        <f>IF(_xlfn.DAYS('Quick Test Mass Balance Tool'!$O$10,'Quick Test Mass Balance Tool'!$K$11)='Crop N Graphing'!A207,'Crop N Graphing'!F207,-50)</f>
        <v>-50</v>
      </c>
      <c r="L207" s="55">
        <f>IF('Quick Test Mass Balance Tool'!$X$15='Crop N Graphing'!A207,'Crop N Graphing'!F207,-50)</f>
        <v>-50</v>
      </c>
    </row>
    <row r="208" spans="1:12" x14ac:dyDescent="0.25">
      <c r="A208" s="55">
        <v>205</v>
      </c>
      <c r="B208" s="55">
        <f>VLOOKUP('Quick Test Mass Balance Tool'!$K$10&amp;'Quick Test Mass Balance Tool'!$K$12,'Crop parameters'!$C$3:$J$509,5,FALSE)</f>
        <v>0.17233999999999999</v>
      </c>
      <c r="C208" s="33">
        <f>VLOOKUP('Quick Test Mass Balance Tool'!$K$10&amp;'Quick Test Mass Balance Tool'!$K$12,'Crop parameters'!$C$3:$J$509,6,FALSE)</f>
        <v>29.87</v>
      </c>
      <c r="D208" s="55">
        <f>VLOOKUP('Quick Test Mass Balance Tool'!$K$10&amp;'Quick Test Mass Balance Tool'!$K$12,'Crop parameters'!$C$3:$J$509,7,FALSE)</f>
        <v>194.6</v>
      </c>
      <c r="E208" s="55">
        <f>VLOOKUP('Quick Test Mass Balance Tool'!$K$10&amp;'Quick Test Mass Balance Tool'!$K$12,'Crop parameters'!$C$3:$J$509,8,FALSE)</f>
        <v>-1.1850000000000001</v>
      </c>
      <c r="F208" s="55">
        <f t="shared" si="12"/>
        <v>193.41499999998481</v>
      </c>
      <c r="G208" s="4">
        <f>VLOOKUP('Quick Test Mass Balance Tool'!$K$10&amp;'Quick Test Mass Balance Tool'!$K$12,'Crop parameters'!$C$3:$J$509,4,FALSE)-F208</f>
        <v>-85.039999999984801</v>
      </c>
      <c r="I208" s="54" t="str">
        <f t="shared" si="13"/>
        <v/>
      </c>
      <c r="J208" s="55" t="str">
        <f t="shared" si="14"/>
        <v/>
      </c>
      <c r="K208" s="55">
        <f>IF(_xlfn.DAYS('Quick Test Mass Balance Tool'!$O$10,'Quick Test Mass Balance Tool'!$K$11)='Crop N Graphing'!A208,'Crop N Graphing'!F208,-50)</f>
        <v>-50</v>
      </c>
      <c r="L208" s="55">
        <f>IF('Quick Test Mass Balance Tool'!$X$15='Crop N Graphing'!A208,'Crop N Graphing'!F208,-50)</f>
        <v>-50</v>
      </c>
    </row>
    <row r="209" spans="1:12" x14ac:dyDescent="0.25">
      <c r="A209" s="55">
        <v>206</v>
      </c>
      <c r="B209" s="55">
        <f>VLOOKUP('Quick Test Mass Balance Tool'!$K$10&amp;'Quick Test Mass Balance Tool'!$K$12,'Crop parameters'!$C$3:$J$509,5,FALSE)</f>
        <v>0.17233999999999999</v>
      </c>
      <c r="C209" s="33">
        <f>VLOOKUP('Quick Test Mass Balance Tool'!$K$10&amp;'Quick Test Mass Balance Tool'!$K$12,'Crop parameters'!$C$3:$J$509,6,FALSE)</f>
        <v>29.87</v>
      </c>
      <c r="D209" s="55">
        <f>VLOOKUP('Quick Test Mass Balance Tool'!$K$10&amp;'Quick Test Mass Balance Tool'!$K$12,'Crop parameters'!$C$3:$J$509,7,FALSE)</f>
        <v>194.6</v>
      </c>
      <c r="E209" s="55">
        <f>VLOOKUP('Quick Test Mass Balance Tool'!$K$10&amp;'Quick Test Mass Balance Tool'!$K$12,'Crop parameters'!$C$3:$J$509,8,FALSE)</f>
        <v>-1.1850000000000001</v>
      </c>
      <c r="F209" s="55">
        <f t="shared" si="12"/>
        <v>193.4149999999872</v>
      </c>
      <c r="G209" s="4">
        <f>VLOOKUP('Quick Test Mass Balance Tool'!$K$10&amp;'Quick Test Mass Balance Tool'!$K$12,'Crop parameters'!$C$3:$J$509,4,FALSE)-F209</f>
        <v>-85.039999999987188</v>
      </c>
      <c r="I209" s="54" t="str">
        <f t="shared" si="13"/>
        <v/>
      </c>
      <c r="J209" s="55" t="str">
        <f t="shared" si="14"/>
        <v/>
      </c>
      <c r="K209" s="55">
        <f>IF(_xlfn.DAYS('Quick Test Mass Balance Tool'!$O$10,'Quick Test Mass Balance Tool'!$K$11)='Crop N Graphing'!A209,'Crop N Graphing'!F209,-50)</f>
        <v>-50</v>
      </c>
      <c r="L209" s="55">
        <f>IF('Quick Test Mass Balance Tool'!$X$15='Crop N Graphing'!A209,'Crop N Graphing'!F209,-50)</f>
        <v>-50</v>
      </c>
    </row>
    <row r="210" spans="1:12" x14ac:dyDescent="0.25">
      <c r="A210" s="55">
        <v>207</v>
      </c>
      <c r="B210" s="55">
        <f>VLOOKUP('Quick Test Mass Balance Tool'!$K$10&amp;'Quick Test Mass Balance Tool'!$K$12,'Crop parameters'!$C$3:$J$509,5,FALSE)</f>
        <v>0.17233999999999999</v>
      </c>
      <c r="C210" s="33">
        <f>VLOOKUP('Quick Test Mass Balance Tool'!$K$10&amp;'Quick Test Mass Balance Tool'!$K$12,'Crop parameters'!$C$3:$J$509,6,FALSE)</f>
        <v>29.87</v>
      </c>
      <c r="D210" s="55">
        <f>VLOOKUP('Quick Test Mass Balance Tool'!$K$10&amp;'Quick Test Mass Balance Tool'!$K$12,'Crop parameters'!$C$3:$J$509,7,FALSE)</f>
        <v>194.6</v>
      </c>
      <c r="E210" s="55">
        <f>VLOOKUP('Quick Test Mass Balance Tool'!$K$10&amp;'Quick Test Mass Balance Tool'!$K$12,'Crop parameters'!$C$3:$J$509,8,FALSE)</f>
        <v>-1.1850000000000001</v>
      </c>
      <c r="F210" s="55">
        <f t="shared" si="12"/>
        <v>193.41499999998922</v>
      </c>
      <c r="G210" s="4">
        <f>VLOOKUP('Quick Test Mass Balance Tool'!$K$10&amp;'Quick Test Mass Balance Tool'!$K$12,'Crop parameters'!$C$3:$J$509,4,FALSE)-F210</f>
        <v>-85.039999999989206</v>
      </c>
      <c r="I210" s="54" t="str">
        <f t="shared" si="13"/>
        <v/>
      </c>
      <c r="J210" s="55" t="str">
        <f t="shared" si="14"/>
        <v/>
      </c>
      <c r="K210" s="55">
        <f>IF(_xlfn.DAYS('Quick Test Mass Balance Tool'!$O$10,'Quick Test Mass Balance Tool'!$K$11)='Crop N Graphing'!A210,'Crop N Graphing'!F210,-50)</f>
        <v>-50</v>
      </c>
      <c r="L210" s="55">
        <f>IF('Quick Test Mass Balance Tool'!$X$15='Crop N Graphing'!A210,'Crop N Graphing'!F210,-50)</f>
        <v>-50</v>
      </c>
    </row>
    <row r="211" spans="1:12" x14ac:dyDescent="0.25">
      <c r="A211" s="55">
        <v>208</v>
      </c>
      <c r="B211" s="55">
        <f>VLOOKUP('Quick Test Mass Balance Tool'!$K$10&amp;'Quick Test Mass Balance Tool'!$K$12,'Crop parameters'!$C$3:$J$509,5,FALSE)</f>
        <v>0.17233999999999999</v>
      </c>
      <c r="C211" s="33">
        <f>VLOOKUP('Quick Test Mass Balance Tool'!$K$10&amp;'Quick Test Mass Balance Tool'!$K$12,'Crop parameters'!$C$3:$J$509,6,FALSE)</f>
        <v>29.87</v>
      </c>
      <c r="D211" s="55">
        <f>VLOOKUP('Quick Test Mass Balance Tool'!$K$10&amp;'Quick Test Mass Balance Tool'!$K$12,'Crop parameters'!$C$3:$J$509,7,FALSE)</f>
        <v>194.6</v>
      </c>
      <c r="E211" s="55">
        <f>VLOOKUP('Quick Test Mass Balance Tool'!$K$10&amp;'Quick Test Mass Balance Tool'!$K$12,'Crop parameters'!$C$3:$J$509,8,FALSE)</f>
        <v>-1.1850000000000001</v>
      </c>
      <c r="F211" s="55">
        <f t="shared" si="12"/>
        <v>193.41499999999093</v>
      </c>
      <c r="G211" s="4">
        <f>VLOOKUP('Quick Test Mass Balance Tool'!$K$10&amp;'Quick Test Mass Balance Tool'!$K$12,'Crop parameters'!$C$3:$J$509,4,FALSE)-F211</f>
        <v>-85.039999999990911</v>
      </c>
      <c r="I211" s="54" t="str">
        <f t="shared" si="13"/>
        <v/>
      </c>
      <c r="J211" s="55" t="str">
        <f t="shared" si="14"/>
        <v/>
      </c>
      <c r="K211" s="55">
        <f>IF(_xlfn.DAYS('Quick Test Mass Balance Tool'!$O$10,'Quick Test Mass Balance Tool'!$K$11)='Crop N Graphing'!A211,'Crop N Graphing'!F211,-50)</f>
        <v>-50</v>
      </c>
      <c r="L211" s="55">
        <f>IF('Quick Test Mass Balance Tool'!$X$15='Crop N Graphing'!A211,'Crop N Graphing'!F211,-50)</f>
        <v>-50</v>
      </c>
    </row>
    <row r="212" spans="1:12" x14ac:dyDescent="0.25">
      <c r="A212" s="55">
        <v>209</v>
      </c>
      <c r="B212" s="55">
        <f>VLOOKUP('Quick Test Mass Balance Tool'!$K$10&amp;'Quick Test Mass Balance Tool'!$K$12,'Crop parameters'!$C$3:$J$509,5,FALSE)</f>
        <v>0.17233999999999999</v>
      </c>
      <c r="C212" s="33">
        <f>VLOOKUP('Quick Test Mass Balance Tool'!$K$10&amp;'Quick Test Mass Balance Tool'!$K$12,'Crop parameters'!$C$3:$J$509,6,FALSE)</f>
        <v>29.87</v>
      </c>
      <c r="D212" s="55">
        <f>VLOOKUP('Quick Test Mass Balance Tool'!$K$10&amp;'Quick Test Mass Balance Tool'!$K$12,'Crop parameters'!$C$3:$J$509,7,FALSE)</f>
        <v>194.6</v>
      </c>
      <c r="E212" s="55">
        <f>VLOOKUP('Quick Test Mass Balance Tool'!$K$10&amp;'Quick Test Mass Balance Tool'!$K$12,'Crop parameters'!$C$3:$J$509,8,FALSE)</f>
        <v>-1.1850000000000001</v>
      </c>
      <c r="F212" s="55">
        <f t="shared" si="12"/>
        <v>193.41499999999238</v>
      </c>
      <c r="G212" s="4">
        <f>VLOOKUP('Quick Test Mass Balance Tool'!$K$10&amp;'Quick Test Mass Balance Tool'!$K$12,'Crop parameters'!$C$3:$J$509,4,FALSE)-F212</f>
        <v>-85.039999999992361</v>
      </c>
      <c r="I212" s="54" t="str">
        <f t="shared" si="13"/>
        <v/>
      </c>
      <c r="J212" s="55" t="str">
        <f t="shared" si="14"/>
        <v/>
      </c>
      <c r="K212" s="55">
        <f>IF(_xlfn.DAYS('Quick Test Mass Balance Tool'!$O$10,'Quick Test Mass Balance Tool'!$K$11)='Crop N Graphing'!A212,'Crop N Graphing'!F212,-50)</f>
        <v>-50</v>
      </c>
      <c r="L212" s="55">
        <f>IF('Quick Test Mass Balance Tool'!$X$15='Crop N Graphing'!A212,'Crop N Graphing'!F212,-50)</f>
        <v>-50</v>
      </c>
    </row>
    <row r="213" spans="1:12" x14ac:dyDescent="0.25">
      <c r="A213" s="55">
        <v>210</v>
      </c>
      <c r="B213" s="55">
        <f>VLOOKUP('Quick Test Mass Balance Tool'!$K$10&amp;'Quick Test Mass Balance Tool'!$K$12,'Crop parameters'!$C$3:$J$509,5,FALSE)</f>
        <v>0.17233999999999999</v>
      </c>
      <c r="C213" s="33">
        <f>VLOOKUP('Quick Test Mass Balance Tool'!$K$10&amp;'Quick Test Mass Balance Tool'!$K$12,'Crop parameters'!$C$3:$J$509,6,FALSE)</f>
        <v>29.87</v>
      </c>
      <c r="D213" s="55">
        <f>VLOOKUP('Quick Test Mass Balance Tool'!$K$10&amp;'Quick Test Mass Balance Tool'!$K$12,'Crop parameters'!$C$3:$J$509,7,FALSE)</f>
        <v>194.6</v>
      </c>
      <c r="E213" s="55">
        <f>VLOOKUP('Quick Test Mass Balance Tool'!$K$10&amp;'Quick Test Mass Balance Tool'!$K$12,'Crop parameters'!$C$3:$J$509,8,FALSE)</f>
        <v>-1.1850000000000001</v>
      </c>
      <c r="F213" s="55">
        <f t="shared" si="12"/>
        <v>193.4149999999936</v>
      </c>
      <c r="G213" s="4">
        <f>VLOOKUP('Quick Test Mass Balance Tool'!$K$10&amp;'Quick Test Mass Balance Tool'!$K$12,'Crop parameters'!$C$3:$J$509,4,FALSE)-F213</f>
        <v>-85.039999999993583</v>
      </c>
      <c r="I213" s="54" t="str">
        <f t="shared" si="13"/>
        <v/>
      </c>
      <c r="J213" s="55" t="str">
        <f t="shared" si="14"/>
        <v/>
      </c>
      <c r="K213" s="55">
        <f>IF(_xlfn.DAYS('Quick Test Mass Balance Tool'!$O$10,'Quick Test Mass Balance Tool'!$K$11)='Crop N Graphing'!A213,'Crop N Graphing'!F213,-50)</f>
        <v>-50</v>
      </c>
      <c r="L213" s="55">
        <f>IF('Quick Test Mass Balance Tool'!$X$15='Crop N Graphing'!A213,'Crop N Graphing'!F213,-50)</f>
        <v>-50</v>
      </c>
    </row>
    <row r="214" spans="1:12" x14ac:dyDescent="0.25">
      <c r="A214" s="55">
        <v>211</v>
      </c>
      <c r="B214" s="55">
        <f>VLOOKUP('Quick Test Mass Balance Tool'!$K$10&amp;'Quick Test Mass Balance Tool'!$K$12,'Crop parameters'!$C$3:$J$509,5,FALSE)</f>
        <v>0.17233999999999999</v>
      </c>
      <c r="C214" s="33">
        <f>VLOOKUP('Quick Test Mass Balance Tool'!$K$10&amp;'Quick Test Mass Balance Tool'!$K$12,'Crop parameters'!$C$3:$J$509,6,FALSE)</f>
        <v>29.87</v>
      </c>
      <c r="D214" s="55">
        <f>VLOOKUP('Quick Test Mass Balance Tool'!$K$10&amp;'Quick Test Mass Balance Tool'!$K$12,'Crop parameters'!$C$3:$J$509,7,FALSE)</f>
        <v>194.6</v>
      </c>
      <c r="E214" s="55">
        <f>VLOOKUP('Quick Test Mass Balance Tool'!$K$10&amp;'Quick Test Mass Balance Tool'!$K$12,'Crop parameters'!$C$3:$J$509,8,FALSE)</f>
        <v>-1.1850000000000001</v>
      </c>
      <c r="F214" s="55">
        <f t="shared" si="12"/>
        <v>193.41499999999459</v>
      </c>
      <c r="G214" s="4">
        <f>VLOOKUP('Quick Test Mass Balance Tool'!$K$10&amp;'Quick Test Mass Balance Tool'!$K$12,'Crop parameters'!$C$3:$J$509,4,FALSE)-F214</f>
        <v>-85.039999999994578</v>
      </c>
      <c r="I214" s="54" t="str">
        <f t="shared" si="13"/>
        <v/>
      </c>
      <c r="J214" s="55" t="str">
        <f t="shared" si="14"/>
        <v/>
      </c>
      <c r="K214" s="55">
        <f>IF(_xlfn.DAYS('Quick Test Mass Balance Tool'!$O$10,'Quick Test Mass Balance Tool'!$K$11)='Crop N Graphing'!A214,'Crop N Graphing'!F214,-50)</f>
        <v>-50</v>
      </c>
      <c r="L214" s="55">
        <f>IF('Quick Test Mass Balance Tool'!$X$15='Crop N Graphing'!A214,'Crop N Graphing'!F214,-50)</f>
        <v>-50</v>
      </c>
    </row>
    <row r="215" spans="1:12" x14ac:dyDescent="0.25">
      <c r="A215" s="55">
        <v>212</v>
      </c>
      <c r="B215" s="55">
        <f>VLOOKUP('Quick Test Mass Balance Tool'!$K$10&amp;'Quick Test Mass Balance Tool'!$K$12,'Crop parameters'!$C$3:$J$509,5,FALSE)</f>
        <v>0.17233999999999999</v>
      </c>
      <c r="C215" s="33">
        <f>VLOOKUP('Quick Test Mass Balance Tool'!$K$10&amp;'Quick Test Mass Balance Tool'!$K$12,'Crop parameters'!$C$3:$J$509,6,FALSE)</f>
        <v>29.87</v>
      </c>
      <c r="D215" s="55">
        <f>VLOOKUP('Quick Test Mass Balance Tool'!$K$10&amp;'Quick Test Mass Balance Tool'!$K$12,'Crop parameters'!$C$3:$J$509,7,FALSE)</f>
        <v>194.6</v>
      </c>
      <c r="E215" s="55">
        <f>VLOOKUP('Quick Test Mass Balance Tool'!$K$10&amp;'Quick Test Mass Balance Tool'!$K$12,'Crop parameters'!$C$3:$J$509,8,FALSE)</f>
        <v>-1.1850000000000001</v>
      </c>
      <c r="F215" s="55">
        <f t="shared" si="12"/>
        <v>193.41499999999544</v>
      </c>
      <c r="G215" s="4">
        <f>VLOOKUP('Quick Test Mass Balance Tool'!$K$10&amp;'Quick Test Mass Balance Tool'!$K$12,'Crop parameters'!$C$3:$J$509,4,FALSE)-F215</f>
        <v>-85.03999999999543</v>
      </c>
      <c r="I215" s="54" t="str">
        <f t="shared" si="13"/>
        <v/>
      </c>
      <c r="J215" s="55" t="str">
        <f t="shared" si="14"/>
        <v/>
      </c>
      <c r="K215" s="55">
        <f>IF(_xlfn.DAYS('Quick Test Mass Balance Tool'!$O$10,'Quick Test Mass Balance Tool'!$K$11)='Crop N Graphing'!A215,'Crop N Graphing'!F215,-50)</f>
        <v>-50</v>
      </c>
      <c r="L215" s="55">
        <f>IF('Quick Test Mass Balance Tool'!$X$15='Crop N Graphing'!A215,'Crop N Graphing'!F215,-50)</f>
        <v>-50</v>
      </c>
    </row>
    <row r="216" spans="1:12" x14ac:dyDescent="0.25">
      <c r="A216" s="55">
        <v>213</v>
      </c>
      <c r="B216" s="55">
        <f>VLOOKUP('Quick Test Mass Balance Tool'!$K$10&amp;'Quick Test Mass Balance Tool'!$K$12,'Crop parameters'!$C$3:$J$509,5,FALSE)</f>
        <v>0.17233999999999999</v>
      </c>
      <c r="C216" s="33">
        <f>VLOOKUP('Quick Test Mass Balance Tool'!$K$10&amp;'Quick Test Mass Balance Tool'!$K$12,'Crop parameters'!$C$3:$J$509,6,FALSE)</f>
        <v>29.87</v>
      </c>
      <c r="D216" s="55">
        <f>VLOOKUP('Quick Test Mass Balance Tool'!$K$10&amp;'Quick Test Mass Balance Tool'!$K$12,'Crop parameters'!$C$3:$J$509,7,FALSE)</f>
        <v>194.6</v>
      </c>
      <c r="E216" s="55">
        <f>VLOOKUP('Quick Test Mass Balance Tool'!$K$10&amp;'Quick Test Mass Balance Tool'!$K$12,'Crop parameters'!$C$3:$J$509,8,FALSE)</f>
        <v>-1.1850000000000001</v>
      </c>
      <c r="F216" s="55">
        <f t="shared" si="12"/>
        <v>193.41499999999616</v>
      </c>
      <c r="G216" s="4">
        <f>VLOOKUP('Quick Test Mass Balance Tool'!$K$10&amp;'Quick Test Mass Balance Tool'!$K$12,'Crop parameters'!$C$3:$J$509,4,FALSE)-F216</f>
        <v>-85.039999999996141</v>
      </c>
      <c r="I216" s="54" t="str">
        <f t="shared" si="13"/>
        <v/>
      </c>
      <c r="J216" s="55" t="str">
        <f t="shared" si="14"/>
        <v/>
      </c>
      <c r="K216" s="55">
        <f>IF(_xlfn.DAYS('Quick Test Mass Balance Tool'!$O$10,'Quick Test Mass Balance Tool'!$K$11)='Crop N Graphing'!A216,'Crop N Graphing'!F216,-50)</f>
        <v>-50</v>
      </c>
      <c r="L216" s="55">
        <f>IF('Quick Test Mass Balance Tool'!$X$15='Crop N Graphing'!A216,'Crop N Graphing'!F216,-50)</f>
        <v>-50</v>
      </c>
    </row>
    <row r="217" spans="1:12" x14ac:dyDescent="0.25">
      <c r="A217" s="55">
        <v>214</v>
      </c>
      <c r="B217" s="55">
        <f>VLOOKUP('Quick Test Mass Balance Tool'!$K$10&amp;'Quick Test Mass Balance Tool'!$K$12,'Crop parameters'!$C$3:$J$509,5,FALSE)</f>
        <v>0.17233999999999999</v>
      </c>
      <c r="C217" s="33">
        <f>VLOOKUP('Quick Test Mass Balance Tool'!$K$10&amp;'Quick Test Mass Balance Tool'!$K$12,'Crop parameters'!$C$3:$J$509,6,FALSE)</f>
        <v>29.87</v>
      </c>
      <c r="D217" s="55">
        <f>VLOOKUP('Quick Test Mass Balance Tool'!$K$10&amp;'Quick Test Mass Balance Tool'!$K$12,'Crop parameters'!$C$3:$J$509,7,FALSE)</f>
        <v>194.6</v>
      </c>
      <c r="E217" s="55">
        <f>VLOOKUP('Quick Test Mass Balance Tool'!$K$10&amp;'Quick Test Mass Balance Tool'!$K$12,'Crop parameters'!$C$3:$J$509,8,FALSE)</f>
        <v>-1.1850000000000001</v>
      </c>
      <c r="F217" s="55">
        <f t="shared" si="12"/>
        <v>193.41499999999678</v>
      </c>
      <c r="G217" s="4">
        <f>VLOOKUP('Quick Test Mass Balance Tool'!$K$10&amp;'Quick Test Mass Balance Tool'!$K$12,'Crop parameters'!$C$3:$J$509,4,FALSE)-F217</f>
        <v>-85.039999999996766</v>
      </c>
      <c r="I217" s="54" t="str">
        <f t="shared" si="13"/>
        <v/>
      </c>
      <c r="J217" s="55" t="str">
        <f t="shared" si="14"/>
        <v/>
      </c>
      <c r="K217" s="55">
        <f>IF(_xlfn.DAYS('Quick Test Mass Balance Tool'!$O$10,'Quick Test Mass Balance Tool'!$K$11)='Crop N Graphing'!A217,'Crop N Graphing'!F217,-50)</f>
        <v>-50</v>
      </c>
      <c r="L217" s="55">
        <f>IF('Quick Test Mass Balance Tool'!$X$15='Crop N Graphing'!A217,'Crop N Graphing'!F217,-50)</f>
        <v>-50</v>
      </c>
    </row>
    <row r="218" spans="1:12" x14ac:dyDescent="0.25">
      <c r="A218" s="55">
        <v>215</v>
      </c>
      <c r="B218" s="55">
        <f>VLOOKUP('Quick Test Mass Balance Tool'!$K$10&amp;'Quick Test Mass Balance Tool'!$K$12,'Crop parameters'!$C$3:$J$509,5,FALSE)</f>
        <v>0.17233999999999999</v>
      </c>
      <c r="C218" s="33">
        <f>VLOOKUP('Quick Test Mass Balance Tool'!$K$10&amp;'Quick Test Mass Balance Tool'!$K$12,'Crop parameters'!$C$3:$J$509,6,FALSE)</f>
        <v>29.87</v>
      </c>
      <c r="D218" s="55">
        <f>VLOOKUP('Quick Test Mass Balance Tool'!$K$10&amp;'Quick Test Mass Balance Tool'!$K$12,'Crop parameters'!$C$3:$J$509,7,FALSE)</f>
        <v>194.6</v>
      </c>
      <c r="E218" s="55">
        <f>VLOOKUP('Quick Test Mass Balance Tool'!$K$10&amp;'Quick Test Mass Balance Tool'!$K$12,'Crop parameters'!$C$3:$J$509,8,FALSE)</f>
        <v>-1.1850000000000001</v>
      </c>
      <c r="F218" s="55">
        <f t="shared" si="12"/>
        <v>193.41499999999726</v>
      </c>
      <c r="G218" s="4">
        <f>VLOOKUP('Quick Test Mass Balance Tool'!$K$10&amp;'Quick Test Mass Balance Tool'!$K$12,'Crop parameters'!$C$3:$J$509,4,FALSE)-F218</f>
        <v>-85.039999999997249</v>
      </c>
      <c r="I218" s="54" t="str">
        <f t="shared" si="13"/>
        <v/>
      </c>
      <c r="J218" s="55" t="str">
        <f t="shared" si="14"/>
        <v/>
      </c>
      <c r="K218" s="55">
        <f>IF(_xlfn.DAYS('Quick Test Mass Balance Tool'!$O$10,'Quick Test Mass Balance Tool'!$K$11)='Crop N Graphing'!A218,'Crop N Graphing'!F218,-50)</f>
        <v>-50</v>
      </c>
      <c r="L218" s="55">
        <f>IF('Quick Test Mass Balance Tool'!$X$15='Crop N Graphing'!A218,'Crop N Graphing'!F218,-50)</f>
        <v>-50</v>
      </c>
    </row>
    <row r="219" spans="1:12" x14ac:dyDescent="0.25">
      <c r="A219" s="55">
        <v>216</v>
      </c>
      <c r="B219" s="55">
        <f>VLOOKUP('Quick Test Mass Balance Tool'!$K$10&amp;'Quick Test Mass Balance Tool'!$K$12,'Crop parameters'!$C$3:$J$509,5,FALSE)</f>
        <v>0.17233999999999999</v>
      </c>
      <c r="C219" s="33">
        <f>VLOOKUP('Quick Test Mass Balance Tool'!$K$10&amp;'Quick Test Mass Balance Tool'!$K$12,'Crop parameters'!$C$3:$J$509,6,FALSE)</f>
        <v>29.87</v>
      </c>
      <c r="D219" s="55">
        <f>VLOOKUP('Quick Test Mass Balance Tool'!$K$10&amp;'Quick Test Mass Balance Tool'!$K$12,'Crop parameters'!$C$3:$J$509,7,FALSE)</f>
        <v>194.6</v>
      </c>
      <c r="E219" s="55">
        <f>VLOOKUP('Quick Test Mass Balance Tool'!$K$10&amp;'Quick Test Mass Balance Tool'!$K$12,'Crop parameters'!$C$3:$J$509,8,FALSE)</f>
        <v>-1.1850000000000001</v>
      </c>
      <c r="F219" s="55">
        <f t="shared" si="12"/>
        <v>193.41499999999769</v>
      </c>
      <c r="G219" s="4">
        <f>VLOOKUP('Quick Test Mass Balance Tool'!$K$10&amp;'Quick Test Mass Balance Tool'!$K$12,'Crop parameters'!$C$3:$J$509,4,FALSE)-F219</f>
        <v>-85.039999999997676</v>
      </c>
      <c r="I219" s="54" t="str">
        <f t="shared" si="13"/>
        <v/>
      </c>
      <c r="J219" s="55" t="str">
        <f t="shared" si="14"/>
        <v/>
      </c>
      <c r="K219" s="55">
        <f>IF(_xlfn.DAYS('Quick Test Mass Balance Tool'!$O$10,'Quick Test Mass Balance Tool'!$K$11)='Crop N Graphing'!A219,'Crop N Graphing'!F219,-50)</f>
        <v>-50</v>
      </c>
      <c r="L219" s="55">
        <f>IF('Quick Test Mass Balance Tool'!$X$15='Crop N Graphing'!A219,'Crop N Graphing'!F219,-50)</f>
        <v>-50</v>
      </c>
    </row>
    <row r="220" spans="1:12" x14ac:dyDescent="0.25">
      <c r="A220" s="55">
        <v>217</v>
      </c>
      <c r="B220" s="55">
        <f>VLOOKUP('Quick Test Mass Balance Tool'!$K$10&amp;'Quick Test Mass Balance Tool'!$K$12,'Crop parameters'!$C$3:$J$509,5,FALSE)</f>
        <v>0.17233999999999999</v>
      </c>
      <c r="C220" s="33">
        <f>VLOOKUP('Quick Test Mass Balance Tool'!$K$10&amp;'Quick Test Mass Balance Tool'!$K$12,'Crop parameters'!$C$3:$J$509,6,FALSE)</f>
        <v>29.87</v>
      </c>
      <c r="D220" s="55">
        <f>VLOOKUP('Quick Test Mass Balance Tool'!$K$10&amp;'Quick Test Mass Balance Tool'!$K$12,'Crop parameters'!$C$3:$J$509,7,FALSE)</f>
        <v>194.6</v>
      </c>
      <c r="E220" s="55">
        <f>VLOOKUP('Quick Test Mass Balance Tool'!$K$10&amp;'Quick Test Mass Balance Tool'!$K$12,'Crop parameters'!$C$3:$J$509,8,FALSE)</f>
        <v>-1.1850000000000001</v>
      </c>
      <c r="F220" s="55">
        <f t="shared" si="12"/>
        <v>193.41499999999809</v>
      </c>
      <c r="G220" s="4">
        <f>VLOOKUP('Quick Test Mass Balance Tool'!$K$10&amp;'Quick Test Mass Balance Tool'!$K$12,'Crop parameters'!$C$3:$J$509,4,FALSE)-F220</f>
        <v>-85.039999999998074</v>
      </c>
      <c r="I220" s="54" t="str">
        <f t="shared" si="13"/>
        <v/>
      </c>
      <c r="J220" s="55" t="str">
        <f t="shared" si="14"/>
        <v/>
      </c>
      <c r="K220" s="55">
        <f>IF(_xlfn.DAYS('Quick Test Mass Balance Tool'!$O$10,'Quick Test Mass Balance Tool'!$K$11)='Crop N Graphing'!A220,'Crop N Graphing'!F220,-50)</f>
        <v>-50</v>
      </c>
      <c r="L220" s="55">
        <f>IF('Quick Test Mass Balance Tool'!$X$15='Crop N Graphing'!A220,'Crop N Graphing'!F220,-50)</f>
        <v>-50</v>
      </c>
    </row>
    <row r="221" spans="1:12" x14ac:dyDescent="0.25">
      <c r="A221" s="55">
        <v>218</v>
      </c>
      <c r="B221" s="55">
        <f>VLOOKUP('Quick Test Mass Balance Tool'!$K$10&amp;'Quick Test Mass Balance Tool'!$K$12,'Crop parameters'!$C$3:$J$509,5,FALSE)</f>
        <v>0.17233999999999999</v>
      </c>
      <c r="C221" s="33">
        <f>VLOOKUP('Quick Test Mass Balance Tool'!$K$10&amp;'Quick Test Mass Balance Tool'!$K$12,'Crop parameters'!$C$3:$J$509,6,FALSE)</f>
        <v>29.87</v>
      </c>
      <c r="D221" s="55">
        <f>VLOOKUP('Quick Test Mass Balance Tool'!$K$10&amp;'Quick Test Mass Balance Tool'!$K$12,'Crop parameters'!$C$3:$J$509,7,FALSE)</f>
        <v>194.6</v>
      </c>
      <c r="E221" s="55">
        <f>VLOOKUP('Quick Test Mass Balance Tool'!$K$10&amp;'Quick Test Mass Balance Tool'!$K$12,'Crop parameters'!$C$3:$J$509,8,FALSE)</f>
        <v>-1.1850000000000001</v>
      </c>
      <c r="F221" s="55">
        <f t="shared" si="12"/>
        <v>193.4149999999984</v>
      </c>
      <c r="G221" s="4">
        <f>VLOOKUP('Quick Test Mass Balance Tool'!$K$10&amp;'Quick Test Mass Balance Tool'!$K$12,'Crop parameters'!$C$3:$J$509,4,FALSE)-F221</f>
        <v>-85.039999999998386</v>
      </c>
      <c r="I221" s="54" t="str">
        <f t="shared" si="13"/>
        <v/>
      </c>
      <c r="J221" s="55" t="str">
        <f t="shared" si="14"/>
        <v/>
      </c>
      <c r="K221" s="55">
        <f>IF(_xlfn.DAYS('Quick Test Mass Balance Tool'!$O$10,'Quick Test Mass Balance Tool'!$K$11)='Crop N Graphing'!A221,'Crop N Graphing'!F221,-50)</f>
        <v>-50</v>
      </c>
      <c r="L221" s="55">
        <f>IF('Quick Test Mass Balance Tool'!$X$15='Crop N Graphing'!A221,'Crop N Graphing'!F221,-50)</f>
        <v>-50</v>
      </c>
    </row>
    <row r="222" spans="1:12" x14ac:dyDescent="0.25">
      <c r="A222" s="55">
        <v>219</v>
      </c>
      <c r="B222" s="55">
        <f>VLOOKUP('Quick Test Mass Balance Tool'!$K$10&amp;'Quick Test Mass Balance Tool'!$K$12,'Crop parameters'!$C$3:$J$509,5,FALSE)</f>
        <v>0.17233999999999999</v>
      </c>
      <c r="C222" s="33">
        <f>VLOOKUP('Quick Test Mass Balance Tool'!$K$10&amp;'Quick Test Mass Balance Tool'!$K$12,'Crop parameters'!$C$3:$J$509,6,FALSE)</f>
        <v>29.87</v>
      </c>
      <c r="D222" s="55">
        <f>VLOOKUP('Quick Test Mass Balance Tool'!$K$10&amp;'Quick Test Mass Balance Tool'!$K$12,'Crop parameters'!$C$3:$J$509,7,FALSE)</f>
        <v>194.6</v>
      </c>
      <c r="E222" s="55">
        <f>VLOOKUP('Quick Test Mass Balance Tool'!$K$10&amp;'Quick Test Mass Balance Tool'!$K$12,'Crop parameters'!$C$3:$J$509,8,FALSE)</f>
        <v>-1.1850000000000001</v>
      </c>
      <c r="F222" s="55">
        <f t="shared" si="12"/>
        <v>193.41499999999866</v>
      </c>
      <c r="G222" s="4">
        <f>VLOOKUP('Quick Test Mass Balance Tool'!$K$10&amp;'Quick Test Mass Balance Tool'!$K$12,'Crop parameters'!$C$3:$J$509,4,FALSE)-F222</f>
        <v>-85.039999999998642</v>
      </c>
      <c r="I222" s="54" t="str">
        <f t="shared" si="13"/>
        <v/>
      </c>
      <c r="J222" s="55" t="str">
        <f t="shared" si="14"/>
        <v/>
      </c>
      <c r="K222" s="55">
        <f>IF(_xlfn.DAYS('Quick Test Mass Balance Tool'!$O$10,'Quick Test Mass Balance Tool'!$K$11)='Crop N Graphing'!A222,'Crop N Graphing'!F222,-50)</f>
        <v>-50</v>
      </c>
      <c r="L222" s="55">
        <f>IF('Quick Test Mass Balance Tool'!$X$15='Crop N Graphing'!A222,'Crop N Graphing'!F222,-50)</f>
        <v>-50</v>
      </c>
    </row>
    <row r="223" spans="1:12" x14ac:dyDescent="0.25">
      <c r="A223" s="55">
        <v>220</v>
      </c>
      <c r="B223" s="55">
        <f>VLOOKUP('Quick Test Mass Balance Tool'!$K$10&amp;'Quick Test Mass Balance Tool'!$K$12,'Crop parameters'!$C$3:$J$509,5,FALSE)</f>
        <v>0.17233999999999999</v>
      </c>
      <c r="C223" s="33">
        <f>VLOOKUP('Quick Test Mass Balance Tool'!$K$10&amp;'Quick Test Mass Balance Tool'!$K$12,'Crop parameters'!$C$3:$J$509,6,FALSE)</f>
        <v>29.87</v>
      </c>
      <c r="D223" s="55">
        <f>VLOOKUP('Quick Test Mass Balance Tool'!$K$10&amp;'Quick Test Mass Balance Tool'!$K$12,'Crop parameters'!$C$3:$J$509,7,FALSE)</f>
        <v>194.6</v>
      </c>
      <c r="E223" s="55">
        <f>VLOOKUP('Quick Test Mass Balance Tool'!$K$10&amp;'Quick Test Mass Balance Tool'!$K$12,'Crop parameters'!$C$3:$J$509,8,FALSE)</f>
        <v>-1.1850000000000001</v>
      </c>
      <c r="F223" s="55">
        <f t="shared" si="12"/>
        <v>193.41499999999886</v>
      </c>
      <c r="G223" s="4">
        <f>VLOOKUP('Quick Test Mass Balance Tool'!$K$10&amp;'Quick Test Mass Balance Tool'!$K$12,'Crop parameters'!$C$3:$J$509,4,FALSE)-F223</f>
        <v>-85.039999999998841</v>
      </c>
      <c r="I223" s="54" t="str">
        <f t="shared" si="13"/>
        <v/>
      </c>
      <c r="J223" s="55" t="str">
        <f t="shared" si="14"/>
        <v/>
      </c>
      <c r="K223" s="55">
        <f>IF(_xlfn.DAYS('Quick Test Mass Balance Tool'!$O$10,'Quick Test Mass Balance Tool'!$K$11)='Crop N Graphing'!A223,'Crop N Graphing'!F223,-50)</f>
        <v>-50</v>
      </c>
      <c r="L223" s="55">
        <f>IF('Quick Test Mass Balance Tool'!$X$15='Crop N Graphing'!A223,'Crop N Graphing'!F223,-50)</f>
        <v>-50</v>
      </c>
    </row>
    <row r="224" spans="1:12" x14ac:dyDescent="0.25">
      <c r="A224" s="55">
        <v>221</v>
      </c>
      <c r="B224" s="55">
        <f>VLOOKUP('Quick Test Mass Balance Tool'!$K$10&amp;'Quick Test Mass Balance Tool'!$K$12,'Crop parameters'!$C$3:$J$509,5,FALSE)</f>
        <v>0.17233999999999999</v>
      </c>
      <c r="C224" s="33">
        <f>VLOOKUP('Quick Test Mass Balance Tool'!$K$10&amp;'Quick Test Mass Balance Tool'!$K$12,'Crop parameters'!$C$3:$J$509,6,FALSE)</f>
        <v>29.87</v>
      </c>
      <c r="D224" s="55">
        <f>VLOOKUP('Quick Test Mass Balance Tool'!$K$10&amp;'Quick Test Mass Balance Tool'!$K$12,'Crop parameters'!$C$3:$J$509,7,FALSE)</f>
        <v>194.6</v>
      </c>
      <c r="E224" s="55">
        <f>VLOOKUP('Quick Test Mass Balance Tool'!$K$10&amp;'Quick Test Mass Balance Tool'!$K$12,'Crop parameters'!$C$3:$J$509,8,FALSE)</f>
        <v>-1.1850000000000001</v>
      </c>
      <c r="F224" s="55">
        <f t="shared" si="12"/>
        <v>193.41499999999905</v>
      </c>
      <c r="G224" s="4">
        <f>VLOOKUP('Quick Test Mass Balance Tool'!$K$10&amp;'Quick Test Mass Balance Tool'!$K$12,'Crop parameters'!$C$3:$J$509,4,FALSE)-F224</f>
        <v>-85.03999999999904</v>
      </c>
      <c r="I224" s="54" t="str">
        <f t="shared" si="13"/>
        <v/>
      </c>
      <c r="J224" s="55" t="str">
        <f t="shared" si="14"/>
        <v/>
      </c>
      <c r="K224" s="55">
        <f>IF(_xlfn.DAYS('Quick Test Mass Balance Tool'!$O$10,'Quick Test Mass Balance Tool'!$K$11)='Crop N Graphing'!A224,'Crop N Graphing'!F224,-50)</f>
        <v>-50</v>
      </c>
      <c r="L224" s="55">
        <f>IF('Quick Test Mass Balance Tool'!$X$15='Crop N Graphing'!A224,'Crop N Graphing'!F224,-50)</f>
        <v>-50</v>
      </c>
    </row>
    <row r="225" spans="1:12" x14ac:dyDescent="0.25">
      <c r="A225" s="55">
        <v>222</v>
      </c>
      <c r="B225" s="55">
        <f>VLOOKUP('Quick Test Mass Balance Tool'!$K$10&amp;'Quick Test Mass Balance Tool'!$K$12,'Crop parameters'!$C$3:$J$509,5,FALSE)</f>
        <v>0.17233999999999999</v>
      </c>
      <c r="C225" s="33">
        <f>VLOOKUP('Quick Test Mass Balance Tool'!$K$10&amp;'Quick Test Mass Balance Tool'!$K$12,'Crop parameters'!$C$3:$J$509,6,FALSE)</f>
        <v>29.87</v>
      </c>
      <c r="D225" s="55">
        <f>VLOOKUP('Quick Test Mass Balance Tool'!$K$10&amp;'Quick Test Mass Balance Tool'!$K$12,'Crop parameters'!$C$3:$J$509,7,FALSE)</f>
        <v>194.6</v>
      </c>
      <c r="E225" s="55">
        <f>VLOOKUP('Quick Test Mass Balance Tool'!$K$10&amp;'Quick Test Mass Balance Tool'!$K$12,'Crop parameters'!$C$3:$J$509,8,FALSE)</f>
        <v>-1.1850000000000001</v>
      </c>
      <c r="F225" s="55">
        <f t="shared" si="12"/>
        <v>193.41499999999917</v>
      </c>
      <c r="G225" s="4">
        <f>VLOOKUP('Quick Test Mass Balance Tool'!$K$10&amp;'Quick Test Mass Balance Tool'!$K$12,'Crop parameters'!$C$3:$J$509,4,FALSE)-F225</f>
        <v>-85.039999999999154</v>
      </c>
      <c r="I225" s="54" t="str">
        <f t="shared" si="13"/>
        <v/>
      </c>
      <c r="J225" s="55" t="str">
        <f t="shared" si="14"/>
        <v/>
      </c>
      <c r="K225" s="55">
        <f>IF(_xlfn.DAYS('Quick Test Mass Balance Tool'!$O$10,'Quick Test Mass Balance Tool'!$K$11)='Crop N Graphing'!A225,'Crop N Graphing'!F225,-50)</f>
        <v>-50</v>
      </c>
      <c r="L225" s="55">
        <f>IF('Quick Test Mass Balance Tool'!$X$15='Crop N Graphing'!A225,'Crop N Graphing'!F225,-50)</f>
        <v>-50</v>
      </c>
    </row>
    <row r="226" spans="1:12" x14ac:dyDescent="0.25">
      <c r="A226" s="55">
        <v>223</v>
      </c>
      <c r="B226" s="55">
        <f>VLOOKUP('Quick Test Mass Balance Tool'!$K$10&amp;'Quick Test Mass Balance Tool'!$K$12,'Crop parameters'!$C$3:$J$509,5,FALSE)</f>
        <v>0.17233999999999999</v>
      </c>
      <c r="C226" s="33">
        <f>VLOOKUP('Quick Test Mass Balance Tool'!$K$10&amp;'Quick Test Mass Balance Tool'!$K$12,'Crop parameters'!$C$3:$J$509,6,FALSE)</f>
        <v>29.87</v>
      </c>
      <c r="D226" s="55">
        <f>VLOOKUP('Quick Test Mass Balance Tool'!$K$10&amp;'Quick Test Mass Balance Tool'!$K$12,'Crop parameters'!$C$3:$J$509,7,FALSE)</f>
        <v>194.6</v>
      </c>
      <c r="E226" s="55">
        <f>VLOOKUP('Quick Test Mass Balance Tool'!$K$10&amp;'Quick Test Mass Balance Tool'!$K$12,'Crop parameters'!$C$3:$J$509,8,FALSE)</f>
        <v>-1.1850000000000001</v>
      </c>
      <c r="F226" s="55">
        <f t="shared" si="12"/>
        <v>193.41499999999931</v>
      </c>
      <c r="G226" s="4">
        <f>VLOOKUP('Quick Test Mass Balance Tool'!$K$10&amp;'Quick Test Mass Balance Tool'!$K$12,'Crop parameters'!$C$3:$J$509,4,FALSE)-F226</f>
        <v>-85.039999999999296</v>
      </c>
      <c r="I226" s="54" t="str">
        <f t="shared" si="13"/>
        <v/>
      </c>
      <c r="J226" s="55" t="str">
        <f t="shared" si="14"/>
        <v/>
      </c>
      <c r="K226" s="55">
        <f>IF(_xlfn.DAYS('Quick Test Mass Balance Tool'!$O$10,'Quick Test Mass Balance Tool'!$K$11)='Crop N Graphing'!A226,'Crop N Graphing'!F226,-50)</f>
        <v>-50</v>
      </c>
      <c r="L226" s="55">
        <f>IF('Quick Test Mass Balance Tool'!$X$15='Crop N Graphing'!A226,'Crop N Graphing'!F226,-50)</f>
        <v>-50</v>
      </c>
    </row>
    <row r="227" spans="1:12" x14ac:dyDescent="0.25">
      <c r="A227" s="55">
        <v>224</v>
      </c>
      <c r="B227" s="55">
        <f>VLOOKUP('Quick Test Mass Balance Tool'!$K$10&amp;'Quick Test Mass Balance Tool'!$K$12,'Crop parameters'!$C$3:$J$509,5,FALSE)</f>
        <v>0.17233999999999999</v>
      </c>
      <c r="C227" s="33">
        <f>VLOOKUP('Quick Test Mass Balance Tool'!$K$10&amp;'Quick Test Mass Balance Tool'!$K$12,'Crop parameters'!$C$3:$J$509,6,FALSE)</f>
        <v>29.87</v>
      </c>
      <c r="D227" s="55">
        <f>VLOOKUP('Quick Test Mass Balance Tool'!$K$10&amp;'Quick Test Mass Balance Tool'!$K$12,'Crop parameters'!$C$3:$J$509,7,FALSE)</f>
        <v>194.6</v>
      </c>
      <c r="E227" s="55">
        <f>VLOOKUP('Quick Test Mass Balance Tool'!$K$10&amp;'Quick Test Mass Balance Tool'!$K$12,'Crop parameters'!$C$3:$J$509,8,FALSE)</f>
        <v>-1.1850000000000001</v>
      </c>
      <c r="F227" s="55">
        <f t="shared" si="12"/>
        <v>193.41499999999942</v>
      </c>
      <c r="G227" s="4">
        <f>VLOOKUP('Quick Test Mass Balance Tool'!$K$10&amp;'Quick Test Mass Balance Tool'!$K$12,'Crop parameters'!$C$3:$J$509,4,FALSE)-F227</f>
        <v>-85.039999999999409</v>
      </c>
      <c r="I227" s="54" t="str">
        <f t="shared" si="13"/>
        <v/>
      </c>
      <c r="J227" s="55" t="str">
        <f t="shared" si="14"/>
        <v/>
      </c>
      <c r="K227" s="55">
        <f>IF(_xlfn.DAYS('Quick Test Mass Balance Tool'!$O$10,'Quick Test Mass Balance Tool'!$K$11)='Crop N Graphing'!A227,'Crop N Graphing'!F227,-50)</f>
        <v>-50</v>
      </c>
      <c r="L227" s="55">
        <f>IF('Quick Test Mass Balance Tool'!$X$15='Crop N Graphing'!A227,'Crop N Graphing'!F227,-50)</f>
        <v>-50</v>
      </c>
    </row>
    <row r="228" spans="1:12" x14ac:dyDescent="0.25">
      <c r="A228" s="55">
        <v>225</v>
      </c>
      <c r="B228" s="55">
        <f>VLOOKUP('Quick Test Mass Balance Tool'!$K$10&amp;'Quick Test Mass Balance Tool'!$K$12,'Crop parameters'!$C$3:$J$509,5,FALSE)</f>
        <v>0.17233999999999999</v>
      </c>
      <c r="C228" s="33">
        <f>VLOOKUP('Quick Test Mass Balance Tool'!$K$10&amp;'Quick Test Mass Balance Tool'!$K$12,'Crop parameters'!$C$3:$J$509,6,FALSE)</f>
        <v>29.87</v>
      </c>
      <c r="D228" s="55">
        <f>VLOOKUP('Quick Test Mass Balance Tool'!$K$10&amp;'Quick Test Mass Balance Tool'!$K$12,'Crop parameters'!$C$3:$J$509,7,FALSE)</f>
        <v>194.6</v>
      </c>
      <c r="E228" s="55">
        <f>VLOOKUP('Quick Test Mass Balance Tool'!$K$10&amp;'Quick Test Mass Balance Tool'!$K$12,'Crop parameters'!$C$3:$J$509,8,FALSE)</f>
        <v>-1.1850000000000001</v>
      </c>
      <c r="F228" s="55">
        <f t="shared" si="12"/>
        <v>193.41499999999951</v>
      </c>
      <c r="G228" s="4">
        <f>VLOOKUP('Quick Test Mass Balance Tool'!$K$10&amp;'Quick Test Mass Balance Tool'!$K$12,'Crop parameters'!$C$3:$J$509,4,FALSE)-F228</f>
        <v>-85.039999999999495</v>
      </c>
      <c r="I228" s="54" t="str">
        <f t="shared" si="13"/>
        <v/>
      </c>
      <c r="J228" s="55" t="str">
        <f t="shared" si="14"/>
        <v/>
      </c>
      <c r="K228" s="55">
        <f>IF(_xlfn.DAYS('Quick Test Mass Balance Tool'!$O$10,'Quick Test Mass Balance Tool'!$K$11)='Crop N Graphing'!A228,'Crop N Graphing'!F228,-50)</f>
        <v>-50</v>
      </c>
      <c r="L228" s="55">
        <f>IF('Quick Test Mass Balance Tool'!$X$15='Crop N Graphing'!A228,'Crop N Graphing'!F228,-50)</f>
        <v>-50</v>
      </c>
    </row>
    <row r="229" spans="1:12" x14ac:dyDescent="0.25">
      <c r="A229" s="55">
        <v>226</v>
      </c>
      <c r="B229" s="55">
        <f>VLOOKUP('Quick Test Mass Balance Tool'!$K$10&amp;'Quick Test Mass Balance Tool'!$K$12,'Crop parameters'!$C$3:$J$509,5,FALSE)</f>
        <v>0.17233999999999999</v>
      </c>
      <c r="C229" s="33">
        <f>VLOOKUP('Quick Test Mass Balance Tool'!$K$10&amp;'Quick Test Mass Balance Tool'!$K$12,'Crop parameters'!$C$3:$J$509,6,FALSE)</f>
        <v>29.87</v>
      </c>
      <c r="D229" s="55">
        <f>VLOOKUP('Quick Test Mass Balance Tool'!$K$10&amp;'Quick Test Mass Balance Tool'!$K$12,'Crop parameters'!$C$3:$J$509,7,FALSE)</f>
        <v>194.6</v>
      </c>
      <c r="E229" s="55">
        <f>VLOOKUP('Quick Test Mass Balance Tool'!$K$10&amp;'Quick Test Mass Balance Tool'!$K$12,'Crop parameters'!$C$3:$J$509,8,FALSE)</f>
        <v>-1.1850000000000001</v>
      </c>
      <c r="F229" s="55">
        <f t="shared" si="12"/>
        <v>193.41499999999959</v>
      </c>
      <c r="G229" s="4">
        <f>VLOOKUP('Quick Test Mass Balance Tool'!$K$10&amp;'Quick Test Mass Balance Tool'!$K$12,'Crop parameters'!$C$3:$J$509,4,FALSE)-F229</f>
        <v>-85.03999999999958</v>
      </c>
      <c r="I229" s="54" t="str">
        <f t="shared" si="13"/>
        <v/>
      </c>
      <c r="J229" s="55" t="str">
        <f t="shared" si="14"/>
        <v/>
      </c>
      <c r="K229" s="55">
        <f>IF(_xlfn.DAYS('Quick Test Mass Balance Tool'!$O$10,'Quick Test Mass Balance Tool'!$K$11)='Crop N Graphing'!A229,'Crop N Graphing'!F229,-50)</f>
        <v>-50</v>
      </c>
      <c r="L229" s="55">
        <f>IF('Quick Test Mass Balance Tool'!$X$15='Crop N Graphing'!A229,'Crop N Graphing'!F229,-50)</f>
        <v>-50</v>
      </c>
    </row>
    <row r="230" spans="1:12" x14ac:dyDescent="0.25">
      <c r="A230" s="55">
        <v>227</v>
      </c>
      <c r="B230" s="55">
        <f>VLOOKUP('Quick Test Mass Balance Tool'!$K$10&amp;'Quick Test Mass Balance Tool'!$K$12,'Crop parameters'!$C$3:$J$509,5,FALSE)</f>
        <v>0.17233999999999999</v>
      </c>
      <c r="C230" s="33">
        <f>VLOOKUP('Quick Test Mass Balance Tool'!$K$10&amp;'Quick Test Mass Balance Tool'!$K$12,'Crop parameters'!$C$3:$J$509,6,FALSE)</f>
        <v>29.87</v>
      </c>
      <c r="D230" s="55">
        <f>VLOOKUP('Quick Test Mass Balance Tool'!$K$10&amp;'Quick Test Mass Balance Tool'!$K$12,'Crop parameters'!$C$3:$J$509,7,FALSE)</f>
        <v>194.6</v>
      </c>
      <c r="E230" s="55">
        <f>VLOOKUP('Quick Test Mass Balance Tool'!$K$10&amp;'Quick Test Mass Balance Tool'!$K$12,'Crop parameters'!$C$3:$J$509,8,FALSE)</f>
        <v>-1.1850000000000001</v>
      </c>
      <c r="F230" s="55">
        <f t="shared" si="12"/>
        <v>193.41499999999965</v>
      </c>
      <c r="G230" s="4">
        <f>VLOOKUP('Quick Test Mass Balance Tool'!$K$10&amp;'Quick Test Mass Balance Tool'!$K$12,'Crop parameters'!$C$3:$J$509,4,FALSE)-F230</f>
        <v>-85.039999999999637</v>
      </c>
      <c r="I230" s="54" t="str">
        <f t="shared" si="13"/>
        <v/>
      </c>
      <c r="J230" s="55" t="str">
        <f t="shared" si="14"/>
        <v/>
      </c>
      <c r="K230" s="55">
        <f>IF(_xlfn.DAYS('Quick Test Mass Balance Tool'!$O$10,'Quick Test Mass Balance Tool'!$K$11)='Crop N Graphing'!A230,'Crop N Graphing'!F230,-50)</f>
        <v>-50</v>
      </c>
      <c r="L230" s="55">
        <f>IF('Quick Test Mass Balance Tool'!$X$15='Crop N Graphing'!A230,'Crop N Graphing'!F230,-50)</f>
        <v>-50</v>
      </c>
    </row>
    <row r="231" spans="1:12" x14ac:dyDescent="0.25">
      <c r="A231" s="55">
        <v>228</v>
      </c>
      <c r="B231" s="55">
        <f>VLOOKUP('Quick Test Mass Balance Tool'!$K$10&amp;'Quick Test Mass Balance Tool'!$K$12,'Crop parameters'!$C$3:$J$509,5,FALSE)</f>
        <v>0.17233999999999999</v>
      </c>
      <c r="C231" s="33">
        <f>VLOOKUP('Quick Test Mass Balance Tool'!$K$10&amp;'Quick Test Mass Balance Tool'!$K$12,'Crop parameters'!$C$3:$J$509,6,FALSE)</f>
        <v>29.87</v>
      </c>
      <c r="D231" s="55">
        <f>VLOOKUP('Quick Test Mass Balance Tool'!$K$10&amp;'Quick Test Mass Balance Tool'!$K$12,'Crop parameters'!$C$3:$J$509,7,FALSE)</f>
        <v>194.6</v>
      </c>
      <c r="E231" s="55">
        <f>VLOOKUP('Quick Test Mass Balance Tool'!$K$10&amp;'Quick Test Mass Balance Tool'!$K$12,'Crop parameters'!$C$3:$J$509,8,FALSE)</f>
        <v>-1.1850000000000001</v>
      </c>
      <c r="F231" s="55">
        <f t="shared" si="12"/>
        <v>193.41499999999968</v>
      </c>
      <c r="G231" s="4">
        <f>VLOOKUP('Quick Test Mass Balance Tool'!$K$10&amp;'Quick Test Mass Balance Tool'!$K$12,'Crop parameters'!$C$3:$J$509,4,FALSE)-F231</f>
        <v>-85.039999999999665</v>
      </c>
      <c r="I231" s="54" t="str">
        <f t="shared" si="13"/>
        <v/>
      </c>
      <c r="J231" s="55" t="str">
        <f t="shared" si="14"/>
        <v/>
      </c>
      <c r="K231" s="55">
        <f>IF(_xlfn.DAYS('Quick Test Mass Balance Tool'!$O$10,'Quick Test Mass Balance Tool'!$K$11)='Crop N Graphing'!A231,'Crop N Graphing'!F231,-50)</f>
        <v>-50</v>
      </c>
      <c r="L231" s="55">
        <f>IF('Quick Test Mass Balance Tool'!$X$15='Crop N Graphing'!A231,'Crop N Graphing'!F231,-50)</f>
        <v>-50</v>
      </c>
    </row>
    <row r="232" spans="1:12" x14ac:dyDescent="0.25">
      <c r="A232" s="55">
        <v>229</v>
      </c>
      <c r="B232" s="55">
        <f>VLOOKUP('Quick Test Mass Balance Tool'!$K$10&amp;'Quick Test Mass Balance Tool'!$K$12,'Crop parameters'!$C$3:$J$509,5,FALSE)</f>
        <v>0.17233999999999999</v>
      </c>
      <c r="C232" s="33">
        <f>VLOOKUP('Quick Test Mass Balance Tool'!$K$10&amp;'Quick Test Mass Balance Tool'!$K$12,'Crop parameters'!$C$3:$J$509,6,FALSE)</f>
        <v>29.87</v>
      </c>
      <c r="D232" s="55">
        <f>VLOOKUP('Quick Test Mass Balance Tool'!$K$10&amp;'Quick Test Mass Balance Tool'!$K$12,'Crop parameters'!$C$3:$J$509,7,FALSE)</f>
        <v>194.6</v>
      </c>
      <c r="E232" s="55">
        <f>VLOOKUP('Quick Test Mass Balance Tool'!$K$10&amp;'Quick Test Mass Balance Tool'!$K$12,'Crop parameters'!$C$3:$J$509,8,FALSE)</f>
        <v>-1.1850000000000001</v>
      </c>
      <c r="F232" s="55">
        <f t="shared" si="12"/>
        <v>193.41499999999974</v>
      </c>
      <c r="G232" s="4">
        <f>VLOOKUP('Quick Test Mass Balance Tool'!$K$10&amp;'Quick Test Mass Balance Tool'!$K$12,'Crop parameters'!$C$3:$J$509,4,FALSE)-F232</f>
        <v>-85.039999999999722</v>
      </c>
      <c r="I232" s="54" t="str">
        <f t="shared" si="13"/>
        <v/>
      </c>
      <c r="J232" s="55" t="str">
        <f t="shared" si="14"/>
        <v/>
      </c>
      <c r="K232" s="55">
        <f>IF(_xlfn.DAYS('Quick Test Mass Balance Tool'!$O$10,'Quick Test Mass Balance Tool'!$K$11)='Crop N Graphing'!A232,'Crop N Graphing'!F232,-50)</f>
        <v>-50</v>
      </c>
      <c r="L232" s="55">
        <f>IF('Quick Test Mass Balance Tool'!$X$15='Crop N Graphing'!A232,'Crop N Graphing'!F232,-50)</f>
        <v>-50</v>
      </c>
    </row>
    <row r="233" spans="1:12" x14ac:dyDescent="0.25">
      <c r="A233" s="55">
        <v>230</v>
      </c>
      <c r="B233" s="55">
        <f>VLOOKUP('Quick Test Mass Balance Tool'!$K$10&amp;'Quick Test Mass Balance Tool'!$K$12,'Crop parameters'!$C$3:$J$509,5,FALSE)</f>
        <v>0.17233999999999999</v>
      </c>
      <c r="C233" s="33">
        <f>VLOOKUP('Quick Test Mass Balance Tool'!$K$10&amp;'Quick Test Mass Balance Tool'!$K$12,'Crop parameters'!$C$3:$J$509,6,FALSE)</f>
        <v>29.87</v>
      </c>
      <c r="D233" s="55">
        <f>VLOOKUP('Quick Test Mass Balance Tool'!$K$10&amp;'Quick Test Mass Balance Tool'!$K$12,'Crop parameters'!$C$3:$J$509,7,FALSE)</f>
        <v>194.6</v>
      </c>
      <c r="E233" s="55">
        <f>VLOOKUP('Quick Test Mass Balance Tool'!$K$10&amp;'Quick Test Mass Balance Tool'!$K$12,'Crop parameters'!$C$3:$J$509,8,FALSE)</f>
        <v>-1.1850000000000001</v>
      </c>
      <c r="F233" s="55">
        <f t="shared" si="12"/>
        <v>193.41499999999976</v>
      </c>
      <c r="G233" s="4">
        <f>VLOOKUP('Quick Test Mass Balance Tool'!$K$10&amp;'Quick Test Mass Balance Tool'!$K$12,'Crop parameters'!$C$3:$J$509,4,FALSE)-F233</f>
        <v>-85.03999999999975</v>
      </c>
      <c r="I233" s="54" t="str">
        <f t="shared" si="13"/>
        <v/>
      </c>
      <c r="J233" s="55" t="str">
        <f t="shared" si="14"/>
        <v/>
      </c>
      <c r="K233" s="55">
        <f>IF(_xlfn.DAYS('Quick Test Mass Balance Tool'!$O$10,'Quick Test Mass Balance Tool'!$K$11)='Crop N Graphing'!A233,'Crop N Graphing'!F233,-50)</f>
        <v>-50</v>
      </c>
      <c r="L233" s="55">
        <f>IF('Quick Test Mass Balance Tool'!$X$15='Crop N Graphing'!A233,'Crop N Graphing'!F233,-50)</f>
        <v>-50</v>
      </c>
    </row>
    <row r="234" spans="1:12" x14ac:dyDescent="0.25">
      <c r="A234" s="55">
        <v>231</v>
      </c>
      <c r="B234" s="55">
        <f>VLOOKUP('Quick Test Mass Balance Tool'!$K$10&amp;'Quick Test Mass Balance Tool'!$K$12,'Crop parameters'!$C$3:$J$509,5,FALSE)</f>
        <v>0.17233999999999999</v>
      </c>
      <c r="C234" s="33">
        <f>VLOOKUP('Quick Test Mass Balance Tool'!$K$10&amp;'Quick Test Mass Balance Tool'!$K$12,'Crop parameters'!$C$3:$J$509,6,FALSE)</f>
        <v>29.87</v>
      </c>
      <c r="D234" s="55">
        <f>VLOOKUP('Quick Test Mass Balance Tool'!$K$10&amp;'Quick Test Mass Balance Tool'!$K$12,'Crop parameters'!$C$3:$J$509,7,FALSE)</f>
        <v>194.6</v>
      </c>
      <c r="E234" s="55">
        <f>VLOOKUP('Quick Test Mass Balance Tool'!$K$10&amp;'Quick Test Mass Balance Tool'!$K$12,'Crop parameters'!$C$3:$J$509,8,FALSE)</f>
        <v>-1.1850000000000001</v>
      </c>
      <c r="F234" s="55">
        <f t="shared" si="12"/>
        <v>193.41499999999982</v>
      </c>
      <c r="G234" s="4">
        <f>VLOOKUP('Quick Test Mass Balance Tool'!$K$10&amp;'Quick Test Mass Balance Tool'!$K$12,'Crop parameters'!$C$3:$J$509,4,FALSE)-F234</f>
        <v>-85.039999999999807</v>
      </c>
      <c r="I234" s="54" t="str">
        <f t="shared" si="13"/>
        <v/>
      </c>
      <c r="J234" s="55" t="str">
        <f t="shared" si="14"/>
        <v/>
      </c>
      <c r="K234" s="55">
        <f>IF(_xlfn.DAYS('Quick Test Mass Balance Tool'!$O$10,'Quick Test Mass Balance Tool'!$K$11)='Crop N Graphing'!A234,'Crop N Graphing'!F234,-50)</f>
        <v>-50</v>
      </c>
      <c r="L234" s="55">
        <f>IF('Quick Test Mass Balance Tool'!$X$15='Crop N Graphing'!A234,'Crop N Graphing'!F234,-50)</f>
        <v>-50</v>
      </c>
    </row>
    <row r="235" spans="1:12" x14ac:dyDescent="0.25">
      <c r="A235" s="55">
        <v>232</v>
      </c>
      <c r="B235" s="55">
        <f>VLOOKUP('Quick Test Mass Balance Tool'!$K$10&amp;'Quick Test Mass Balance Tool'!$K$12,'Crop parameters'!$C$3:$J$509,5,FALSE)</f>
        <v>0.17233999999999999</v>
      </c>
      <c r="C235" s="33">
        <f>VLOOKUP('Quick Test Mass Balance Tool'!$K$10&amp;'Quick Test Mass Balance Tool'!$K$12,'Crop parameters'!$C$3:$J$509,6,FALSE)</f>
        <v>29.87</v>
      </c>
      <c r="D235" s="55">
        <f>VLOOKUP('Quick Test Mass Balance Tool'!$K$10&amp;'Quick Test Mass Balance Tool'!$K$12,'Crop parameters'!$C$3:$J$509,7,FALSE)</f>
        <v>194.6</v>
      </c>
      <c r="E235" s="55">
        <f>VLOOKUP('Quick Test Mass Balance Tool'!$K$10&amp;'Quick Test Mass Balance Tool'!$K$12,'Crop parameters'!$C$3:$J$509,8,FALSE)</f>
        <v>-1.1850000000000001</v>
      </c>
      <c r="F235" s="55">
        <f t="shared" si="12"/>
        <v>193.41499999999985</v>
      </c>
      <c r="G235" s="4">
        <f>VLOOKUP('Quick Test Mass Balance Tool'!$K$10&amp;'Quick Test Mass Balance Tool'!$K$12,'Crop parameters'!$C$3:$J$509,4,FALSE)-F235</f>
        <v>-85.039999999999836</v>
      </c>
      <c r="I235" s="54" t="str">
        <f t="shared" si="13"/>
        <v/>
      </c>
      <c r="J235" s="55" t="str">
        <f t="shared" si="14"/>
        <v/>
      </c>
      <c r="K235" s="55">
        <f>IF(_xlfn.DAYS('Quick Test Mass Balance Tool'!$O$10,'Quick Test Mass Balance Tool'!$K$11)='Crop N Graphing'!A235,'Crop N Graphing'!F235,-50)</f>
        <v>-50</v>
      </c>
      <c r="L235" s="55">
        <f>IF('Quick Test Mass Balance Tool'!$X$15='Crop N Graphing'!A235,'Crop N Graphing'!F235,-50)</f>
        <v>-50</v>
      </c>
    </row>
    <row r="236" spans="1:12" x14ac:dyDescent="0.25">
      <c r="A236" s="55">
        <v>233</v>
      </c>
      <c r="B236" s="55">
        <f>VLOOKUP('Quick Test Mass Balance Tool'!$K$10&amp;'Quick Test Mass Balance Tool'!$K$12,'Crop parameters'!$C$3:$J$509,5,FALSE)</f>
        <v>0.17233999999999999</v>
      </c>
      <c r="C236" s="33">
        <f>VLOOKUP('Quick Test Mass Balance Tool'!$K$10&amp;'Quick Test Mass Balance Tool'!$K$12,'Crop parameters'!$C$3:$J$509,6,FALSE)</f>
        <v>29.87</v>
      </c>
      <c r="D236" s="55">
        <f>VLOOKUP('Quick Test Mass Balance Tool'!$K$10&amp;'Quick Test Mass Balance Tool'!$K$12,'Crop parameters'!$C$3:$J$509,7,FALSE)</f>
        <v>194.6</v>
      </c>
      <c r="E236" s="55">
        <f>VLOOKUP('Quick Test Mass Balance Tool'!$K$10&amp;'Quick Test Mass Balance Tool'!$K$12,'Crop parameters'!$C$3:$J$509,8,FALSE)</f>
        <v>-1.1850000000000001</v>
      </c>
      <c r="F236" s="55">
        <f t="shared" si="12"/>
        <v>193.41499999999985</v>
      </c>
      <c r="G236" s="4">
        <f>VLOOKUP('Quick Test Mass Balance Tool'!$K$10&amp;'Quick Test Mass Balance Tool'!$K$12,'Crop parameters'!$C$3:$J$509,4,FALSE)-F236</f>
        <v>-85.039999999999836</v>
      </c>
      <c r="I236" s="54" t="str">
        <f t="shared" si="13"/>
        <v/>
      </c>
      <c r="J236" s="55" t="str">
        <f t="shared" si="14"/>
        <v/>
      </c>
      <c r="K236" s="55">
        <f>IF(_xlfn.DAYS('Quick Test Mass Balance Tool'!$O$10,'Quick Test Mass Balance Tool'!$K$11)='Crop N Graphing'!A236,'Crop N Graphing'!F236,-50)</f>
        <v>-50</v>
      </c>
      <c r="L236" s="55">
        <f>IF('Quick Test Mass Balance Tool'!$X$15='Crop N Graphing'!A236,'Crop N Graphing'!F236,-50)</f>
        <v>-50</v>
      </c>
    </row>
    <row r="237" spans="1:12" x14ac:dyDescent="0.25">
      <c r="A237" s="55">
        <v>234</v>
      </c>
      <c r="B237" s="55">
        <f>VLOOKUP('Quick Test Mass Balance Tool'!$K$10&amp;'Quick Test Mass Balance Tool'!$K$12,'Crop parameters'!$C$3:$J$509,5,FALSE)</f>
        <v>0.17233999999999999</v>
      </c>
      <c r="C237" s="33">
        <f>VLOOKUP('Quick Test Mass Balance Tool'!$K$10&amp;'Quick Test Mass Balance Tool'!$K$12,'Crop parameters'!$C$3:$J$509,6,FALSE)</f>
        <v>29.87</v>
      </c>
      <c r="D237" s="55">
        <f>VLOOKUP('Quick Test Mass Balance Tool'!$K$10&amp;'Quick Test Mass Balance Tool'!$K$12,'Crop parameters'!$C$3:$J$509,7,FALSE)</f>
        <v>194.6</v>
      </c>
      <c r="E237" s="55">
        <f>VLOOKUP('Quick Test Mass Balance Tool'!$K$10&amp;'Quick Test Mass Balance Tool'!$K$12,'Crop parameters'!$C$3:$J$509,8,FALSE)</f>
        <v>-1.1850000000000001</v>
      </c>
      <c r="F237" s="55">
        <f t="shared" si="12"/>
        <v>193.41499999999991</v>
      </c>
      <c r="G237" s="4">
        <f>VLOOKUP('Quick Test Mass Balance Tool'!$K$10&amp;'Quick Test Mass Balance Tool'!$K$12,'Crop parameters'!$C$3:$J$509,4,FALSE)-F237</f>
        <v>-85.039999999999893</v>
      </c>
      <c r="I237" s="54" t="str">
        <f t="shared" si="13"/>
        <v/>
      </c>
      <c r="J237" s="55" t="str">
        <f t="shared" si="14"/>
        <v/>
      </c>
      <c r="K237" s="55">
        <f>IF(_xlfn.DAYS('Quick Test Mass Balance Tool'!$O$10,'Quick Test Mass Balance Tool'!$K$11)='Crop N Graphing'!A237,'Crop N Graphing'!F237,-50)</f>
        <v>-50</v>
      </c>
      <c r="L237" s="55">
        <f>IF('Quick Test Mass Balance Tool'!$X$15='Crop N Graphing'!A237,'Crop N Graphing'!F237,-50)</f>
        <v>-50</v>
      </c>
    </row>
    <row r="238" spans="1:12" x14ac:dyDescent="0.25">
      <c r="A238" s="55">
        <v>235</v>
      </c>
      <c r="B238" s="55">
        <f>VLOOKUP('Quick Test Mass Balance Tool'!$K$10&amp;'Quick Test Mass Balance Tool'!$K$12,'Crop parameters'!$C$3:$J$509,5,FALSE)</f>
        <v>0.17233999999999999</v>
      </c>
      <c r="C238" s="33">
        <f>VLOOKUP('Quick Test Mass Balance Tool'!$K$10&amp;'Quick Test Mass Balance Tool'!$K$12,'Crop parameters'!$C$3:$J$509,6,FALSE)</f>
        <v>29.87</v>
      </c>
      <c r="D238" s="55">
        <f>VLOOKUP('Quick Test Mass Balance Tool'!$K$10&amp;'Quick Test Mass Balance Tool'!$K$12,'Crop parameters'!$C$3:$J$509,7,FALSE)</f>
        <v>194.6</v>
      </c>
      <c r="E238" s="55">
        <f>VLOOKUP('Quick Test Mass Balance Tool'!$K$10&amp;'Quick Test Mass Balance Tool'!$K$12,'Crop parameters'!$C$3:$J$509,8,FALSE)</f>
        <v>-1.1850000000000001</v>
      </c>
      <c r="F238" s="55">
        <f t="shared" si="12"/>
        <v>193.41499999999991</v>
      </c>
      <c r="G238" s="4">
        <f>VLOOKUP('Quick Test Mass Balance Tool'!$K$10&amp;'Quick Test Mass Balance Tool'!$K$12,'Crop parameters'!$C$3:$J$509,4,FALSE)-F238</f>
        <v>-85.039999999999893</v>
      </c>
      <c r="I238" s="54" t="str">
        <f t="shared" si="13"/>
        <v/>
      </c>
      <c r="J238" s="55" t="str">
        <f t="shared" si="14"/>
        <v/>
      </c>
      <c r="K238" s="55">
        <f>IF(_xlfn.DAYS('Quick Test Mass Balance Tool'!$O$10,'Quick Test Mass Balance Tool'!$K$11)='Crop N Graphing'!A238,'Crop N Graphing'!F238,-50)</f>
        <v>-50</v>
      </c>
      <c r="L238" s="55">
        <f>IF('Quick Test Mass Balance Tool'!$X$15='Crop N Graphing'!A238,'Crop N Graphing'!F238,-50)</f>
        <v>-50</v>
      </c>
    </row>
    <row r="239" spans="1:12" x14ac:dyDescent="0.25">
      <c r="A239" s="55">
        <v>236</v>
      </c>
      <c r="B239" s="55">
        <f>VLOOKUP('Quick Test Mass Balance Tool'!$K$10&amp;'Quick Test Mass Balance Tool'!$K$12,'Crop parameters'!$C$3:$J$509,5,FALSE)</f>
        <v>0.17233999999999999</v>
      </c>
      <c r="C239" s="33">
        <f>VLOOKUP('Quick Test Mass Balance Tool'!$K$10&amp;'Quick Test Mass Balance Tool'!$K$12,'Crop parameters'!$C$3:$J$509,6,FALSE)</f>
        <v>29.87</v>
      </c>
      <c r="D239" s="55">
        <f>VLOOKUP('Quick Test Mass Balance Tool'!$K$10&amp;'Quick Test Mass Balance Tool'!$K$12,'Crop parameters'!$C$3:$J$509,7,FALSE)</f>
        <v>194.6</v>
      </c>
      <c r="E239" s="55">
        <f>VLOOKUP('Quick Test Mass Balance Tool'!$K$10&amp;'Quick Test Mass Balance Tool'!$K$12,'Crop parameters'!$C$3:$J$509,8,FALSE)</f>
        <v>-1.1850000000000001</v>
      </c>
      <c r="F239" s="55">
        <f t="shared" si="12"/>
        <v>193.41499999999991</v>
      </c>
      <c r="G239" s="4">
        <f>VLOOKUP('Quick Test Mass Balance Tool'!$K$10&amp;'Quick Test Mass Balance Tool'!$K$12,'Crop parameters'!$C$3:$J$509,4,FALSE)-F239</f>
        <v>-85.039999999999893</v>
      </c>
      <c r="I239" s="54" t="str">
        <f t="shared" si="13"/>
        <v/>
      </c>
      <c r="J239" s="55" t="str">
        <f t="shared" si="14"/>
        <v/>
      </c>
      <c r="K239" s="55">
        <f>IF(_xlfn.DAYS('Quick Test Mass Balance Tool'!$O$10,'Quick Test Mass Balance Tool'!$K$11)='Crop N Graphing'!A239,'Crop N Graphing'!F239,-50)</f>
        <v>-50</v>
      </c>
      <c r="L239" s="55">
        <f>IF('Quick Test Mass Balance Tool'!$X$15='Crop N Graphing'!A239,'Crop N Graphing'!F239,-50)</f>
        <v>-50</v>
      </c>
    </row>
    <row r="240" spans="1:12" x14ac:dyDescent="0.25">
      <c r="A240" s="55">
        <v>237</v>
      </c>
      <c r="B240" s="55">
        <f>VLOOKUP('Quick Test Mass Balance Tool'!$K$10&amp;'Quick Test Mass Balance Tool'!$K$12,'Crop parameters'!$C$3:$J$509,5,FALSE)</f>
        <v>0.17233999999999999</v>
      </c>
      <c r="C240" s="33">
        <f>VLOOKUP('Quick Test Mass Balance Tool'!$K$10&amp;'Quick Test Mass Balance Tool'!$K$12,'Crop parameters'!$C$3:$J$509,6,FALSE)</f>
        <v>29.87</v>
      </c>
      <c r="D240" s="55">
        <f>VLOOKUP('Quick Test Mass Balance Tool'!$K$10&amp;'Quick Test Mass Balance Tool'!$K$12,'Crop parameters'!$C$3:$J$509,7,FALSE)</f>
        <v>194.6</v>
      </c>
      <c r="E240" s="55">
        <f>VLOOKUP('Quick Test Mass Balance Tool'!$K$10&amp;'Quick Test Mass Balance Tool'!$K$12,'Crop parameters'!$C$3:$J$509,8,FALSE)</f>
        <v>-1.1850000000000001</v>
      </c>
      <c r="F240" s="55">
        <f t="shared" si="12"/>
        <v>193.41499999999994</v>
      </c>
      <c r="G240" s="4">
        <f>VLOOKUP('Quick Test Mass Balance Tool'!$K$10&amp;'Quick Test Mass Balance Tool'!$K$12,'Crop parameters'!$C$3:$J$509,4,FALSE)-F240</f>
        <v>-85.039999999999921</v>
      </c>
      <c r="I240" s="54" t="str">
        <f t="shared" si="13"/>
        <v/>
      </c>
      <c r="J240" s="55" t="str">
        <f t="shared" si="14"/>
        <v/>
      </c>
      <c r="K240" s="55">
        <f>IF(_xlfn.DAYS('Quick Test Mass Balance Tool'!$O$10,'Quick Test Mass Balance Tool'!$K$11)='Crop N Graphing'!A240,'Crop N Graphing'!F240,-50)</f>
        <v>-50</v>
      </c>
      <c r="L240" s="55">
        <f>IF('Quick Test Mass Balance Tool'!$X$15='Crop N Graphing'!A240,'Crop N Graphing'!F240,-50)</f>
        <v>-50</v>
      </c>
    </row>
    <row r="241" spans="1:12" x14ac:dyDescent="0.25">
      <c r="A241" s="55">
        <v>238</v>
      </c>
      <c r="B241" s="55">
        <f>VLOOKUP('Quick Test Mass Balance Tool'!$K$10&amp;'Quick Test Mass Balance Tool'!$K$12,'Crop parameters'!$C$3:$J$509,5,FALSE)</f>
        <v>0.17233999999999999</v>
      </c>
      <c r="C241" s="33">
        <f>VLOOKUP('Quick Test Mass Balance Tool'!$K$10&amp;'Quick Test Mass Balance Tool'!$K$12,'Crop parameters'!$C$3:$J$509,6,FALSE)</f>
        <v>29.87</v>
      </c>
      <c r="D241" s="55">
        <f>VLOOKUP('Quick Test Mass Balance Tool'!$K$10&amp;'Quick Test Mass Balance Tool'!$K$12,'Crop parameters'!$C$3:$J$509,7,FALSE)</f>
        <v>194.6</v>
      </c>
      <c r="E241" s="55">
        <f>VLOOKUP('Quick Test Mass Balance Tool'!$K$10&amp;'Quick Test Mass Balance Tool'!$K$12,'Crop parameters'!$C$3:$J$509,8,FALSE)</f>
        <v>-1.1850000000000001</v>
      </c>
      <c r="F241" s="55">
        <f t="shared" si="12"/>
        <v>193.41499999999994</v>
      </c>
      <c r="G241" s="4">
        <f>VLOOKUP('Quick Test Mass Balance Tool'!$K$10&amp;'Quick Test Mass Balance Tool'!$K$12,'Crop parameters'!$C$3:$J$509,4,FALSE)-F241</f>
        <v>-85.039999999999921</v>
      </c>
      <c r="I241" s="54" t="str">
        <f t="shared" si="13"/>
        <v/>
      </c>
      <c r="J241" s="55" t="str">
        <f t="shared" si="14"/>
        <v/>
      </c>
      <c r="K241" s="55">
        <f>IF(_xlfn.DAYS('Quick Test Mass Balance Tool'!$O$10,'Quick Test Mass Balance Tool'!$K$11)='Crop N Graphing'!A241,'Crop N Graphing'!F241,-50)</f>
        <v>-50</v>
      </c>
      <c r="L241" s="55">
        <f>IF('Quick Test Mass Balance Tool'!$X$15='Crop N Graphing'!A241,'Crop N Graphing'!F241,-50)</f>
        <v>-50</v>
      </c>
    </row>
    <row r="242" spans="1:12" x14ac:dyDescent="0.25">
      <c r="A242" s="55">
        <v>239</v>
      </c>
      <c r="B242" s="55">
        <f>VLOOKUP('Quick Test Mass Balance Tool'!$K$10&amp;'Quick Test Mass Balance Tool'!$K$12,'Crop parameters'!$C$3:$J$509,5,FALSE)</f>
        <v>0.17233999999999999</v>
      </c>
      <c r="C242" s="33">
        <f>VLOOKUP('Quick Test Mass Balance Tool'!$K$10&amp;'Quick Test Mass Balance Tool'!$K$12,'Crop parameters'!$C$3:$J$509,6,FALSE)</f>
        <v>29.87</v>
      </c>
      <c r="D242" s="55">
        <f>VLOOKUP('Quick Test Mass Balance Tool'!$K$10&amp;'Quick Test Mass Balance Tool'!$K$12,'Crop parameters'!$C$3:$J$509,7,FALSE)</f>
        <v>194.6</v>
      </c>
      <c r="E242" s="55">
        <f>VLOOKUP('Quick Test Mass Balance Tool'!$K$10&amp;'Quick Test Mass Balance Tool'!$K$12,'Crop parameters'!$C$3:$J$509,8,FALSE)</f>
        <v>-1.1850000000000001</v>
      </c>
      <c r="F242" s="55">
        <f t="shared" si="12"/>
        <v>193.41499999999994</v>
      </c>
      <c r="G242" s="4">
        <f>VLOOKUP('Quick Test Mass Balance Tool'!$K$10&amp;'Quick Test Mass Balance Tool'!$K$12,'Crop parameters'!$C$3:$J$509,4,FALSE)-F242</f>
        <v>-85.039999999999921</v>
      </c>
      <c r="I242" s="54" t="str">
        <f t="shared" si="13"/>
        <v/>
      </c>
      <c r="J242" s="55" t="str">
        <f t="shared" si="14"/>
        <v/>
      </c>
      <c r="K242" s="55">
        <f>IF(_xlfn.DAYS('Quick Test Mass Balance Tool'!$O$10,'Quick Test Mass Balance Tool'!$K$11)='Crop N Graphing'!A242,'Crop N Graphing'!F242,-50)</f>
        <v>-50</v>
      </c>
      <c r="L242" s="55">
        <f>IF('Quick Test Mass Balance Tool'!$X$15='Crop N Graphing'!A242,'Crop N Graphing'!F242,-50)</f>
        <v>-50</v>
      </c>
    </row>
    <row r="243" spans="1:12" x14ac:dyDescent="0.25">
      <c r="A243" s="55">
        <v>240</v>
      </c>
      <c r="B243" s="55">
        <f>VLOOKUP('Quick Test Mass Balance Tool'!$K$10&amp;'Quick Test Mass Balance Tool'!$K$12,'Crop parameters'!$C$3:$J$509,5,FALSE)</f>
        <v>0.17233999999999999</v>
      </c>
      <c r="C243" s="33">
        <f>VLOOKUP('Quick Test Mass Balance Tool'!$K$10&amp;'Quick Test Mass Balance Tool'!$K$12,'Crop parameters'!$C$3:$J$509,6,FALSE)</f>
        <v>29.87</v>
      </c>
      <c r="D243" s="55">
        <f>VLOOKUP('Quick Test Mass Balance Tool'!$K$10&amp;'Quick Test Mass Balance Tool'!$K$12,'Crop parameters'!$C$3:$J$509,7,FALSE)</f>
        <v>194.6</v>
      </c>
      <c r="E243" s="55">
        <f>VLOOKUP('Quick Test Mass Balance Tool'!$K$10&amp;'Quick Test Mass Balance Tool'!$K$12,'Crop parameters'!$C$3:$J$509,8,FALSE)</f>
        <v>-1.1850000000000001</v>
      </c>
      <c r="F243" s="55">
        <f t="shared" si="12"/>
        <v>193.41499999999994</v>
      </c>
      <c r="G243" s="4">
        <f>VLOOKUP('Quick Test Mass Balance Tool'!$K$10&amp;'Quick Test Mass Balance Tool'!$K$12,'Crop parameters'!$C$3:$J$509,4,FALSE)-F243</f>
        <v>-85.039999999999921</v>
      </c>
      <c r="I243" s="54" t="str">
        <f t="shared" si="13"/>
        <v/>
      </c>
      <c r="J243" s="55" t="str">
        <f t="shared" si="14"/>
        <v/>
      </c>
      <c r="K243" s="55">
        <f>IF(_xlfn.DAYS('Quick Test Mass Balance Tool'!$O$10,'Quick Test Mass Balance Tool'!$K$11)='Crop N Graphing'!A243,'Crop N Graphing'!F243,-50)</f>
        <v>-50</v>
      </c>
      <c r="L243" s="55">
        <f>IF('Quick Test Mass Balance Tool'!$X$15='Crop N Graphing'!A243,'Crop N Graphing'!F243,-50)</f>
        <v>-50</v>
      </c>
    </row>
    <row r="244" spans="1:12" x14ac:dyDescent="0.25">
      <c r="A244" s="55">
        <v>241</v>
      </c>
      <c r="B244" s="55">
        <f>VLOOKUP('Quick Test Mass Balance Tool'!$K$10&amp;'Quick Test Mass Balance Tool'!$K$12,'Crop parameters'!$C$3:$J$509,5,FALSE)</f>
        <v>0.17233999999999999</v>
      </c>
      <c r="C244" s="33">
        <f>VLOOKUP('Quick Test Mass Balance Tool'!$K$10&amp;'Quick Test Mass Balance Tool'!$K$12,'Crop parameters'!$C$3:$J$509,6,FALSE)</f>
        <v>29.87</v>
      </c>
      <c r="D244" s="55">
        <f>VLOOKUP('Quick Test Mass Balance Tool'!$K$10&amp;'Quick Test Mass Balance Tool'!$K$12,'Crop parameters'!$C$3:$J$509,7,FALSE)</f>
        <v>194.6</v>
      </c>
      <c r="E244" s="55">
        <f>VLOOKUP('Quick Test Mass Balance Tool'!$K$10&amp;'Quick Test Mass Balance Tool'!$K$12,'Crop parameters'!$C$3:$J$509,8,FALSE)</f>
        <v>-1.1850000000000001</v>
      </c>
      <c r="F244" s="55">
        <f t="shared" si="12"/>
        <v>193.41499999999994</v>
      </c>
      <c r="G244" s="4">
        <f>VLOOKUP('Quick Test Mass Balance Tool'!$K$10&amp;'Quick Test Mass Balance Tool'!$K$12,'Crop parameters'!$C$3:$J$509,4,FALSE)-F244</f>
        <v>-85.039999999999921</v>
      </c>
      <c r="I244" s="54" t="str">
        <f t="shared" si="13"/>
        <v/>
      </c>
      <c r="J244" s="55" t="str">
        <f t="shared" si="14"/>
        <v/>
      </c>
      <c r="K244" s="55">
        <f>IF(_xlfn.DAYS('Quick Test Mass Balance Tool'!$O$10,'Quick Test Mass Balance Tool'!$K$11)='Crop N Graphing'!A244,'Crop N Graphing'!F244,-50)</f>
        <v>-50</v>
      </c>
      <c r="L244" s="55">
        <f>IF('Quick Test Mass Balance Tool'!$X$15='Crop N Graphing'!A244,'Crop N Graphing'!F244,-50)</f>
        <v>-50</v>
      </c>
    </row>
    <row r="245" spans="1:12" x14ac:dyDescent="0.25">
      <c r="A245" s="55">
        <v>242</v>
      </c>
      <c r="B245" s="55">
        <f>VLOOKUP('Quick Test Mass Balance Tool'!$K$10&amp;'Quick Test Mass Balance Tool'!$K$12,'Crop parameters'!$C$3:$J$509,5,FALSE)</f>
        <v>0.17233999999999999</v>
      </c>
      <c r="C245" s="33">
        <f>VLOOKUP('Quick Test Mass Balance Tool'!$K$10&amp;'Quick Test Mass Balance Tool'!$K$12,'Crop parameters'!$C$3:$J$509,6,FALSE)</f>
        <v>29.87</v>
      </c>
      <c r="D245" s="55">
        <f>VLOOKUP('Quick Test Mass Balance Tool'!$K$10&amp;'Quick Test Mass Balance Tool'!$K$12,'Crop parameters'!$C$3:$J$509,7,FALSE)</f>
        <v>194.6</v>
      </c>
      <c r="E245" s="55">
        <f>VLOOKUP('Quick Test Mass Balance Tool'!$K$10&amp;'Quick Test Mass Balance Tool'!$K$12,'Crop parameters'!$C$3:$J$509,8,FALSE)</f>
        <v>-1.1850000000000001</v>
      </c>
      <c r="F245" s="55">
        <f t="shared" si="12"/>
        <v>193.41499999999994</v>
      </c>
      <c r="G245" s="4">
        <f>VLOOKUP('Quick Test Mass Balance Tool'!$K$10&amp;'Quick Test Mass Balance Tool'!$K$12,'Crop parameters'!$C$3:$J$509,4,FALSE)-F245</f>
        <v>-85.039999999999921</v>
      </c>
      <c r="I245" s="54" t="str">
        <f t="shared" si="13"/>
        <v/>
      </c>
      <c r="J245" s="55" t="str">
        <f t="shared" si="14"/>
        <v/>
      </c>
      <c r="K245" s="55">
        <f>IF(_xlfn.DAYS('Quick Test Mass Balance Tool'!$O$10,'Quick Test Mass Balance Tool'!$K$11)='Crop N Graphing'!A245,'Crop N Graphing'!F245,-50)</f>
        <v>-50</v>
      </c>
      <c r="L245" s="55">
        <f>IF('Quick Test Mass Balance Tool'!$X$15='Crop N Graphing'!A245,'Crop N Graphing'!F245,-50)</f>
        <v>-50</v>
      </c>
    </row>
    <row r="246" spans="1:12" x14ac:dyDescent="0.25">
      <c r="A246" s="55">
        <v>243</v>
      </c>
      <c r="B246" s="55">
        <f>VLOOKUP('Quick Test Mass Balance Tool'!$K$10&amp;'Quick Test Mass Balance Tool'!$K$12,'Crop parameters'!$C$3:$J$509,5,FALSE)</f>
        <v>0.17233999999999999</v>
      </c>
      <c r="C246" s="33">
        <f>VLOOKUP('Quick Test Mass Balance Tool'!$K$10&amp;'Quick Test Mass Balance Tool'!$K$12,'Crop parameters'!$C$3:$J$509,6,FALSE)</f>
        <v>29.87</v>
      </c>
      <c r="D246" s="55">
        <f>VLOOKUP('Quick Test Mass Balance Tool'!$K$10&amp;'Quick Test Mass Balance Tool'!$K$12,'Crop parameters'!$C$3:$J$509,7,FALSE)</f>
        <v>194.6</v>
      </c>
      <c r="E246" s="55">
        <f>VLOOKUP('Quick Test Mass Balance Tool'!$K$10&amp;'Quick Test Mass Balance Tool'!$K$12,'Crop parameters'!$C$3:$J$509,8,FALSE)</f>
        <v>-1.1850000000000001</v>
      </c>
      <c r="F246" s="55">
        <f t="shared" si="12"/>
        <v>193.41499999999994</v>
      </c>
      <c r="G246" s="4">
        <f>VLOOKUP('Quick Test Mass Balance Tool'!$K$10&amp;'Quick Test Mass Balance Tool'!$K$12,'Crop parameters'!$C$3:$J$509,4,FALSE)-F246</f>
        <v>-85.039999999999921</v>
      </c>
      <c r="I246" s="54" t="str">
        <f t="shared" si="13"/>
        <v/>
      </c>
      <c r="J246" s="55" t="str">
        <f t="shared" si="14"/>
        <v/>
      </c>
      <c r="K246" s="55">
        <f>IF(_xlfn.DAYS('Quick Test Mass Balance Tool'!$O$10,'Quick Test Mass Balance Tool'!$K$11)='Crop N Graphing'!A246,'Crop N Graphing'!F246,-50)</f>
        <v>-50</v>
      </c>
      <c r="L246" s="55">
        <f>IF('Quick Test Mass Balance Tool'!$X$15='Crop N Graphing'!A246,'Crop N Graphing'!F246,-50)</f>
        <v>-50</v>
      </c>
    </row>
    <row r="247" spans="1:12" x14ac:dyDescent="0.25">
      <c r="A247" s="55">
        <v>244</v>
      </c>
      <c r="B247" s="55">
        <f>VLOOKUP('Quick Test Mass Balance Tool'!$K$10&amp;'Quick Test Mass Balance Tool'!$K$12,'Crop parameters'!$C$3:$J$509,5,FALSE)</f>
        <v>0.17233999999999999</v>
      </c>
      <c r="C247" s="33">
        <f>VLOOKUP('Quick Test Mass Balance Tool'!$K$10&amp;'Quick Test Mass Balance Tool'!$K$12,'Crop parameters'!$C$3:$J$509,6,FALSE)</f>
        <v>29.87</v>
      </c>
      <c r="D247" s="55">
        <f>VLOOKUP('Quick Test Mass Balance Tool'!$K$10&amp;'Quick Test Mass Balance Tool'!$K$12,'Crop parameters'!$C$3:$J$509,7,FALSE)</f>
        <v>194.6</v>
      </c>
      <c r="E247" s="55">
        <f>VLOOKUP('Quick Test Mass Balance Tool'!$K$10&amp;'Quick Test Mass Balance Tool'!$K$12,'Crop parameters'!$C$3:$J$509,8,FALSE)</f>
        <v>-1.1850000000000001</v>
      </c>
      <c r="F247" s="55">
        <f t="shared" si="12"/>
        <v>193.41499999999999</v>
      </c>
      <c r="G247" s="4">
        <f>VLOOKUP('Quick Test Mass Balance Tool'!$K$10&amp;'Quick Test Mass Balance Tool'!$K$12,'Crop parameters'!$C$3:$J$509,4,FALSE)-F247</f>
        <v>-85.039999999999978</v>
      </c>
      <c r="I247" s="54" t="str">
        <f t="shared" si="13"/>
        <v/>
      </c>
      <c r="J247" s="55" t="str">
        <f t="shared" si="14"/>
        <v/>
      </c>
      <c r="K247" s="55">
        <f>IF(_xlfn.DAYS('Quick Test Mass Balance Tool'!$O$10,'Quick Test Mass Balance Tool'!$K$11)='Crop N Graphing'!A247,'Crop N Graphing'!F247,-50)</f>
        <v>-50</v>
      </c>
      <c r="L247" s="55">
        <f>IF('Quick Test Mass Balance Tool'!$X$15='Crop N Graphing'!A247,'Crop N Graphing'!F247,-50)</f>
        <v>-50</v>
      </c>
    </row>
    <row r="248" spans="1:12" x14ac:dyDescent="0.25">
      <c r="A248" s="55">
        <v>245</v>
      </c>
      <c r="B248" s="55">
        <f>VLOOKUP('Quick Test Mass Balance Tool'!$K$10&amp;'Quick Test Mass Balance Tool'!$K$12,'Crop parameters'!$C$3:$J$509,5,FALSE)</f>
        <v>0.17233999999999999</v>
      </c>
      <c r="C248" s="33">
        <f>VLOOKUP('Quick Test Mass Balance Tool'!$K$10&amp;'Quick Test Mass Balance Tool'!$K$12,'Crop parameters'!$C$3:$J$509,6,FALSE)</f>
        <v>29.87</v>
      </c>
      <c r="D248" s="55">
        <f>VLOOKUP('Quick Test Mass Balance Tool'!$K$10&amp;'Quick Test Mass Balance Tool'!$K$12,'Crop parameters'!$C$3:$J$509,7,FALSE)</f>
        <v>194.6</v>
      </c>
      <c r="E248" s="55">
        <f>VLOOKUP('Quick Test Mass Balance Tool'!$K$10&amp;'Quick Test Mass Balance Tool'!$K$12,'Crop parameters'!$C$3:$J$509,8,FALSE)</f>
        <v>-1.1850000000000001</v>
      </c>
      <c r="F248" s="55">
        <f t="shared" si="12"/>
        <v>193.41499999999999</v>
      </c>
      <c r="G248" s="4">
        <f>VLOOKUP('Quick Test Mass Balance Tool'!$K$10&amp;'Quick Test Mass Balance Tool'!$K$12,'Crop parameters'!$C$3:$J$509,4,FALSE)-F248</f>
        <v>-85.039999999999978</v>
      </c>
      <c r="I248" s="54" t="str">
        <f t="shared" si="13"/>
        <v/>
      </c>
      <c r="J248" s="55" t="str">
        <f t="shared" si="14"/>
        <v/>
      </c>
      <c r="K248" s="55">
        <f>IF(_xlfn.DAYS('Quick Test Mass Balance Tool'!$O$10,'Quick Test Mass Balance Tool'!$K$11)='Crop N Graphing'!A248,'Crop N Graphing'!F248,-50)</f>
        <v>-50</v>
      </c>
      <c r="L248" s="55">
        <f>IF('Quick Test Mass Balance Tool'!$X$15='Crop N Graphing'!A248,'Crop N Graphing'!F248,-50)</f>
        <v>-50</v>
      </c>
    </row>
    <row r="249" spans="1:12" x14ac:dyDescent="0.25">
      <c r="A249" s="55">
        <v>246</v>
      </c>
      <c r="B249" s="55">
        <f>VLOOKUP('Quick Test Mass Balance Tool'!$K$10&amp;'Quick Test Mass Balance Tool'!$K$12,'Crop parameters'!$C$3:$J$509,5,FALSE)</f>
        <v>0.17233999999999999</v>
      </c>
      <c r="C249" s="33">
        <f>VLOOKUP('Quick Test Mass Balance Tool'!$K$10&amp;'Quick Test Mass Balance Tool'!$K$12,'Crop parameters'!$C$3:$J$509,6,FALSE)</f>
        <v>29.87</v>
      </c>
      <c r="D249" s="55">
        <f>VLOOKUP('Quick Test Mass Balance Tool'!$K$10&amp;'Quick Test Mass Balance Tool'!$K$12,'Crop parameters'!$C$3:$J$509,7,FALSE)</f>
        <v>194.6</v>
      </c>
      <c r="E249" s="55">
        <f>VLOOKUP('Quick Test Mass Balance Tool'!$K$10&amp;'Quick Test Mass Balance Tool'!$K$12,'Crop parameters'!$C$3:$J$509,8,FALSE)</f>
        <v>-1.1850000000000001</v>
      </c>
      <c r="F249" s="55">
        <f t="shared" si="12"/>
        <v>193.41499999999999</v>
      </c>
      <c r="G249" s="4">
        <f>VLOOKUP('Quick Test Mass Balance Tool'!$K$10&amp;'Quick Test Mass Balance Tool'!$K$12,'Crop parameters'!$C$3:$J$509,4,FALSE)-F249</f>
        <v>-85.039999999999978</v>
      </c>
      <c r="I249" s="54" t="str">
        <f t="shared" si="13"/>
        <v/>
      </c>
      <c r="J249" s="55" t="str">
        <f t="shared" si="14"/>
        <v/>
      </c>
      <c r="K249" s="55">
        <f>IF(_xlfn.DAYS('Quick Test Mass Balance Tool'!$O$10,'Quick Test Mass Balance Tool'!$K$11)='Crop N Graphing'!A249,'Crop N Graphing'!F249,-50)</f>
        <v>-50</v>
      </c>
      <c r="L249" s="55">
        <f>IF('Quick Test Mass Balance Tool'!$X$15='Crop N Graphing'!A249,'Crop N Graphing'!F249,-50)</f>
        <v>-50</v>
      </c>
    </row>
    <row r="250" spans="1:12" x14ac:dyDescent="0.25">
      <c r="A250" s="55">
        <v>247</v>
      </c>
      <c r="B250" s="55">
        <f>VLOOKUP('Quick Test Mass Balance Tool'!$K$10&amp;'Quick Test Mass Balance Tool'!$K$12,'Crop parameters'!$C$3:$J$509,5,FALSE)</f>
        <v>0.17233999999999999</v>
      </c>
      <c r="C250" s="33">
        <f>VLOOKUP('Quick Test Mass Balance Tool'!$K$10&amp;'Quick Test Mass Balance Tool'!$K$12,'Crop parameters'!$C$3:$J$509,6,FALSE)</f>
        <v>29.87</v>
      </c>
      <c r="D250" s="55">
        <f>VLOOKUP('Quick Test Mass Balance Tool'!$K$10&amp;'Quick Test Mass Balance Tool'!$K$12,'Crop parameters'!$C$3:$J$509,7,FALSE)</f>
        <v>194.6</v>
      </c>
      <c r="E250" s="55">
        <f>VLOOKUP('Quick Test Mass Balance Tool'!$K$10&amp;'Quick Test Mass Balance Tool'!$K$12,'Crop parameters'!$C$3:$J$509,8,FALSE)</f>
        <v>-1.1850000000000001</v>
      </c>
      <c r="F250" s="55">
        <f t="shared" si="12"/>
        <v>193.41499999999999</v>
      </c>
      <c r="G250" s="4">
        <f>VLOOKUP('Quick Test Mass Balance Tool'!$K$10&amp;'Quick Test Mass Balance Tool'!$K$12,'Crop parameters'!$C$3:$J$509,4,FALSE)-F250</f>
        <v>-85.039999999999978</v>
      </c>
      <c r="I250" s="54" t="str">
        <f>IF(ISNUMBER(J250),A250,"")</f>
        <v/>
      </c>
      <c r="J250" s="55" t="str">
        <f>IF(G250&lt;0,"",F250)</f>
        <v/>
      </c>
      <c r="K250" s="55">
        <f>IF(_xlfn.DAYS('Quick Test Mass Balance Tool'!$O$10,'Quick Test Mass Balance Tool'!$K$11)='Crop N Graphing'!A250,'Crop N Graphing'!F250,-50)</f>
        <v>-50</v>
      </c>
      <c r="L250" s="55">
        <f>IF('Quick Test Mass Balance Tool'!$X$15='Crop N Graphing'!A250,'Crop N Graphing'!F250,-50)</f>
        <v>-50</v>
      </c>
    </row>
    <row r="251" spans="1:12" x14ac:dyDescent="0.25">
      <c r="A251" s="55">
        <v>248</v>
      </c>
      <c r="B251" s="55">
        <f>VLOOKUP('Quick Test Mass Balance Tool'!$K$10&amp;'Quick Test Mass Balance Tool'!$K$12,'Crop parameters'!$C$3:$J$509,5,FALSE)</f>
        <v>0.17233999999999999</v>
      </c>
      <c r="C251" s="33">
        <f>VLOOKUP('Quick Test Mass Balance Tool'!$K$10&amp;'Quick Test Mass Balance Tool'!$K$12,'Crop parameters'!$C$3:$J$509,6,FALSE)</f>
        <v>29.87</v>
      </c>
      <c r="D251" s="55">
        <f>VLOOKUP('Quick Test Mass Balance Tool'!$K$10&amp;'Quick Test Mass Balance Tool'!$K$12,'Crop parameters'!$C$3:$J$509,7,FALSE)</f>
        <v>194.6</v>
      </c>
      <c r="E251" s="55">
        <f>VLOOKUP('Quick Test Mass Balance Tool'!$K$10&amp;'Quick Test Mass Balance Tool'!$K$12,'Crop parameters'!$C$3:$J$509,8,FALSE)</f>
        <v>-1.1850000000000001</v>
      </c>
      <c r="F251" s="55">
        <f t="shared" si="12"/>
        <v>193.41499999999999</v>
      </c>
      <c r="G251" s="4">
        <f>VLOOKUP('Quick Test Mass Balance Tool'!$K$10&amp;'Quick Test Mass Balance Tool'!$K$12,'Crop parameters'!$C$3:$J$509,4,FALSE)-F251</f>
        <v>-85.039999999999978</v>
      </c>
      <c r="I251" s="56" t="str">
        <f t="shared" ref="I251:I254" si="15">IF(ISNUMBER(J251),A251,"")</f>
        <v/>
      </c>
      <c r="J251" s="57" t="str">
        <f t="shared" si="14"/>
        <v/>
      </c>
      <c r="K251" s="55">
        <f>IF(_xlfn.DAYS('Quick Test Mass Balance Tool'!$O$10,'Quick Test Mass Balance Tool'!$K$11)='Crop N Graphing'!A251,'Crop N Graphing'!F251,-50)</f>
        <v>-50</v>
      </c>
      <c r="L251" s="55">
        <f>IF('Quick Test Mass Balance Tool'!$X$15='Crop N Graphing'!A251,'Crop N Graphing'!F251,-50)</f>
        <v>-50</v>
      </c>
    </row>
    <row r="252" spans="1:12" x14ac:dyDescent="0.25">
      <c r="A252" s="55">
        <v>249</v>
      </c>
      <c r="B252" s="55">
        <f>VLOOKUP('Quick Test Mass Balance Tool'!$K$10&amp;'Quick Test Mass Balance Tool'!$K$12,'Crop parameters'!$C$3:$J$509,5,FALSE)</f>
        <v>0.17233999999999999</v>
      </c>
      <c r="C252" s="33">
        <f>VLOOKUP('Quick Test Mass Balance Tool'!$K$10&amp;'Quick Test Mass Balance Tool'!$K$12,'Crop parameters'!$C$3:$J$509,6,FALSE)</f>
        <v>29.87</v>
      </c>
      <c r="D252" s="55">
        <f>VLOOKUP('Quick Test Mass Balance Tool'!$K$10&amp;'Quick Test Mass Balance Tool'!$K$12,'Crop parameters'!$C$3:$J$509,7,FALSE)</f>
        <v>194.6</v>
      </c>
      <c r="E252" s="55">
        <f>VLOOKUP('Quick Test Mass Balance Tool'!$K$10&amp;'Quick Test Mass Balance Tool'!$K$12,'Crop parameters'!$C$3:$J$509,8,FALSE)</f>
        <v>-1.1850000000000001</v>
      </c>
      <c r="F252" s="55">
        <f t="shared" si="12"/>
        <v>193.41499999999999</v>
      </c>
      <c r="G252" s="4">
        <f>VLOOKUP('Quick Test Mass Balance Tool'!$K$10&amp;'Quick Test Mass Balance Tool'!$K$12,'Crop parameters'!$C$3:$J$509,4,FALSE)-F252</f>
        <v>-85.039999999999978</v>
      </c>
      <c r="I252" s="56" t="str">
        <f t="shared" si="15"/>
        <v/>
      </c>
      <c r="J252" s="57" t="str">
        <f t="shared" si="14"/>
        <v/>
      </c>
      <c r="K252" s="55">
        <f>IF(_xlfn.DAYS('Quick Test Mass Balance Tool'!$O$10,'Quick Test Mass Balance Tool'!$K$11)='Crop N Graphing'!A252,'Crop N Graphing'!F252,-50)</f>
        <v>-50</v>
      </c>
      <c r="L252" s="55">
        <f>IF('Quick Test Mass Balance Tool'!$X$15='Crop N Graphing'!A252,'Crop N Graphing'!F252,-50)</f>
        <v>-50</v>
      </c>
    </row>
    <row r="253" spans="1:12" x14ac:dyDescent="0.25">
      <c r="A253" s="55">
        <v>250</v>
      </c>
      <c r="B253" s="55">
        <f>VLOOKUP('Quick Test Mass Balance Tool'!$K$10&amp;'Quick Test Mass Balance Tool'!$K$12,'Crop parameters'!$C$3:$J$509,5,FALSE)</f>
        <v>0.17233999999999999</v>
      </c>
      <c r="C253" s="33">
        <f>VLOOKUP('Quick Test Mass Balance Tool'!$K$10&amp;'Quick Test Mass Balance Tool'!$K$12,'Crop parameters'!$C$3:$J$509,6,FALSE)</f>
        <v>29.87</v>
      </c>
      <c r="D253" s="55">
        <f>VLOOKUP('Quick Test Mass Balance Tool'!$K$10&amp;'Quick Test Mass Balance Tool'!$K$12,'Crop parameters'!$C$3:$J$509,7,FALSE)</f>
        <v>194.6</v>
      </c>
      <c r="E253" s="55">
        <f>VLOOKUP('Quick Test Mass Balance Tool'!$K$10&amp;'Quick Test Mass Balance Tool'!$K$12,'Crop parameters'!$C$3:$J$509,8,FALSE)</f>
        <v>-1.1850000000000001</v>
      </c>
      <c r="F253" s="55">
        <f t="shared" si="12"/>
        <v>193.41499999999999</v>
      </c>
      <c r="G253" s="4">
        <f>VLOOKUP('Quick Test Mass Balance Tool'!$K$10&amp;'Quick Test Mass Balance Tool'!$K$12,'Crop parameters'!$C$3:$J$509,4,FALSE)-F253</f>
        <v>-85.039999999999978</v>
      </c>
      <c r="I253" s="56" t="str">
        <f t="shared" si="15"/>
        <v/>
      </c>
      <c r="J253" s="57" t="str">
        <f t="shared" si="14"/>
        <v/>
      </c>
      <c r="K253" s="55">
        <f>IF(_xlfn.DAYS('Quick Test Mass Balance Tool'!$O$10,'Quick Test Mass Balance Tool'!$K$11)='Crop N Graphing'!A253,'Crop N Graphing'!F253,-50)</f>
        <v>-50</v>
      </c>
      <c r="L253" s="55">
        <f>IF('Quick Test Mass Balance Tool'!$X$15='Crop N Graphing'!A253,'Crop N Graphing'!F253,-50)</f>
        <v>-50</v>
      </c>
    </row>
    <row r="254" spans="1:12" x14ac:dyDescent="0.25">
      <c r="A254" s="55">
        <v>251</v>
      </c>
      <c r="B254" s="55">
        <f>VLOOKUP('Quick Test Mass Balance Tool'!$K$10&amp;'Quick Test Mass Balance Tool'!$K$12,'Crop parameters'!$C$3:$J$509,5,FALSE)</f>
        <v>0.17233999999999999</v>
      </c>
      <c r="C254" s="33">
        <f>VLOOKUP('Quick Test Mass Balance Tool'!$K$10&amp;'Quick Test Mass Balance Tool'!$K$12,'Crop parameters'!$C$3:$J$509,6,FALSE)</f>
        <v>29.87</v>
      </c>
      <c r="D254" s="55">
        <f>VLOOKUP('Quick Test Mass Balance Tool'!$K$10&amp;'Quick Test Mass Balance Tool'!$K$12,'Crop parameters'!$C$3:$J$509,7,FALSE)</f>
        <v>194.6</v>
      </c>
      <c r="E254" s="55">
        <f>VLOOKUP('Quick Test Mass Balance Tool'!$K$10&amp;'Quick Test Mass Balance Tool'!$K$12,'Crop parameters'!$C$3:$J$509,8,FALSE)</f>
        <v>-1.1850000000000001</v>
      </c>
      <c r="F254" s="55">
        <f t="shared" si="12"/>
        <v>193.41499999999999</v>
      </c>
      <c r="G254" s="4">
        <f>VLOOKUP('Quick Test Mass Balance Tool'!$K$10&amp;'Quick Test Mass Balance Tool'!$K$12,'Crop parameters'!$C$3:$J$509,4,FALSE)-F254</f>
        <v>-85.039999999999978</v>
      </c>
      <c r="I254" s="56" t="str">
        <f t="shared" si="15"/>
        <v/>
      </c>
      <c r="J254" s="57" t="str">
        <f t="shared" ref="J254:J283" si="16">IF(G254&lt;0,"",F254)</f>
        <v/>
      </c>
      <c r="K254" s="55">
        <f>IF(_xlfn.DAYS('Quick Test Mass Balance Tool'!$O$10,'Quick Test Mass Balance Tool'!$K$11)='Crop N Graphing'!A254,'Crop N Graphing'!F254,-50)</f>
        <v>-50</v>
      </c>
      <c r="L254" s="55">
        <f>IF('Quick Test Mass Balance Tool'!$X$15='Crop N Graphing'!A254,'Crop N Graphing'!F254,-50)</f>
        <v>-50</v>
      </c>
    </row>
    <row r="255" spans="1:12" x14ac:dyDescent="0.25">
      <c r="A255" s="55">
        <v>252</v>
      </c>
      <c r="B255" s="55">
        <f>VLOOKUP('Quick Test Mass Balance Tool'!$K$10&amp;'Quick Test Mass Balance Tool'!$K$12,'Crop parameters'!$C$3:$J$509,5,FALSE)</f>
        <v>0.17233999999999999</v>
      </c>
      <c r="C255" s="33">
        <f>VLOOKUP('Quick Test Mass Balance Tool'!$K$10&amp;'Quick Test Mass Balance Tool'!$K$12,'Crop parameters'!$C$3:$J$509,6,FALSE)</f>
        <v>29.87</v>
      </c>
      <c r="D255" s="55">
        <f>VLOOKUP('Quick Test Mass Balance Tool'!$K$10&amp;'Quick Test Mass Balance Tool'!$K$12,'Crop parameters'!$C$3:$J$509,7,FALSE)</f>
        <v>194.6</v>
      </c>
      <c r="E255" s="55">
        <f>VLOOKUP('Quick Test Mass Balance Tool'!$K$10&amp;'Quick Test Mass Balance Tool'!$K$12,'Crop parameters'!$C$3:$J$509,8,FALSE)</f>
        <v>-1.1850000000000001</v>
      </c>
      <c r="F255" s="55">
        <f t="shared" si="12"/>
        <v>193.41499999999999</v>
      </c>
      <c r="G255" s="4">
        <f>VLOOKUP('Quick Test Mass Balance Tool'!$K$10&amp;'Quick Test Mass Balance Tool'!$K$12,'Crop parameters'!$C$3:$J$509,4,FALSE)-F255</f>
        <v>-85.039999999999978</v>
      </c>
      <c r="I255" s="56" t="str">
        <f t="shared" ref="I255:I283" si="17">IF(ISNUMBER(J255),A255,"")</f>
        <v/>
      </c>
      <c r="J255" s="57" t="str">
        <f t="shared" si="16"/>
        <v/>
      </c>
      <c r="K255" s="55">
        <f>IF(_xlfn.DAYS('Quick Test Mass Balance Tool'!$O$10,'Quick Test Mass Balance Tool'!$K$11)='Crop N Graphing'!A255,'Crop N Graphing'!F255,-50)</f>
        <v>-50</v>
      </c>
      <c r="L255" s="55">
        <f>IF('Quick Test Mass Balance Tool'!$X$15='Crop N Graphing'!A255,'Crop N Graphing'!F255,-50)</f>
        <v>-50</v>
      </c>
    </row>
    <row r="256" spans="1:12" x14ac:dyDescent="0.25">
      <c r="A256" s="55">
        <v>253</v>
      </c>
      <c r="B256" s="55">
        <f>VLOOKUP('Quick Test Mass Balance Tool'!$K$10&amp;'Quick Test Mass Balance Tool'!$K$12,'Crop parameters'!$C$3:$J$509,5,FALSE)</f>
        <v>0.17233999999999999</v>
      </c>
      <c r="C256" s="33">
        <f>VLOOKUP('Quick Test Mass Balance Tool'!$K$10&amp;'Quick Test Mass Balance Tool'!$K$12,'Crop parameters'!$C$3:$J$509,6,FALSE)</f>
        <v>29.87</v>
      </c>
      <c r="D256" s="55">
        <f>VLOOKUP('Quick Test Mass Balance Tool'!$K$10&amp;'Quick Test Mass Balance Tool'!$K$12,'Crop parameters'!$C$3:$J$509,7,FALSE)</f>
        <v>194.6</v>
      </c>
      <c r="E256" s="55">
        <f>VLOOKUP('Quick Test Mass Balance Tool'!$K$10&amp;'Quick Test Mass Balance Tool'!$K$12,'Crop parameters'!$C$3:$J$509,8,FALSE)</f>
        <v>-1.1850000000000001</v>
      </c>
      <c r="F256" s="55">
        <f t="shared" si="12"/>
        <v>193.41499999999999</v>
      </c>
      <c r="G256" s="4">
        <f>VLOOKUP('Quick Test Mass Balance Tool'!$K$10&amp;'Quick Test Mass Balance Tool'!$K$12,'Crop parameters'!$C$3:$J$509,4,FALSE)-F256</f>
        <v>-85.039999999999978</v>
      </c>
      <c r="I256" s="56" t="str">
        <f t="shared" si="17"/>
        <v/>
      </c>
      <c r="J256" s="57" t="str">
        <f t="shared" si="16"/>
        <v/>
      </c>
      <c r="K256" s="55">
        <f>IF(_xlfn.DAYS('Quick Test Mass Balance Tool'!$O$10,'Quick Test Mass Balance Tool'!$K$11)='Crop N Graphing'!A256,'Crop N Graphing'!F256,-50)</f>
        <v>-50</v>
      </c>
      <c r="L256" s="55">
        <f>IF('Quick Test Mass Balance Tool'!$X$15='Crop N Graphing'!A256,'Crop N Graphing'!F256,-50)</f>
        <v>-50</v>
      </c>
    </row>
    <row r="257" spans="1:12" x14ac:dyDescent="0.25">
      <c r="A257" s="55">
        <v>254</v>
      </c>
      <c r="B257" s="55">
        <f>VLOOKUP('Quick Test Mass Balance Tool'!$K$10&amp;'Quick Test Mass Balance Tool'!$K$12,'Crop parameters'!$C$3:$J$509,5,FALSE)</f>
        <v>0.17233999999999999</v>
      </c>
      <c r="C257" s="33">
        <f>VLOOKUP('Quick Test Mass Balance Tool'!$K$10&amp;'Quick Test Mass Balance Tool'!$K$12,'Crop parameters'!$C$3:$J$509,6,FALSE)</f>
        <v>29.87</v>
      </c>
      <c r="D257" s="55">
        <f>VLOOKUP('Quick Test Mass Balance Tool'!$K$10&amp;'Quick Test Mass Balance Tool'!$K$12,'Crop parameters'!$C$3:$J$509,7,FALSE)</f>
        <v>194.6</v>
      </c>
      <c r="E257" s="55">
        <f>VLOOKUP('Quick Test Mass Balance Tool'!$K$10&amp;'Quick Test Mass Balance Tool'!$K$12,'Crop parameters'!$C$3:$J$509,8,FALSE)</f>
        <v>-1.1850000000000001</v>
      </c>
      <c r="F257" s="55">
        <f t="shared" si="12"/>
        <v>193.41499999999999</v>
      </c>
      <c r="G257" s="4">
        <f>VLOOKUP('Quick Test Mass Balance Tool'!$K$10&amp;'Quick Test Mass Balance Tool'!$K$12,'Crop parameters'!$C$3:$J$509,4,FALSE)-F257</f>
        <v>-85.039999999999978</v>
      </c>
      <c r="I257" s="56" t="str">
        <f t="shared" si="17"/>
        <v/>
      </c>
      <c r="J257" s="57" t="str">
        <f t="shared" si="16"/>
        <v/>
      </c>
      <c r="K257" s="55">
        <f>IF(_xlfn.DAYS('Quick Test Mass Balance Tool'!$O$10,'Quick Test Mass Balance Tool'!$K$11)='Crop N Graphing'!A257,'Crop N Graphing'!F257,-50)</f>
        <v>-50</v>
      </c>
      <c r="L257" s="55">
        <f>IF('Quick Test Mass Balance Tool'!$X$15='Crop N Graphing'!A257,'Crop N Graphing'!F257,-50)</f>
        <v>-50</v>
      </c>
    </row>
    <row r="258" spans="1:12" x14ac:dyDescent="0.25">
      <c r="A258" s="55">
        <v>255</v>
      </c>
      <c r="B258" s="55">
        <f>VLOOKUP('Quick Test Mass Balance Tool'!$K$10&amp;'Quick Test Mass Balance Tool'!$K$12,'Crop parameters'!$C$3:$J$509,5,FALSE)</f>
        <v>0.17233999999999999</v>
      </c>
      <c r="C258" s="33">
        <f>VLOOKUP('Quick Test Mass Balance Tool'!$K$10&amp;'Quick Test Mass Balance Tool'!$K$12,'Crop parameters'!$C$3:$J$509,6,FALSE)</f>
        <v>29.87</v>
      </c>
      <c r="D258" s="55">
        <f>VLOOKUP('Quick Test Mass Balance Tool'!$K$10&amp;'Quick Test Mass Balance Tool'!$K$12,'Crop parameters'!$C$3:$J$509,7,FALSE)</f>
        <v>194.6</v>
      </c>
      <c r="E258" s="55">
        <f>VLOOKUP('Quick Test Mass Balance Tool'!$K$10&amp;'Quick Test Mass Balance Tool'!$K$12,'Crop parameters'!$C$3:$J$509,8,FALSE)</f>
        <v>-1.1850000000000001</v>
      </c>
      <c r="F258" s="55">
        <f t="shared" si="12"/>
        <v>193.41499999999999</v>
      </c>
      <c r="G258" s="4">
        <f>VLOOKUP('Quick Test Mass Balance Tool'!$K$10&amp;'Quick Test Mass Balance Tool'!$K$12,'Crop parameters'!$C$3:$J$509,4,FALSE)-F258</f>
        <v>-85.039999999999978</v>
      </c>
      <c r="I258" s="56" t="str">
        <f t="shared" si="17"/>
        <v/>
      </c>
      <c r="J258" s="57" t="str">
        <f t="shared" si="16"/>
        <v/>
      </c>
      <c r="K258" s="55">
        <f>IF(_xlfn.DAYS('Quick Test Mass Balance Tool'!$O$10,'Quick Test Mass Balance Tool'!$K$11)='Crop N Graphing'!A258,'Crop N Graphing'!F258,-50)</f>
        <v>-50</v>
      </c>
      <c r="L258" s="55">
        <f>IF('Quick Test Mass Balance Tool'!$X$15='Crop N Graphing'!A258,'Crop N Graphing'!F258,-50)</f>
        <v>-50</v>
      </c>
    </row>
    <row r="259" spans="1:12" x14ac:dyDescent="0.25">
      <c r="A259" s="55">
        <v>256</v>
      </c>
      <c r="B259" s="55">
        <f>VLOOKUP('Quick Test Mass Balance Tool'!$K$10&amp;'Quick Test Mass Balance Tool'!$K$12,'Crop parameters'!$C$3:$J$509,5,FALSE)</f>
        <v>0.17233999999999999</v>
      </c>
      <c r="C259" s="33">
        <f>VLOOKUP('Quick Test Mass Balance Tool'!$K$10&amp;'Quick Test Mass Balance Tool'!$K$12,'Crop parameters'!$C$3:$J$509,6,FALSE)</f>
        <v>29.87</v>
      </c>
      <c r="D259" s="55">
        <f>VLOOKUP('Quick Test Mass Balance Tool'!$K$10&amp;'Quick Test Mass Balance Tool'!$K$12,'Crop parameters'!$C$3:$J$509,7,FALSE)</f>
        <v>194.6</v>
      </c>
      <c r="E259" s="55">
        <f>VLOOKUP('Quick Test Mass Balance Tool'!$K$10&amp;'Quick Test Mass Balance Tool'!$K$12,'Crop parameters'!$C$3:$J$509,8,FALSE)</f>
        <v>-1.1850000000000001</v>
      </c>
      <c r="F259" s="55">
        <f t="shared" si="12"/>
        <v>193.41499999999999</v>
      </c>
      <c r="G259" s="4">
        <f>VLOOKUP('Quick Test Mass Balance Tool'!$K$10&amp;'Quick Test Mass Balance Tool'!$K$12,'Crop parameters'!$C$3:$J$509,4,FALSE)-F259</f>
        <v>-85.039999999999978</v>
      </c>
      <c r="I259" s="56" t="str">
        <f t="shared" si="17"/>
        <v/>
      </c>
      <c r="J259" s="57" t="str">
        <f t="shared" si="16"/>
        <v/>
      </c>
      <c r="K259" s="55">
        <f>IF(_xlfn.DAYS('Quick Test Mass Balance Tool'!$O$10,'Quick Test Mass Balance Tool'!$K$11)='Crop N Graphing'!A259,'Crop N Graphing'!F259,-50)</f>
        <v>-50</v>
      </c>
      <c r="L259" s="55">
        <f>IF('Quick Test Mass Balance Tool'!$X$15='Crop N Graphing'!A259,'Crop N Graphing'!F259,-50)</f>
        <v>-50</v>
      </c>
    </row>
    <row r="260" spans="1:12" x14ac:dyDescent="0.25">
      <c r="A260" s="55">
        <v>257</v>
      </c>
      <c r="B260" s="55">
        <f>VLOOKUP('Quick Test Mass Balance Tool'!$K$10&amp;'Quick Test Mass Balance Tool'!$K$12,'Crop parameters'!$C$3:$J$509,5,FALSE)</f>
        <v>0.17233999999999999</v>
      </c>
      <c r="C260" s="33">
        <f>VLOOKUP('Quick Test Mass Balance Tool'!$K$10&amp;'Quick Test Mass Balance Tool'!$K$12,'Crop parameters'!$C$3:$J$509,6,FALSE)</f>
        <v>29.87</v>
      </c>
      <c r="D260" s="55">
        <f>VLOOKUP('Quick Test Mass Balance Tool'!$K$10&amp;'Quick Test Mass Balance Tool'!$K$12,'Crop parameters'!$C$3:$J$509,7,FALSE)</f>
        <v>194.6</v>
      </c>
      <c r="E260" s="55">
        <f>VLOOKUP('Quick Test Mass Balance Tool'!$K$10&amp;'Quick Test Mass Balance Tool'!$K$12,'Crop parameters'!$C$3:$J$509,8,FALSE)</f>
        <v>-1.1850000000000001</v>
      </c>
      <c r="F260" s="55">
        <f t="shared" si="12"/>
        <v>193.41499999999999</v>
      </c>
      <c r="G260" s="4">
        <f>VLOOKUP('Quick Test Mass Balance Tool'!$K$10&amp;'Quick Test Mass Balance Tool'!$K$12,'Crop parameters'!$C$3:$J$509,4,FALSE)-F260</f>
        <v>-85.039999999999978</v>
      </c>
      <c r="I260" s="56" t="str">
        <f t="shared" si="17"/>
        <v/>
      </c>
      <c r="J260" s="57" t="str">
        <f t="shared" si="16"/>
        <v/>
      </c>
      <c r="K260" s="55">
        <f>IF(_xlfn.DAYS('Quick Test Mass Balance Tool'!$O$10,'Quick Test Mass Balance Tool'!$K$11)='Crop N Graphing'!A260,'Crop N Graphing'!F260,-50)</f>
        <v>-50</v>
      </c>
      <c r="L260" s="55">
        <f>IF('Quick Test Mass Balance Tool'!$X$15='Crop N Graphing'!A260,'Crop N Graphing'!F260,-50)</f>
        <v>-50</v>
      </c>
    </row>
    <row r="261" spans="1:12" x14ac:dyDescent="0.25">
      <c r="A261" s="55">
        <v>258</v>
      </c>
      <c r="B261" s="55">
        <f>VLOOKUP('Quick Test Mass Balance Tool'!$K$10&amp;'Quick Test Mass Balance Tool'!$K$12,'Crop parameters'!$C$3:$J$509,5,FALSE)</f>
        <v>0.17233999999999999</v>
      </c>
      <c r="C261" s="33">
        <f>VLOOKUP('Quick Test Mass Balance Tool'!$K$10&amp;'Quick Test Mass Balance Tool'!$K$12,'Crop parameters'!$C$3:$J$509,6,FALSE)</f>
        <v>29.87</v>
      </c>
      <c r="D261" s="55">
        <f>VLOOKUP('Quick Test Mass Balance Tool'!$K$10&amp;'Quick Test Mass Balance Tool'!$K$12,'Crop parameters'!$C$3:$J$509,7,FALSE)</f>
        <v>194.6</v>
      </c>
      <c r="E261" s="55">
        <f>VLOOKUP('Quick Test Mass Balance Tool'!$K$10&amp;'Quick Test Mass Balance Tool'!$K$12,'Crop parameters'!$C$3:$J$509,8,FALSE)</f>
        <v>-1.1850000000000001</v>
      </c>
      <c r="F261" s="55">
        <f t="shared" si="12"/>
        <v>193.41499999999999</v>
      </c>
      <c r="G261" s="4">
        <f>VLOOKUP('Quick Test Mass Balance Tool'!$K$10&amp;'Quick Test Mass Balance Tool'!$K$12,'Crop parameters'!$C$3:$J$509,4,FALSE)-F261</f>
        <v>-85.039999999999978</v>
      </c>
      <c r="I261" s="56" t="str">
        <f t="shared" si="17"/>
        <v/>
      </c>
      <c r="J261" s="57" t="str">
        <f t="shared" si="16"/>
        <v/>
      </c>
      <c r="K261" s="55">
        <f>IF(_xlfn.DAYS('Quick Test Mass Balance Tool'!$O$10,'Quick Test Mass Balance Tool'!$K$11)='Crop N Graphing'!A261,'Crop N Graphing'!F261,-50)</f>
        <v>-50</v>
      </c>
      <c r="L261" s="55">
        <f>IF('Quick Test Mass Balance Tool'!$X$15='Crop N Graphing'!A261,'Crop N Graphing'!F261,-50)</f>
        <v>-50</v>
      </c>
    </row>
    <row r="262" spans="1:12" x14ac:dyDescent="0.25">
      <c r="A262" s="55">
        <v>259</v>
      </c>
      <c r="B262" s="55">
        <f>VLOOKUP('Quick Test Mass Balance Tool'!$K$10&amp;'Quick Test Mass Balance Tool'!$K$12,'Crop parameters'!$C$3:$J$509,5,FALSE)</f>
        <v>0.17233999999999999</v>
      </c>
      <c r="C262" s="33">
        <f>VLOOKUP('Quick Test Mass Balance Tool'!$K$10&amp;'Quick Test Mass Balance Tool'!$K$12,'Crop parameters'!$C$3:$J$509,6,FALSE)</f>
        <v>29.87</v>
      </c>
      <c r="D262" s="55">
        <f>VLOOKUP('Quick Test Mass Balance Tool'!$K$10&amp;'Quick Test Mass Balance Tool'!$K$12,'Crop parameters'!$C$3:$J$509,7,FALSE)</f>
        <v>194.6</v>
      </c>
      <c r="E262" s="55">
        <f>VLOOKUP('Quick Test Mass Balance Tool'!$K$10&amp;'Quick Test Mass Balance Tool'!$K$12,'Crop parameters'!$C$3:$J$509,8,FALSE)</f>
        <v>-1.1850000000000001</v>
      </c>
      <c r="F262" s="55">
        <f t="shared" si="12"/>
        <v>193.41499999999999</v>
      </c>
      <c r="G262" s="4">
        <f>VLOOKUP('Quick Test Mass Balance Tool'!$K$10&amp;'Quick Test Mass Balance Tool'!$K$12,'Crop parameters'!$C$3:$J$509,4,FALSE)-F262</f>
        <v>-85.039999999999978</v>
      </c>
      <c r="I262" s="56" t="str">
        <f t="shared" si="17"/>
        <v/>
      </c>
      <c r="J262" s="57" t="str">
        <f t="shared" si="16"/>
        <v/>
      </c>
      <c r="K262" s="55">
        <f>IF(_xlfn.DAYS('Quick Test Mass Balance Tool'!$O$10,'Quick Test Mass Balance Tool'!$K$11)='Crop N Graphing'!A262,'Crop N Graphing'!F262,-50)</f>
        <v>-50</v>
      </c>
      <c r="L262" s="55">
        <f>IF('Quick Test Mass Balance Tool'!$X$15='Crop N Graphing'!A262,'Crop N Graphing'!F262,-50)</f>
        <v>-50</v>
      </c>
    </row>
    <row r="263" spans="1:12" x14ac:dyDescent="0.25">
      <c r="A263" s="55">
        <v>260</v>
      </c>
      <c r="B263" s="55">
        <f>VLOOKUP('Quick Test Mass Balance Tool'!$K$10&amp;'Quick Test Mass Balance Tool'!$K$12,'Crop parameters'!$C$3:$J$509,5,FALSE)</f>
        <v>0.17233999999999999</v>
      </c>
      <c r="C263" s="33">
        <f>VLOOKUP('Quick Test Mass Balance Tool'!$K$10&amp;'Quick Test Mass Balance Tool'!$K$12,'Crop parameters'!$C$3:$J$509,6,FALSE)</f>
        <v>29.87</v>
      </c>
      <c r="D263" s="55">
        <f>VLOOKUP('Quick Test Mass Balance Tool'!$K$10&amp;'Quick Test Mass Balance Tool'!$K$12,'Crop parameters'!$C$3:$J$509,7,FALSE)</f>
        <v>194.6</v>
      </c>
      <c r="E263" s="55">
        <f>VLOOKUP('Quick Test Mass Balance Tool'!$K$10&amp;'Quick Test Mass Balance Tool'!$K$12,'Crop parameters'!$C$3:$J$509,8,FALSE)</f>
        <v>-1.1850000000000001</v>
      </c>
      <c r="F263" s="55">
        <f t="shared" si="12"/>
        <v>193.41499999999999</v>
      </c>
      <c r="G263" s="4">
        <f>VLOOKUP('Quick Test Mass Balance Tool'!$K$10&amp;'Quick Test Mass Balance Tool'!$K$12,'Crop parameters'!$C$3:$J$509,4,FALSE)-F263</f>
        <v>-85.039999999999978</v>
      </c>
      <c r="I263" s="56" t="str">
        <f t="shared" si="17"/>
        <v/>
      </c>
      <c r="J263" s="57" t="str">
        <f t="shared" si="16"/>
        <v/>
      </c>
      <c r="K263" s="55">
        <f>IF(_xlfn.DAYS('Quick Test Mass Balance Tool'!$O$10,'Quick Test Mass Balance Tool'!$K$11)='Crop N Graphing'!A263,'Crop N Graphing'!F263,-50)</f>
        <v>-50</v>
      </c>
      <c r="L263" s="55">
        <f>IF('Quick Test Mass Balance Tool'!$X$15='Crop N Graphing'!A263,'Crop N Graphing'!F263,-50)</f>
        <v>-50</v>
      </c>
    </row>
    <row r="264" spans="1:12" x14ac:dyDescent="0.25">
      <c r="A264" s="55">
        <v>261</v>
      </c>
      <c r="B264" s="55">
        <f>VLOOKUP('Quick Test Mass Balance Tool'!$K$10&amp;'Quick Test Mass Balance Tool'!$K$12,'Crop parameters'!$C$3:$J$509,5,FALSE)</f>
        <v>0.17233999999999999</v>
      </c>
      <c r="C264" s="33">
        <f>VLOOKUP('Quick Test Mass Balance Tool'!$K$10&amp;'Quick Test Mass Balance Tool'!$K$12,'Crop parameters'!$C$3:$J$509,6,FALSE)</f>
        <v>29.87</v>
      </c>
      <c r="D264" s="55">
        <f>VLOOKUP('Quick Test Mass Balance Tool'!$K$10&amp;'Quick Test Mass Balance Tool'!$K$12,'Crop parameters'!$C$3:$J$509,7,FALSE)</f>
        <v>194.6</v>
      </c>
      <c r="E264" s="55">
        <f>VLOOKUP('Quick Test Mass Balance Tool'!$K$10&amp;'Quick Test Mass Balance Tool'!$K$12,'Crop parameters'!$C$3:$J$509,8,FALSE)</f>
        <v>-1.1850000000000001</v>
      </c>
      <c r="F264" s="55">
        <f t="shared" si="12"/>
        <v>193.41499999999999</v>
      </c>
      <c r="G264" s="4">
        <f>VLOOKUP('Quick Test Mass Balance Tool'!$K$10&amp;'Quick Test Mass Balance Tool'!$K$12,'Crop parameters'!$C$3:$J$509,4,FALSE)-F264</f>
        <v>-85.039999999999978</v>
      </c>
      <c r="I264" s="56" t="str">
        <f t="shared" si="17"/>
        <v/>
      </c>
      <c r="J264" s="57" t="str">
        <f t="shared" si="16"/>
        <v/>
      </c>
      <c r="K264" s="55">
        <f>IF(_xlfn.DAYS('Quick Test Mass Balance Tool'!$O$10,'Quick Test Mass Balance Tool'!$K$11)='Crop N Graphing'!A264,'Crop N Graphing'!F264,-50)</f>
        <v>-50</v>
      </c>
      <c r="L264" s="55">
        <f>IF('Quick Test Mass Balance Tool'!$X$15='Crop N Graphing'!A264,'Crop N Graphing'!F264,-50)</f>
        <v>-50</v>
      </c>
    </row>
    <row r="265" spans="1:12" x14ac:dyDescent="0.25">
      <c r="A265" s="55">
        <v>262</v>
      </c>
      <c r="B265" s="55">
        <f>VLOOKUP('Quick Test Mass Balance Tool'!$K$10&amp;'Quick Test Mass Balance Tool'!$K$12,'Crop parameters'!$C$3:$J$509,5,FALSE)</f>
        <v>0.17233999999999999</v>
      </c>
      <c r="C265" s="33">
        <f>VLOOKUP('Quick Test Mass Balance Tool'!$K$10&amp;'Quick Test Mass Balance Tool'!$K$12,'Crop parameters'!$C$3:$J$509,6,FALSE)</f>
        <v>29.87</v>
      </c>
      <c r="D265" s="55">
        <f>VLOOKUP('Quick Test Mass Balance Tool'!$K$10&amp;'Quick Test Mass Balance Tool'!$K$12,'Crop parameters'!$C$3:$J$509,7,FALSE)</f>
        <v>194.6</v>
      </c>
      <c r="E265" s="55">
        <f>VLOOKUP('Quick Test Mass Balance Tool'!$K$10&amp;'Quick Test Mass Balance Tool'!$K$12,'Crop parameters'!$C$3:$J$509,8,FALSE)</f>
        <v>-1.1850000000000001</v>
      </c>
      <c r="F265" s="55">
        <f t="shared" si="12"/>
        <v>193.41499999999999</v>
      </c>
      <c r="G265" s="4">
        <f>VLOOKUP('Quick Test Mass Balance Tool'!$K$10&amp;'Quick Test Mass Balance Tool'!$K$12,'Crop parameters'!$C$3:$J$509,4,FALSE)-F265</f>
        <v>-85.039999999999978</v>
      </c>
      <c r="I265" s="56" t="str">
        <f t="shared" si="17"/>
        <v/>
      </c>
      <c r="J265" s="57" t="str">
        <f t="shared" si="16"/>
        <v/>
      </c>
      <c r="K265" s="55">
        <f>IF(_xlfn.DAYS('Quick Test Mass Balance Tool'!$O$10,'Quick Test Mass Balance Tool'!$K$11)='Crop N Graphing'!A265,'Crop N Graphing'!F265,-50)</f>
        <v>-50</v>
      </c>
      <c r="L265" s="55">
        <f>IF('Quick Test Mass Balance Tool'!$X$15='Crop N Graphing'!A265,'Crop N Graphing'!F265,-50)</f>
        <v>-50</v>
      </c>
    </row>
    <row r="266" spans="1:12" x14ac:dyDescent="0.25">
      <c r="A266" s="55">
        <v>263</v>
      </c>
      <c r="B266" s="55">
        <f>VLOOKUP('Quick Test Mass Balance Tool'!$K$10&amp;'Quick Test Mass Balance Tool'!$K$12,'Crop parameters'!$C$3:$J$509,5,FALSE)</f>
        <v>0.17233999999999999</v>
      </c>
      <c r="C266" s="33">
        <f>VLOOKUP('Quick Test Mass Balance Tool'!$K$10&amp;'Quick Test Mass Balance Tool'!$K$12,'Crop parameters'!$C$3:$J$509,6,FALSE)</f>
        <v>29.87</v>
      </c>
      <c r="D266" s="55">
        <f>VLOOKUP('Quick Test Mass Balance Tool'!$K$10&amp;'Quick Test Mass Balance Tool'!$K$12,'Crop parameters'!$C$3:$J$509,7,FALSE)</f>
        <v>194.6</v>
      </c>
      <c r="E266" s="55">
        <f>VLOOKUP('Quick Test Mass Balance Tool'!$K$10&amp;'Quick Test Mass Balance Tool'!$K$12,'Crop parameters'!$C$3:$J$509,8,FALSE)</f>
        <v>-1.1850000000000001</v>
      </c>
      <c r="F266" s="55">
        <f t="shared" si="12"/>
        <v>193.41499999999999</v>
      </c>
      <c r="G266" s="4">
        <f>VLOOKUP('Quick Test Mass Balance Tool'!$K$10&amp;'Quick Test Mass Balance Tool'!$K$12,'Crop parameters'!$C$3:$J$509,4,FALSE)-F266</f>
        <v>-85.039999999999978</v>
      </c>
      <c r="I266" s="56" t="str">
        <f t="shared" si="17"/>
        <v/>
      </c>
      <c r="J266" s="57" t="str">
        <f t="shared" si="16"/>
        <v/>
      </c>
      <c r="K266" s="55">
        <f>IF(_xlfn.DAYS('Quick Test Mass Balance Tool'!$O$10,'Quick Test Mass Balance Tool'!$K$11)='Crop N Graphing'!A266,'Crop N Graphing'!F266,-50)</f>
        <v>-50</v>
      </c>
      <c r="L266" s="55">
        <f>IF('Quick Test Mass Balance Tool'!$X$15='Crop N Graphing'!A266,'Crop N Graphing'!F266,-50)</f>
        <v>-50</v>
      </c>
    </row>
    <row r="267" spans="1:12" x14ac:dyDescent="0.25">
      <c r="A267" s="55">
        <v>264</v>
      </c>
      <c r="B267" s="55">
        <f>VLOOKUP('Quick Test Mass Balance Tool'!$K$10&amp;'Quick Test Mass Balance Tool'!$K$12,'Crop parameters'!$C$3:$J$509,5,FALSE)</f>
        <v>0.17233999999999999</v>
      </c>
      <c r="C267" s="33">
        <f>VLOOKUP('Quick Test Mass Balance Tool'!$K$10&amp;'Quick Test Mass Balance Tool'!$K$12,'Crop parameters'!$C$3:$J$509,6,FALSE)</f>
        <v>29.87</v>
      </c>
      <c r="D267" s="55">
        <f>VLOOKUP('Quick Test Mass Balance Tool'!$K$10&amp;'Quick Test Mass Balance Tool'!$K$12,'Crop parameters'!$C$3:$J$509,7,FALSE)</f>
        <v>194.6</v>
      </c>
      <c r="E267" s="55">
        <f>VLOOKUP('Quick Test Mass Balance Tool'!$K$10&amp;'Quick Test Mass Balance Tool'!$K$12,'Crop parameters'!$C$3:$J$509,8,FALSE)</f>
        <v>-1.1850000000000001</v>
      </c>
      <c r="F267" s="55">
        <f t="shared" si="12"/>
        <v>193.41499999999999</v>
      </c>
      <c r="G267" s="4">
        <f>VLOOKUP('Quick Test Mass Balance Tool'!$K$10&amp;'Quick Test Mass Balance Tool'!$K$12,'Crop parameters'!$C$3:$J$509,4,FALSE)-F267</f>
        <v>-85.039999999999978</v>
      </c>
      <c r="I267" s="56" t="str">
        <f t="shared" si="17"/>
        <v/>
      </c>
      <c r="J267" s="57" t="str">
        <f t="shared" si="16"/>
        <v/>
      </c>
      <c r="K267" s="55">
        <f>IF(_xlfn.DAYS('Quick Test Mass Balance Tool'!$O$10,'Quick Test Mass Balance Tool'!$K$11)='Crop N Graphing'!A267,'Crop N Graphing'!F267,-50)</f>
        <v>-50</v>
      </c>
      <c r="L267" s="55">
        <f>IF('Quick Test Mass Balance Tool'!$X$15='Crop N Graphing'!A267,'Crop N Graphing'!F267,-50)</f>
        <v>-50</v>
      </c>
    </row>
    <row r="268" spans="1:12" x14ac:dyDescent="0.25">
      <c r="A268" s="55">
        <v>265</v>
      </c>
      <c r="B268" s="55">
        <f>VLOOKUP('Quick Test Mass Balance Tool'!$K$10&amp;'Quick Test Mass Balance Tool'!$K$12,'Crop parameters'!$C$3:$J$509,5,FALSE)</f>
        <v>0.17233999999999999</v>
      </c>
      <c r="C268" s="33">
        <f>VLOOKUP('Quick Test Mass Balance Tool'!$K$10&amp;'Quick Test Mass Balance Tool'!$K$12,'Crop parameters'!$C$3:$J$509,6,FALSE)</f>
        <v>29.87</v>
      </c>
      <c r="D268" s="55">
        <f>VLOOKUP('Quick Test Mass Balance Tool'!$K$10&amp;'Quick Test Mass Balance Tool'!$K$12,'Crop parameters'!$C$3:$J$509,7,FALSE)</f>
        <v>194.6</v>
      </c>
      <c r="E268" s="55">
        <f>VLOOKUP('Quick Test Mass Balance Tool'!$K$10&amp;'Quick Test Mass Balance Tool'!$K$12,'Crop parameters'!$C$3:$J$509,8,FALSE)</f>
        <v>-1.1850000000000001</v>
      </c>
      <c r="F268" s="55">
        <f t="shared" ref="F268:F283" si="18">IF((E268+D268/(1+EXP(-B268*(A268-C268))))&lt;0,0,E268+D268/(1+EXP(-B268*(A268-C268))))</f>
        <v>193.41499999999999</v>
      </c>
      <c r="G268" s="4">
        <f>VLOOKUP('Quick Test Mass Balance Tool'!$K$10&amp;'Quick Test Mass Balance Tool'!$K$12,'Crop parameters'!$C$3:$J$509,4,FALSE)-F268</f>
        <v>-85.039999999999978</v>
      </c>
      <c r="I268" s="56" t="str">
        <f t="shared" si="17"/>
        <v/>
      </c>
      <c r="J268" s="57" t="str">
        <f t="shared" si="16"/>
        <v/>
      </c>
      <c r="K268" s="55">
        <f>IF(_xlfn.DAYS('Quick Test Mass Balance Tool'!$O$10,'Quick Test Mass Balance Tool'!$K$11)='Crop N Graphing'!A268,'Crop N Graphing'!F268,-50)</f>
        <v>-50</v>
      </c>
      <c r="L268" s="55">
        <f>IF('Quick Test Mass Balance Tool'!$X$15='Crop N Graphing'!A268,'Crop N Graphing'!F268,-50)</f>
        <v>-50</v>
      </c>
    </row>
    <row r="269" spans="1:12" x14ac:dyDescent="0.25">
      <c r="A269" s="55">
        <v>266</v>
      </c>
      <c r="B269" s="55">
        <f>VLOOKUP('Quick Test Mass Balance Tool'!$K$10&amp;'Quick Test Mass Balance Tool'!$K$12,'Crop parameters'!$C$3:$J$509,5,FALSE)</f>
        <v>0.17233999999999999</v>
      </c>
      <c r="C269" s="33">
        <f>VLOOKUP('Quick Test Mass Balance Tool'!$K$10&amp;'Quick Test Mass Balance Tool'!$K$12,'Crop parameters'!$C$3:$J$509,6,FALSE)</f>
        <v>29.87</v>
      </c>
      <c r="D269" s="55">
        <f>VLOOKUP('Quick Test Mass Balance Tool'!$K$10&amp;'Quick Test Mass Balance Tool'!$K$12,'Crop parameters'!$C$3:$J$509,7,FALSE)</f>
        <v>194.6</v>
      </c>
      <c r="E269" s="55">
        <f>VLOOKUP('Quick Test Mass Balance Tool'!$K$10&amp;'Quick Test Mass Balance Tool'!$K$12,'Crop parameters'!$C$3:$J$509,8,FALSE)</f>
        <v>-1.1850000000000001</v>
      </c>
      <c r="F269" s="55">
        <f t="shared" si="18"/>
        <v>193.41499999999999</v>
      </c>
      <c r="G269" s="4">
        <f>VLOOKUP('Quick Test Mass Balance Tool'!$K$10&amp;'Quick Test Mass Balance Tool'!$K$12,'Crop parameters'!$C$3:$J$509,4,FALSE)-F269</f>
        <v>-85.039999999999978</v>
      </c>
      <c r="I269" s="56" t="str">
        <f t="shared" si="17"/>
        <v/>
      </c>
      <c r="J269" s="57" t="str">
        <f t="shared" si="16"/>
        <v/>
      </c>
      <c r="K269" s="55">
        <f>IF(_xlfn.DAYS('Quick Test Mass Balance Tool'!$O$10,'Quick Test Mass Balance Tool'!$K$11)='Crop N Graphing'!A269,'Crop N Graphing'!F269,-50)</f>
        <v>-50</v>
      </c>
      <c r="L269" s="55">
        <f>IF('Quick Test Mass Balance Tool'!$X$15='Crop N Graphing'!A269,'Crop N Graphing'!F269,-50)</f>
        <v>-50</v>
      </c>
    </row>
    <row r="270" spans="1:12" x14ac:dyDescent="0.25">
      <c r="A270" s="55">
        <v>267</v>
      </c>
      <c r="B270" s="55">
        <f>VLOOKUP('Quick Test Mass Balance Tool'!$K$10&amp;'Quick Test Mass Balance Tool'!$K$12,'Crop parameters'!$C$3:$J$509,5,FALSE)</f>
        <v>0.17233999999999999</v>
      </c>
      <c r="C270" s="33">
        <f>VLOOKUP('Quick Test Mass Balance Tool'!$K$10&amp;'Quick Test Mass Balance Tool'!$K$12,'Crop parameters'!$C$3:$J$509,6,FALSE)</f>
        <v>29.87</v>
      </c>
      <c r="D270" s="55">
        <f>VLOOKUP('Quick Test Mass Balance Tool'!$K$10&amp;'Quick Test Mass Balance Tool'!$K$12,'Crop parameters'!$C$3:$J$509,7,FALSE)</f>
        <v>194.6</v>
      </c>
      <c r="E270" s="55">
        <f>VLOOKUP('Quick Test Mass Balance Tool'!$K$10&amp;'Quick Test Mass Balance Tool'!$K$12,'Crop parameters'!$C$3:$J$509,8,FALSE)</f>
        <v>-1.1850000000000001</v>
      </c>
      <c r="F270" s="55">
        <f t="shared" si="18"/>
        <v>193.41499999999999</v>
      </c>
      <c r="G270" s="4">
        <f>VLOOKUP('Quick Test Mass Balance Tool'!$K$10&amp;'Quick Test Mass Balance Tool'!$K$12,'Crop parameters'!$C$3:$J$509,4,FALSE)-F270</f>
        <v>-85.039999999999978</v>
      </c>
      <c r="I270" s="56" t="str">
        <f t="shared" si="17"/>
        <v/>
      </c>
      <c r="J270" s="57" t="str">
        <f t="shared" si="16"/>
        <v/>
      </c>
      <c r="K270" s="55">
        <f>IF(_xlfn.DAYS('Quick Test Mass Balance Tool'!$O$10,'Quick Test Mass Balance Tool'!$K$11)='Crop N Graphing'!A270,'Crop N Graphing'!F270,-50)</f>
        <v>-50</v>
      </c>
      <c r="L270" s="55">
        <f>IF('Quick Test Mass Balance Tool'!$X$15='Crop N Graphing'!A270,'Crop N Graphing'!F270,-50)</f>
        <v>-50</v>
      </c>
    </row>
    <row r="271" spans="1:12" x14ac:dyDescent="0.25">
      <c r="A271" s="55">
        <v>268</v>
      </c>
      <c r="B271" s="55">
        <f>VLOOKUP('Quick Test Mass Balance Tool'!$K$10&amp;'Quick Test Mass Balance Tool'!$K$12,'Crop parameters'!$C$3:$J$509,5,FALSE)</f>
        <v>0.17233999999999999</v>
      </c>
      <c r="C271" s="33">
        <f>VLOOKUP('Quick Test Mass Balance Tool'!$K$10&amp;'Quick Test Mass Balance Tool'!$K$12,'Crop parameters'!$C$3:$J$509,6,FALSE)</f>
        <v>29.87</v>
      </c>
      <c r="D271" s="55">
        <f>VLOOKUP('Quick Test Mass Balance Tool'!$K$10&amp;'Quick Test Mass Balance Tool'!$K$12,'Crop parameters'!$C$3:$J$509,7,FALSE)</f>
        <v>194.6</v>
      </c>
      <c r="E271" s="55">
        <f>VLOOKUP('Quick Test Mass Balance Tool'!$K$10&amp;'Quick Test Mass Balance Tool'!$K$12,'Crop parameters'!$C$3:$J$509,8,FALSE)</f>
        <v>-1.1850000000000001</v>
      </c>
      <c r="F271" s="55">
        <f t="shared" si="18"/>
        <v>193.41499999999999</v>
      </c>
      <c r="G271" s="4">
        <f>VLOOKUP('Quick Test Mass Balance Tool'!$K$10&amp;'Quick Test Mass Balance Tool'!$K$12,'Crop parameters'!$C$3:$J$509,4,FALSE)-F271</f>
        <v>-85.039999999999978</v>
      </c>
      <c r="I271" s="56" t="str">
        <f t="shared" si="17"/>
        <v/>
      </c>
      <c r="J271" s="57" t="str">
        <f t="shared" si="16"/>
        <v/>
      </c>
      <c r="K271" s="55">
        <f>IF(_xlfn.DAYS('Quick Test Mass Balance Tool'!$O$10,'Quick Test Mass Balance Tool'!$K$11)='Crop N Graphing'!A271,'Crop N Graphing'!F271,-50)</f>
        <v>-50</v>
      </c>
      <c r="L271" s="55">
        <f>IF('Quick Test Mass Balance Tool'!$X$15='Crop N Graphing'!A271,'Crop N Graphing'!F271,-50)</f>
        <v>-50</v>
      </c>
    </row>
    <row r="272" spans="1:12" x14ac:dyDescent="0.25">
      <c r="A272" s="55">
        <v>269</v>
      </c>
      <c r="B272" s="55">
        <f>VLOOKUP('Quick Test Mass Balance Tool'!$K$10&amp;'Quick Test Mass Balance Tool'!$K$12,'Crop parameters'!$C$3:$J$509,5,FALSE)</f>
        <v>0.17233999999999999</v>
      </c>
      <c r="C272" s="33">
        <f>VLOOKUP('Quick Test Mass Balance Tool'!$K$10&amp;'Quick Test Mass Balance Tool'!$K$12,'Crop parameters'!$C$3:$J$509,6,FALSE)</f>
        <v>29.87</v>
      </c>
      <c r="D272" s="55">
        <f>VLOOKUP('Quick Test Mass Balance Tool'!$K$10&amp;'Quick Test Mass Balance Tool'!$K$12,'Crop parameters'!$C$3:$J$509,7,FALSE)</f>
        <v>194.6</v>
      </c>
      <c r="E272" s="55">
        <f>VLOOKUP('Quick Test Mass Balance Tool'!$K$10&amp;'Quick Test Mass Balance Tool'!$K$12,'Crop parameters'!$C$3:$J$509,8,FALSE)</f>
        <v>-1.1850000000000001</v>
      </c>
      <c r="F272" s="55">
        <f t="shared" si="18"/>
        <v>193.41499999999999</v>
      </c>
      <c r="G272" s="4">
        <f>VLOOKUP('Quick Test Mass Balance Tool'!$K$10&amp;'Quick Test Mass Balance Tool'!$K$12,'Crop parameters'!$C$3:$J$509,4,FALSE)-F272</f>
        <v>-85.039999999999978</v>
      </c>
      <c r="I272" s="56" t="str">
        <f t="shared" si="17"/>
        <v/>
      </c>
      <c r="J272" s="57" t="str">
        <f t="shared" si="16"/>
        <v/>
      </c>
      <c r="K272" s="55">
        <f>IF(_xlfn.DAYS('Quick Test Mass Balance Tool'!$O$10,'Quick Test Mass Balance Tool'!$K$11)='Crop N Graphing'!A272,'Crop N Graphing'!F272,-50)</f>
        <v>-50</v>
      </c>
      <c r="L272" s="55">
        <f>IF('Quick Test Mass Balance Tool'!$X$15='Crop N Graphing'!A272,'Crop N Graphing'!F272,-50)</f>
        <v>-50</v>
      </c>
    </row>
    <row r="273" spans="1:12" x14ac:dyDescent="0.25">
      <c r="A273" s="55">
        <v>270</v>
      </c>
      <c r="B273" s="55">
        <f>VLOOKUP('Quick Test Mass Balance Tool'!$K$10&amp;'Quick Test Mass Balance Tool'!$K$12,'Crop parameters'!$C$3:$J$509,5,FALSE)</f>
        <v>0.17233999999999999</v>
      </c>
      <c r="C273" s="33">
        <f>VLOOKUP('Quick Test Mass Balance Tool'!$K$10&amp;'Quick Test Mass Balance Tool'!$K$12,'Crop parameters'!$C$3:$J$509,6,FALSE)</f>
        <v>29.87</v>
      </c>
      <c r="D273" s="55">
        <f>VLOOKUP('Quick Test Mass Balance Tool'!$K$10&amp;'Quick Test Mass Balance Tool'!$K$12,'Crop parameters'!$C$3:$J$509,7,FALSE)</f>
        <v>194.6</v>
      </c>
      <c r="E273" s="55">
        <f>VLOOKUP('Quick Test Mass Balance Tool'!$K$10&amp;'Quick Test Mass Balance Tool'!$K$12,'Crop parameters'!$C$3:$J$509,8,FALSE)</f>
        <v>-1.1850000000000001</v>
      </c>
      <c r="F273" s="55">
        <f t="shared" si="18"/>
        <v>193.41499999999999</v>
      </c>
      <c r="G273" s="4">
        <f>VLOOKUP('Quick Test Mass Balance Tool'!$K$10&amp;'Quick Test Mass Balance Tool'!$K$12,'Crop parameters'!$C$3:$J$509,4,FALSE)-F273</f>
        <v>-85.039999999999978</v>
      </c>
      <c r="I273" s="56" t="str">
        <f t="shared" si="17"/>
        <v/>
      </c>
      <c r="J273" s="57" t="str">
        <f t="shared" si="16"/>
        <v/>
      </c>
      <c r="K273" s="55">
        <f>IF(_xlfn.DAYS('Quick Test Mass Balance Tool'!$O$10,'Quick Test Mass Balance Tool'!$K$11)='Crop N Graphing'!A273,'Crop N Graphing'!F273,-50)</f>
        <v>-50</v>
      </c>
      <c r="L273" s="55">
        <f>IF('Quick Test Mass Balance Tool'!$X$15='Crop N Graphing'!A273,'Crop N Graphing'!F273,-50)</f>
        <v>-50</v>
      </c>
    </row>
    <row r="274" spans="1:12" x14ac:dyDescent="0.25">
      <c r="A274" s="55">
        <v>271</v>
      </c>
      <c r="B274" s="55">
        <f>VLOOKUP('Quick Test Mass Balance Tool'!$K$10&amp;'Quick Test Mass Balance Tool'!$K$12,'Crop parameters'!$C$3:$J$509,5,FALSE)</f>
        <v>0.17233999999999999</v>
      </c>
      <c r="C274" s="33">
        <f>VLOOKUP('Quick Test Mass Balance Tool'!$K$10&amp;'Quick Test Mass Balance Tool'!$K$12,'Crop parameters'!$C$3:$J$509,6,FALSE)</f>
        <v>29.87</v>
      </c>
      <c r="D274" s="55">
        <f>VLOOKUP('Quick Test Mass Balance Tool'!$K$10&amp;'Quick Test Mass Balance Tool'!$K$12,'Crop parameters'!$C$3:$J$509,7,FALSE)</f>
        <v>194.6</v>
      </c>
      <c r="E274" s="55">
        <f>VLOOKUP('Quick Test Mass Balance Tool'!$K$10&amp;'Quick Test Mass Balance Tool'!$K$12,'Crop parameters'!$C$3:$J$509,8,FALSE)</f>
        <v>-1.1850000000000001</v>
      </c>
      <c r="F274" s="55">
        <f t="shared" si="18"/>
        <v>193.41499999999999</v>
      </c>
      <c r="G274" s="4">
        <f>VLOOKUP('Quick Test Mass Balance Tool'!$K$10&amp;'Quick Test Mass Balance Tool'!$K$12,'Crop parameters'!$C$3:$J$509,4,FALSE)-F274</f>
        <v>-85.039999999999978</v>
      </c>
      <c r="I274" s="56" t="str">
        <f t="shared" si="17"/>
        <v/>
      </c>
      <c r="J274" s="57" t="str">
        <f t="shared" si="16"/>
        <v/>
      </c>
      <c r="K274" s="55">
        <f>IF(_xlfn.DAYS('Quick Test Mass Balance Tool'!$O$10,'Quick Test Mass Balance Tool'!$K$11)='Crop N Graphing'!A274,'Crop N Graphing'!F274,-50)</f>
        <v>-50</v>
      </c>
      <c r="L274" s="55">
        <f>IF('Quick Test Mass Balance Tool'!$X$15='Crop N Graphing'!A274,'Crop N Graphing'!F274,-50)</f>
        <v>-50</v>
      </c>
    </row>
    <row r="275" spans="1:12" x14ac:dyDescent="0.25">
      <c r="A275" s="55">
        <v>272</v>
      </c>
      <c r="B275" s="55">
        <f>VLOOKUP('Quick Test Mass Balance Tool'!$K$10&amp;'Quick Test Mass Balance Tool'!$K$12,'Crop parameters'!$C$3:$J$509,5,FALSE)</f>
        <v>0.17233999999999999</v>
      </c>
      <c r="C275" s="33">
        <f>VLOOKUP('Quick Test Mass Balance Tool'!$K$10&amp;'Quick Test Mass Balance Tool'!$K$12,'Crop parameters'!$C$3:$J$509,6,FALSE)</f>
        <v>29.87</v>
      </c>
      <c r="D275" s="55">
        <f>VLOOKUP('Quick Test Mass Balance Tool'!$K$10&amp;'Quick Test Mass Balance Tool'!$K$12,'Crop parameters'!$C$3:$J$509,7,FALSE)</f>
        <v>194.6</v>
      </c>
      <c r="E275" s="55">
        <f>VLOOKUP('Quick Test Mass Balance Tool'!$K$10&amp;'Quick Test Mass Balance Tool'!$K$12,'Crop parameters'!$C$3:$J$509,8,FALSE)</f>
        <v>-1.1850000000000001</v>
      </c>
      <c r="F275" s="55">
        <f t="shared" si="18"/>
        <v>193.41499999999999</v>
      </c>
      <c r="G275" s="4">
        <f>VLOOKUP('Quick Test Mass Balance Tool'!$K$10&amp;'Quick Test Mass Balance Tool'!$K$12,'Crop parameters'!$C$3:$J$509,4,FALSE)-F275</f>
        <v>-85.039999999999978</v>
      </c>
      <c r="I275" s="56" t="str">
        <f t="shared" si="17"/>
        <v/>
      </c>
      <c r="J275" s="57" t="str">
        <f t="shared" si="16"/>
        <v/>
      </c>
      <c r="K275" s="55">
        <f>IF(_xlfn.DAYS('Quick Test Mass Balance Tool'!$O$10,'Quick Test Mass Balance Tool'!$K$11)='Crop N Graphing'!A275,'Crop N Graphing'!F275,-50)</f>
        <v>-50</v>
      </c>
      <c r="L275" s="55">
        <f>IF('Quick Test Mass Balance Tool'!$X$15='Crop N Graphing'!A275,'Crop N Graphing'!F275,-50)</f>
        <v>-50</v>
      </c>
    </row>
    <row r="276" spans="1:12" x14ac:dyDescent="0.25">
      <c r="A276" s="55">
        <v>273</v>
      </c>
      <c r="B276" s="55">
        <f>VLOOKUP('Quick Test Mass Balance Tool'!$K$10&amp;'Quick Test Mass Balance Tool'!$K$12,'Crop parameters'!$C$3:$J$509,5,FALSE)</f>
        <v>0.17233999999999999</v>
      </c>
      <c r="C276" s="33">
        <f>VLOOKUP('Quick Test Mass Balance Tool'!$K$10&amp;'Quick Test Mass Balance Tool'!$K$12,'Crop parameters'!$C$3:$J$509,6,FALSE)</f>
        <v>29.87</v>
      </c>
      <c r="D276" s="55">
        <f>VLOOKUP('Quick Test Mass Balance Tool'!$K$10&amp;'Quick Test Mass Balance Tool'!$K$12,'Crop parameters'!$C$3:$J$509,7,FALSE)</f>
        <v>194.6</v>
      </c>
      <c r="E276" s="55">
        <f>VLOOKUP('Quick Test Mass Balance Tool'!$K$10&amp;'Quick Test Mass Balance Tool'!$K$12,'Crop parameters'!$C$3:$J$509,8,FALSE)</f>
        <v>-1.1850000000000001</v>
      </c>
      <c r="F276" s="55">
        <f t="shared" si="18"/>
        <v>193.41499999999999</v>
      </c>
      <c r="G276" s="4">
        <f>VLOOKUP('Quick Test Mass Balance Tool'!$K$10&amp;'Quick Test Mass Balance Tool'!$K$12,'Crop parameters'!$C$3:$J$509,4,FALSE)-F276</f>
        <v>-85.039999999999978</v>
      </c>
      <c r="I276" s="56" t="str">
        <f t="shared" si="17"/>
        <v/>
      </c>
      <c r="J276" s="57" t="str">
        <f t="shared" si="16"/>
        <v/>
      </c>
      <c r="K276" s="55">
        <f>IF(_xlfn.DAYS('Quick Test Mass Balance Tool'!$O$10,'Quick Test Mass Balance Tool'!$K$11)='Crop N Graphing'!A276,'Crop N Graphing'!F276,-50)</f>
        <v>-50</v>
      </c>
      <c r="L276" s="55">
        <f>IF('Quick Test Mass Balance Tool'!$X$15='Crop N Graphing'!A276,'Crop N Graphing'!F276,-50)</f>
        <v>-50</v>
      </c>
    </row>
    <row r="277" spans="1:12" x14ac:dyDescent="0.25">
      <c r="A277" s="55">
        <v>274</v>
      </c>
      <c r="B277" s="55">
        <f>VLOOKUP('Quick Test Mass Balance Tool'!$K$10&amp;'Quick Test Mass Balance Tool'!$K$12,'Crop parameters'!$C$3:$J$509,5,FALSE)</f>
        <v>0.17233999999999999</v>
      </c>
      <c r="C277" s="33">
        <f>VLOOKUP('Quick Test Mass Balance Tool'!$K$10&amp;'Quick Test Mass Balance Tool'!$K$12,'Crop parameters'!$C$3:$J$509,6,FALSE)</f>
        <v>29.87</v>
      </c>
      <c r="D277" s="55">
        <f>VLOOKUP('Quick Test Mass Balance Tool'!$K$10&amp;'Quick Test Mass Balance Tool'!$K$12,'Crop parameters'!$C$3:$J$509,7,FALSE)</f>
        <v>194.6</v>
      </c>
      <c r="E277" s="55">
        <f>VLOOKUP('Quick Test Mass Balance Tool'!$K$10&amp;'Quick Test Mass Balance Tool'!$K$12,'Crop parameters'!$C$3:$J$509,8,FALSE)</f>
        <v>-1.1850000000000001</v>
      </c>
      <c r="F277" s="55">
        <f t="shared" si="18"/>
        <v>193.41499999999999</v>
      </c>
      <c r="G277" s="4">
        <f>VLOOKUP('Quick Test Mass Balance Tool'!$K$10&amp;'Quick Test Mass Balance Tool'!$K$12,'Crop parameters'!$C$3:$J$509,4,FALSE)-F277</f>
        <v>-85.039999999999978</v>
      </c>
      <c r="I277" s="56" t="str">
        <f t="shared" si="17"/>
        <v/>
      </c>
      <c r="J277" s="57" t="str">
        <f t="shared" si="16"/>
        <v/>
      </c>
      <c r="K277" s="55">
        <f>IF(_xlfn.DAYS('Quick Test Mass Balance Tool'!$O$10,'Quick Test Mass Balance Tool'!$K$11)='Crop N Graphing'!A277,'Crop N Graphing'!F277,-50)</f>
        <v>-50</v>
      </c>
      <c r="L277" s="55">
        <f>IF('Quick Test Mass Balance Tool'!$X$15='Crop N Graphing'!A277,'Crop N Graphing'!F277,-50)</f>
        <v>-50</v>
      </c>
    </row>
    <row r="278" spans="1:12" x14ac:dyDescent="0.25">
      <c r="A278" s="55">
        <v>275</v>
      </c>
      <c r="B278" s="55">
        <f>VLOOKUP('Quick Test Mass Balance Tool'!$K$10&amp;'Quick Test Mass Balance Tool'!$K$12,'Crop parameters'!$C$3:$J$509,5,FALSE)</f>
        <v>0.17233999999999999</v>
      </c>
      <c r="C278" s="33">
        <f>VLOOKUP('Quick Test Mass Balance Tool'!$K$10&amp;'Quick Test Mass Balance Tool'!$K$12,'Crop parameters'!$C$3:$J$509,6,FALSE)</f>
        <v>29.87</v>
      </c>
      <c r="D278" s="55">
        <f>VLOOKUP('Quick Test Mass Balance Tool'!$K$10&amp;'Quick Test Mass Balance Tool'!$K$12,'Crop parameters'!$C$3:$J$509,7,FALSE)</f>
        <v>194.6</v>
      </c>
      <c r="E278" s="55">
        <f>VLOOKUP('Quick Test Mass Balance Tool'!$K$10&amp;'Quick Test Mass Balance Tool'!$K$12,'Crop parameters'!$C$3:$J$509,8,FALSE)</f>
        <v>-1.1850000000000001</v>
      </c>
      <c r="F278" s="55">
        <f t="shared" si="18"/>
        <v>193.41499999999999</v>
      </c>
      <c r="G278" s="4">
        <f>VLOOKUP('Quick Test Mass Balance Tool'!$K$10&amp;'Quick Test Mass Balance Tool'!$K$12,'Crop parameters'!$C$3:$J$509,4,FALSE)-F278</f>
        <v>-85.039999999999978</v>
      </c>
      <c r="I278" s="56" t="str">
        <f t="shared" si="17"/>
        <v/>
      </c>
      <c r="J278" s="57" t="str">
        <f t="shared" si="16"/>
        <v/>
      </c>
      <c r="K278" s="55">
        <f>IF(_xlfn.DAYS('Quick Test Mass Balance Tool'!$O$10,'Quick Test Mass Balance Tool'!$K$11)='Crop N Graphing'!A278,'Crop N Graphing'!F278,-50)</f>
        <v>-50</v>
      </c>
      <c r="L278" s="55">
        <f>IF('Quick Test Mass Balance Tool'!$X$15='Crop N Graphing'!A278,'Crop N Graphing'!F278,-50)</f>
        <v>-50</v>
      </c>
    </row>
    <row r="279" spans="1:12" x14ac:dyDescent="0.25">
      <c r="A279" s="55">
        <v>276</v>
      </c>
      <c r="B279" s="55">
        <f>VLOOKUP('Quick Test Mass Balance Tool'!$K$10&amp;'Quick Test Mass Balance Tool'!$K$12,'Crop parameters'!$C$3:$J$509,5,FALSE)</f>
        <v>0.17233999999999999</v>
      </c>
      <c r="C279" s="33">
        <f>VLOOKUP('Quick Test Mass Balance Tool'!$K$10&amp;'Quick Test Mass Balance Tool'!$K$12,'Crop parameters'!$C$3:$J$509,6,FALSE)</f>
        <v>29.87</v>
      </c>
      <c r="D279" s="55">
        <f>VLOOKUP('Quick Test Mass Balance Tool'!$K$10&amp;'Quick Test Mass Balance Tool'!$K$12,'Crop parameters'!$C$3:$J$509,7,FALSE)</f>
        <v>194.6</v>
      </c>
      <c r="E279" s="55">
        <f>VLOOKUP('Quick Test Mass Balance Tool'!$K$10&amp;'Quick Test Mass Balance Tool'!$K$12,'Crop parameters'!$C$3:$J$509,8,FALSE)</f>
        <v>-1.1850000000000001</v>
      </c>
      <c r="F279" s="55">
        <f t="shared" si="18"/>
        <v>193.41499999999999</v>
      </c>
      <c r="G279" s="4">
        <f>VLOOKUP('Quick Test Mass Balance Tool'!$K$10&amp;'Quick Test Mass Balance Tool'!$K$12,'Crop parameters'!$C$3:$J$509,4,FALSE)-F279</f>
        <v>-85.039999999999978</v>
      </c>
      <c r="I279" s="56" t="str">
        <f t="shared" si="17"/>
        <v/>
      </c>
      <c r="J279" s="57" t="str">
        <f t="shared" si="16"/>
        <v/>
      </c>
      <c r="K279" s="55">
        <f>IF(_xlfn.DAYS('Quick Test Mass Balance Tool'!$O$10,'Quick Test Mass Balance Tool'!$K$11)='Crop N Graphing'!A279,'Crop N Graphing'!F279,-50)</f>
        <v>-50</v>
      </c>
      <c r="L279" s="55">
        <f>IF('Quick Test Mass Balance Tool'!$X$15='Crop N Graphing'!A279,'Crop N Graphing'!F279,-50)</f>
        <v>-50</v>
      </c>
    </row>
    <row r="280" spans="1:12" x14ac:dyDescent="0.25">
      <c r="A280" s="55">
        <v>277</v>
      </c>
      <c r="B280" s="55">
        <f>VLOOKUP('Quick Test Mass Balance Tool'!$K$10&amp;'Quick Test Mass Balance Tool'!$K$12,'Crop parameters'!$C$3:$J$509,5,FALSE)</f>
        <v>0.17233999999999999</v>
      </c>
      <c r="C280" s="33">
        <f>VLOOKUP('Quick Test Mass Balance Tool'!$K$10&amp;'Quick Test Mass Balance Tool'!$K$12,'Crop parameters'!$C$3:$J$509,6,FALSE)</f>
        <v>29.87</v>
      </c>
      <c r="D280" s="55">
        <f>VLOOKUP('Quick Test Mass Balance Tool'!$K$10&amp;'Quick Test Mass Balance Tool'!$K$12,'Crop parameters'!$C$3:$J$509,7,FALSE)</f>
        <v>194.6</v>
      </c>
      <c r="E280" s="55">
        <f>VLOOKUP('Quick Test Mass Balance Tool'!$K$10&amp;'Quick Test Mass Balance Tool'!$K$12,'Crop parameters'!$C$3:$J$509,8,FALSE)</f>
        <v>-1.1850000000000001</v>
      </c>
      <c r="F280" s="55">
        <f t="shared" si="18"/>
        <v>193.41499999999999</v>
      </c>
      <c r="G280" s="4">
        <f>VLOOKUP('Quick Test Mass Balance Tool'!$K$10&amp;'Quick Test Mass Balance Tool'!$K$12,'Crop parameters'!$C$3:$J$509,4,FALSE)-F280</f>
        <v>-85.039999999999978</v>
      </c>
      <c r="I280" s="56" t="str">
        <f t="shared" si="17"/>
        <v/>
      </c>
      <c r="J280" s="57" t="str">
        <f t="shared" si="16"/>
        <v/>
      </c>
      <c r="K280" s="55">
        <f>IF(_xlfn.DAYS('Quick Test Mass Balance Tool'!$O$10,'Quick Test Mass Balance Tool'!$K$11)='Crop N Graphing'!A280,'Crop N Graphing'!F280,-50)</f>
        <v>-50</v>
      </c>
      <c r="L280" s="55">
        <f>IF('Quick Test Mass Balance Tool'!$X$15='Crop N Graphing'!A280,'Crop N Graphing'!F280,-50)</f>
        <v>-50</v>
      </c>
    </row>
    <row r="281" spans="1:12" x14ac:dyDescent="0.25">
      <c r="A281" s="55">
        <v>278</v>
      </c>
      <c r="B281" s="55">
        <f>VLOOKUP('Quick Test Mass Balance Tool'!$K$10&amp;'Quick Test Mass Balance Tool'!$K$12,'Crop parameters'!$C$3:$J$509,5,FALSE)</f>
        <v>0.17233999999999999</v>
      </c>
      <c r="C281" s="33">
        <f>VLOOKUP('Quick Test Mass Balance Tool'!$K$10&amp;'Quick Test Mass Balance Tool'!$K$12,'Crop parameters'!$C$3:$J$509,6,FALSE)</f>
        <v>29.87</v>
      </c>
      <c r="D281" s="55">
        <f>VLOOKUP('Quick Test Mass Balance Tool'!$K$10&amp;'Quick Test Mass Balance Tool'!$K$12,'Crop parameters'!$C$3:$J$509,7,FALSE)</f>
        <v>194.6</v>
      </c>
      <c r="E281" s="55">
        <f>VLOOKUP('Quick Test Mass Balance Tool'!$K$10&amp;'Quick Test Mass Balance Tool'!$K$12,'Crop parameters'!$C$3:$J$509,8,FALSE)</f>
        <v>-1.1850000000000001</v>
      </c>
      <c r="F281" s="55">
        <f t="shared" si="18"/>
        <v>193.41499999999999</v>
      </c>
      <c r="G281" s="4">
        <f>VLOOKUP('Quick Test Mass Balance Tool'!$K$10&amp;'Quick Test Mass Balance Tool'!$K$12,'Crop parameters'!$C$3:$J$509,4,FALSE)-F281</f>
        <v>-85.039999999999978</v>
      </c>
      <c r="I281" s="56" t="str">
        <f t="shared" si="17"/>
        <v/>
      </c>
      <c r="J281" s="57" t="str">
        <f t="shared" si="16"/>
        <v/>
      </c>
      <c r="K281" s="55">
        <f>IF(_xlfn.DAYS('Quick Test Mass Balance Tool'!$O$10,'Quick Test Mass Balance Tool'!$K$11)='Crop N Graphing'!A281,'Crop N Graphing'!F281,-50)</f>
        <v>-50</v>
      </c>
      <c r="L281" s="55">
        <f>IF('Quick Test Mass Balance Tool'!$X$15='Crop N Graphing'!A281,'Crop N Graphing'!F281,-50)</f>
        <v>-50</v>
      </c>
    </row>
    <row r="282" spans="1:12" x14ac:dyDescent="0.25">
      <c r="A282" s="55">
        <v>279</v>
      </c>
      <c r="B282" s="55">
        <f>VLOOKUP('Quick Test Mass Balance Tool'!$K$10&amp;'Quick Test Mass Balance Tool'!$K$12,'Crop parameters'!$C$3:$J$509,5,FALSE)</f>
        <v>0.17233999999999999</v>
      </c>
      <c r="C282" s="33">
        <f>VLOOKUP('Quick Test Mass Balance Tool'!$K$10&amp;'Quick Test Mass Balance Tool'!$K$12,'Crop parameters'!$C$3:$J$509,6,FALSE)</f>
        <v>29.87</v>
      </c>
      <c r="D282" s="55">
        <f>VLOOKUP('Quick Test Mass Balance Tool'!$K$10&amp;'Quick Test Mass Balance Tool'!$K$12,'Crop parameters'!$C$3:$J$509,7,FALSE)</f>
        <v>194.6</v>
      </c>
      <c r="E282" s="55">
        <f>VLOOKUP('Quick Test Mass Balance Tool'!$K$10&amp;'Quick Test Mass Balance Tool'!$K$12,'Crop parameters'!$C$3:$J$509,8,FALSE)</f>
        <v>-1.1850000000000001</v>
      </c>
      <c r="F282" s="55">
        <f t="shared" si="18"/>
        <v>193.41499999999999</v>
      </c>
      <c r="G282" s="4">
        <f>VLOOKUP('Quick Test Mass Balance Tool'!$K$10&amp;'Quick Test Mass Balance Tool'!$K$12,'Crop parameters'!$C$3:$J$509,4,FALSE)-F282</f>
        <v>-85.039999999999978</v>
      </c>
      <c r="I282" s="56" t="str">
        <f t="shared" si="17"/>
        <v/>
      </c>
      <c r="J282" s="57" t="str">
        <f t="shared" si="16"/>
        <v/>
      </c>
      <c r="K282" s="55">
        <f>IF(_xlfn.DAYS('Quick Test Mass Balance Tool'!$O$10,'Quick Test Mass Balance Tool'!$K$11)='Crop N Graphing'!A282,'Crop N Graphing'!F282,-50)</f>
        <v>-50</v>
      </c>
      <c r="L282" s="55">
        <f>IF('Quick Test Mass Balance Tool'!$X$15='Crop N Graphing'!A282,'Crop N Graphing'!F282,-50)</f>
        <v>-50</v>
      </c>
    </row>
    <row r="283" spans="1:12" x14ac:dyDescent="0.25">
      <c r="A283" s="55">
        <v>280</v>
      </c>
      <c r="B283" s="55">
        <f>VLOOKUP('Quick Test Mass Balance Tool'!$K$10&amp;'Quick Test Mass Balance Tool'!$K$12,'Crop parameters'!$C$3:$J$509,5,FALSE)</f>
        <v>0.17233999999999999</v>
      </c>
      <c r="C283" s="33">
        <f>VLOOKUP('Quick Test Mass Balance Tool'!$K$10&amp;'Quick Test Mass Balance Tool'!$K$12,'Crop parameters'!$C$3:$J$509,6,FALSE)</f>
        <v>29.87</v>
      </c>
      <c r="D283" s="55">
        <f>VLOOKUP('Quick Test Mass Balance Tool'!$K$10&amp;'Quick Test Mass Balance Tool'!$K$12,'Crop parameters'!$C$3:$J$509,7,FALSE)</f>
        <v>194.6</v>
      </c>
      <c r="E283" s="55">
        <f>VLOOKUP('Quick Test Mass Balance Tool'!$K$10&amp;'Quick Test Mass Balance Tool'!$K$12,'Crop parameters'!$C$3:$J$509,8,FALSE)</f>
        <v>-1.1850000000000001</v>
      </c>
      <c r="F283" s="55">
        <f t="shared" si="18"/>
        <v>193.41499999999999</v>
      </c>
      <c r="G283" s="4">
        <f>VLOOKUP('Quick Test Mass Balance Tool'!$K$10&amp;'Quick Test Mass Balance Tool'!$K$12,'Crop parameters'!$C$3:$J$509,4,FALSE)-F283</f>
        <v>-85.039999999999978</v>
      </c>
      <c r="I283" s="56" t="str">
        <f t="shared" si="17"/>
        <v/>
      </c>
      <c r="J283" s="57" t="str">
        <f t="shared" si="16"/>
        <v/>
      </c>
      <c r="K283" s="55">
        <f>IF(_xlfn.DAYS('Quick Test Mass Balance Tool'!$O$10,'Quick Test Mass Balance Tool'!$K$11)='Crop N Graphing'!A283,'Crop N Graphing'!F283,-50)</f>
        <v>-50</v>
      </c>
      <c r="L283" s="55">
        <f>IF('Quick Test Mass Balance Tool'!$X$15='Crop N Graphing'!A283,'Crop N Graphing'!F283,-50)</f>
        <v>-50</v>
      </c>
    </row>
    <row r="284" spans="1:12" x14ac:dyDescent="0.25">
      <c r="A284" s="55"/>
    </row>
    <row r="285" spans="1:12" x14ac:dyDescent="0.25">
      <c r="A285" s="55"/>
    </row>
    <row r="286" spans="1:12" x14ac:dyDescent="0.25">
      <c r="A286" s="55"/>
    </row>
    <row r="287" spans="1:12" x14ac:dyDescent="0.25">
      <c r="A287" s="55"/>
    </row>
    <row r="288" spans="1:12" x14ac:dyDescent="0.25">
      <c r="A288" s="55"/>
    </row>
    <row r="289" spans="1:1" x14ac:dyDescent="0.25">
      <c r="A289" s="55"/>
    </row>
    <row r="290" spans="1:1" x14ac:dyDescent="0.25">
      <c r="A290" s="55"/>
    </row>
    <row r="291" spans="1:1" x14ac:dyDescent="0.25">
      <c r="A291" s="55"/>
    </row>
    <row r="292" spans="1:1" x14ac:dyDescent="0.25">
      <c r="A292" s="55"/>
    </row>
    <row r="293" spans="1:1" x14ac:dyDescent="0.25">
      <c r="A293" s="55"/>
    </row>
    <row r="294" spans="1:1" x14ac:dyDescent="0.25">
      <c r="A294" s="55"/>
    </row>
    <row r="295" spans="1:1" x14ac:dyDescent="0.25">
      <c r="A295" s="55"/>
    </row>
    <row r="296" spans="1:1" x14ac:dyDescent="0.25">
      <c r="A296" s="55"/>
    </row>
  </sheetData>
  <sheetProtection selectLockedCells="1" selectUnlockedCells="1"/>
  <mergeCells count="3">
    <mergeCell ref="J1:K1"/>
    <mergeCell ref="B1:E1"/>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3"/>
  <sheetViews>
    <sheetView workbookViewId="0"/>
  </sheetViews>
  <sheetFormatPr defaultRowHeight="15" x14ac:dyDescent="0.25"/>
  <sheetData>
    <row r="1" spans="1:4" x14ac:dyDescent="0.25">
      <c r="A1" t="str">
        <f>'Quick Test Mass Balance Tool'!O11</f>
        <v>0-15 cm</v>
      </c>
      <c r="B1" t="str">
        <f>'Quick Test Mass Balance Tool'!P11</f>
        <v>15-30 cm</v>
      </c>
      <c r="C1" t="str">
        <f>'Quick Test Mass Balance Tool'!Q11</f>
        <v>-</v>
      </c>
      <c r="D1" t="str">
        <f>'Quick Test Mass Balance Tool'!R11</f>
        <v>Total</v>
      </c>
    </row>
    <row r="2" spans="1:4" x14ac:dyDescent="0.25">
      <c r="A2" s="4">
        <f>'Quick Test Mass Balance Tool'!O20</f>
        <v>56.670460028605966</v>
      </c>
      <c r="B2" s="4">
        <f>'Quick Test Mass Balance Tool'!P20</f>
        <v>22.893237181519005</v>
      </c>
      <c r="C2" s="4">
        <f>'Quick Test Mass Balance Tool'!Q20</f>
        <v>0</v>
      </c>
      <c r="D2">
        <v>0</v>
      </c>
    </row>
    <row r="3" spans="1:4" x14ac:dyDescent="0.25">
      <c r="A3">
        <v>0</v>
      </c>
      <c r="B3">
        <v>0</v>
      </c>
      <c r="C3">
        <v>0</v>
      </c>
      <c r="D3" s="19">
        <f>'Quick Test Mass Balance Tool'!$R$20</f>
        <v>79.563697210124971</v>
      </c>
    </row>
  </sheetData>
  <sheetProtection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9"/>
  <sheetViews>
    <sheetView workbookViewId="0">
      <selection activeCell="F16" sqref="F16"/>
    </sheetView>
  </sheetViews>
  <sheetFormatPr defaultRowHeight="15" x14ac:dyDescent="0.25"/>
  <cols>
    <col min="1" max="1" width="29.7109375" customWidth="1"/>
    <col min="2" max="2" width="12.28515625" style="1" customWidth="1"/>
    <col min="3" max="3" width="24.5703125" customWidth="1"/>
    <col min="4" max="4" width="28.5703125" customWidth="1"/>
    <col min="5" max="5" width="27.7109375" customWidth="1"/>
  </cols>
  <sheetData>
    <row r="1" spans="1:5" x14ac:dyDescent="0.25">
      <c r="A1" s="116" t="s">
        <v>239</v>
      </c>
    </row>
    <row r="2" spans="1:5" x14ac:dyDescent="0.25">
      <c r="A2" s="31" t="s">
        <v>240</v>
      </c>
    </row>
    <row r="3" spans="1:5" x14ac:dyDescent="0.25">
      <c r="A3" s="31" t="s">
        <v>317</v>
      </c>
    </row>
    <row r="4" spans="1:5" x14ac:dyDescent="0.25">
      <c r="A4" s="31" t="s">
        <v>271</v>
      </c>
      <c r="B4" s="50"/>
    </row>
    <row r="6" spans="1:5" x14ac:dyDescent="0.25">
      <c r="A6" t="s">
        <v>236</v>
      </c>
      <c r="B6" s="1" t="s">
        <v>238</v>
      </c>
      <c r="C6" t="s">
        <v>308</v>
      </c>
      <c r="D6" t="s">
        <v>310</v>
      </c>
      <c r="E6" t="s">
        <v>309</v>
      </c>
    </row>
    <row r="7" spans="1:5" x14ac:dyDescent="0.25">
      <c r="A7" t="s">
        <v>233</v>
      </c>
      <c r="B7" s="1">
        <v>90</v>
      </c>
      <c r="C7" s="1">
        <v>0.9</v>
      </c>
      <c r="D7" s="103">
        <v>0.5</v>
      </c>
      <c r="E7" s="1">
        <v>0.3</v>
      </c>
    </row>
    <row r="8" spans="1:5" x14ac:dyDescent="0.25">
      <c r="A8" t="s">
        <v>234</v>
      </c>
      <c r="B8" s="1">
        <v>50</v>
      </c>
      <c r="C8" s="103">
        <v>0.9</v>
      </c>
      <c r="D8" s="103">
        <v>0.5</v>
      </c>
      <c r="E8" s="103">
        <v>0.3</v>
      </c>
    </row>
    <row r="9" spans="1:5" x14ac:dyDescent="0.25">
      <c r="A9" t="s">
        <v>235</v>
      </c>
      <c r="B9" s="1">
        <v>180</v>
      </c>
      <c r="C9" s="103">
        <v>0.9</v>
      </c>
      <c r="D9" s="103">
        <v>0.5</v>
      </c>
      <c r="E9" s="103">
        <v>0.3</v>
      </c>
    </row>
  </sheetData>
  <sheetProtection selectLockedCells="1" selectUn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39"/>
  <sheetViews>
    <sheetView showGridLines="0" workbookViewId="0">
      <selection activeCell="J29" sqref="J29"/>
    </sheetView>
  </sheetViews>
  <sheetFormatPr defaultRowHeight="15" x14ac:dyDescent="0.25"/>
  <sheetData>
    <row r="1" spans="1:10" x14ac:dyDescent="0.25">
      <c r="A1" s="110" t="s">
        <v>319</v>
      </c>
    </row>
    <row r="2" spans="1:10" x14ac:dyDescent="0.25">
      <c r="A2" s="110" t="s">
        <v>320</v>
      </c>
    </row>
    <row r="4" spans="1:10" x14ac:dyDescent="0.25">
      <c r="A4" s="110" t="s">
        <v>329</v>
      </c>
    </row>
    <row r="5" spans="1:10" x14ac:dyDescent="0.25">
      <c r="A5" s="110"/>
    </row>
    <row r="6" spans="1:10" x14ac:dyDescent="0.25">
      <c r="A6" s="110" t="s">
        <v>330</v>
      </c>
    </row>
    <row r="7" spans="1:10" x14ac:dyDescent="0.25">
      <c r="A7" s="117" t="s">
        <v>322</v>
      </c>
      <c r="B7" s="117"/>
      <c r="C7" s="117"/>
      <c r="D7" s="117"/>
      <c r="E7" s="117"/>
      <c r="F7" s="117"/>
      <c r="G7" s="117"/>
      <c r="H7" s="117"/>
      <c r="I7" s="117"/>
      <c r="J7" s="117"/>
    </row>
    <row r="8" spans="1:10" x14ac:dyDescent="0.25">
      <c r="A8" s="117" t="s">
        <v>321</v>
      </c>
      <c r="B8" s="117"/>
      <c r="C8" s="117"/>
      <c r="D8" s="117"/>
      <c r="E8" s="117"/>
      <c r="F8" s="117"/>
      <c r="G8" s="117"/>
      <c r="H8" s="117"/>
      <c r="I8" s="117"/>
      <c r="J8" s="117"/>
    </row>
    <row r="9" spans="1:10" x14ac:dyDescent="0.25">
      <c r="A9" s="117" t="s">
        <v>328</v>
      </c>
      <c r="B9" s="117"/>
      <c r="C9" s="117"/>
      <c r="D9" s="117"/>
      <c r="E9" s="117"/>
      <c r="F9" s="117"/>
      <c r="G9" s="117"/>
      <c r="H9" s="117"/>
      <c r="I9" s="117"/>
      <c r="J9" s="117"/>
    </row>
    <row r="29" spans="1:24" x14ac:dyDescent="0.25">
      <c r="A29" s="107" t="s">
        <v>323</v>
      </c>
    </row>
    <row r="30" spans="1:24" x14ac:dyDescent="0.25">
      <c r="A30" s="117" t="s">
        <v>324</v>
      </c>
      <c r="B30" s="117"/>
      <c r="C30" s="117"/>
      <c r="D30" s="117"/>
      <c r="E30" s="117"/>
      <c r="F30" s="117"/>
      <c r="G30" s="117"/>
      <c r="H30" s="117"/>
      <c r="I30" s="117"/>
      <c r="J30" s="117"/>
      <c r="K30" s="117"/>
      <c r="L30" s="117"/>
      <c r="M30" s="117"/>
      <c r="N30" s="117"/>
      <c r="O30" s="117"/>
      <c r="P30" s="117"/>
      <c r="Q30" s="117"/>
      <c r="R30" s="117"/>
      <c r="S30" s="117"/>
      <c r="T30" s="117"/>
      <c r="U30" s="117"/>
      <c r="V30" s="117"/>
      <c r="W30" s="117"/>
      <c r="X30" s="117"/>
    </row>
    <row r="31" spans="1:24" x14ac:dyDescent="0.25">
      <c r="A31" s="117" t="s">
        <v>325</v>
      </c>
      <c r="B31" s="117"/>
      <c r="C31" s="117"/>
      <c r="D31" s="117"/>
      <c r="E31" s="117"/>
      <c r="F31" s="117"/>
      <c r="G31" s="117"/>
      <c r="H31" s="117"/>
      <c r="I31" s="117"/>
      <c r="J31" s="117"/>
      <c r="K31" s="117"/>
      <c r="L31" s="117"/>
      <c r="M31" s="117"/>
      <c r="N31" s="117"/>
      <c r="O31" s="117"/>
      <c r="P31" s="117"/>
      <c r="Q31" s="117"/>
      <c r="R31" s="117"/>
      <c r="S31" s="117"/>
      <c r="T31" s="117"/>
      <c r="U31" s="117"/>
      <c r="V31" s="117"/>
      <c r="W31" s="117"/>
      <c r="X31" s="117"/>
    </row>
    <row r="32" spans="1:24" x14ac:dyDescent="0.25">
      <c r="A32" s="117" t="s">
        <v>326</v>
      </c>
      <c r="B32" s="117"/>
      <c r="C32" s="117"/>
      <c r="D32" s="117"/>
      <c r="E32" s="117"/>
      <c r="F32" s="117"/>
      <c r="G32" s="117"/>
      <c r="H32" s="117"/>
      <c r="I32" s="117"/>
      <c r="J32" s="117"/>
      <c r="K32" s="117"/>
      <c r="L32" s="117"/>
      <c r="M32" s="117"/>
      <c r="N32" s="117"/>
      <c r="O32" s="117"/>
      <c r="P32" s="117"/>
      <c r="Q32" s="117"/>
      <c r="R32" s="117"/>
      <c r="S32" s="117"/>
      <c r="T32" s="117"/>
      <c r="U32" s="117"/>
      <c r="V32" s="117"/>
      <c r="W32" s="117"/>
      <c r="X32" s="117"/>
    </row>
    <row r="33" spans="1:24" x14ac:dyDescent="0.25">
      <c r="A33" s="117" t="s">
        <v>327</v>
      </c>
      <c r="B33" s="117"/>
      <c r="C33" s="117"/>
      <c r="D33" s="117"/>
      <c r="E33" s="117"/>
      <c r="F33" s="117"/>
      <c r="G33" s="117"/>
      <c r="H33" s="117"/>
      <c r="I33" s="117"/>
      <c r="J33" s="117"/>
      <c r="K33" s="117"/>
      <c r="L33" s="117"/>
      <c r="M33" s="117"/>
      <c r="N33" s="117"/>
      <c r="O33" s="117"/>
      <c r="P33" s="117"/>
      <c r="Q33" s="117"/>
      <c r="R33" s="117"/>
      <c r="S33" s="117"/>
      <c r="T33" s="117"/>
      <c r="U33" s="117"/>
      <c r="V33" s="117"/>
      <c r="W33" s="117"/>
      <c r="X33" s="117"/>
    </row>
    <row r="34" spans="1:24" x14ac:dyDescent="0.25">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row>
    <row r="35" spans="1:24" x14ac:dyDescent="0.25">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row>
    <row r="36" spans="1:24" x14ac:dyDescent="0.25">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row>
    <row r="37" spans="1:24" x14ac:dyDescent="0.25">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row>
    <row r="38" spans="1:24"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row>
    <row r="39" spans="1:24"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row>
  </sheetData>
  <sheetProtection algorithmName="SHA-512" hashValue="1cElgooA91QzvfQT87akRYitx4JvwogDAAvdzy08HzuNtmcjIiATxszbk3D+f3VshJZSpkk1oi511ULBusvuFg==" saltValue="BUsCBBWDrLAql6mE2/UdoA==" spinCount="100000" sheet="1" objects="1" scenarios="1"/>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Quick Test Mass Balance Tool</vt:lpstr>
      <vt:lpstr>Soil parameters</vt:lpstr>
      <vt:lpstr>Crop parameters</vt:lpstr>
      <vt:lpstr>Crop N Graphing</vt:lpstr>
      <vt:lpstr>Mineral N graphing</vt:lpstr>
      <vt:lpstr>AMN Input</vt:lpstr>
      <vt:lpstr>Tool Information</vt:lpstr>
      <vt:lpstr>Ammonium_N_factor</vt:lpstr>
      <vt:lpstr>Baby_Spinach</vt:lpstr>
      <vt:lpstr>Barley_Autumn</vt:lpstr>
      <vt:lpstr>Barley_Spring</vt:lpstr>
      <vt:lpstr>Broccoli_Summer</vt:lpstr>
      <vt:lpstr>Broccoli_Winter</vt:lpstr>
      <vt:lpstr>Buffer_Value</vt:lpstr>
      <vt:lpstr>Cabbage_Summer</vt:lpstr>
      <vt:lpstr>Cabbage_Winter</vt:lpstr>
      <vt:lpstr>Crop</vt:lpstr>
      <vt:lpstr>Lettuce</vt:lpstr>
      <vt:lpstr>Maize</vt:lpstr>
      <vt:lpstr>Onions</vt:lpstr>
      <vt:lpstr>Potatoes</vt:lpstr>
      <vt:lpstr>Sweetcorn</vt:lpstr>
      <vt:lpstr>Wheat_Autumn</vt:lpstr>
      <vt:lpstr>Wheat_Spring</vt:lpstr>
    </vt:vector>
  </TitlesOfParts>
  <Company>Plant &amp; Food Research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Norris</dc:creator>
  <cp:lastModifiedBy>Jian Liu</cp:lastModifiedBy>
  <cp:lastPrinted>2019-01-13T22:20:20Z</cp:lastPrinted>
  <dcterms:created xsi:type="dcterms:W3CDTF">2018-03-07T03:13:17Z</dcterms:created>
  <dcterms:modified xsi:type="dcterms:W3CDTF">2019-09-05T04:16:28Z</dcterms:modified>
</cp:coreProperties>
</file>