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mi\Desktop\git\Codespace\Файлы\1 курс\2 семестр\Экология\Лабы\18.02.25 - 1-ая лаба\"/>
    </mc:Choice>
  </mc:AlternateContent>
  <xr:revisionPtr revIDLastSave="0" documentId="13_ncr:1_{F2792BB1-752D-4B04-97F5-51A6A777766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Лист1" sheetId="1" r:id="rId1"/>
    <sheet name="Лист2" sheetId="2" r:id="rId2"/>
  </sheets>
  <definedNames>
    <definedName name="_Hlk153478266" localSheetId="1">Лист2!$K$19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" i="2" l="1"/>
  <c r="I62" i="2"/>
  <c r="I61" i="2"/>
  <c r="I60" i="2"/>
  <c r="I59" i="2"/>
  <c r="I58" i="2"/>
  <c r="I57" i="2"/>
  <c r="I56" i="2"/>
  <c r="I55" i="2"/>
  <c r="J63" i="2"/>
  <c r="J82" i="2"/>
  <c r="J62" i="2"/>
  <c r="J61" i="2"/>
  <c r="J60" i="2"/>
  <c r="J59" i="2"/>
  <c r="J58" i="2"/>
  <c r="J55" i="2"/>
  <c r="J57" i="2"/>
  <c r="J56" i="2"/>
  <c r="H63" i="2"/>
  <c r="H62" i="2"/>
  <c r="H61" i="2"/>
  <c r="H60" i="2"/>
  <c r="H59" i="2"/>
  <c r="H58" i="2"/>
  <c r="H57" i="2"/>
  <c r="H56" i="2"/>
  <c r="H55" i="2"/>
  <c r="D25" i="2"/>
  <c r="D26" i="2"/>
  <c r="D27" i="2"/>
  <c r="D28" i="2"/>
  <c r="B25" i="2"/>
  <c r="B28" i="2"/>
  <c r="B27" i="2"/>
  <c r="B26" i="2"/>
  <c r="B23" i="2"/>
  <c r="B20" i="2"/>
  <c r="B19" i="2" s="1"/>
  <c r="H16" i="2"/>
  <c r="I16" i="2" s="1"/>
  <c r="B21" i="2"/>
  <c r="O25" i="2"/>
  <c r="M3" i="2"/>
  <c r="H2" i="2"/>
  <c r="B8" i="2"/>
  <c r="B10" i="2" s="1"/>
  <c r="P3" i="2" s="1"/>
  <c r="P9" i="2" s="1"/>
  <c r="B7" i="2"/>
  <c r="B34" i="1"/>
  <c r="B36" i="1"/>
  <c r="B40" i="1"/>
  <c r="B39" i="1"/>
  <c r="E45" i="1"/>
  <c r="B45" i="1"/>
  <c r="N1" i="1"/>
  <c r="B29" i="1"/>
  <c r="Q3" i="1"/>
  <c r="Q2" i="1"/>
  <c r="Q1" i="1"/>
  <c r="E29" i="1"/>
  <c r="N3" i="1"/>
  <c r="N2" i="1"/>
  <c r="B30" i="1" s="1"/>
  <c r="B4" i="1"/>
  <c r="B17" i="1"/>
  <c r="B18" i="1" s="1"/>
  <c r="B20" i="1" s="1"/>
  <c r="E30" i="1"/>
  <c r="E31" i="1"/>
  <c r="B31" i="1"/>
  <c r="B22" i="1"/>
  <c r="K3" i="1"/>
  <c r="B42" i="1" s="1"/>
  <c r="B10" i="1"/>
  <c r="B1" i="1"/>
  <c r="B2" i="1" s="1"/>
  <c r="I33" i="2" l="1"/>
  <c r="I41" i="2"/>
  <c r="I49" i="2"/>
  <c r="J49" i="2" s="1"/>
  <c r="K49" i="2" s="1"/>
  <c r="I47" i="2"/>
  <c r="J47" i="2" s="1"/>
  <c r="K47" i="2" s="1"/>
  <c r="I43" i="2"/>
  <c r="I37" i="2"/>
  <c r="I39" i="2"/>
  <c r="I35" i="2"/>
  <c r="J16" i="2"/>
  <c r="B13" i="2"/>
  <c r="I2" i="2"/>
  <c r="B12" i="1"/>
  <c r="B13" i="1" s="1"/>
  <c r="B15" i="1" s="1"/>
  <c r="B24" i="1"/>
  <c r="B25" i="1" s="1"/>
  <c r="B27" i="1" s="1"/>
  <c r="B5" i="1"/>
  <c r="B7" i="1" s="1"/>
  <c r="B8" i="1" s="1"/>
  <c r="B32" i="1"/>
  <c r="E32" i="1"/>
  <c r="B37" i="1" s="1"/>
  <c r="B14" i="2" l="1"/>
  <c r="B16" i="2" s="1"/>
  <c r="B17" i="2" s="1"/>
  <c r="H41" i="2"/>
  <c r="J41" i="2" s="1"/>
  <c r="K41" i="2" s="1"/>
  <c r="H35" i="2"/>
  <c r="J35" i="2" s="1"/>
  <c r="K35" i="2" s="1"/>
  <c r="H33" i="2"/>
  <c r="J33" i="2" s="1"/>
  <c r="K33" i="2" s="1"/>
  <c r="H43" i="2"/>
  <c r="J43" i="2" s="1"/>
  <c r="K43" i="2" s="1"/>
  <c r="H45" i="2"/>
  <c r="J45" i="2" s="1"/>
  <c r="K45" i="2" s="1"/>
  <c r="H39" i="2"/>
  <c r="J39" i="2" s="1"/>
  <c r="K39" i="2" s="1"/>
  <c r="H37" i="2"/>
  <c r="J37" i="2" s="1"/>
  <c r="K37" i="2" s="1"/>
  <c r="B46" i="1"/>
  <c r="B43" i="1" l="1"/>
  <c r="E46" i="1"/>
</calcChain>
</file>

<file path=xl/sharedStrings.xml><?xml version="1.0" encoding="utf-8"?>
<sst xmlns="http://schemas.openxmlformats.org/spreadsheetml/2006/main" count="263" uniqueCount="195">
  <si>
    <t>V(ов) л</t>
  </si>
  <si>
    <t>V(ов) м3</t>
  </si>
  <si>
    <t>V(чо)</t>
  </si>
  <si>
    <t>V(чо н рег)</t>
  </si>
  <si>
    <t>Н(рег)</t>
  </si>
  <si>
    <t>Р(о) кг/м3</t>
  </si>
  <si>
    <t>М(чо н рег) т</t>
  </si>
  <si>
    <t>М(чо н рег) кг</t>
  </si>
  <si>
    <t>К(ов)</t>
  </si>
  <si>
    <t>V(ож 1ч)</t>
  </si>
  <si>
    <t>V(ож н рег)</t>
  </si>
  <si>
    <t>К(кв)</t>
  </si>
  <si>
    <t>К(выд о)</t>
  </si>
  <si>
    <t>V(со2 в)</t>
  </si>
  <si>
    <t>К(укв)</t>
  </si>
  <si>
    <t>V(со2 н рег)</t>
  </si>
  <si>
    <t>P(co2) кг/м3</t>
  </si>
  <si>
    <t>K(ов co2)</t>
  </si>
  <si>
    <t>К(выд co2)</t>
  </si>
  <si>
    <t>V(co2ж1ч)</t>
  </si>
  <si>
    <t>V(co2ж н рег)</t>
  </si>
  <si>
    <t>S(др ф)</t>
  </si>
  <si>
    <t>M(выд о др ф)</t>
  </si>
  <si>
    <t>M(выд о топ)</t>
  </si>
  <si>
    <t>M(выд о газ)</t>
  </si>
  <si>
    <t>M(выд о)</t>
  </si>
  <si>
    <t>M(погл co2 др ф)</t>
  </si>
  <si>
    <t>M(погл co2 топ)</t>
  </si>
  <si>
    <t>M(погл co2 газ)</t>
  </si>
  <si>
    <t>O(o)</t>
  </si>
  <si>
    <t>Б(о2)</t>
  </si>
  <si>
    <t>Б(co2)</t>
  </si>
  <si>
    <t>M(нехв о)</t>
  </si>
  <si>
    <t>S(топ)</t>
  </si>
  <si>
    <t>S(об дер)</t>
  </si>
  <si>
    <t>N(дер)</t>
  </si>
  <si>
    <t>S(куст)</t>
  </si>
  <si>
    <t>S(газ)</t>
  </si>
  <si>
    <t>S(зел нас треб доп)</t>
  </si>
  <si>
    <t>S(д1)</t>
  </si>
  <si>
    <t>К(д)</t>
  </si>
  <si>
    <t>S(зел нас факт)</t>
  </si>
  <si>
    <t>S(зел нас треб)</t>
  </si>
  <si>
    <t>S(зел нас факт/чел)</t>
  </si>
  <si>
    <t>S(зел нас треб/чел)</t>
  </si>
  <si>
    <t>М(ож н рег), т</t>
  </si>
  <si>
    <t>Минимальное количество кислорода</t>
  </si>
  <si>
    <t>M(co2ж н рег), т</t>
  </si>
  <si>
    <t>M(со2 н рег), т</t>
  </si>
  <si>
    <t>Это количество углекислого газа, создаваемого в процессе жизнедеятельности людей - физиологический вклад населения. Этот результат зафиксировать в выводе.</t>
  </si>
  <si>
    <t>Этот результат зафиксировать в выводе, как физиологически комфортную концентрацию СО2.</t>
  </si>
  <si>
    <t>m(прод о др ф), т/м2</t>
  </si>
  <si>
    <t>m(прод о топ), т/м2</t>
  </si>
  <si>
    <t>m(прод о газ), т/м2</t>
  </si>
  <si>
    <t>m(погл co2 др ф), т/м2</t>
  </si>
  <si>
    <t>m(погл co2 топ), т/м2</t>
  </si>
  <si>
    <t>m(погл co2 газ), т/м2</t>
  </si>
  <si>
    <t>оптимальное количество для стабильной работы организма</t>
  </si>
  <si>
    <t>M(погл со2)</t>
  </si>
  <si>
    <t>Вывод</t>
  </si>
  <si>
    <t>Баланс кислорода слишком мал. Необходимо большее количество зелёных насаждений для выработки кислорода и поглощения углекислого газа</t>
  </si>
  <si>
    <r>
      <t>Q</t>
    </r>
    <r>
      <rPr>
        <vertAlign val="subscript"/>
        <sz val="14"/>
        <color theme="1"/>
        <rFont val="Times New Roman"/>
        <family val="1"/>
        <charset val="204"/>
      </rPr>
      <t xml:space="preserve">Окг топл </t>
    </r>
  </si>
  <si>
    <t>Исходные данные</t>
  </si>
  <si>
    <t xml:space="preserve">Население составляет Н </t>
  </si>
  <si>
    <r>
      <t>N</t>
    </r>
    <r>
      <rPr>
        <vertAlign val="subscript"/>
        <sz val="14"/>
        <color theme="1"/>
        <rFont val="Calibri"/>
        <family val="2"/>
        <charset val="204"/>
        <scheme val="minor"/>
      </rPr>
      <t>ОМ</t>
    </r>
  </si>
  <si>
    <r>
      <t>L</t>
    </r>
    <r>
      <rPr>
        <vertAlign val="subscript"/>
        <sz val="14"/>
        <color theme="1"/>
        <rFont val="Calibri"/>
        <family val="2"/>
        <charset val="204"/>
        <scheme val="minor"/>
      </rPr>
      <t>ср</t>
    </r>
  </si>
  <si>
    <t>легковые</t>
  </si>
  <si>
    <t>км/год</t>
  </si>
  <si>
    <t>чел</t>
  </si>
  <si>
    <r>
      <t>К</t>
    </r>
    <r>
      <rPr>
        <vertAlign val="subscript"/>
        <sz val="14"/>
        <color theme="1"/>
        <rFont val="Calibri"/>
        <family val="2"/>
        <charset val="204"/>
        <scheme val="minor"/>
      </rPr>
      <t>М 1 ч</t>
    </r>
    <r>
      <rPr>
        <sz val="14"/>
        <color theme="1"/>
        <rFont val="Calibri"/>
        <family val="2"/>
        <charset val="204"/>
        <scheme val="minor"/>
      </rPr>
      <t> </t>
    </r>
  </si>
  <si>
    <t>ед/чел</t>
  </si>
  <si>
    <r>
      <t>L</t>
    </r>
    <r>
      <rPr>
        <vertAlign val="subscript"/>
        <sz val="14"/>
        <color theme="1"/>
        <rFont val="Times New Roman"/>
        <family val="1"/>
        <charset val="204"/>
      </rPr>
      <t>общ</t>
    </r>
  </si>
  <si>
    <t>автотранспорта</t>
  </si>
  <si>
    <t>Общий путь, пройденный общим количеством автомашин, км (L)</t>
  </si>
  <si>
    <t>Легковой (Б)</t>
  </si>
  <si>
    <t>Грузовой (Б)</t>
  </si>
  <si>
    <t>Автобусы (Б)</t>
  </si>
  <si>
    <t>Легковой (ДТ)</t>
  </si>
  <si>
    <t>Автобусы (ДТ)</t>
  </si>
  <si>
    <t>Грузовой (ДТ)</t>
  </si>
  <si>
    <t>Число автомобилей на территории, ед (Nа)</t>
  </si>
  <si>
    <t>Тип автотранспорта</t>
  </si>
  <si>
    <t>Qб</t>
  </si>
  <si>
    <t>Норма расхода,</t>
  </si>
  <si>
    <t>л /100 км (Q)</t>
  </si>
  <si>
    <t>Удельный расход</t>
  </si>
  <si>
    <t>топлива, л /км (q)</t>
  </si>
  <si>
    <t>8 – 14</t>
  </si>
  <si>
    <t>26 – 28</t>
  </si>
  <si>
    <t>30 – 32</t>
  </si>
  <si>
    <t>22 ─ 24</t>
  </si>
  <si>
    <t>24 – 26</t>
  </si>
  <si>
    <t>Газель (ДТ)</t>
  </si>
  <si>
    <t>6 ─ 8</t>
  </si>
  <si>
    <t>л</t>
  </si>
  <si>
    <t>Q</t>
  </si>
  <si>
    <t>Бензин Qб</t>
  </si>
  <si>
    <t>Дизтопливо Qдт</t>
  </si>
  <si>
    <t>─</t>
  </si>
  <si>
    <t>Всего</t>
  </si>
  <si>
    <t>Мб</t>
  </si>
  <si>
    <t>м3</t>
  </si>
  <si>
    <t>P</t>
  </si>
  <si>
    <t>кг/л</t>
  </si>
  <si>
    <t>кг</t>
  </si>
  <si>
    <r>
      <t>М</t>
    </r>
    <r>
      <rPr>
        <vertAlign val="subscript"/>
        <sz val="14"/>
        <color theme="1"/>
        <rFont val="Calibri"/>
        <family val="2"/>
        <charset val="204"/>
        <scheme val="minor"/>
      </rPr>
      <t xml:space="preserve">общ </t>
    </r>
  </si>
  <si>
    <t>Ro</t>
  </si>
  <si>
    <t>т</t>
  </si>
  <si>
    <t>Вид топлива</t>
  </si>
  <si>
    <r>
      <t>Значение коэффициентов (Квв</t>
    </r>
    <r>
      <rPr>
        <vertAlign val="subscript"/>
        <sz val="12"/>
        <color theme="1"/>
        <rFont val="Times New Roman"/>
        <family val="1"/>
        <charset val="204"/>
      </rPr>
      <t>т</t>
    </r>
    <r>
      <rPr>
        <sz val="12"/>
        <color theme="1"/>
        <rFont val="Times New Roman"/>
        <family val="1"/>
        <charset val="204"/>
      </rPr>
      <t>), кг/т, (г/кг)</t>
    </r>
  </si>
  <si>
    <t>СО</t>
  </si>
  <si>
    <r>
      <t>SO</t>
    </r>
    <r>
      <rPr>
        <vertAlign val="subscript"/>
        <sz val="12"/>
        <color theme="1"/>
        <rFont val="Times New Roman"/>
        <family val="1"/>
        <charset val="204"/>
      </rPr>
      <t>2</t>
    </r>
  </si>
  <si>
    <r>
      <t>NO</t>
    </r>
    <r>
      <rPr>
        <vertAlign val="subscript"/>
        <sz val="12"/>
        <color theme="1"/>
        <rFont val="Times New Roman"/>
        <family val="1"/>
        <charset val="204"/>
      </rPr>
      <t>2</t>
    </r>
  </si>
  <si>
    <t>Pb</t>
  </si>
  <si>
    <r>
      <t>C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H</t>
    </r>
    <r>
      <rPr>
        <vertAlign val="subscript"/>
        <sz val="12"/>
        <color theme="1"/>
        <rFont val="Times New Roman"/>
        <family val="1"/>
        <charset val="204"/>
      </rPr>
      <t>n</t>
    </r>
  </si>
  <si>
    <t>сажа</t>
  </si>
  <si>
    <t>Бензин</t>
  </si>
  <si>
    <t>Дизтопливо</t>
  </si>
  <si>
    <t>—</t>
  </si>
  <si>
    <t>SO2</t>
  </si>
  <si>
    <t>NO2</t>
  </si>
  <si>
    <t>CnHn</t>
  </si>
  <si>
    <t>Вредное</t>
  </si>
  <si>
    <r>
      <t>Масса вредного вещества при сгорании топлива (m вв</t>
    </r>
    <r>
      <rPr>
        <vertAlign val="subscript"/>
        <sz val="12"/>
        <color theme="1"/>
        <rFont val="Times New Roman"/>
        <family val="1"/>
        <charset val="204"/>
      </rPr>
      <t>т</t>
    </r>
    <r>
      <rPr>
        <sz val="12"/>
        <color theme="1"/>
        <rFont val="Times New Roman"/>
        <family val="1"/>
        <charset val="204"/>
      </rPr>
      <t>), г</t>
    </r>
  </si>
  <si>
    <r>
      <t>Масса вредного вещества по пробеговому выбросу (m вв</t>
    </r>
    <r>
      <rPr>
        <vertAlign val="subscript"/>
        <sz val="12"/>
        <color theme="1"/>
        <rFont val="Times New Roman"/>
        <family val="1"/>
        <charset val="204"/>
      </rPr>
      <t>п</t>
    </r>
    <r>
      <rPr>
        <sz val="12"/>
        <color theme="1"/>
        <rFont val="Times New Roman"/>
        <family val="1"/>
        <charset val="204"/>
      </rPr>
      <t>), г</t>
    </r>
  </si>
  <si>
    <t>Общая масса вредного вещества (m вв),</t>
  </si>
  <si>
    <t>Б</t>
  </si>
  <si>
    <t>ДТ</t>
  </si>
  <si>
    <t>Pd</t>
  </si>
  <si>
    <r>
      <t>SO</t>
    </r>
    <r>
      <rPr>
        <vertAlign val="subscript"/>
        <sz val="12"/>
        <color theme="1"/>
        <rFont val="Times New Roman"/>
        <family val="1"/>
        <charset val="204"/>
      </rPr>
      <t>3</t>
    </r>
  </si>
  <si>
    <t>Сажа</t>
  </si>
  <si>
    <t>NO</t>
  </si>
  <si>
    <r>
      <t>С</t>
    </r>
    <r>
      <rPr>
        <vertAlign val="subscript"/>
        <sz val="12"/>
        <color theme="1"/>
        <rFont val="Times New Roman"/>
        <family val="1"/>
        <charset val="204"/>
      </rPr>
      <t>20</t>
    </r>
    <r>
      <rPr>
        <sz val="12"/>
        <color theme="1"/>
        <rFont val="Times New Roman"/>
        <family val="1"/>
        <charset val="204"/>
      </rPr>
      <t>Н</t>
    </r>
    <r>
      <rPr>
        <vertAlign val="subscript"/>
        <sz val="12"/>
        <color theme="1"/>
        <rFont val="Times New Roman"/>
        <family val="1"/>
        <charset val="204"/>
      </rPr>
      <t>12</t>
    </r>
  </si>
  <si>
    <t>SO3</t>
  </si>
  <si>
    <t>Вид</t>
  </si>
  <si>
    <t>Удельные пробеговые выбросы, мг/м (г/км)</t>
  </si>
  <si>
    <t>CO</t>
  </si>
  <si>
    <r>
      <t>C</t>
    </r>
    <r>
      <rPr>
        <vertAlign val="subscript"/>
        <sz val="11"/>
        <color theme="1"/>
        <rFont val="Times New Roman"/>
        <family val="1"/>
        <charset val="204"/>
      </rPr>
      <t>n</t>
    </r>
    <r>
      <rPr>
        <sz val="11"/>
        <color theme="1"/>
        <rFont val="Times New Roman"/>
        <family val="1"/>
        <charset val="204"/>
      </rPr>
      <t>H</t>
    </r>
    <r>
      <rPr>
        <vertAlign val="subscript"/>
        <sz val="11"/>
        <color theme="1"/>
        <rFont val="Times New Roman"/>
        <family val="1"/>
        <charset val="204"/>
      </rPr>
      <t>n</t>
    </r>
  </si>
  <si>
    <r>
      <t>NO</t>
    </r>
    <r>
      <rPr>
        <vertAlign val="subscript"/>
        <sz val="11"/>
        <color theme="1"/>
        <rFont val="Times New Roman"/>
        <family val="1"/>
        <charset val="204"/>
      </rPr>
      <t>2</t>
    </r>
  </si>
  <si>
    <t>C</t>
  </si>
  <si>
    <r>
      <t>SO</t>
    </r>
    <r>
      <rPr>
        <vertAlign val="subscript"/>
        <sz val="11"/>
        <color theme="1"/>
        <rFont val="Times New Roman"/>
        <family val="1"/>
        <charset val="204"/>
      </rPr>
      <t>2</t>
    </r>
  </si>
  <si>
    <r>
      <t>SO</t>
    </r>
    <r>
      <rPr>
        <vertAlign val="subscript"/>
        <sz val="11"/>
        <color theme="1"/>
        <rFont val="Times New Roman"/>
        <family val="1"/>
        <charset val="204"/>
      </rPr>
      <t>3</t>
    </r>
  </si>
  <si>
    <r>
      <t>С</t>
    </r>
    <r>
      <rPr>
        <vertAlign val="subscript"/>
        <sz val="11"/>
        <color theme="1"/>
        <rFont val="Times New Roman"/>
        <family val="1"/>
        <charset val="204"/>
      </rPr>
      <t>20</t>
    </r>
    <r>
      <rPr>
        <sz val="11"/>
        <color theme="1"/>
        <rFont val="Times New Roman"/>
        <family val="1"/>
        <charset val="204"/>
      </rPr>
      <t>Н</t>
    </r>
    <r>
      <rPr>
        <vertAlign val="subscript"/>
        <sz val="11"/>
        <color theme="1"/>
        <rFont val="Times New Roman"/>
        <family val="1"/>
        <charset val="204"/>
      </rPr>
      <t>12</t>
    </r>
  </si>
  <si>
    <t>-</t>
  </si>
  <si>
    <t>Автобусы,</t>
  </si>
  <si>
    <t>Грузовые (Б)</t>
  </si>
  <si>
    <r>
      <t>0,73х10</t>
    </r>
    <r>
      <rPr>
        <vertAlign val="superscript"/>
        <sz val="11"/>
        <color theme="1"/>
        <rFont val="Times New Roman"/>
        <family val="1"/>
        <charset val="204"/>
      </rPr>
      <t>-6</t>
    </r>
  </si>
  <si>
    <t>Легковой, «Газели» (ДТ)</t>
  </si>
  <si>
    <r>
      <t>0,6х10</t>
    </r>
    <r>
      <rPr>
        <vertAlign val="superscript"/>
        <sz val="11"/>
        <color theme="1"/>
        <rFont val="Times New Roman"/>
        <family val="1"/>
        <charset val="204"/>
      </rPr>
      <t>-6</t>
    </r>
  </si>
  <si>
    <t>Автобусы, Грузовые (ДТ)</t>
  </si>
  <si>
    <r>
      <t>0,2х10</t>
    </r>
    <r>
      <rPr>
        <vertAlign val="superscript"/>
        <sz val="11"/>
        <color theme="1"/>
        <rFont val="Times New Roman"/>
        <family val="1"/>
        <charset val="204"/>
      </rPr>
      <t>-6</t>
    </r>
  </si>
  <si>
    <t>Проехало автомобилей в течение 20 мин, ед</t>
  </si>
  <si>
    <t>Проехало автомобилей в течение 1 ч, ед</t>
  </si>
  <si>
    <t>Общий путь, пройденный общим количеством автомашин за 1 ч, км (L)</t>
  </si>
  <si>
    <t>Вредное вещество</t>
  </si>
  <si>
    <t>Годовая</t>
  </si>
  <si>
    <t>Суточная</t>
  </si>
  <si>
    <t xml:space="preserve">NO </t>
  </si>
  <si>
    <t>C20H12</t>
  </si>
  <si>
    <t>Na</t>
  </si>
  <si>
    <t>Lуч</t>
  </si>
  <si>
    <t>км</t>
  </si>
  <si>
    <r>
      <t>m</t>
    </r>
    <r>
      <rPr>
        <sz val="14"/>
        <color theme="1"/>
        <rFont val="Calibri"/>
        <family val="2"/>
        <charset val="204"/>
        <scheme val="minor"/>
      </rPr>
      <t xml:space="preserve"> вв</t>
    </r>
    <r>
      <rPr>
        <vertAlign val="subscript"/>
        <sz val="14"/>
        <color theme="1"/>
        <rFont val="Calibri"/>
        <family val="2"/>
        <charset val="204"/>
        <scheme val="minor"/>
      </rPr>
      <t>п/час</t>
    </r>
    <r>
      <rPr>
        <sz val="14"/>
        <color theme="1"/>
        <rFont val="Calibri"/>
        <family val="2"/>
        <charset val="204"/>
        <scheme val="minor"/>
      </rPr>
      <t xml:space="preserve"> </t>
    </r>
  </si>
  <si>
    <t xml:space="preserve">Vу </t>
  </si>
  <si>
    <r>
      <t>V</t>
    </r>
    <r>
      <rPr>
        <vertAlign val="subscript"/>
        <sz val="14"/>
        <color theme="1"/>
        <rFont val="Calibri"/>
        <family val="2"/>
        <charset val="204"/>
        <scheme val="minor"/>
      </rPr>
      <t>у</t>
    </r>
    <r>
      <rPr>
        <sz val="14"/>
        <color theme="1"/>
        <rFont val="Calibri"/>
        <family val="2"/>
        <charset val="204"/>
        <scheme val="minor"/>
      </rPr>
      <t> </t>
    </r>
  </si>
  <si>
    <t>Ш</t>
  </si>
  <si>
    <t>Н</t>
  </si>
  <si>
    <t>м</t>
  </si>
  <si>
    <t>км3</t>
  </si>
  <si>
    <r>
      <t>С</t>
    </r>
    <r>
      <rPr>
        <vertAlign val="subscript"/>
        <sz val="14"/>
        <color theme="1"/>
        <rFont val="Calibri"/>
        <family val="2"/>
        <charset val="204"/>
        <scheme val="minor"/>
      </rPr>
      <t>ВВ. </t>
    </r>
  </si>
  <si>
    <t>вещество</t>
  </si>
  <si>
    <t>Концентрация вредных</t>
  </si>
  <si>
    <r>
      <t>веществ на учетной территории, мг/м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, (С</t>
    </r>
    <r>
      <rPr>
        <vertAlign val="subscript"/>
        <sz val="12"/>
        <color theme="1"/>
        <rFont val="Times New Roman"/>
        <family val="1"/>
        <charset val="204"/>
      </rPr>
      <t>ВВ</t>
    </r>
    <r>
      <rPr>
        <sz val="14"/>
        <color theme="1"/>
        <rFont val="Times New Roman"/>
        <family val="1"/>
        <charset val="204"/>
      </rPr>
      <t>)</t>
    </r>
  </si>
  <si>
    <t>Объем воздуха,</t>
  </si>
  <si>
    <r>
      <t>необходимый для разбавления, 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(Vв</t>
    </r>
    <r>
      <rPr>
        <vertAlign val="subscript"/>
        <sz val="12"/>
        <color theme="1"/>
        <rFont val="Times New Roman"/>
        <family val="1"/>
        <charset val="204"/>
      </rPr>
      <t>р</t>
    </r>
    <r>
      <rPr>
        <sz val="12"/>
        <color theme="1"/>
        <rFont val="Times New Roman"/>
        <family val="1"/>
        <charset val="204"/>
      </rPr>
      <t>)</t>
    </r>
  </si>
  <si>
    <t>Класс</t>
  </si>
  <si>
    <t>опасности</t>
  </si>
  <si>
    <t>Предельно допустимые</t>
  </si>
  <si>
    <r>
      <t>концентрации, мг/м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 (ПДК)</t>
    </r>
  </si>
  <si>
    <r>
      <t>ПДК</t>
    </r>
    <r>
      <rPr>
        <vertAlign val="subscript"/>
        <sz val="12"/>
        <color theme="1"/>
        <rFont val="Times New Roman"/>
        <family val="1"/>
        <charset val="204"/>
      </rPr>
      <t>МР</t>
    </r>
  </si>
  <si>
    <r>
      <t>ПДК</t>
    </r>
    <r>
      <rPr>
        <vertAlign val="subscript"/>
        <sz val="12"/>
        <color theme="1"/>
        <rFont val="Times New Roman"/>
        <family val="1"/>
        <charset val="204"/>
      </rPr>
      <t>СС</t>
    </r>
  </si>
  <si>
    <r>
      <t>Двуокись азота (NO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)</t>
    </r>
  </si>
  <si>
    <t>Свинец и его соединения (Рb)</t>
  </si>
  <si>
    <t>Оксид углерода</t>
  </si>
  <si>
    <t>(СО)</t>
  </si>
  <si>
    <t>Углеводороды</t>
  </si>
  <si>
    <r>
      <t>(С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H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)</t>
    </r>
  </si>
  <si>
    <t>Пыль</t>
  </si>
  <si>
    <t>Двуокись серы</t>
  </si>
  <si>
    <r>
      <t>(SO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)</t>
    </r>
  </si>
  <si>
    <t>Без(а)пирен</t>
  </si>
  <si>
    <r>
      <t>(C</t>
    </r>
    <r>
      <rPr>
        <vertAlign val="subscript"/>
        <sz val="12"/>
        <color theme="1"/>
        <rFont val="Times New Roman"/>
        <family val="1"/>
        <charset val="204"/>
      </rPr>
      <t>20</t>
    </r>
    <r>
      <rPr>
        <sz val="12"/>
        <color theme="1"/>
        <rFont val="Times New Roman"/>
        <family val="1"/>
        <charset val="204"/>
      </rPr>
      <t>H</t>
    </r>
    <r>
      <rPr>
        <vertAlign val="subscript"/>
        <sz val="12"/>
        <color theme="1"/>
        <rFont val="Times New Roman"/>
        <family val="1"/>
        <charset val="204"/>
      </rPr>
      <t>12</t>
    </r>
    <r>
      <rPr>
        <sz val="12"/>
        <color theme="1"/>
        <rFont val="Times New Roman"/>
        <family val="1"/>
        <charset val="204"/>
      </rPr>
      <t>)</t>
    </r>
  </si>
  <si>
    <r>
      <t>Сернистый ангидрид (SO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)</t>
    </r>
  </si>
  <si>
    <r>
      <t>Окись азота (N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O)</t>
    </r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</si>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</sst>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0" fontId="0" fillId="0" borderId="1" xfId="1" applyNumberFormat="1" applyFont="1" applyBorder="1"/>
    <xf numFmtId="0" fontId="3" fillId="0" borderId="0" xfId="0" applyFont="1"/>
    <xf numFmtId="0" fontId="4" fillId="0" borderId="0" xfId="0" applyFont="1" applyAlignment="1">
      <alignment vertical="center"/>
    </xf>
    <xf numFmtId="0" fontId="0" fillId="2" borderId="1" xfId="0" applyFill="1" applyBorder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2" fillId="0" borderId="0" xfId="0" applyFont="1"/>
    <xf numFmtId="0" fontId="9" fillId="0" borderId="1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11" fillId="0" borderId="1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9" fillId="0" borderId="13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0" borderId="1" xfId="0" applyFont="1" applyFill="1" applyBorder="1" applyAlignment="1">
      <alignment vertical="center" wrapText="1"/>
    </xf>
    <xf numFmtId="0" fontId="0" fillId="0" borderId="15" xfId="0" applyBorder="1" applyAlignment="1">
      <alignment vertical="top" wrapText="1"/>
    </xf>
    <xf numFmtId="0" fontId="11" fillId="0" borderId="6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9" fillId="0" borderId="1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2" fontId="9" fillId="0" borderId="3" xfId="0" applyNumberFormat="1" applyFont="1" applyBorder="1" applyAlignment="1">
      <alignment vertical="center" wrapText="1"/>
    </xf>
    <xf numFmtId="2" fontId="9" fillId="0" borderId="15" xfId="0" applyNumberFormat="1" applyFont="1" applyBorder="1" applyAlignment="1">
      <alignment vertical="center" wrapText="1"/>
    </xf>
    <xf numFmtId="2" fontId="9" fillId="0" borderId="4" xfId="0" applyNumberFormat="1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11" fillId="0" borderId="0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9" fillId="0" borderId="18" xfId="0" applyFont="1" applyFill="1" applyBorder="1" applyAlignment="1">
      <alignment vertical="center" wrapText="1"/>
    </xf>
    <xf numFmtId="2" fontId="0" fillId="0" borderId="19" xfId="0" applyNumberForma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288122</xdr:colOff>
      <xdr:row>29</xdr:row>
      <xdr:rowOff>154978</xdr:rowOff>
    </xdr:from>
    <xdr:to>
      <xdr:col>15</xdr:col>
      <xdr:colOff>1457463</xdr:colOff>
      <xdr:row>57</xdr:row>
      <xdr:rowOff>19147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E44EA3F-B28A-BD79-1AB5-04F7F8379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3525" y="5798284"/>
          <a:ext cx="6986761" cy="53128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89" workbookViewId="0">
      <selection activeCell="P23" sqref="P23"/>
    </sheetView>
  </sheetViews>
  <sheetFormatPr defaultRowHeight="15" x14ac:dyDescent="0.25"/>
  <cols>
    <col min="1" max="1" width="18.85546875" bestFit="1" customWidth="1"/>
    <col min="2" max="2" width="14.28515625" bestFit="1" customWidth="1"/>
    <col min="4" max="4" width="19.5703125" customWidth="1"/>
    <col min="7" max="7" width="12" bestFit="1" customWidth="1"/>
    <col min="13" max="13" width="22.7109375" customWidth="1"/>
    <col min="16" max="16" width="24" customWidth="1"/>
    <col min="17" max="17" width="9.28515625" customWidth="1"/>
  </cols>
  <sheetData>
    <row r="1" spans="1:17" x14ac:dyDescent="0.25">
      <c r="A1" s="1" t="s">
        <v>0</v>
      </c>
      <c r="B1" s="6">
        <f>4*0.3*20*60*24*365</f>
        <v>12614400</v>
      </c>
      <c r="D1" s="1" t="s">
        <v>4</v>
      </c>
      <c r="E1" s="6">
        <v>20</v>
      </c>
      <c r="G1" s="1" t="s">
        <v>5</v>
      </c>
      <c r="H1" s="6">
        <v>1.429</v>
      </c>
      <c r="J1" s="1" t="s">
        <v>21</v>
      </c>
      <c r="K1" s="1">
        <v>72</v>
      </c>
      <c r="M1" s="1" t="s">
        <v>51</v>
      </c>
      <c r="N1" s="6">
        <f>12.5/10000</f>
        <v>1.25E-3</v>
      </c>
      <c r="P1" s="1" t="s">
        <v>54</v>
      </c>
      <c r="Q1" s="6">
        <f>16.5/10000</f>
        <v>1.65E-3</v>
      </c>
    </row>
    <row r="2" spans="1:17" x14ac:dyDescent="0.25">
      <c r="A2" s="1" t="s">
        <v>1</v>
      </c>
      <c r="B2" s="6">
        <f>B1/1000</f>
        <v>12614.4</v>
      </c>
      <c r="D2" s="1" t="s">
        <v>11</v>
      </c>
      <c r="E2" s="6">
        <v>20.8</v>
      </c>
      <c r="G2" s="1" t="s">
        <v>16</v>
      </c>
      <c r="H2" s="6">
        <v>1.9770000000000001</v>
      </c>
      <c r="J2" s="1" t="s">
        <v>33</v>
      </c>
      <c r="K2" s="1">
        <v>51</v>
      </c>
      <c r="M2" s="1" t="s">
        <v>52</v>
      </c>
      <c r="N2" s="6">
        <f>34.9/10000</f>
        <v>3.49E-3</v>
      </c>
      <c r="P2" s="1" t="s">
        <v>55</v>
      </c>
      <c r="Q2" s="6">
        <f>46.2/10000</f>
        <v>4.62E-3</v>
      </c>
    </row>
    <row r="3" spans="1:17" x14ac:dyDescent="0.25">
      <c r="D3" s="1" t="s">
        <v>12</v>
      </c>
      <c r="E3" s="6">
        <v>16.399999999999999</v>
      </c>
      <c r="J3" s="1" t="s">
        <v>34</v>
      </c>
      <c r="K3" s="1">
        <f>SUM(K1:K2)</f>
        <v>123</v>
      </c>
      <c r="M3" s="1" t="s">
        <v>53</v>
      </c>
      <c r="N3" s="6">
        <f>7.5/10000</f>
        <v>7.5000000000000002E-4</v>
      </c>
      <c r="P3" s="1" t="s">
        <v>56</v>
      </c>
      <c r="Q3" s="6">
        <f>10/10000</f>
        <v>1E-3</v>
      </c>
    </row>
    <row r="4" spans="1:17" x14ac:dyDescent="0.25">
      <c r="A4" s="1" t="s">
        <v>2</v>
      </c>
      <c r="B4" s="6">
        <f>(B2*20.8)/100</f>
        <v>2623.7952</v>
      </c>
      <c r="D4" s="1" t="s">
        <v>14</v>
      </c>
      <c r="E4" s="6">
        <v>3.7999999999999999E-2</v>
      </c>
      <c r="J4" s="1" t="s">
        <v>36</v>
      </c>
      <c r="K4" s="1">
        <v>25</v>
      </c>
    </row>
    <row r="5" spans="1:17" x14ac:dyDescent="0.25">
      <c r="A5" s="1" t="s">
        <v>3</v>
      </c>
      <c r="B5" s="6">
        <f>B4*E1</f>
        <v>52475.904000000002</v>
      </c>
      <c r="D5" s="1" t="s">
        <v>18</v>
      </c>
      <c r="E5" s="6">
        <v>4</v>
      </c>
      <c r="J5" s="1" t="s">
        <v>37</v>
      </c>
      <c r="K5" s="1">
        <v>53</v>
      </c>
    </row>
    <row r="6" spans="1:17" x14ac:dyDescent="0.25">
      <c r="D6" s="1" t="s">
        <v>35</v>
      </c>
      <c r="E6" s="6">
        <v>30</v>
      </c>
    </row>
    <row r="7" spans="1:17" x14ac:dyDescent="0.25">
      <c r="A7" s="1" t="s">
        <v>7</v>
      </c>
      <c r="B7" s="6">
        <f>B5*H1</f>
        <v>74988.066816000006</v>
      </c>
    </row>
    <row r="8" spans="1:17" x14ac:dyDescent="0.25">
      <c r="A8" s="1" t="s">
        <v>6</v>
      </c>
      <c r="B8" s="6">
        <f>B7/1000</f>
        <v>74.988066816</v>
      </c>
      <c r="C8" s="7" t="s">
        <v>57</v>
      </c>
      <c r="M8" s="4"/>
    </row>
    <row r="10" spans="1:17" x14ac:dyDescent="0.25">
      <c r="A10" s="1" t="s">
        <v>8</v>
      </c>
      <c r="B10" s="6">
        <f>E2-E3</f>
        <v>4.4000000000000021</v>
      </c>
    </row>
    <row r="12" spans="1:17" x14ac:dyDescent="0.25">
      <c r="A12" s="1" t="s">
        <v>9</v>
      </c>
      <c r="B12" s="6">
        <f>B2*E2/100</f>
        <v>2623.7952</v>
      </c>
    </row>
    <row r="13" spans="1:17" x14ac:dyDescent="0.25">
      <c r="A13" s="1" t="s">
        <v>10</v>
      </c>
      <c r="B13" s="6">
        <f>B12*E1</f>
        <v>52475.904000000002</v>
      </c>
    </row>
    <row r="15" spans="1:17" x14ac:dyDescent="0.25">
      <c r="A15" s="1" t="s">
        <v>45</v>
      </c>
      <c r="B15" s="6">
        <f>B13*H1/1000</f>
        <v>74.988066816</v>
      </c>
      <c r="C15" s="4" t="s">
        <v>46</v>
      </c>
    </row>
    <row r="17" spans="1:5" x14ac:dyDescent="0.25">
      <c r="A17" s="1" t="s">
        <v>13</v>
      </c>
      <c r="B17" s="6">
        <f>B2*E4/100</f>
        <v>4.7934719999999995</v>
      </c>
    </row>
    <row r="18" spans="1:5" x14ac:dyDescent="0.25">
      <c r="A18" s="1" t="s">
        <v>15</v>
      </c>
      <c r="B18" s="6">
        <f>B17*E1</f>
        <v>95.869439999999997</v>
      </c>
    </row>
    <row r="20" spans="1:5" x14ac:dyDescent="0.25">
      <c r="A20" s="1" t="s">
        <v>48</v>
      </c>
      <c r="B20" s="6">
        <f>B18*H2/1000</f>
        <v>0.18953388288</v>
      </c>
      <c r="C20" s="5" t="s">
        <v>50</v>
      </c>
    </row>
    <row r="22" spans="1:5" x14ac:dyDescent="0.25">
      <c r="A22" s="1" t="s">
        <v>17</v>
      </c>
      <c r="B22" s="6">
        <f>E5-E4</f>
        <v>3.9620000000000002</v>
      </c>
    </row>
    <row r="24" spans="1:5" x14ac:dyDescent="0.25">
      <c r="A24" s="1" t="s">
        <v>19</v>
      </c>
      <c r="B24" s="6">
        <f>B2*B22/100</f>
        <v>499.78252800000001</v>
      </c>
    </row>
    <row r="25" spans="1:5" x14ac:dyDescent="0.25">
      <c r="A25" s="1" t="s">
        <v>20</v>
      </c>
      <c r="B25" s="6">
        <f>B24*E1</f>
        <v>9995.65056</v>
      </c>
    </row>
    <row r="27" spans="1:5" x14ac:dyDescent="0.25">
      <c r="A27" s="1" t="s">
        <v>47</v>
      </c>
      <c r="B27" s="6">
        <f>B25*H2/1000</f>
        <v>19.761401157120002</v>
      </c>
      <c r="C27" s="4" t="s">
        <v>49</v>
      </c>
    </row>
    <row r="29" spans="1:5" x14ac:dyDescent="0.25">
      <c r="A29" s="1" t="s">
        <v>22</v>
      </c>
      <c r="B29" s="1">
        <f>N1*$K$1</f>
        <v>0.09</v>
      </c>
      <c r="D29" s="1" t="s">
        <v>26</v>
      </c>
      <c r="E29" s="1">
        <f>Q1*$K$1</f>
        <v>0.1188</v>
      </c>
    </row>
    <row r="30" spans="1:5" x14ac:dyDescent="0.25">
      <c r="A30" s="1" t="s">
        <v>23</v>
      </c>
      <c r="B30" s="1">
        <f t="shared" ref="B30" si="0">N2*$K$1</f>
        <v>0.25128</v>
      </c>
      <c r="D30" s="1" t="s">
        <v>27</v>
      </c>
      <c r="E30" s="1">
        <f t="shared" ref="E30" si="1">Q2*$K$1</f>
        <v>0.33263999999999999</v>
      </c>
    </row>
    <row r="31" spans="1:5" x14ac:dyDescent="0.25">
      <c r="A31" s="1" t="s">
        <v>24</v>
      </c>
      <c r="B31" s="1">
        <f>N3*$K$1</f>
        <v>5.3999999999999999E-2</v>
      </c>
      <c r="D31" s="1" t="s">
        <v>28</v>
      </c>
      <c r="E31" s="1">
        <f>Q3*$K$1</f>
        <v>7.2000000000000008E-2</v>
      </c>
    </row>
    <row r="32" spans="1:5" x14ac:dyDescent="0.25">
      <c r="A32" s="1" t="s">
        <v>25</v>
      </c>
      <c r="B32" s="1">
        <f>SUM(B29:B31)</f>
        <v>0.39528000000000002</v>
      </c>
      <c r="D32" s="1" t="s">
        <v>58</v>
      </c>
      <c r="E32" s="1">
        <f>SUM(E29:E31)</f>
        <v>0.52344000000000002</v>
      </c>
    </row>
    <row r="34" spans="1:5" x14ac:dyDescent="0.25">
      <c r="A34" s="1" t="s">
        <v>29</v>
      </c>
      <c r="B34" s="2">
        <f>(B32/B15)*100</f>
        <v>0.52712387021512097</v>
      </c>
    </row>
    <row r="36" spans="1:5" x14ac:dyDescent="0.25">
      <c r="A36" s="1" t="s">
        <v>30</v>
      </c>
      <c r="B36" s="3">
        <f>(B32/B8)*100</f>
        <v>0.52712387021512097</v>
      </c>
    </row>
    <row r="37" spans="1:5" x14ac:dyDescent="0.25">
      <c r="A37" s="1" t="s">
        <v>31</v>
      </c>
      <c r="B37" s="3">
        <f>E32/B20</f>
        <v>2.7617225587648977</v>
      </c>
    </row>
    <row r="39" spans="1:5" x14ac:dyDescent="0.25">
      <c r="A39" s="1" t="s">
        <v>32</v>
      </c>
      <c r="B39" s="1">
        <f>B15-B32</f>
        <v>74.592786816</v>
      </c>
    </row>
    <row r="40" spans="1:5" x14ac:dyDescent="0.25">
      <c r="A40" s="1" t="s">
        <v>38</v>
      </c>
      <c r="B40" s="1">
        <f>B39/B32</f>
        <v>188.7087300546448</v>
      </c>
    </row>
    <row r="42" spans="1:5" x14ac:dyDescent="0.25">
      <c r="A42" s="1" t="s">
        <v>39</v>
      </c>
      <c r="B42" s="1">
        <f>K3/E6</f>
        <v>4.0999999999999996</v>
      </c>
    </row>
    <row r="43" spans="1:5" x14ac:dyDescent="0.25">
      <c r="A43" s="1" t="s">
        <v>40</v>
      </c>
      <c r="B43" s="1">
        <f>B46/B42</f>
        <v>95.050909769425559</v>
      </c>
    </row>
    <row r="45" spans="1:5" x14ac:dyDescent="0.25">
      <c r="A45" s="1" t="s">
        <v>41</v>
      </c>
      <c r="B45" s="1">
        <f>K3+K4+K5</f>
        <v>201</v>
      </c>
      <c r="D45" s="1" t="s">
        <v>43</v>
      </c>
      <c r="E45" s="1">
        <f>B45/E1</f>
        <v>10.050000000000001</v>
      </c>
    </row>
    <row r="46" spans="1:5" x14ac:dyDescent="0.25">
      <c r="A46" s="1" t="s">
        <v>42</v>
      </c>
      <c r="B46" s="1">
        <f>B45+B40</f>
        <v>389.70873005464478</v>
      </c>
      <c r="D46" s="1" t="s">
        <v>44</v>
      </c>
      <c r="E46" s="1">
        <f>B46/E1</f>
        <v>19.485436502732238</v>
      </c>
    </row>
    <row r="59" spans="8:9" x14ac:dyDescent="0.25">
      <c r="H59" s="4" t="s">
        <v>59</v>
      </c>
      <c r="I59" t="s">
        <v>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EE3D-134B-4883-BA19-A51C117059BF}">
  <dimension ref="A1:Q86"/>
  <sheetViews>
    <sheetView tabSelected="1" topLeftCell="A3" zoomScale="77" workbookViewId="0">
      <selection activeCell="I15" sqref="I15"/>
    </sheetView>
  </sheetViews>
  <sheetFormatPr defaultRowHeight="15" x14ac:dyDescent="0.25"/>
  <cols>
    <col min="1" max="1" width="30" bestFit="1" customWidth="1"/>
    <col min="2" max="2" width="10" bestFit="1" customWidth="1"/>
    <col min="7" max="7" width="15.42578125" bestFit="1" customWidth="1"/>
    <col min="8" max="8" width="23.7109375" customWidth="1"/>
    <col min="9" max="9" width="37.5703125" customWidth="1"/>
    <col min="10" max="10" width="22" customWidth="1"/>
    <col min="12" max="12" width="15.42578125" bestFit="1" customWidth="1"/>
    <col min="13" max="13" width="17.5703125" bestFit="1" customWidth="1"/>
    <col min="15" max="15" width="19.28515625" bestFit="1" customWidth="1"/>
    <col min="16" max="16" width="10.5703125" bestFit="1" customWidth="1"/>
    <col min="17" max="17" width="16" bestFit="1" customWidth="1"/>
  </cols>
  <sheetData>
    <row r="1" spans="1:17" ht="42" customHeight="1" x14ac:dyDescent="0.3">
      <c r="A1" s="8" t="s">
        <v>62</v>
      </c>
      <c r="G1" s="17" t="s">
        <v>81</v>
      </c>
      <c r="H1" s="17" t="s">
        <v>80</v>
      </c>
      <c r="I1" s="17" t="s">
        <v>73</v>
      </c>
      <c r="K1" s="1" t="s">
        <v>81</v>
      </c>
      <c r="L1" s="1" t="s">
        <v>83</v>
      </c>
      <c r="M1" s="1" t="s">
        <v>85</v>
      </c>
      <c r="O1" s="1" t="s">
        <v>81</v>
      </c>
      <c r="P1" s="1" t="s">
        <v>95</v>
      </c>
      <c r="Q1" s="1"/>
    </row>
    <row r="2" spans="1:17" ht="20.25" x14ac:dyDescent="0.35">
      <c r="A2" s="8" t="s">
        <v>61</v>
      </c>
      <c r="B2">
        <v>1.3380000000000001</v>
      </c>
      <c r="C2" t="s">
        <v>104</v>
      </c>
      <c r="G2" s="1" t="s">
        <v>74</v>
      </c>
      <c r="H2" s="1">
        <f>B4</f>
        <v>5</v>
      </c>
      <c r="I2" s="1">
        <f>B8</f>
        <v>75000</v>
      </c>
      <c r="K2" s="1"/>
      <c r="L2" s="1" t="s">
        <v>84</v>
      </c>
      <c r="M2" s="1" t="s">
        <v>86</v>
      </c>
      <c r="O2" s="1"/>
      <c r="P2" s="1" t="s">
        <v>96</v>
      </c>
      <c r="Q2" s="1" t="s">
        <v>97</v>
      </c>
    </row>
    <row r="3" spans="1:17" ht="18.75" x14ac:dyDescent="0.3">
      <c r="A3" s="9" t="s">
        <v>63</v>
      </c>
      <c r="B3">
        <v>20</v>
      </c>
      <c r="C3" t="s">
        <v>68</v>
      </c>
      <c r="G3" s="1" t="s">
        <v>75</v>
      </c>
      <c r="H3" s="1"/>
      <c r="I3" s="1"/>
      <c r="K3" s="1" t="s">
        <v>74</v>
      </c>
      <c r="L3" s="1" t="s">
        <v>87</v>
      </c>
      <c r="M3" s="1">
        <f>11/100</f>
        <v>0.11</v>
      </c>
      <c r="O3" s="1" t="s">
        <v>74</v>
      </c>
      <c r="P3" s="1">
        <f>B10</f>
        <v>8250</v>
      </c>
      <c r="Q3" s="1" t="s">
        <v>98</v>
      </c>
    </row>
    <row r="4" spans="1:17" ht="20.25" x14ac:dyDescent="0.35">
      <c r="A4" s="9" t="s">
        <v>64</v>
      </c>
      <c r="B4">
        <v>5</v>
      </c>
      <c r="C4" t="s">
        <v>66</v>
      </c>
      <c r="G4" s="1" t="s">
        <v>76</v>
      </c>
      <c r="H4" s="1"/>
      <c r="I4" s="1"/>
      <c r="K4" s="1" t="s">
        <v>75</v>
      </c>
      <c r="L4" s="1" t="s">
        <v>88</v>
      </c>
      <c r="M4" s="1"/>
      <c r="O4" s="1" t="s">
        <v>76</v>
      </c>
      <c r="P4" s="1"/>
      <c r="Q4" s="1" t="s">
        <v>98</v>
      </c>
    </row>
    <row r="5" spans="1:17" ht="20.25" x14ac:dyDescent="0.35">
      <c r="A5" s="9" t="s">
        <v>65</v>
      </c>
      <c r="B5">
        <v>15000</v>
      </c>
      <c r="C5" t="s">
        <v>67</v>
      </c>
      <c r="G5" s="1" t="s">
        <v>77</v>
      </c>
      <c r="H5" s="1"/>
      <c r="I5" s="1"/>
      <c r="K5" s="1" t="s">
        <v>76</v>
      </c>
      <c r="L5" s="1" t="s">
        <v>89</v>
      </c>
      <c r="M5" s="1"/>
      <c r="O5" s="1" t="s">
        <v>75</v>
      </c>
      <c r="P5" s="1"/>
      <c r="Q5" s="1" t="s">
        <v>98</v>
      </c>
    </row>
    <row r="6" spans="1:17" x14ac:dyDescent="0.25">
      <c r="G6" s="1" t="s">
        <v>78</v>
      </c>
      <c r="H6" s="1"/>
      <c r="I6" s="1"/>
      <c r="K6" s="1" t="s">
        <v>79</v>
      </c>
      <c r="L6" s="1" t="s">
        <v>90</v>
      </c>
      <c r="M6" s="1"/>
      <c r="O6" s="1" t="s">
        <v>77</v>
      </c>
      <c r="P6" s="1" t="s">
        <v>98</v>
      </c>
      <c r="Q6" s="1"/>
    </row>
    <row r="7" spans="1:17" ht="20.25" x14ac:dyDescent="0.35">
      <c r="A7" s="9" t="s">
        <v>69</v>
      </c>
      <c r="B7">
        <f>B4/B3</f>
        <v>0.25</v>
      </c>
      <c r="C7" t="s">
        <v>70</v>
      </c>
      <c r="G7" s="1" t="s">
        <v>79</v>
      </c>
      <c r="H7" s="1"/>
      <c r="I7" s="1"/>
      <c r="K7" s="1" t="s">
        <v>78</v>
      </c>
      <c r="L7" s="1" t="s">
        <v>91</v>
      </c>
      <c r="M7" s="1"/>
      <c r="O7" s="1" t="s">
        <v>78</v>
      </c>
      <c r="P7" s="1" t="s">
        <v>98</v>
      </c>
      <c r="Q7" s="1"/>
    </row>
    <row r="8" spans="1:17" ht="20.25" x14ac:dyDescent="0.35">
      <c r="A8" s="8" t="s">
        <v>71</v>
      </c>
      <c r="B8">
        <f>B4*B5</f>
        <v>75000</v>
      </c>
      <c r="C8" t="s">
        <v>67</v>
      </c>
      <c r="K8" s="1" t="s">
        <v>92</v>
      </c>
      <c r="L8" s="1" t="s">
        <v>93</v>
      </c>
      <c r="M8" s="1"/>
      <c r="O8" s="1" t="s">
        <v>79</v>
      </c>
      <c r="P8" s="1" t="s">
        <v>98</v>
      </c>
      <c r="Q8" s="1"/>
    </row>
    <row r="9" spans="1:17" ht="16.5" customHeight="1" thickBot="1" x14ac:dyDescent="0.3">
      <c r="O9" s="1" t="s">
        <v>99</v>
      </c>
      <c r="P9" s="1">
        <f>SUM(P3:P8)</f>
        <v>8250</v>
      </c>
      <c r="Q9" s="1"/>
    </row>
    <row r="10" spans="1:17" ht="19.5" thickBot="1" x14ac:dyDescent="0.35">
      <c r="A10" s="9" t="s">
        <v>82</v>
      </c>
      <c r="B10">
        <f>B8*M3</f>
        <v>8250</v>
      </c>
      <c r="C10" t="s">
        <v>94</v>
      </c>
      <c r="G10" s="18" t="s">
        <v>108</v>
      </c>
      <c r="H10" s="21" t="s">
        <v>109</v>
      </c>
      <c r="I10" s="20"/>
      <c r="J10" s="20"/>
      <c r="K10" s="20"/>
      <c r="L10" s="20"/>
      <c r="M10" s="22"/>
    </row>
    <row r="11" spans="1:17" ht="19.5" thickBot="1" x14ac:dyDescent="0.35">
      <c r="A11" s="9" t="s">
        <v>102</v>
      </c>
      <c r="B11">
        <v>0.75</v>
      </c>
      <c r="C11" t="s">
        <v>103</v>
      </c>
      <c r="G11" s="19"/>
      <c r="H11" s="13" t="s">
        <v>110</v>
      </c>
      <c r="I11" s="13" t="s">
        <v>111</v>
      </c>
      <c r="J11" s="13" t="s">
        <v>112</v>
      </c>
      <c r="K11" s="13" t="s">
        <v>113</v>
      </c>
      <c r="L11" s="13" t="s">
        <v>114</v>
      </c>
      <c r="M11" s="13" t="s">
        <v>115</v>
      </c>
    </row>
    <row r="12" spans="1:17" ht="19.5" thickBot="1" x14ac:dyDescent="0.35">
      <c r="A12" s="9"/>
      <c r="G12" s="11" t="s">
        <v>116</v>
      </c>
      <c r="H12" s="13">
        <v>395</v>
      </c>
      <c r="I12" s="13">
        <v>1.6</v>
      </c>
      <c r="J12" s="13">
        <v>20</v>
      </c>
      <c r="K12" s="13">
        <v>0.7</v>
      </c>
      <c r="L12" s="13">
        <v>34</v>
      </c>
      <c r="M12" s="13">
        <v>2</v>
      </c>
    </row>
    <row r="13" spans="1:17" ht="19.5" thickBot="1" x14ac:dyDescent="0.35">
      <c r="A13" s="8" t="s">
        <v>100</v>
      </c>
      <c r="B13">
        <f>B10*B11</f>
        <v>6187.5</v>
      </c>
      <c r="C13" t="s">
        <v>104</v>
      </c>
      <c r="G13" s="11" t="s">
        <v>117</v>
      </c>
      <c r="H13" s="13">
        <v>9</v>
      </c>
      <c r="I13" s="13">
        <v>6</v>
      </c>
      <c r="J13" s="13">
        <v>33</v>
      </c>
      <c r="K13" s="13" t="s">
        <v>118</v>
      </c>
      <c r="L13" s="13">
        <v>20</v>
      </c>
      <c r="M13" s="13">
        <v>16</v>
      </c>
    </row>
    <row r="14" spans="1:17" ht="21" thickBot="1" x14ac:dyDescent="0.4">
      <c r="A14" s="9" t="s">
        <v>105</v>
      </c>
      <c r="B14">
        <f>B13</f>
        <v>6187.5</v>
      </c>
      <c r="C14" t="s">
        <v>104</v>
      </c>
    </row>
    <row r="15" spans="1:17" ht="62.25" customHeight="1" thickBot="1" x14ac:dyDescent="0.3">
      <c r="G15" s="47" t="s">
        <v>81</v>
      </c>
      <c r="H15" s="23" t="s">
        <v>151</v>
      </c>
      <c r="I15" s="23" t="s">
        <v>152</v>
      </c>
      <c r="J15" s="23" t="s">
        <v>153</v>
      </c>
    </row>
    <row r="16" spans="1:17" ht="19.5" thickBot="1" x14ac:dyDescent="0.35">
      <c r="A16" s="9" t="s">
        <v>106</v>
      </c>
      <c r="B16">
        <f>B14*B2</f>
        <v>8278.875</v>
      </c>
      <c r="C16" t="s">
        <v>104</v>
      </c>
      <c r="G16" s="11" t="s">
        <v>74</v>
      </c>
      <c r="H16" s="13">
        <f>B4</f>
        <v>5</v>
      </c>
      <c r="I16" s="48">
        <f>H16*3</f>
        <v>15</v>
      </c>
      <c r="J16" s="48">
        <f>B21*I16*2</f>
        <v>6</v>
      </c>
    </row>
    <row r="17" spans="1:16" ht="19.5" thickBot="1" x14ac:dyDescent="0.35">
      <c r="A17" s="9" t="s">
        <v>106</v>
      </c>
      <c r="B17">
        <f>B16/1000</f>
        <v>8.2788749999999993</v>
      </c>
      <c r="C17" t="s">
        <v>107</v>
      </c>
      <c r="G17" s="11" t="s">
        <v>75</v>
      </c>
      <c r="H17" s="13"/>
      <c r="I17" s="48"/>
      <c r="J17" s="48"/>
    </row>
    <row r="18" spans="1:16" ht="16.5" thickBot="1" x14ac:dyDescent="0.3">
      <c r="G18" s="11" t="s">
        <v>76</v>
      </c>
      <c r="H18" s="13"/>
      <c r="I18" s="48"/>
      <c r="J18" s="48"/>
    </row>
    <row r="19" spans="1:16" ht="21" customHeight="1" thickBot="1" x14ac:dyDescent="0.4">
      <c r="A19" s="8" t="s">
        <v>71</v>
      </c>
      <c r="B19">
        <f>B20*B21</f>
        <v>1</v>
      </c>
      <c r="C19" t="s">
        <v>161</v>
      </c>
      <c r="G19" s="11" t="s">
        <v>77</v>
      </c>
      <c r="H19" s="13"/>
      <c r="I19" s="48"/>
      <c r="J19" s="48"/>
    </row>
    <row r="20" spans="1:16" ht="16.5" thickBot="1" x14ac:dyDescent="0.3">
      <c r="A20" t="s">
        <v>159</v>
      </c>
      <c r="B20">
        <f>B4</f>
        <v>5</v>
      </c>
      <c r="G20" s="11" t="s">
        <v>79</v>
      </c>
      <c r="H20" s="13"/>
      <c r="I20" s="48"/>
      <c r="J20" s="48"/>
    </row>
    <row r="21" spans="1:16" ht="32.25" thickBot="1" x14ac:dyDescent="0.3">
      <c r="A21" t="s">
        <v>160</v>
      </c>
      <c r="B21">
        <f>0.2</f>
        <v>0.2</v>
      </c>
      <c r="C21" t="s">
        <v>161</v>
      </c>
      <c r="G21" s="11" t="s">
        <v>78</v>
      </c>
      <c r="H21" s="13"/>
      <c r="I21" s="48"/>
      <c r="J21" s="48"/>
    </row>
    <row r="22" spans="1:16" ht="15.75" thickBot="1" x14ac:dyDescent="0.3"/>
    <row r="23" spans="1:16" ht="21.75" thickBot="1" x14ac:dyDescent="0.4">
      <c r="A23" s="24" t="s">
        <v>162</v>
      </c>
      <c r="B23">
        <f>H34</f>
        <v>0</v>
      </c>
      <c r="G23" s="36" t="s">
        <v>134</v>
      </c>
      <c r="H23" s="43" t="s">
        <v>135</v>
      </c>
      <c r="I23" s="42"/>
      <c r="J23" s="42"/>
      <c r="K23" s="42"/>
      <c r="L23" s="42"/>
      <c r="M23" s="42"/>
      <c r="N23" s="42"/>
      <c r="O23" s="42"/>
      <c r="P23" s="44"/>
    </row>
    <row r="24" spans="1:16" ht="17.25" thickBot="1" x14ac:dyDescent="0.3">
      <c r="G24" s="37" t="s">
        <v>72</v>
      </c>
      <c r="H24" s="38" t="s">
        <v>136</v>
      </c>
      <c r="I24" s="38" t="s">
        <v>137</v>
      </c>
      <c r="J24" s="38" t="s">
        <v>138</v>
      </c>
      <c r="K24" s="38" t="s">
        <v>139</v>
      </c>
      <c r="L24" s="38" t="s">
        <v>140</v>
      </c>
      <c r="M24" s="38" t="s">
        <v>113</v>
      </c>
      <c r="N24" s="39" t="s">
        <v>141</v>
      </c>
      <c r="O24" s="40" t="s">
        <v>142</v>
      </c>
      <c r="P24" s="37" t="s">
        <v>131</v>
      </c>
    </row>
    <row r="25" spans="1:16" ht="21" thickBot="1" x14ac:dyDescent="0.4">
      <c r="A25" s="9" t="s">
        <v>164</v>
      </c>
      <c r="B25">
        <f>B26*B27*B28</f>
        <v>3.4999999999999999E-6</v>
      </c>
      <c r="C25" t="s">
        <v>168</v>
      </c>
      <c r="D25">
        <f>D26*D27*D28</f>
        <v>3500</v>
      </c>
      <c r="E25" t="s">
        <v>101</v>
      </c>
      <c r="G25" s="37" t="s">
        <v>74</v>
      </c>
      <c r="H25" s="38">
        <v>19.8</v>
      </c>
      <c r="I25" s="38">
        <v>2.2999999999999998</v>
      </c>
      <c r="J25" s="38">
        <v>0.28000000000000003</v>
      </c>
      <c r="K25" s="38" t="s">
        <v>143</v>
      </c>
      <c r="L25" s="38">
        <v>7.0000000000000007E-2</v>
      </c>
      <c r="M25" s="38">
        <v>3.5000000000000003E-2</v>
      </c>
      <c r="N25" s="39"/>
      <c r="O25" s="40">
        <f>0.18*10^-6</f>
        <v>1.8E-7</v>
      </c>
      <c r="P25" s="37">
        <v>4.2999999999999997E-2</v>
      </c>
    </row>
    <row r="26" spans="1:16" x14ac:dyDescent="0.25">
      <c r="A26" t="s">
        <v>160</v>
      </c>
      <c r="B26">
        <f>B21</f>
        <v>0.2</v>
      </c>
      <c r="D26">
        <f t="shared" ref="D26:D27" si="0">B26*1000</f>
        <v>200</v>
      </c>
      <c r="E26" t="s">
        <v>167</v>
      </c>
      <c r="G26" s="41" t="s">
        <v>144</v>
      </c>
      <c r="H26" s="45">
        <v>37.299999999999997</v>
      </c>
      <c r="I26" s="45">
        <v>6.9</v>
      </c>
      <c r="J26" s="45">
        <v>0.8</v>
      </c>
      <c r="K26" s="45" t="s">
        <v>143</v>
      </c>
      <c r="L26" s="45">
        <v>0.19</v>
      </c>
      <c r="M26" s="45">
        <v>4.2999999999999997E-2</v>
      </c>
      <c r="N26" s="45">
        <v>0.85</v>
      </c>
      <c r="O26" s="45" t="s">
        <v>146</v>
      </c>
      <c r="P26" s="45">
        <v>0.23400000000000001</v>
      </c>
    </row>
    <row r="27" spans="1:16" ht="15.75" thickBot="1" x14ac:dyDescent="0.3">
      <c r="A27" t="s">
        <v>165</v>
      </c>
      <c r="B27">
        <f>10/1000</f>
        <v>0.01</v>
      </c>
      <c r="C27" t="s">
        <v>161</v>
      </c>
      <c r="D27">
        <f t="shared" si="0"/>
        <v>10</v>
      </c>
      <c r="E27" t="s">
        <v>167</v>
      </c>
      <c r="G27" s="37" t="s">
        <v>145</v>
      </c>
      <c r="H27" s="46"/>
      <c r="I27" s="46"/>
      <c r="J27" s="46"/>
      <c r="K27" s="46"/>
      <c r="L27" s="46"/>
      <c r="M27" s="46"/>
      <c r="N27" s="46"/>
      <c r="O27" s="46"/>
      <c r="P27" s="46"/>
    </row>
    <row r="28" spans="1:16" ht="30.75" thickBot="1" x14ac:dyDescent="0.3">
      <c r="A28" t="s">
        <v>166</v>
      </c>
      <c r="B28">
        <f>1.75/1000</f>
        <v>1.75E-3</v>
      </c>
      <c r="C28" t="s">
        <v>161</v>
      </c>
      <c r="D28">
        <f>B28*1000</f>
        <v>1.75</v>
      </c>
      <c r="E28" t="s">
        <v>167</v>
      </c>
      <c r="G28" s="37" t="s">
        <v>147</v>
      </c>
      <c r="H28" s="38">
        <v>28.5</v>
      </c>
      <c r="I28" s="38">
        <v>3.5</v>
      </c>
      <c r="J28" s="38">
        <v>0.6</v>
      </c>
      <c r="K28" s="38" t="s">
        <v>143</v>
      </c>
      <c r="L28" s="38">
        <v>0.11</v>
      </c>
      <c r="M28" s="38">
        <v>5.3999999999999999E-2</v>
      </c>
      <c r="N28" s="39">
        <v>0.88</v>
      </c>
      <c r="O28" s="40" t="s">
        <v>148</v>
      </c>
      <c r="P28" s="37">
        <v>0.83199999999999996</v>
      </c>
    </row>
    <row r="29" spans="1:16" ht="30.75" thickBot="1" x14ac:dyDescent="0.3">
      <c r="G29" s="37" t="s">
        <v>149</v>
      </c>
      <c r="H29" s="38">
        <v>6.2</v>
      </c>
      <c r="I29" s="38">
        <v>1.1000000000000001</v>
      </c>
      <c r="J29" s="38">
        <v>3.5</v>
      </c>
      <c r="K29" s="38">
        <v>0.3</v>
      </c>
      <c r="L29" s="38">
        <v>0.56000000000000005</v>
      </c>
      <c r="M29" s="38" t="s">
        <v>143</v>
      </c>
      <c r="N29" s="39"/>
      <c r="O29" s="40" t="s">
        <v>150</v>
      </c>
      <c r="P29" s="37">
        <v>4.72</v>
      </c>
    </row>
    <row r="30" spans="1:16" ht="20.25" x14ac:dyDescent="0.35">
      <c r="A30" s="9" t="s">
        <v>169</v>
      </c>
    </row>
    <row r="31" spans="1:16" ht="48.75" customHeight="1" x14ac:dyDescent="0.25">
      <c r="F31" s="49" t="s">
        <v>154</v>
      </c>
      <c r="G31" s="49"/>
      <c r="H31" s="49" t="s">
        <v>123</v>
      </c>
      <c r="I31" s="49" t="s">
        <v>124</v>
      </c>
      <c r="J31" s="50" t="s">
        <v>125</v>
      </c>
      <c r="K31" s="50"/>
    </row>
    <row r="32" spans="1:16" x14ac:dyDescent="0.25">
      <c r="F32" s="49"/>
      <c r="G32" s="49"/>
      <c r="H32" s="49"/>
      <c r="I32" s="49"/>
      <c r="J32" s="1" t="s">
        <v>155</v>
      </c>
      <c r="K32" s="1" t="s">
        <v>156</v>
      </c>
    </row>
    <row r="33" spans="1:11" x14ac:dyDescent="0.25">
      <c r="F33" s="51" t="s">
        <v>136</v>
      </c>
      <c r="G33" s="52" t="s">
        <v>126</v>
      </c>
      <c r="H33" s="1">
        <f>B13*H12</f>
        <v>2444062.5</v>
      </c>
      <c r="I33" s="1">
        <f>B19*H25*24*365</f>
        <v>173448.00000000003</v>
      </c>
      <c r="J33" s="51">
        <f>SUM(H33:I33)</f>
        <v>2617510.5</v>
      </c>
      <c r="K33" s="51">
        <f>J33/365</f>
        <v>7171.2616438356163</v>
      </c>
    </row>
    <row r="34" spans="1:11" x14ac:dyDescent="0.25">
      <c r="F34" s="51"/>
      <c r="G34" s="52" t="s">
        <v>127</v>
      </c>
      <c r="H34" s="1"/>
      <c r="J34" s="51"/>
      <c r="K34" s="51"/>
    </row>
    <row r="35" spans="1:11" x14ac:dyDescent="0.25">
      <c r="F35" s="51" t="s">
        <v>119</v>
      </c>
      <c r="G35" s="52" t="s">
        <v>126</v>
      </c>
      <c r="H35" s="1">
        <f>B13*I12</f>
        <v>9900</v>
      </c>
      <c r="I35" s="1">
        <f>B19*L25*24*365</f>
        <v>613.20000000000005</v>
      </c>
      <c r="J35" s="51">
        <f t="shared" ref="J35" si="1">SUM(H35:I35)</f>
        <v>10513.2</v>
      </c>
      <c r="K35" s="51">
        <f>J35/365</f>
        <v>28.80328767123288</v>
      </c>
    </row>
    <row r="36" spans="1:11" x14ac:dyDescent="0.25">
      <c r="F36" s="51"/>
      <c r="G36" s="52" t="s">
        <v>127</v>
      </c>
      <c r="H36" s="1"/>
      <c r="I36" s="1"/>
      <c r="J36" s="51"/>
      <c r="K36" s="51"/>
    </row>
    <row r="37" spans="1:11" x14ac:dyDescent="0.25">
      <c r="F37" s="51" t="s">
        <v>120</v>
      </c>
      <c r="G37" s="52" t="s">
        <v>126</v>
      </c>
      <c r="H37" s="1">
        <f>B13*J12</f>
        <v>123750</v>
      </c>
      <c r="I37" s="1">
        <f>B19*J25*24*365</f>
        <v>2452.8000000000002</v>
      </c>
      <c r="J37" s="51">
        <f t="shared" ref="J37" si="2">SUM(H37:I37)</f>
        <v>126202.8</v>
      </c>
      <c r="K37" s="51">
        <f>J37/365</f>
        <v>345.76109589041096</v>
      </c>
    </row>
    <row r="38" spans="1:11" x14ac:dyDescent="0.25">
      <c r="F38" s="51"/>
      <c r="G38" s="52" t="s">
        <v>127</v>
      </c>
      <c r="H38" s="1"/>
      <c r="I38" s="1"/>
      <c r="J38" s="51"/>
      <c r="K38" s="51"/>
    </row>
    <row r="39" spans="1:11" x14ac:dyDescent="0.25">
      <c r="F39" s="51" t="s">
        <v>113</v>
      </c>
      <c r="G39" s="52" t="s">
        <v>126</v>
      </c>
      <c r="H39" s="1">
        <f>B13*K12</f>
        <v>4331.25</v>
      </c>
      <c r="I39" s="1">
        <f>B19*M25*24*365</f>
        <v>306.60000000000002</v>
      </c>
      <c r="J39" s="51">
        <f t="shared" ref="J39" si="3">SUM(H39:I39)</f>
        <v>4637.8500000000004</v>
      </c>
      <c r="K39" s="51">
        <f>J39/365</f>
        <v>12.706438356164385</v>
      </c>
    </row>
    <row r="40" spans="1:11" x14ac:dyDescent="0.25">
      <c r="F40" s="51"/>
      <c r="G40" s="52" t="s">
        <v>127</v>
      </c>
      <c r="H40" s="1"/>
      <c r="I40" s="1"/>
      <c r="J40" s="51"/>
      <c r="K40" s="51"/>
    </row>
    <row r="41" spans="1:11" x14ac:dyDescent="0.25">
      <c r="F41" s="51" t="s">
        <v>133</v>
      </c>
      <c r="G41" s="52" t="s">
        <v>126</v>
      </c>
      <c r="H41" s="1">
        <f>B13*N25</f>
        <v>0</v>
      </c>
      <c r="I41" s="1">
        <f>B19*N25</f>
        <v>0</v>
      </c>
      <c r="J41" s="51">
        <f t="shared" ref="J41" si="4">SUM(H41:I41)</f>
        <v>0</v>
      </c>
      <c r="K41" s="51">
        <f>J41/365</f>
        <v>0</v>
      </c>
    </row>
    <row r="42" spans="1:11" x14ac:dyDescent="0.25">
      <c r="F42" s="51"/>
      <c r="G42" s="52" t="s">
        <v>127</v>
      </c>
      <c r="H42" s="1"/>
      <c r="I42" s="1"/>
      <c r="J42" s="51"/>
      <c r="K42" s="51"/>
    </row>
    <row r="43" spans="1:11" x14ac:dyDescent="0.25">
      <c r="F43" s="51" t="s">
        <v>121</v>
      </c>
      <c r="G43" s="52" t="s">
        <v>126</v>
      </c>
      <c r="H43" s="1">
        <f>B13*L12</f>
        <v>210375</v>
      </c>
      <c r="I43" s="1">
        <f>B19*I25*24*365</f>
        <v>20148</v>
      </c>
      <c r="J43" s="51">
        <f t="shared" ref="J43" si="5">SUM(H43:I43)</f>
        <v>230523</v>
      </c>
      <c r="K43" s="51">
        <f>J43/365</f>
        <v>631.56986301369864</v>
      </c>
    </row>
    <row r="44" spans="1:11" x14ac:dyDescent="0.25">
      <c r="F44" s="51"/>
      <c r="G44" s="52" t="s">
        <v>127</v>
      </c>
      <c r="H44" s="1"/>
      <c r="I44" s="1"/>
      <c r="J44" s="51"/>
      <c r="K44" s="51"/>
    </row>
    <row r="45" spans="1:11" x14ac:dyDescent="0.25">
      <c r="A45" t="s">
        <v>163</v>
      </c>
      <c r="F45" s="51" t="s">
        <v>130</v>
      </c>
      <c r="G45" s="52" t="s">
        <v>126</v>
      </c>
      <c r="H45" s="1">
        <f>B13*M12</f>
        <v>12375</v>
      </c>
      <c r="I45" s="1"/>
      <c r="J45" s="51">
        <f t="shared" ref="J45" si="6">SUM(H45:I45)</f>
        <v>12375</v>
      </c>
      <c r="K45" s="51">
        <f>J45/365</f>
        <v>33.904109589041099</v>
      </c>
    </row>
    <row r="46" spans="1:11" x14ac:dyDescent="0.25">
      <c r="F46" s="51"/>
      <c r="G46" s="52" t="s">
        <v>127</v>
      </c>
      <c r="H46" s="1"/>
      <c r="I46" s="1"/>
      <c r="J46" s="51"/>
      <c r="K46" s="51"/>
    </row>
    <row r="47" spans="1:11" x14ac:dyDescent="0.25">
      <c r="F47" s="51" t="s">
        <v>157</v>
      </c>
      <c r="G47" s="52" t="s">
        <v>126</v>
      </c>
      <c r="H47" s="1"/>
      <c r="I47" s="1">
        <f>B19*P25*24*365</f>
        <v>376.68</v>
      </c>
      <c r="J47" s="51">
        <f t="shared" ref="J47" si="7">SUM(H47:I47)</f>
        <v>376.68</v>
      </c>
      <c r="K47" s="51">
        <f>J47/365</f>
        <v>1.032</v>
      </c>
    </row>
    <row r="48" spans="1:11" x14ac:dyDescent="0.25">
      <c r="F48" s="51"/>
      <c r="G48" s="52" t="s">
        <v>127</v>
      </c>
      <c r="H48" s="1"/>
      <c r="I48" s="1"/>
      <c r="J48" s="51"/>
      <c r="K48" s="51"/>
    </row>
    <row r="49" spans="6:11" x14ac:dyDescent="0.25">
      <c r="F49" s="51" t="s">
        <v>158</v>
      </c>
      <c r="G49" s="52" t="s">
        <v>126</v>
      </c>
      <c r="H49" s="1"/>
      <c r="I49" s="1">
        <f>B19*O25*24*365</f>
        <v>1.5767999999999999E-3</v>
      </c>
      <c r="J49" s="51">
        <f t="shared" ref="J49" si="8">SUM(H49:I49)</f>
        <v>1.5767999999999999E-3</v>
      </c>
      <c r="K49" s="51">
        <f>J49/365</f>
        <v>4.3200000000000001E-6</v>
      </c>
    </row>
    <row r="50" spans="6:11" x14ac:dyDescent="0.25">
      <c r="F50" s="51"/>
      <c r="G50" s="52" t="s">
        <v>127</v>
      </c>
      <c r="H50" s="1"/>
      <c r="I50" s="1"/>
      <c r="J50" s="51"/>
      <c r="K50" s="51"/>
    </row>
    <row r="51" spans="6:11" ht="15.75" thickBot="1" x14ac:dyDescent="0.3"/>
    <row r="52" spans="6:11" ht="31.5" customHeight="1" x14ac:dyDescent="0.25">
      <c r="G52" s="10" t="s">
        <v>122</v>
      </c>
      <c r="H52" s="12" t="s">
        <v>171</v>
      </c>
      <c r="I52" s="25" t="s">
        <v>173</v>
      </c>
      <c r="J52" s="68"/>
    </row>
    <row r="53" spans="6:11" ht="15" customHeight="1" x14ac:dyDescent="0.25">
      <c r="G53" s="53"/>
      <c r="H53" s="28"/>
      <c r="I53" s="64"/>
      <c r="J53" s="69"/>
    </row>
    <row r="54" spans="6:11" ht="54.75" thickBot="1" x14ac:dyDescent="0.3">
      <c r="G54" s="11" t="s">
        <v>170</v>
      </c>
      <c r="H54" s="13" t="s">
        <v>172</v>
      </c>
      <c r="I54" s="57" t="s">
        <v>174</v>
      </c>
      <c r="J54" s="70" t="s">
        <v>194</v>
      </c>
    </row>
    <row r="55" spans="6:11" ht="16.5" thickBot="1" x14ac:dyDescent="0.3">
      <c r="G55" s="26" t="s">
        <v>110</v>
      </c>
      <c r="H55" s="29">
        <f>K33*1000/$D$25</f>
        <v>2048.9318982387476</v>
      </c>
      <c r="I55" s="65">
        <f>K33/J72</f>
        <v>2390.4205479452053</v>
      </c>
      <c r="J55" s="69">
        <f>H55/J72</f>
        <v>682.97729941291584</v>
      </c>
    </row>
    <row r="56" spans="6:11" ht="19.5" thickBot="1" x14ac:dyDescent="0.3">
      <c r="G56" s="10" t="s">
        <v>111</v>
      </c>
      <c r="H56" s="54">
        <f>K35*1000/$D$25</f>
        <v>8.2295107632093938</v>
      </c>
      <c r="I56" s="66">
        <f>K35/J79</f>
        <v>576.0657534246576</v>
      </c>
      <c r="J56" s="69">
        <f>H56/J79</f>
        <v>164.59021526418786</v>
      </c>
    </row>
    <row r="57" spans="6:11" ht="19.5" thickBot="1" x14ac:dyDescent="0.3">
      <c r="G57" s="10" t="s">
        <v>112</v>
      </c>
      <c r="H57" s="54">
        <f>K37*1000/$D$25</f>
        <v>98.788884540117408</v>
      </c>
      <c r="I57" s="66">
        <f>K37/J69</f>
        <v>8644.0273972602736</v>
      </c>
      <c r="J57" s="69">
        <f>H57/J69</f>
        <v>2469.7221135029354</v>
      </c>
    </row>
    <row r="58" spans="6:11" ht="16.5" thickBot="1" x14ac:dyDescent="0.3">
      <c r="G58" s="10" t="s">
        <v>128</v>
      </c>
      <c r="H58" s="54">
        <f>K39*1000/$D$25</f>
        <v>3.6304109589041103</v>
      </c>
      <c r="I58" s="66">
        <f>K39/J71</f>
        <v>42354.794520547955</v>
      </c>
      <c r="J58" s="69">
        <f>H58/J71</f>
        <v>12101.369863013702</v>
      </c>
    </row>
    <row r="59" spans="6:11" ht="19.5" thickBot="1" x14ac:dyDescent="0.3">
      <c r="G59" s="10" t="s">
        <v>129</v>
      </c>
      <c r="H59" s="54">
        <f>K41*1000/$D$25</f>
        <v>0</v>
      </c>
      <c r="I59" s="66">
        <f>K41/J85</f>
        <v>0</v>
      </c>
      <c r="J59" s="69">
        <f>H59</f>
        <v>0</v>
      </c>
    </row>
    <row r="60" spans="6:11" ht="19.5" thickBot="1" x14ac:dyDescent="0.3">
      <c r="G60" s="10" t="s">
        <v>114</v>
      </c>
      <c r="H60" s="54">
        <f>K43*1000/$D$25</f>
        <v>180.44853228962816</v>
      </c>
      <c r="I60" s="66">
        <f>K43/J75</f>
        <v>126313.97260273973</v>
      </c>
      <c r="J60" s="69">
        <f>H60/J75</f>
        <v>36089.706457925633</v>
      </c>
    </row>
    <row r="61" spans="6:11" ht="16.5" thickBot="1" x14ac:dyDescent="0.3">
      <c r="G61" s="10" t="s">
        <v>130</v>
      </c>
      <c r="H61" s="54">
        <f>K45*1000/$D$25</f>
        <v>9.6868884540117435</v>
      </c>
      <c r="I61" s="66">
        <f>K45/J70</f>
        <v>678.08219178082197</v>
      </c>
      <c r="J61" s="69">
        <f>H61/J70</f>
        <v>193.73776908023487</v>
      </c>
    </row>
    <row r="62" spans="6:11" ht="16.5" thickBot="1" x14ac:dyDescent="0.3">
      <c r="G62" s="10" t="s">
        <v>131</v>
      </c>
      <c r="H62" s="54">
        <f>K47*1000/$D$25</f>
        <v>0.29485714285714287</v>
      </c>
      <c r="I62" s="66">
        <f>K47/J86</f>
        <v>17.200000000000003</v>
      </c>
      <c r="J62" s="69">
        <f>H62/J86</f>
        <v>4.9142857142857146</v>
      </c>
    </row>
    <row r="63" spans="6:11" ht="19.5" thickBot="1" x14ac:dyDescent="0.3">
      <c r="G63" s="47" t="s">
        <v>132</v>
      </c>
      <c r="H63" s="55">
        <f>K49*1000/$D$25</f>
        <v>1.2342857142857142E-6</v>
      </c>
      <c r="I63" s="67">
        <f>K49/J82</f>
        <v>4.32</v>
      </c>
      <c r="J63" s="71">
        <f>H63/J82</f>
        <v>1.2342857142857142</v>
      </c>
    </row>
    <row r="64" spans="6:11" ht="15.75" thickBot="1" x14ac:dyDescent="0.3"/>
    <row r="65" spans="7:10" ht="15.75" customHeight="1" x14ac:dyDescent="0.25">
      <c r="G65" s="15" t="s">
        <v>154</v>
      </c>
      <c r="H65" s="12" t="s">
        <v>175</v>
      </c>
      <c r="I65" s="30" t="s">
        <v>177</v>
      </c>
      <c r="J65" s="14"/>
    </row>
    <row r="66" spans="7:10" x14ac:dyDescent="0.25">
      <c r="G66" s="35"/>
      <c r="H66" s="28"/>
      <c r="I66" s="31"/>
      <c r="J66" s="32"/>
    </row>
    <row r="67" spans="7:10" ht="18.75" customHeight="1" thickBot="1" x14ac:dyDescent="0.3">
      <c r="G67" s="35"/>
      <c r="H67" s="27" t="s">
        <v>176</v>
      </c>
      <c r="I67" s="33" t="s">
        <v>178</v>
      </c>
      <c r="J67" s="34"/>
    </row>
    <row r="68" spans="7:10" ht="19.5" thickBot="1" x14ac:dyDescent="0.3">
      <c r="G68" s="16"/>
      <c r="H68" s="56"/>
      <c r="I68" s="13" t="s">
        <v>179</v>
      </c>
      <c r="J68" s="13" t="s">
        <v>180</v>
      </c>
    </row>
    <row r="69" spans="7:10" ht="35.25" thickBot="1" x14ac:dyDescent="0.3">
      <c r="G69" s="11" t="s">
        <v>181</v>
      </c>
      <c r="H69" s="13">
        <v>2</v>
      </c>
      <c r="I69" s="13">
        <v>8.5000000000000006E-2</v>
      </c>
      <c r="J69" s="13">
        <v>0.04</v>
      </c>
    </row>
    <row r="70" spans="7:10" ht="16.5" thickBot="1" x14ac:dyDescent="0.3">
      <c r="G70" s="11" t="s">
        <v>130</v>
      </c>
      <c r="H70" s="13">
        <v>3</v>
      </c>
      <c r="I70" s="13">
        <v>0.15</v>
      </c>
      <c r="J70" s="13">
        <v>0.05</v>
      </c>
    </row>
    <row r="71" spans="7:10" ht="48" thickBot="1" x14ac:dyDescent="0.3">
      <c r="G71" s="11" t="s">
        <v>182</v>
      </c>
      <c r="H71" s="13">
        <v>1</v>
      </c>
      <c r="I71" s="13">
        <v>1E-3</v>
      </c>
      <c r="J71" s="13">
        <v>2.9999999999999997E-4</v>
      </c>
    </row>
    <row r="72" spans="7:10" ht="31.5" x14ac:dyDescent="0.25">
      <c r="G72" s="26" t="s">
        <v>183</v>
      </c>
      <c r="H72" s="15">
        <v>3</v>
      </c>
      <c r="I72" s="15">
        <v>5</v>
      </c>
      <c r="J72" s="15">
        <v>3</v>
      </c>
    </row>
    <row r="73" spans="7:10" x14ac:dyDescent="0.25">
      <c r="G73" s="53"/>
      <c r="H73" s="35"/>
      <c r="I73" s="35"/>
      <c r="J73" s="35"/>
    </row>
    <row r="74" spans="7:10" ht="16.5" thickBot="1" x14ac:dyDescent="0.3">
      <c r="G74" s="11" t="s">
        <v>184</v>
      </c>
      <c r="H74" s="16"/>
      <c r="I74" s="16"/>
      <c r="J74" s="16"/>
    </row>
    <row r="75" spans="7:10" ht="15.75" x14ac:dyDescent="0.25">
      <c r="G75" s="26" t="s">
        <v>185</v>
      </c>
      <c r="H75" s="15">
        <v>4</v>
      </c>
      <c r="I75" s="15">
        <v>0.03</v>
      </c>
      <c r="J75" s="15">
        <v>5.0000000000000001E-3</v>
      </c>
    </row>
    <row r="76" spans="7:10" x14ac:dyDescent="0.25">
      <c r="G76" s="53"/>
      <c r="H76" s="35"/>
      <c r="I76" s="35"/>
      <c r="J76" s="35"/>
    </row>
    <row r="77" spans="7:10" ht="19.5" thickBot="1" x14ac:dyDescent="0.3">
      <c r="G77" s="11" t="s">
        <v>186</v>
      </c>
      <c r="H77" s="16"/>
      <c r="I77" s="16"/>
      <c r="J77" s="16"/>
    </row>
    <row r="78" spans="7:10" ht="16.5" thickBot="1" x14ac:dyDescent="0.3">
      <c r="G78" s="11" t="s">
        <v>187</v>
      </c>
      <c r="H78" s="13">
        <v>3</v>
      </c>
      <c r="I78" s="13">
        <v>0.5</v>
      </c>
      <c r="J78" s="13">
        <v>0.15</v>
      </c>
    </row>
    <row r="79" spans="7:10" ht="31.5" x14ac:dyDescent="0.25">
      <c r="G79" s="26" t="s">
        <v>188</v>
      </c>
      <c r="H79" s="15">
        <v>2</v>
      </c>
      <c r="I79" s="15">
        <v>0.5</v>
      </c>
      <c r="J79" s="15">
        <v>0.05</v>
      </c>
    </row>
    <row r="80" spans="7:10" x14ac:dyDescent="0.25">
      <c r="G80" s="53"/>
      <c r="H80" s="35"/>
      <c r="I80" s="35"/>
      <c r="J80" s="35"/>
    </row>
    <row r="81" spans="7:10" ht="19.5" thickBot="1" x14ac:dyDescent="0.3">
      <c r="G81" s="11" t="s">
        <v>189</v>
      </c>
      <c r="H81" s="16"/>
      <c r="I81" s="16"/>
      <c r="J81" s="16"/>
    </row>
    <row r="82" spans="7:10" ht="15.75" x14ac:dyDescent="0.25">
      <c r="G82" s="26" t="s">
        <v>190</v>
      </c>
      <c r="H82" s="15">
        <v>1</v>
      </c>
      <c r="I82" s="58"/>
      <c r="J82" s="61">
        <f>10^-6</f>
        <v>9.9999999999999995E-7</v>
      </c>
    </row>
    <row r="83" spans="7:10" x14ac:dyDescent="0.25">
      <c r="G83" s="53"/>
      <c r="H83" s="35"/>
      <c r="I83" s="59"/>
      <c r="J83" s="62"/>
    </row>
    <row r="84" spans="7:10" ht="19.5" thickBot="1" x14ac:dyDescent="0.3">
      <c r="G84" s="11" t="s">
        <v>191</v>
      </c>
      <c r="H84" s="16"/>
      <c r="I84" s="60"/>
      <c r="J84" s="63"/>
    </row>
    <row r="85" spans="7:10" ht="51" thickBot="1" x14ac:dyDescent="0.3">
      <c r="G85" s="11" t="s">
        <v>192</v>
      </c>
      <c r="H85" s="13">
        <v>3</v>
      </c>
      <c r="I85" s="13">
        <v>0.5</v>
      </c>
      <c r="J85" s="13">
        <v>0.15</v>
      </c>
    </row>
    <row r="86" spans="7:10" ht="35.25" thickBot="1" x14ac:dyDescent="0.3">
      <c r="G86" s="11" t="s">
        <v>193</v>
      </c>
      <c r="H86" s="13">
        <v>2</v>
      </c>
      <c r="I86" s="13">
        <v>0.4</v>
      </c>
      <c r="J86" s="13">
        <v>0.06</v>
      </c>
    </row>
  </sheetData>
  <mergeCells count="59">
    <mergeCell ref="H79:H81"/>
    <mergeCell ref="I79:I81"/>
    <mergeCell ref="J79:J81"/>
    <mergeCell ref="H82:H84"/>
    <mergeCell ref="I82:I84"/>
    <mergeCell ref="J82:J84"/>
    <mergeCell ref="H72:H74"/>
    <mergeCell ref="I72:I74"/>
    <mergeCell ref="J72:J74"/>
    <mergeCell ref="H75:H77"/>
    <mergeCell ref="I75:I77"/>
    <mergeCell ref="J75:J77"/>
    <mergeCell ref="G65:G68"/>
    <mergeCell ref="I65:J65"/>
    <mergeCell ref="I66:J66"/>
    <mergeCell ref="I67:J67"/>
    <mergeCell ref="F47:F48"/>
    <mergeCell ref="J47:J48"/>
    <mergeCell ref="K47:K48"/>
    <mergeCell ref="F49:F50"/>
    <mergeCell ref="K49:K50"/>
    <mergeCell ref="F43:F44"/>
    <mergeCell ref="J43:J44"/>
    <mergeCell ref="K43:K44"/>
    <mergeCell ref="F45:F46"/>
    <mergeCell ref="J45:J46"/>
    <mergeCell ref="K45:K46"/>
    <mergeCell ref="F37:F38"/>
    <mergeCell ref="K37:K38"/>
    <mergeCell ref="F39:F40"/>
    <mergeCell ref="J39:J40"/>
    <mergeCell ref="K39:K40"/>
    <mergeCell ref="F41:F42"/>
    <mergeCell ref="J41:J42"/>
    <mergeCell ref="K41:K42"/>
    <mergeCell ref="F33:F34"/>
    <mergeCell ref="J33:J34"/>
    <mergeCell ref="K33:K34"/>
    <mergeCell ref="F35:F36"/>
    <mergeCell ref="J35:J36"/>
    <mergeCell ref="K35:K36"/>
    <mergeCell ref="F31:G32"/>
    <mergeCell ref="H31:H32"/>
    <mergeCell ref="I31:I32"/>
    <mergeCell ref="J31:K31"/>
    <mergeCell ref="J49:J50"/>
    <mergeCell ref="H23:P23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J37:J38"/>
    <mergeCell ref="G10:G11"/>
    <mergeCell ref="H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Лист2!_Hlk153478266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2025-04-01T08:39:52Z</dcterms:modified>
</cp:coreProperties>
</file>