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despace\Файлы\1 курс\Информационные технологии в цифровой экономике\1 семестр\Лабораторные работы\Влад\"/>
    </mc:Choice>
  </mc:AlternateContent>
  <xr:revisionPtr revIDLastSave="0" documentId="13_ncr:1_{D91D26B0-88DD-4621-8901-DF014DC51F47}" xr6:coauthVersionLast="47" xr6:coauthVersionMax="47" xr10:uidLastSave="{00000000-0000-0000-0000-000000000000}"/>
  <bookViews>
    <workbookView xWindow="-120" yWindow="480" windowWidth="29040" windowHeight="15840" firstSheet="3" activeTab="5" xr2:uid="{00000000-000D-0000-FFFF-FFFF00000000}"/>
  </bookViews>
  <sheets>
    <sheet name="ПриведеннаяСтоимость" sheetId="1" r:id="rId1"/>
    <sheet name="PV" sheetId="2" r:id="rId2"/>
    <sheet name="БудущаяСтоимость" sheetId="3" r:id="rId3"/>
    <sheet name="ПЛТ" sheetId="4" r:id="rId4"/>
    <sheet name="ЧислоПериодовВыплат" sheetId="5" r:id="rId5"/>
    <sheet name="СТАВКА" sheetId="6" r:id="rId6"/>
    <sheet name="Амортизация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H8" i="6"/>
  <c r="B6" i="6"/>
  <c r="B8" i="6" s="1"/>
  <c r="B9" i="6" s="1"/>
  <c r="E5" i="6"/>
  <c r="C11" i="7"/>
  <c r="B11" i="7"/>
  <c r="C10" i="7"/>
  <c r="B10" i="7"/>
  <c r="C9" i="7"/>
  <c r="B9" i="7"/>
  <c r="F8" i="7"/>
  <c r="C8" i="7"/>
  <c r="B8" i="7"/>
  <c r="G7" i="7"/>
  <c r="C7" i="7"/>
  <c r="C12" i="7" s="1"/>
  <c r="B7" i="7"/>
  <c r="B12" i="7" s="1"/>
  <c r="G6" i="7"/>
  <c r="G5" i="7"/>
  <c r="G8" i="7" s="1"/>
  <c r="G4" i="7"/>
  <c r="G3" i="7"/>
  <c r="E14" i="5"/>
  <c r="E13" i="5"/>
  <c r="E15" i="5" s="1"/>
  <c r="B14" i="5"/>
  <c r="B13" i="5"/>
  <c r="E8" i="5"/>
  <c r="E10" i="5" s="1"/>
  <c r="B10" i="5"/>
  <c r="B11" i="5" s="1"/>
  <c r="B8" i="5"/>
  <c r="B29" i="4"/>
  <c r="E31" i="4"/>
  <c r="G25" i="4"/>
  <c r="G26" i="4"/>
  <c r="G27" i="4"/>
  <c r="G28" i="4"/>
  <c r="G29" i="4"/>
  <c r="G30" i="4"/>
  <c r="G24" i="4"/>
  <c r="F31" i="4"/>
  <c r="F30" i="4"/>
  <c r="F25" i="4"/>
  <c r="F26" i="4"/>
  <c r="F27" i="4"/>
  <c r="F28" i="4"/>
  <c r="F29" i="4"/>
  <c r="F24" i="4"/>
  <c r="B31" i="4"/>
  <c r="B32" i="4"/>
  <c r="E24" i="4"/>
  <c r="E25" i="4"/>
  <c r="E26" i="4"/>
  <c r="E27" i="4"/>
  <c r="E28" i="4"/>
  <c r="E29" i="4"/>
  <c r="E30" i="4"/>
  <c r="I28" i="4"/>
  <c r="I30" i="4"/>
  <c r="H25" i="4"/>
  <c r="I25" i="4" s="1"/>
  <c r="H26" i="4"/>
  <c r="I26" i="4" s="1"/>
  <c r="H27" i="4"/>
  <c r="I27" i="4" s="1"/>
  <c r="H28" i="4"/>
  <c r="H29" i="4"/>
  <c r="I29" i="4" s="1"/>
  <c r="H30" i="4"/>
  <c r="H24" i="4"/>
  <c r="I24" i="4" s="1"/>
  <c r="B7" i="4"/>
  <c r="E14" i="4" s="1"/>
  <c r="B6" i="4"/>
  <c r="H14" i="3"/>
  <c r="E14" i="3"/>
  <c r="B14" i="3"/>
  <c r="E12" i="3"/>
  <c r="H12" i="3"/>
  <c r="B12" i="3"/>
  <c r="E10" i="3"/>
  <c r="E9" i="3"/>
  <c r="H10" i="3"/>
  <c r="H9" i="3"/>
  <c r="B10" i="3"/>
  <c r="B9" i="3"/>
  <c r="H16" i="2"/>
  <c r="E16" i="2"/>
  <c r="B16" i="2"/>
  <c r="H14" i="2"/>
  <c r="E13" i="2"/>
  <c r="B13" i="2"/>
  <c r="H12" i="2"/>
  <c r="E11" i="2"/>
  <c r="B11" i="2"/>
  <c r="H11" i="2"/>
  <c r="E10" i="2"/>
  <c r="B10" i="2"/>
  <c r="H12" i="1"/>
  <c r="H10" i="1"/>
  <c r="H9" i="1"/>
  <c r="E11" i="1"/>
  <c r="E9" i="1"/>
  <c r="E8" i="1"/>
  <c r="B11" i="1"/>
  <c r="B9" i="1"/>
  <c r="B8" i="1"/>
  <c r="E11" i="5" l="1"/>
  <c r="B15" i="5"/>
  <c r="G31" i="4"/>
  <c r="B14" i="4"/>
  <c r="F13" i="4"/>
  <c r="G13" i="4" s="1"/>
  <c r="B33" i="4"/>
  <c r="F17" i="4"/>
  <c r="G17" i="4" s="1"/>
  <c r="F16" i="4"/>
  <c r="G16" i="4" s="1"/>
  <c r="E20" i="4"/>
  <c r="E19" i="4"/>
  <c r="E18" i="4"/>
  <c r="F4" i="4"/>
  <c r="E17" i="4"/>
  <c r="F20" i="4"/>
  <c r="G20" i="4" s="1"/>
  <c r="F14" i="4"/>
  <c r="G14" i="4" s="1"/>
  <c r="F15" i="4"/>
  <c r="G15" i="4" s="1"/>
  <c r="B13" i="4"/>
  <c r="B15" i="4" s="1"/>
  <c r="E16" i="4"/>
  <c r="F19" i="4"/>
  <c r="G19" i="4" s="1"/>
  <c r="E13" i="4"/>
  <c r="E15" i="4"/>
  <c r="F18" i="4"/>
  <c r="G18" i="4" s="1"/>
  <c r="F3" i="4"/>
  <c r="G6" i="4"/>
  <c r="E8" i="4"/>
  <c r="G2" i="4"/>
  <c r="G4" i="4"/>
  <c r="E6" i="4"/>
  <c r="F9" i="4"/>
  <c r="G5" i="4"/>
  <c r="E7" i="4"/>
  <c r="F7" i="4"/>
  <c r="G9" i="4"/>
  <c r="G3" i="4"/>
  <c r="E5" i="4"/>
  <c r="G8" i="4"/>
  <c r="E2" i="4"/>
  <c r="E4" i="4"/>
  <c r="F8" i="4"/>
  <c r="G7" i="4"/>
  <c r="E9" i="4"/>
  <c r="E3" i="4"/>
  <c r="F6" i="4"/>
  <c r="B9" i="4"/>
  <c r="F5" i="4"/>
  <c r="F2" i="4"/>
  <c r="E10" i="4" l="1"/>
  <c r="F10" i="4"/>
  <c r="G10" i="4"/>
</calcChain>
</file>

<file path=xl/sharedStrings.xml><?xml version="1.0" encoding="utf-8"?>
<sst xmlns="http://schemas.openxmlformats.org/spreadsheetml/2006/main" count="179" uniqueCount="64">
  <si>
    <t>Текущая стоимость, сделка</t>
  </si>
  <si>
    <t>4 000,00р.</t>
  </si>
  <si>
    <t>Выплата за период</t>
  </si>
  <si>
    <t>Срок инвестиции, лет</t>
  </si>
  <si>
    <t>Периодичность выплат, раз/год</t>
  </si>
  <si>
    <t>Годовая ставка</t>
  </si>
  <si>
    <t>Количество периодов выплат</t>
  </si>
  <si>
    <t>Ставка за период</t>
  </si>
  <si>
    <t>Текущая стоимость, банк</t>
  </si>
  <si>
    <t xml:space="preserve">Будущая стоимость </t>
  </si>
  <si>
    <t>Вариант 1</t>
  </si>
  <si>
    <t>Будущая стоимость</t>
  </si>
  <si>
    <t>Вариант 2</t>
  </si>
  <si>
    <t>Вариант 3</t>
  </si>
  <si>
    <t>Разница между сделкой и стоимостью</t>
  </si>
  <si>
    <t>САМЫЙ ВЫГОДНЫЙ ВАРИНТ</t>
  </si>
  <si>
    <t>Вложение за период</t>
  </si>
  <si>
    <t>Периодичность выплат</t>
  </si>
  <si>
    <t>Будущая стоимость, банк</t>
  </si>
  <si>
    <t>Текущая стоимость</t>
  </si>
  <si>
    <t>Сумма займа</t>
  </si>
  <si>
    <t>Процентная ставка годовая</t>
  </si>
  <si>
    <t>Срок займа в годах</t>
  </si>
  <si>
    <t>Общее количество выплат</t>
  </si>
  <si>
    <t xml:space="preserve">Процентная ставка за квартал </t>
  </si>
  <si>
    <t>Квартал</t>
  </si>
  <si>
    <t>Платежи по процентам</t>
  </si>
  <si>
    <t>Платежи по основной сумме</t>
  </si>
  <si>
    <t>Платежи за период</t>
  </si>
  <si>
    <t>Итого</t>
  </si>
  <si>
    <t xml:space="preserve">Выплаты по процентам </t>
  </si>
  <si>
    <t xml:space="preserve">Основные выплаты </t>
  </si>
  <si>
    <t>Общая сумма выплат</t>
  </si>
  <si>
    <t>Условия займа</t>
  </si>
  <si>
    <t>Величина платежа</t>
  </si>
  <si>
    <t>График погашения займа</t>
  </si>
  <si>
    <t>Накопления по основной сумме</t>
  </si>
  <si>
    <t>Остаток долга</t>
  </si>
  <si>
    <t>-</t>
  </si>
  <si>
    <t>Накопления по процентам</t>
  </si>
  <si>
    <t>Сумма, взятая в долг</t>
  </si>
  <si>
    <t>Сумма основных выплат</t>
  </si>
  <si>
    <t>Сумма выплат по процентам</t>
  </si>
  <si>
    <t>Объём платежей</t>
  </si>
  <si>
    <t>Будущая стоимость займа</t>
  </si>
  <si>
    <t>Прибыль за 1 год</t>
  </si>
  <si>
    <t>Срок займа, лет</t>
  </si>
  <si>
    <t>Прибыль за 2 год</t>
  </si>
  <si>
    <t>Периодичность выплат раз/год</t>
  </si>
  <si>
    <t>Прибыль за 3 год</t>
  </si>
  <si>
    <t>Прибыль за 4 год</t>
  </si>
  <si>
    <t>Общее число периодов выплаты</t>
  </si>
  <si>
    <t>Прибыль за 5 год</t>
  </si>
  <si>
    <t>Финансовая ставка</t>
  </si>
  <si>
    <t>Ставка реинвестирования</t>
  </si>
  <si>
    <t>Модифицированная ставка</t>
  </si>
  <si>
    <t>Затраты на приобретение</t>
  </si>
  <si>
    <t>Метод суммы чисел (АСЧ)</t>
  </si>
  <si>
    <t>Стоимость к концу периода эксплуатации</t>
  </si>
  <si>
    <t>Период</t>
  </si>
  <si>
    <t>Формула</t>
  </si>
  <si>
    <t>Функция</t>
  </si>
  <si>
    <t>Полный период эксплуатации, лет</t>
  </si>
  <si>
    <t>Линейный метод (АПЛ)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</si>
</sst>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8" fontId="3" fillId="0" borderId="1" xfId="0" applyNumberFormat="1" applyFont="1" applyBorder="1"/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44" fontId="0" fillId="0" borderId="0" xfId="2" applyFont="1"/>
    <xf numFmtId="44" fontId="0" fillId="0" borderId="1" xfId="2" applyFont="1" applyBorder="1" applyAlignment="1">
      <alignment horizontal="right" vertical="center"/>
    </xf>
    <xf numFmtId="44" fontId="3" fillId="0" borderId="1" xfId="2" applyFont="1" applyBorder="1" applyAlignment="1">
      <alignment horizontal="right" vertical="center"/>
    </xf>
    <xf numFmtId="44" fontId="4" fillId="0" borderId="1" xfId="2" applyFont="1" applyBorder="1" applyAlignment="1">
      <alignment horizontal="right" vertical="center"/>
    </xf>
    <xf numFmtId="8" fontId="4" fillId="0" borderId="1" xfId="2" applyNumberFormat="1" applyFont="1" applyBorder="1" applyAlignment="1">
      <alignment horizontal="right" vertical="center"/>
    </xf>
    <xf numFmtId="0" fontId="1" fillId="0" borderId="1" xfId="0" applyFont="1" applyBorder="1"/>
    <xf numFmtId="0" fontId="5" fillId="0" borderId="0" xfId="0" applyFont="1" applyAlignment="1">
      <alignment wrapText="1"/>
    </xf>
    <xf numFmtId="44" fontId="0" fillId="0" borderId="0" xfId="0" applyNumberFormat="1"/>
    <xf numFmtId="0" fontId="5" fillId="0" borderId="1" xfId="0" applyFont="1" applyBorder="1" applyAlignment="1">
      <alignment wrapText="1"/>
    </xf>
    <xf numFmtId="44" fontId="0" fillId="0" borderId="1" xfId="0" applyNumberFormat="1" applyBorder="1"/>
    <xf numFmtId="44" fontId="5" fillId="0" borderId="1" xfId="0" applyNumberFormat="1" applyFont="1" applyBorder="1"/>
    <xf numFmtId="0" fontId="5" fillId="0" borderId="2" xfId="0" applyFont="1" applyBorder="1" applyAlignment="1">
      <alignment wrapText="1"/>
    </xf>
    <xf numFmtId="44" fontId="5" fillId="0" borderId="2" xfId="0" applyNumberFormat="1" applyFont="1" applyBorder="1"/>
    <xf numFmtId="8" fontId="5" fillId="0" borderId="2" xfId="0" applyNumberFormat="1" applyFont="1" applyBorder="1"/>
    <xf numFmtId="164" fontId="0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8" fontId="0" fillId="0" borderId="1" xfId="0" applyNumberFormat="1" applyBorder="1"/>
    <xf numFmtId="8" fontId="3" fillId="0" borderId="1" xfId="2" applyNumberFormat="1" applyFont="1" applyBorder="1" applyAlignment="1">
      <alignment horizontal="right" vertical="center"/>
    </xf>
    <xf numFmtId="8" fontId="3" fillId="0" borderId="1" xfId="0" applyNumberFormat="1" applyFont="1" applyBorder="1" applyAlignment="1">
      <alignment horizontal="center"/>
    </xf>
    <xf numFmtId="44" fontId="0" fillId="0" borderId="1" xfId="2" applyFont="1" applyBorder="1"/>
    <xf numFmtId="1" fontId="3" fillId="0" borderId="1" xfId="0" applyNumberFormat="1" applyFont="1" applyBorder="1"/>
    <xf numFmtId="2" fontId="0" fillId="0" borderId="1" xfId="0" applyNumberForma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0" fontId="3" fillId="0" borderId="1" xfId="0" applyNumberFormat="1" applyFont="1" applyBorder="1"/>
    <xf numFmtId="10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/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opLeftCell="B1" workbookViewId="0">
      <selection activeCell="E11" sqref="E11"/>
    </sheetView>
  </sheetViews>
  <sheetFormatPr defaultRowHeight="15" x14ac:dyDescent="0.25"/>
  <cols>
    <col min="1" max="1" width="30.7109375" bestFit="1" customWidth="1"/>
    <col min="2" max="2" width="11" bestFit="1" customWidth="1"/>
    <col min="4" max="4" width="30.7109375" bestFit="1" customWidth="1"/>
    <col min="5" max="5" width="11" bestFit="1" customWidth="1"/>
    <col min="7" max="7" width="30.7109375" bestFit="1" customWidth="1"/>
    <col min="8" max="8" width="11" bestFit="1" customWidth="1"/>
  </cols>
  <sheetData>
    <row r="1" spans="1:8" x14ac:dyDescent="0.25">
      <c r="A1" s="1" t="s">
        <v>0</v>
      </c>
      <c r="B1" s="10" t="s">
        <v>1</v>
      </c>
      <c r="D1" s="2" t="s">
        <v>9</v>
      </c>
      <c r="E1" s="9">
        <v>5000</v>
      </c>
      <c r="G1" s="2" t="s">
        <v>9</v>
      </c>
      <c r="H1" s="9">
        <v>3000</v>
      </c>
    </row>
    <row r="2" spans="1:8" x14ac:dyDescent="0.25">
      <c r="A2" s="2"/>
      <c r="B2" s="5"/>
      <c r="D2" s="1" t="s">
        <v>0</v>
      </c>
      <c r="E2" s="10" t="s">
        <v>1</v>
      </c>
      <c r="G2" s="1" t="s">
        <v>0</v>
      </c>
      <c r="H2" s="10" t="s">
        <v>1</v>
      </c>
    </row>
    <row r="3" spans="1:8" x14ac:dyDescent="0.25">
      <c r="A3" s="2" t="s">
        <v>2</v>
      </c>
      <c r="B3" s="9">
        <v>1000</v>
      </c>
      <c r="D3" s="2"/>
      <c r="E3" s="5"/>
      <c r="G3" s="2"/>
      <c r="H3" s="5"/>
    </row>
    <row r="4" spans="1:8" x14ac:dyDescent="0.25">
      <c r="A4" s="2" t="s">
        <v>3</v>
      </c>
      <c r="B4" s="5">
        <v>2.5</v>
      </c>
      <c r="D4" s="2" t="s">
        <v>3</v>
      </c>
      <c r="E4" s="5">
        <v>2.5</v>
      </c>
      <c r="G4" s="2" t="s">
        <v>2</v>
      </c>
      <c r="H4" s="9">
        <v>500</v>
      </c>
    </row>
    <row r="5" spans="1:8" x14ac:dyDescent="0.25">
      <c r="A5" s="2" t="s">
        <v>4</v>
      </c>
      <c r="B5" s="5">
        <v>2</v>
      </c>
      <c r="D5" s="2" t="s">
        <v>4</v>
      </c>
      <c r="E5" s="5">
        <v>2</v>
      </c>
      <c r="G5" s="2" t="s">
        <v>3</v>
      </c>
      <c r="H5" s="5">
        <v>2.5</v>
      </c>
    </row>
    <row r="6" spans="1:8" x14ac:dyDescent="0.25">
      <c r="A6" s="2" t="s">
        <v>5</v>
      </c>
      <c r="B6" s="6">
        <v>0.08</v>
      </c>
      <c r="D6" s="2" t="s">
        <v>5</v>
      </c>
      <c r="E6" s="6">
        <v>0.08</v>
      </c>
      <c r="G6" s="2" t="s">
        <v>4</v>
      </c>
      <c r="H6" s="5">
        <v>2</v>
      </c>
    </row>
    <row r="7" spans="1:8" x14ac:dyDescent="0.25">
      <c r="A7" s="2"/>
      <c r="B7" s="5"/>
      <c r="D7" s="2"/>
      <c r="E7" s="5"/>
      <c r="G7" s="2" t="s">
        <v>5</v>
      </c>
      <c r="H7" s="6">
        <v>0.08</v>
      </c>
    </row>
    <row r="8" spans="1:8" x14ac:dyDescent="0.25">
      <c r="A8" s="2" t="s">
        <v>6</v>
      </c>
      <c r="B8" s="5">
        <f>B5*B4</f>
        <v>5</v>
      </c>
      <c r="D8" s="2" t="s">
        <v>6</v>
      </c>
      <c r="E8" s="5">
        <f>E5*E4</f>
        <v>5</v>
      </c>
      <c r="G8" s="2"/>
      <c r="H8" s="5"/>
    </row>
    <row r="9" spans="1:8" x14ac:dyDescent="0.25">
      <c r="A9" s="2" t="s">
        <v>7</v>
      </c>
      <c r="B9" s="7">
        <f>B6/B5</f>
        <v>0.04</v>
      </c>
      <c r="D9" s="2" t="s">
        <v>7</v>
      </c>
      <c r="E9" s="7">
        <f>E6/E5</f>
        <v>0.04</v>
      </c>
      <c r="G9" s="2" t="s">
        <v>6</v>
      </c>
      <c r="H9" s="5">
        <f>H6*H5</f>
        <v>5</v>
      </c>
    </row>
    <row r="10" spans="1:8" x14ac:dyDescent="0.25">
      <c r="A10" s="2"/>
      <c r="B10" s="5"/>
      <c r="D10" s="2"/>
      <c r="E10" s="5"/>
      <c r="G10" s="2" t="s">
        <v>7</v>
      </c>
      <c r="H10" s="7">
        <f>H7/H6</f>
        <v>0.04</v>
      </c>
    </row>
    <row r="11" spans="1:8" x14ac:dyDescent="0.25">
      <c r="A11" s="1" t="s">
        <v>8</v>
      </c>
      <c r="B11" s="11">
        <f>PV(B9,B8,B3)</f>
        <v>-4451.8223310162102</v>
      </c>
      <c r="D11" s="1" t="s">
        <v>8</v>
      </c>
      <c r="E11" s="11">
        <f>PV(E9,E8,,E1)</f>
        <v>-4109.635533796758</v>
      </c>
      <c r="G11" s="2"/>
      <c r="H11" s="5"/>
    </row>
    <row r="12" spans="1:8" x14ac:dyDescent="0.25">
      <c r="G12" s="1" t="s">
        <v>8</v>
      </c>
      <c r="H12" s="12">
        <f>PV(H10,H9,H4,H1)</f>
        <v>-4691.6924857861595</v>
      </c>
    </row>
    <row r="16" spans="1:8" x14ac:dyDescent="0.25">
      <c r="H1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B721-FDA4-4F4B-BBDC-80D5931B92CE}">
  <dimension ref="A1:H17"/>
  <sheetViews>
    <sheetView workbookViewId="0">
      <selection activeCell="D17" sqref="D16:E17"/>
    </sheetView>
  </sheetViews>
  <sheetFormatPr defaultRowHeight="15" x14ac:dyDescent="0.25"/>
  <cols>
    <col min="1" max="1" width="30.7109375" bestFit="1" customWidth="1"/>
    <col min="2" max="2" width="12.140625" bestFit="1" customWidth="1"/>
    <col min="4" max="4" width="30.7109375" bestFit="1" customWidth="1"/>
    <col min="5" max="5" width="12.140625" bestFit="1" customWidth="1"/>
    <col min="7" max="7" width="30.7109375" bestFit="1" customWidth="1"/>
    <col min="8" max="8" width="12.140625" bestFit="1" customWidth="1"/>
  </cols>
  <sheetData>
    <row r="1" spans="1:8" x14ac:dyDescent="0.25">
      <c r="A1" s="1" t="s">
        <v>0</v>
      </c>
      <c r="B1" s="10">
        <v>45000</v>
      </c>
      <c r="D1" s="1" t="s">
        <v>0</v>
      </c>
      <c r="E1" s="10">
        <v>45000</v>
      </c>
      <c r="G1" s="1" t="s">
        <v>0</v>
      </c>
      <c r="H1" s="10">
        <v>45000</v>
      </c>
    </row>
    <row r="2" spans="1:8" x14ac:dyDescent="0.25">
      <c r="A2" s="1"/>
      <c r="B2" s="10"/>
      <c r="D2" s="1"/>
      <c r="E2" s="10"/>
      <c r="G2" s="1"/>
      <c r="H2" s="10"/>
    </row>
    <row r="3" spans="1:8" x14ac:dyDescent="0.25">
      <c r="A3" s="1" t="s">
        <v>10</v>
      </c>
      <c r="B3" s="5"/>
      <c r="D3" s="1" t="s">
        <v>12</v>
      </c>
      <c r="E3" s="5"/>
      <c r="G3" s="1" t="s">
        <v>13</v>
      </c>
      <c r="H3" s="5"/>
    </row>
    <row r="4" spans="1:8" x14ac:dyDescent="0.25">
      <c r="A4" s="1"/>
      <c r="B4" s="5"/>
      <c r="D4" s="13" t="s">
        <v>11</v>
      </c>
      <c r="E4" s="9">
        <v>70000</v>
      </c>
      <c r="G4" s="13" t="s">
        <v>11</v>
      </c>
      <c r="H4" s="9">
        <v>35000</v>
      </c>
    </row>
    <row r="5" spans="1:8" x14ac:dyDescent="0.25">
      <c r="A5" s="2" t="s">
        <v>2</v>
      </c>
      <c r="B5" s="9">
        <v>5000</v>
      </c>
      <c r="D5" s="2"/>
      <c r="E5" s="9"/>
      <c r="G5" s="2"/>
      <c r="H5" s="9"/>
    </row>
    <row r="6" spans="1:8" x14ac:dyDescent="0.25">
      <c r="A6" s="2" t="s">
        <v>3</v>
      </c>
      <c r="B6" s="5">
        <v>7</v>
      </c>
      <c r="D6" s="2" t="s">
        <v>3</v>
      </c>
      <c r="E6" s="5">
        <v>7</v>
      </c>
      <c r="G6" s="2" t="s">
        <v>2</v>
      </c>
      <c r="H6" s="9">
        <v>2500</v>
      </c>
    </row>
    <row r="7" spans="1:8" x14ac:dyDescent="0.25">
      <c r="A7" s="2" t="s">
        <v>4</v>
      </c>
      <c r="B7" s="5">
        <v>2</v>
      </c>
      <c r="D7" s="2" t="s">
        <v>4</v>
      </c>
      <c r="E7" s="5">
        <v>2</v>
      </c>
      <c r="G7" s="2" t="s">
        <v>3</v>
      </c>
      <c r="H7" s="5">
        <v>7</v>
      </c>
    </row>
    <row r="8" spans="1:8" x14ac:dyDescent="0.25">
      <c r="A8" s="2" t="s">
        <v>5</v>
      </c>
      <c r="B8" s="6">
        <v>0.12</v>
      </c>
      <c r="D8" s="2" t="s">
        <v>5</v>
      </c>
      <c r="E8" s="6">
        <v>0.12</v>
      </c>
      <c r="G8" s="2" t="s">
        <v>4</v>
      </c>
      <c r="H8" s="5">
        <v>2</v>
      </c>
    </row>
    <row r="9" spans="1:8" x14ac:dyDescent="0.25">
      <c r="A9" s="2"/>
      <c r="B9" s="5"/>
      <c r="D9" s="2"/>
      <c r="E9" s="5"/>
      <c r="G9" s="2" t="s">
        <v>5</v>
      </c>
      <c r="H9" s="6">
        <v>0.12</v>
      </c>
    </row>
    <row r="10" spans="1:8" x14ac:dyDescent="0.25">
      <c r="A10" s="2" t="s">
        <v>6</v>
      </c>
      <c r="B10" s="5">
        <f>B7*B6</f>
        <v>14</v>
      </c>
      <c r="D10" s="2" t="s">
        <v>6</v>
      </c>
      <c r="E10" s="5">
        <f>E7*E6</f>
        <v>14</v>
      </c>
      <c r="G10" s="2"/>
      <c r="H10" s="5"/>
    </row>
    <row r="11" spans="1:8" x14ac:dyDescent="0.25">
      <c r="A11" s="2" t="s">
        <v>7</v>
      </c>
      <c r="B11" s="7">
        <f>B8/B7</f>
        <v>0.06</v>
      </c>
      <c r="D11" s="2" t="s">
        <v>7</v>
      </c>
      <c r="E11" s="7">
        <f>E8/E7</f>
        <v>0.06</v>
      </c>
      <c r="G11" s="2" t="s">
        <v>6</v>
      </c>
      <c r="H11" s="5">
        <f>H8*H7</f>
        <v>14</v>
      </c>
    </row>
    <row r="12" spans="1:8" x14ac:dyDescent="0.25">
      <c r="A12" s="2"/>
      <c r="B12" s="5"/>
      <c r="D12" s="2"/>
      <c r="E12" s="5"/>
      <c r="G12" s="2" t="s">
        <v>7</v>
      </c>
      <c r="H12" s="7">
        <f>H9/H8</f>
        <v>0.06</v>
      </c>
    </row>
    <row r="13" spans="1:8" x14ac:dyDescent="0.25">
      <c r="A13" s="1" t="s">
        <v>8</v>
      </c>
      <c r="B13" s="12">
        <f>PV(B11,B10,B5)</f>
        <v>-46474.919635027261</v>
      </c>
      <c r="D13" s="1" t="s">
        <v>8</v>
      </c>
      <c r="E13" s="12">
        <f>PV(E11,E10,,E4)</f>
        <v>-30961.067506577103</v>
      </c>
      <c r="G13" s="2"/>
      <c r="H13" s="5"/>
    </row>
    <row r="14" spans="1:8" x14ac:dyDescent="0.25">
      <c r="G14" s="1" t="s">
        <v>8</v>
      </c>
      <c r="H14" s="12">
        <f>PV(H12,H11,H6,H4)</f>
        <v>-38717.99357080218</v>
      </c>
    </row>
    <row r="15" spans="1:8" x14ac:dyDescent="0.25">
      <c r="A15" s="14"/>
      <c r="B15" s="15"/>
      <c r="D15" s="14"/>
      <c r="E15" s="15"/>
    </row>
    <row r="16" spans="1:8" ht="30.75" thickBot="1" x14ac:dyDescent="0.3">
      <c r="A16" s="16" t="s">
        <v>14</v>
      </c>
      <c r="B16" s="18">
        <f>B1 - ABS(B13)</f>
        <v>-1474.9196350272614</v>
      </c>
      <c r="D16" s="19" t="s">
        <v>14</v>
      </c>
      <c r="E16" s="20">
        <f>E1 - ABS(E13)</f>
        <v>14038.932493422897</v>
      </c>
      <c r="G16" s="16" t="s">
        <v>14</v>
      </c>
      <c r="H16" s="18">
        <f>H1 - ABS(H14)</f>
        <v>6282.0064291978197</v>
      </c>
    </row>
    <row r="17" spans="4:5" ht="19.5" thickBot="1" x14ac:dyDescent="0.35">
      <c r="D17" s="31" t="s">
        <v>15</v>
      </c>
      <c r="E17" s="32"/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DC87-90B5-4AD5-A1FC-C9D1C5977773}">
  <dimension ref="A1:H15"/>
  <sheetViews>
    <sheetView workbookViewId="0">
      <selection activeCell="A12" sqref="A4:B12"/>
    </sheetView>
  </sheetViews>
  <sheetFormatPr defaultRowHeight="15" x14ac:dyDescent="0.25"/>
  <cols>
    <col min="1" max="1" width="30.7109375" bestFit="1" customWidth="1"/>
    <col min="2" max="2" width="12.5703125" bestFit="1" customWidth="1"/>
    <col min="4" max="4" width="28.5703125" bestFit="1" customWidth="1"/>
    <col min="5" max="5" width="13.140625" bestFit="1" customWidth="1"/>
    <col min="7" max="7" width="28.5703125" bestFit="1" customWidth="1"/>
    <col min="8" max="8" width="13.140625" bestFit="1" customWidth="1"/>
  </cols>
  <sheetData>
    <row r="1" spans="1:8" x14ac:dyDescent="0.25">
      <c r="A1" s="1" t="s">
        <v>10</v>
      </c>
      <c r="B1" s="5"/>
      <c r="D1" s="1" t="s">
        <v>12</v>
      </c>
      <c r="E1" s="5"/>
      <c r="G1" s="1" t="s">
        <v>13</v>
      </c>
      <c r="H1" s="5"/>
    </row>
    <row r="2" spans="1:8" x14ac:dyDescent="0.25">
      <c r="A2" s="1"/>
      <c r="B2" s="5"/>
      <c r="D2" s="1" t="s">
        <v>19</v>
      </c>
      <c r="E2" s="9">
        <v>-100000</v>
      </c>
      <c r="G2" s="1" t="s">
        <v>19</v>
      </c>
      <c r="H2" s="9">
        <v>-30000</v>
      </c>
    </row>
    <row r="3" spans="1:8" x14ac:dyDescent="0.25">
      <c r="A3" s="1"/>
      <c r="B3" s="5"/>
      <c r="D3" s="1"/>
      <c r="E3" s="5"/>
      <c r="G3" s="1"/>
      <c r="H3" s="5"/>
    </row>
    <row r="4" spans="1:8" x14ac:dyDescent="0.25">
      <c r="A4" s="2" t="s">
        <v>16</v>
      </c>
      <c r="B4" s="9">
        <v>-2000</v>
      </c>
      <c r="D4" s="2"/>
      <c r="E4" s="9"/>
      <c r="G4" s="2" t="s">
        <v>16</v>
      </c>
      <c r="H4" s="9">
        <v>-1500</v>
      </c>
    </row>
    <row r="5" spans="1:8" x14ac:dyDescent="0.25">
      <c r="A5" s="2" t="s">
        <v>3</v>
      </c>
      <c r="B5" s="5">
        <v>5</v>
      </c>
      <c r="D5" s="2" t="s">
        <v>3</v>
      </c>
      <c r="E5" s="5">
        <v>5</v>
      </c>
      <c r="G5" s="2" t="s">
        <v>3</v>
      </c>
      <c r="H5" s="5">
        <v>5</v>
      </c>
    </row>
    <row r="6" spans="1:8" x14ac:dyDescent="0.25">
      <c r="A6" s="2" t="s">
        <v>17</v>
      </c>
      <c r="B6" s="5">
        <v>12</v>
      </c>
      <c r="D6" s="2" t="s">
        <v>17</v>
      </c>
      <c r="E6" s="5">
        <v>12</v>
      </c>
      <c r="G6" s="2" t="s">
        <v>17</v>
      </c>
      <c r="H6" s="5">
        <v>12</v>
      </c>
    </row>
    <row r="7" spans="1:8" x14ac:dyDescent="0.25">
      <c r="A7" s="2" t="s">
        <v>5</v>
      </c>
      <c r="B7" s="6">
        <v>0.11</v>
      </c>
      <c r="D7" s="2" t="s">
        <v>5</v>
      </c>
      <c r="E7" s="6">
        <v>0.11</v>
      </c>
      <c r="G7" s="2" t="s">
        <v>5</v>
      </c>
      <c r="H7" s="6">
        <v>0.11</v>
      </c>
    </row>
    <row r="8" spans="1:8" x14ac:dyDescent="0.25">
      <c r="A8" s="2"/>
      <c r="B8" s="5"/>
      <c r="D8" s="2"/>
      <c r="E8" s="5"/>
      <c r="G8" s="2"/>
      <c r="H8" s="5"/>
    </row>
    <row r="9" spans="1:8" x14ac:dyDescent="0.25">
      <c r="A9" s="2" t="s">
        <v>6</v>
      </c>
      <c r="B9" s="5">
        <f>B5*B6</f>
        <v>60</v>
      </c>
      <c r="D9" s="2" t="s">
        <v>6</v>
      </c>
      <c r="E9" s="5">
        <f>E5*E6</f>
        <v>60</v>
      </c>
      <c r="G9" s="2" t="s">
        <v>6</v>
      </c>
      <c r="H9" s="5">
        <f>H5*H6</f>
        <v>60</v>
      </c>
    </row>
    <row r="10" spans="1:8" x14ac:dyDescent="0.25">
      <c r="A10" s="2" t="s">
        <v>7</v>
      </c>
      <c r="B10" s="7">
        <f>B7/B6</f>
        <v>9.1666666666666667E-3</v>
      </c>
      <c r="D10" s="2" t="s">
        <v>7</v>
      </c>
      <c r="E10" s="7">
        <f>E7/E6</f>
        <v>9.1666666666666667E-3</v>
      </c>
      <c r="G10" s="2" t="s">
        <v>7</v>
      </c>
      <c r="H10" s="7">
        <f>H7/H6</f>
        <v>9.1666666666666667E-3</v>
      </c>
    </row>
    <row r="11" spans="1:8" x14ac:dyDescent="0.25">
      <c r="A11" s="2"/>
      <c r="B11" s="5"/>
      <c r="D11" s="2"/>
      <c r="E11" s="5"/>
      <c r="G11" s="2"/>
      <c r="H11" s="5"/>
    </row>
    <row r="12" spans="1:8" x14ac:dyDescent="0.25">
      <c r="A12" s="1" t="s">
        <v>18</v>
      </c>
      <c r="B12" s="12">
        <f>FV(B10,B9,B4,,1)</f>
        <v>160493.99083256302</v>
      </c>
      <c r="D12" s="1" t="s">
        <v>18</v>
      </c>
      <c r="E12" s="12">
        <f>FV(E10,E9,,E2,1)</f>
        <v>172891.5730453424</v>
      </c>
      <c r="G12" s="1" t="s">
        <v>18</v>
      </c>
      <c r="H12" s="12">
        <f>FV(H10,H9,H4,H2,1)</f>
        <v>172237.96503802497</v>
      </c>
    </row>
    <row r="14" spans="1:8" ht="30.75" thickBot="1" x14ac:dyDescent="0.3">
      <c r="A14" s="16" t="s">
        <v>14</v>
      </c>
      <c r="B14" s="18">
        <f>B12-ABS(B4*12*B5)</f>
        <v>40493.990832563024</v>
      </c>
      <c r="D14" s="19" t="s">
        <v>14</v>
      </c>
      <c r="E14" s="21">
        <f>E12-ABS(E2)</f>
        <v>72891.573045342404</v>
      </c>
      <c r="G14" s="16" t="s">
        <v>14</v>
      </c>
      <c r="H14" s="18">
        <f>H12-ABS(H4*12*H5 + H2)</f>
        <v>52237.965038024966</v>
      </c>
    </row>
    <row r="15" spans="1:8" ht="19.5" thickBot="1" x14ac:dyDescent="0.35">
      <c r="D15" s="31" t="s">
        <v>15</v>
      </c>
      <c r="E15" s="32"/>
    </row>
  </sheetData>
  <mergeCells count="1">
    <mergeCell ref="D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19E0-1ED6-44B7-A20B-EFD0AE23C612}">
  <dimension ref="A1:I33"/>
  <sheetViews>
    <sheetView workbookViewId="0">
      <selection activeCell="C25" sqref="C25"/>
    </sheetView>
  </sheetViews>
  <sheetFormatPr defaultRowHeight="15" x14ac:dyDescent="0.25"/>
  <cols>
    <col min="1" max="1" width="30.7109375" bestFit="1" customWidth="1"/>
    <col min="2" max="2" width="13.140625" bestFit="1" customWidth="1"/>
    <col min="4" max="4" width="11" customWidth="1"/>
    <col min="5" max="5" width="14.85546875" customWidth="1"/>
    <col min="6" max="6" width="17.140625" customWidth="1"/>
    <col min="7" max="7" width="13" customWidth="1"/>
    <col min="8" max="8" width="14.85546875" customWidth="1"/>
    <col min="9" max="9" width="13.140625" bestFit="1" customWidth="1"/>
  </cols>
  <sheetData>
    <row r="1" spans="1:7" ht="39.75" customHeight="1" x14ac:dyDescent="0.25">
      <c r="A1" s="2" t="s">
        <v>20</v>
      </c>
      <c r="B1" s="9">
        <v>50000</v>
      </c>
      <c r="D1" s="23" t="s">
        <v>25</v>
      </c>
      <c r="E1" s="23" t="s">
        <v>26</v>
      </c>
      <c r="F1" s="23" t="s">
        <v>27</v>
      </c>
      <c r="G1" s="23" t="s">
        <v>28</v>
      </c>
    </row>
    <row r="2" spans="1:7" x14ac:dyDescent="0.25">
      <c r="A2" s="2" t="s">
        <v>21</v>
      </c>
      <c r="B2" s="22">
        <v>0.06</v>
      </c>
      <c r="D2" s="24">
        <v>1</v>
      </c>
      <c r="E2" s="25">
        <f>IPMT($B$7,D2,$B$6,$B$1)</f>
        <v>-750</v>
      </c>
      <c r="F2" s="25">
        <f>PPMT($B$7,D2,$B$6,$B$1)</f>
        <v>-5929.2012297883248</v>
      </c>
      <c r="G2" s="25">
        <f>PMT($B$7,$B$6,$B$1)</f>
        <v>-6679.2012297883239</v>
      </c>
    </row>
    <row r="3" spans="1:7" x14ac:dyDescent="0.25">
      <c r="A3" s="2" t="s">
        <v>22</v>
      </c>
      <c r="B3" s="5">
        <v>2</v>
      </c>
      <c r="D3" s="24">
        <v>2</v>
      </c>
      <c r="E3" s="25">
        <f t="shared" ref="E3:E9" si="0">IPMT($B$7,D3,$B$6,$B$1)</f>
        <v>-661.06198155317509</v>
      </c>
      <c r="F3" s="25">
        <f t="shared" ref="F3:F9" si="1">PPMT($B$7,D3,$B$6,$B$1)</f>
        <v>-6018.1392482351494</v>
      </c>
      <c r="G3" s="25">
        <f t="shared" ref="G3:G9" si="2">PMT($B$7,$B$6,$B$1)</f>
        <v>-6679.2012297883239</v>
      </c>
    </row>
    <row r="4" spans="1:7" x14ac:dyDescent="0.25">
      <c r="A4" s="2" t="s">
        <v>4</v>
      </c>
      <c r="B4" s="5">
        <v>4</v>
      </c>
      <c r="D4" s="24">
        <v>3</v>
      </c>
      <c r="E4" s="25">
        <f t="shared" si="0"/>
        <v>-570.78989282964778</v>
      </c>
      <c r="F4" s="25">
        <f t="shared" si="1"/>
        <v>-6108.4113369586757</v>
      </c>
      <c r="G4" s="25">
        <f t="shared" si="2"/>
        <v>-6679.2012297883239</v>
      </c>
    </row>
    <row r="5" spans="1:7" x14ac:dyDescent="0.25">
      <c r="A5" s="2"/>
      <c r="B5" s="5"/>
      <c r="D5" s="24">
        <v>4</v>
      </c>
      <c r="E5" s="25">
        <f t="shared" si="0"/>
        <v>-479.16372277526767</v>
      </c>
      <c r="F5" s="25">
        <f t="shared" si="1"/>
        <v>-6200.0375070130567</v>
      </c>
      <c r="G5" s="25">
        <f t="shared" si="2"/>
        <v>-6679.2012297883239</v>
      </c>
    </row>
    <row r="6" spans="1:7" x14ac:dyDescent="0.25">
      <c r="A6" s="2" t="s">
        <v>23</v>
      </c>
      <c r="B6" s="5">
        <f>B3*B4</f>
        <v>8</v>
      </c>
      <c r="D6" s="24">
        <v>5</v>
      </c>
      <c r="E6" s="25">
        <f t="shared" si="0"/>
        <v>-386.16316017007182</v>
      </c>
      <c r="F6" s="25">
        <f t="shared" si="1"/>
        <v>-6293.0380696182528</v>
      </c>
      <c r="G6" s="25">
        <f t="shared" si="2"/>
        <v>-6679.2012297883239</v>
      </c>
    </row>
    <row r="7" spans="1:7" x14ac:dyDescent="0.25">
      <c r="A7" s="2" t="s">
        <v>24</v>
      </c>
      <c r="B7" s="7">
        <f>B2/4</f>
        <v>1.4999999999999999E-2</v>
      </c>
      <c r="D7" s="24">
        <v>6</v>
      </c>
      <c r="E7" s="25">
        <f t="shared" si="0"/>
        <v>-291.76758912579811</v>
      </c>
      <c r="F7" s="25">
        <f t="shared" si="1"/>
        <v>-6387.4336406625262</v>
      </c>
      <c r="G7" s="25">
        <f t="shared" si="2"/>
        <v>-6679.2012297883239</v>
      </c>
    </row>
    <row r="8" spans="1:7" x14ac:dyDescent="0.25">
      <c r="A8" s="2"/>
      <c r="B8" s="5"/>
      <c r="D8" s="24">
        <v>7</v>
      </c>
      <c r="E8" s="25">
        <f t="shared" si="0"/>
        <v>-195.95608451586023</v>
      </c>
      <c r="F8" s="25">
        <f t="shared" si="1"/>
        <v>-6483.2451452724636</v>
      </c>
      <c r="G8" s="25">
        <f t="shared" si="2"/>
        <v>-6679.2012297883239</v>
      </c>
    </row>
    <row r="9" spans="1:7" x14ac:dyDescent="0.25">
      <c r="A9" s="1" t="s">
        <v>18</v>
      </c>
      <c r="B9" s="26">
        <f>PMT(B7,B6,B1)</f>
        <v>-6679.2012297883239</v>
      </c>
      <c r="D9" s="24">
        <v>8</v>
      </c>
      <c r="E9" s="25">
        <f t="shared" si="0"/>
        <v>-98.707407336773258</v>
      </c>
      <c r="F9" s="25">
        <f t="shared" si="1"/>
        <v>-6580.4938224515508</v>
      </c>
      <c r="G9" s="25">
        <f t="shared" si="2"/>
        <v>-6679.2012297883239</v>
      </c>
    </row>
    <row r="10" spans="1:7" x14ac:dyDescent="0.25">
      <c r="D10" s="1" t="s">
        <v>29</v>
      </c>
      <c r="E10" s="4">
        <f>SUM(E2:E9)</f>
        <v>-3433.6098383065937</v>
      </c>
      <c r="F10" s="4">
        <f>SUM(F2:F9)</f>
        <v>-50000</v>
      </c>
      <c r="G10" s="4">
        <f>SUM(G2:G9)</f>
        <v>-53433.609838306598</v>
      </c>
    </row>
    <row r="12" spans="1:7" ht="33" customHeight="1" x14ac:dyDescent="0.25">
      <c r="D12" s="23" t="s">
        <v>25</v>
      </c>
      <c r="E12" s="23" t="s">
        <v>39</v>
      </c>
      <c r="F12" s="23" t="s">
        <v>36</v>
      </c>
      <c r="G12" s="23" t="s">
        <v>37</v>
      </c>
    </row>
    <row r="13" spans="1:7" x14ac:dyDescent="0.25">
      <c r="A13" s="2" t="s">
        <v>30</v>
      </c>
      <c r="B13" s="25">
        <f>CUMIPMT($B$7,$B$6,$B$1,1,8,0)</f>
        <v>-3433.6098383065982</v>
      </c>
      <c r="D13" s="24">
        <v>1</v>
      </c>
      <c r="E13" s="25">
        <f>CUMIPMT($B$7,$B$6,$B$1,$D$13,D13,0)</f>
        <v>-750</v>
      </c>
      <c r="F13" s="25">
        <f>CUMPRINC($B$7,$B$6,$B$1,$D$13,D13,0)</f>
        <v>-5929.2012297883239</v>
      </c>
      <c r="G13" s="17">
        <f>$B$1+F13</f>
        <v>44070.798770211673</v>
      </c>
    </row>
    <row r="14" spans="1:7" x14ac:dyDescent="0.25">
      <c r="A14" s="2" t="s">
        <v>31</v>
      </c>
      <c r="B14" s="25">
        <f>CUMPRINC($B$7,$B$6,$B$1,1,8,0)</f>
        <v>-49999.999999999993</v>
      </c>
      <c r="D14" s="24">
        <v>2</v>
      </c>
      <c r="E14" s="25">
        <f t="shared" ref="E14:E20" si="3">CUMIPMT($B$7,$B$6,$B$1,$D$13,D14,0)</f>
        <v>-1411.0619815531754</v>
      </c>
      <c r="F14" s="25">
        <f t="shared" ref="F14:F20" si="4">CUMPRINC($B$7,$B$6,$B$1,$D$13,D14,0)</f>
        <v>-11947.340478023472</v>
      </c>
      <c r="G14" s="17">
        <f t="shared" ref="G14:G20" si="5">$B$1+F14</f>
        <v>38052.65952197653</v>
      </c>
    </row>
    <row r="15" spans="1:7" x14ac:dyDescent="0.25">
      <c r="A15" s="2" t="s">
        <v>32</v>
      </c>
      <c r="B15" s="25">
        <f>B13+B14</f>
        <v>-53433.609838306591</v>
      </c>
      <c r="D15" s="24">
        <v>3</v>
      </c>
      <c r="E15" s="25">
        <f t="shared" si="3"/>
        <v>-1981.8518743828245</v>
      </c>
      <c r="F15" s="25">
        <f t="shared" si="4"/>
        <v>-18055.751814982148</v>
      </c>
      <c r="G15" s="17">
        <f t="shared" si="5"/>
        <v>31944.248185017852</v>
      </c>
    </row>
    <row r="16" spans="1:7" x14ac:dyDescent="0.25">
      <c r="D16" s="24">
        <v>4</v>
      </c>
      <c r="E16" s="25">
        <f t="shared" si="3"/>
        <v>-2461.0155971580934</v>
      </c>
      <c r="F16" s="25">
        <f t="shared" si="4"/>
        <v>-24255.789321995202</v>
      </c>
      <c r="G16" s="17">
        <f t="shared" si="5"/>
        <v>25744.210678004798</v>
      </c>
    </row>
    <row r="17" spans="1:9" x14ac:dyDescent="0.25">
      <c r="D17" s="24">
        <v>5</v>
      </c>
      <c r="E17" s="25">
        <f t="shared" si="3"/>
        <v>-2847.178757328169</v>
      </c>
      <c r="F17" s="25">
        <f t="shared" si="4"/>
        <v>-30548.827391613449</v>
      </c>
      <c r="G17" s="17">
        <f t="shared" si="5"/>
        <v>19451.172608386551</v>
      </c>
    </row>
    <row r="18" spans="1:9" x14ac:dyDescent="0.25">
      <c r="D18" s="24">
        <v>6</v>
      </c>
      <c r="E18" s="25">
        <f t="shared" si="3"/>
        <v>-3138.9463464539585</v>
      </c>
      <c r="F18" s="25">
        <f t="shared" si="4"/>
        <v>-36936.261032275987</v>
      </c>
      <c r="G18" s="17">
        <f t="shared" si="5"/>
        <v>13063.738967724013</v>
      </c>
    </row>
    <row r="19" spans="1:9" x14ac:dyDescent="0.25">
      <c r="D19" s="24">
        <v>7</v>
      </c>
      <c r="E19" s="25">
        <f t="shared" si="3"/>
        <v>-3334.9024309698216</v>
      </c>
      <c r="F19" s="25">
        <f t="shared" si="4"/>
        <v>-43419.506177548443</v>
      </c>
      <c r="G19" s="17">
        <f t="shared" si="5"/>
        <v>6580.4938224515572</v>
      </c>
    </row>
    <row r="20" spans="1:9" x14ac:dyDescent="0.25">
      <c r="D20" s="24">
        <v>8</v>
      </c>
      <c r="E20" s="25">
        <f t="shared" si="3"/>
        <v>-3433.6098383065982</v>
      </c>
      <c r="F20" s="25">
        <f t="shared" si="4"/>
        <v>-49999.999999999993</v>
      </c>
      <c r="G20" s="17">
        <f t="shared" si="5"/>
        <v>0</v>
      </c>
    </row>
    <row r="22" spans="1:9" ht="18.75" x14ac:dyDescent="0.3">
      <c r="D22" s="34" t="s">
        <v>35</v>
      </c>
      <c r="E22" s="34"/>
      <c r="F22" s="34"/>
      <c r="G22" s="34"/>
      <c r="H22" s="34"/>
      <c r="I22" s="34"/>
    </row>
    <row r="23" spans="1:9" ht="45" x14ac:dyDescent="0.25">
      <c r="D23" s="23" t="s">
        <v>25</v>
      </c>
      <c r="E23" s="23" t="s">
        <v>26</v>
      </c>
      <c r="F23" s="23" t="s">
        <v>27</v>
      </c>
      <c r="G23" s="23" t="s">
        <v>28</v>
      </c>
      <c r="H23" s="23" t="s">
        <v>36</v>
      </c>
      <c r="I23" s="23" t="s">
        <v>37</v>
      </c>
    </row>
    <row r="24" spans="1:9" x14ac:dyDescent="0.25">
      <c r="A24" s="33" t="s">
        <v>33</v>
      </c>
      <c r="B24" s="33"/>
      <c r="D24" s="24">
        <v>1</v>
      </c>
      <c r="E24" s="25">
        <f>CUMIPMT($B$26,$B$27,$B$25,$D$24,D24,0)</f>
        <v>-19799.999999999993</v>
      </c>
      <c r="F24" s="25">
        <f>PPMT($B$26,D24,$B$27,$B$25,0,0)</f>
        <v>-23911.913703390459</v>
      </c>
      <c r="G24" s="25">
        <f>PMT($B$26,$B$27,$B$25,0,0)</f>
        <v>-43711.913703390455</v>
      </c>
      <c r="H24" s="2">
        <f t="shared" ref="H24:H30" si="6">CUMPRINC($B$26,$B$27,$B$25,$D$24,D24,0)</f>
        <v>-23911.913703390463</v>
      </c>
      <c r="I24" s="17">
        <f t="shared" ref="I24:I30" si="7">$B$25+H24</f>
        <v>196088.08629660954</v>
      </c>
    </row>
    <row r="25" spans="1:9" x14ac:dyDescent="0.25">
      <c r="A25" s="2" t="s">
        <v>20</v>
      </c>
      <c r="B25" s="9">
        <v>220000</v>
      </c>
      <c r="D25" s="24">
        <v>2</v>
      </c>
      <c r="E25" s="25">
        <f t="shared" ref="E25:E30" si="8">CUMIPMT($B$26,$B$27,$B$25,$D$24,D25,0)</f>
        <v>-37447.92776669484</v>
      </c>
      <c r="F25" s="25">
        <f t="shared" ref="F25:F29" si="9">PPMT($B$26,D25,$B$27,$B$25,0,0)</f>
        <v>-26063.985936695597</v>
      </c>
      <c r="G25" s="25">
        <f t="shared" ref="G25:G30" si="10">PMT($B$26,$B$27,$B$25,0,0)</f>
        <v>-43711.913703390455</v>
      </c>
      <c r="H25" s="2">
        <f t="shared" si="6"/>
        <v>-49975.899640086071</v>
      </c>
      <c r="I25" s="17">
        <f t="shared" si="7"/>
        <v>170024.10035991392</v>
      </c>
    </row>
    <row r="26" spans="1:9" x14ac:dyDescent="0.25">
      <c r="A26" s="2" t="s">
        <v>21</v>
      </c>
      <c r="B26" s="22">
        <v>0.09</v>
      </c>
      <c r="D26" s="24">
        <v>3</v>
      </c>
      <c r="E26" s="25">
        <f t="shared" si="8"/>
        <v>-52750.096799087085</v>
      </c>
      <c r="F26" s="25">
        <f t="shared" si="9"/>
        <v>-28409.744670998203</v>
      </c>
      <c r="G26" s="25">
        <f t="shared" si="10"/>
        <v>-43711.913703390455</v>
      </c>
      <c r="H26" s="2">
        <f t="shared" si="6"/>
        <v>-78385.644311084281</v>
      </c>
      <c r="I26" s="17">
        <f t="shared" si="7"/>
        <v>141614.3556889157</v>
      </c>
    </row>
    <row r="27" spans="1:9" x14ac:dyDescent="0.25">
      <c r="A27" s="2" t="s">
        <v>22</v>
      </c>
      <c r="B27" s="5">
        <v>7</v>
      </c>
      <c r="D27" s="24">
        <v>4</v>
      </c>
      <c r="E27" s="25">
        <f t="shared" si="8"/>
        <v>-65495.388811089506</v>
      </c>
      <c r="F27" s="25">
        <f t="shared" si="9"/>
        <v>-30966.621691388038</v>
      </c>
      <c r="G27" s="25">
        <f t="shared" si="10"/>
        <v>-43711.913703390455</v>
      </c>
      <c r="H27" s="2">
        <f t="shared" si="6"/>
        <v>-109352.26600247232</v>
      </c>
      <c r="I27" s="17">
        <f t="shared" si="7"/>
        <v>110647.73399752768</v>
      </c>
    </row>
    <row r="28" spans="1:9" x14ac:dyDescent="0.25">
      <c r="A28" s="2"/>
      <c r="B28" s="2"/>
      <c r="D28" s="24">
        <v>5</v>
      </c>
      <c r="E28" s="25">
        <f t="shared" si="8"/>
        <v>-75453.684870867</v>
      </c>
      <c r="F28" s="25">
        <f t="shared" si="9"/>
        <v>-33753.617643612968</v>
      </c>
      <c r="G28" s="25">
        <f t="shared" si="10"/>
        <v>-43711.913703390455</v>
      </c>
      <c r="H28" s="2">
        <f t="shared" si="6"/>
        <v>-143105.88364608528</v>
      </c>
      <c r="I28" s="17">
        <f t="shared" si="7"/>
        <v>76894.116353914724</v>
      </c>
    </row>
    <row r="29" spans="1:9" x14ac:dyDescent="0.25">
      <c r="A29" s="2" t="s">
        <v>34</v>
      </c>
      <c r="B29" s="25">
        <f>G31</f>
        <v>-305983.39592373319</v>
      </c>
      <c r="D29" s="24">
        <v>6</v>
      </c>
      <c r="E29" s="25">
        <f t="shared" si="8"/>
        <v>-82374.155342719256</v>
      </c>
      <c r="F29" s="25">
        <f t="shared" si="9"/>
        <v>-36791.443231538135</v>
      </c>
      <c r="G29" s="25">
        <f t="shared" si="10"/>
        <v>-43711.913703390455</v>
      </c>
      <c r="H29" s="2">
        <f t="shared" si="6"/>
        <v>-179897.32687762348</v>
      </c>
      <c r="I29" s="17">
        <f t="shared" si="7"/>
        <v>40102.673122376524</v>
      </c>
    </row>
    <row r="30" spans="1:9" x14ac:dyDescent="0.25">
      <c r="D30" s="24">
        <v>7</v>
      </c>
      <c r="E30" s="25">
        <f t="shared" si="8"/>
        <v>-85983.395923733187</v>
      </c>
      <c r="F30" s="25">
        <f>PPMT($B$26,D30,$B$27,$B$25,0,0)</f>
        <v>-40102.67312237656</v>
      </c>
      <c r="G30" s="25">
        <f t="shared" si="10"/>
        <v>-43711.913703390455</v>
      </c>
      <c r="H30" s="2">
        <f t="shared" si="6"/>
        <v>-220000</v>
      </c>
      <c r="I30" s="17">
        <f t="shared" si="7"/>
        <v>0</v>
      </c>
    </row>
    <row r="31" spans="1:9" x14ac:dyDescent="0.25">
      <c r="A31" s="2" t="s">
        <v>30</v>
      </c>
      <c r="B31" s="25">
        <f>CUMIPMT($B$26,$B$27,$B$25,1,7,0)</f>
        <v>-85983.395923733187</v>
      </c>
      <c r="D31" s="1" t="s">
        <v>29</v>
      </c>
      <c r="E31" s="4">
        <f>E30</f>
        <v>-85983.395923733187</v>
      </c>
      <c r="F31" s="4">
        <f t="shared" ref="F31:G31" si="11">SUM(F24:F30)</f>
        <v>-219999.99999999997</v>
      </c>
      <c r="G31" s="4">
        <f t="shared" si="11"/>
        <v>-305983.39592373319</v>
      </c>
      <c r="H31" s="27" t="s">
        <v>38</v>
      </c>
      <c r="I31" s="27" t="s">
        <v>38</v>
      </c>
    </row>
    <row r="32" spans="1:9" x14ac:dyDescent="0.25">
      <c r="A32" s="2" t="s">
        <v>31</v>
      </c>
      <c r="B32" s="25">
        <f>CUMPRINC($B$26,$B$27,$B$25,1,7,0)</f>
        <v>-220000</v>
      </c>
    </row>
    <row r="33" spans="1:2" x14ac:dyDescent="0.25">
      <c r="A33" s="2" t="s">
        <v>32</v>
      </c>
      <c r="B33" s="25">
        <f>B31+B32</f>
        <v>-305983.39592373319</v>
      </c>
    </row>
  </sheetData>
  <mergeCells count="2">
    <mergeCell ref="A24:B24"/>
    <mergeCell ref="D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D73C-864C-4B96-8EB4-D0779675527E}">
  <dimension ref="A1:E15"/>
  <sheetViews>
    <sheetView workbookViewId="0">
      <selection activeCell="B14" sqref="B14"/>
    </sheetView>
  </sheetViews>
  <sheetFormatPr defaultRowHeight="15" x14ac:dyDescent="0.25"/>
  <cols>
    <col min="1" max="1" width="30.7109375" bestFit="1" customWidth="1"/>
    <col min="2" max="2" width="13.7109375" bestFit="1" customWidth="1"/>
    <col min="4" max="4" width="30.7109375" bestFit="1" customWidth="1"/>
    <col min="5" max="5" width="13.140625" bestFit="1" customWidth="1"/>
  </cols>
  <sheetData>
    <row r="1" spans="1:5" x14ac:dyDescent="0.25">
      <c r="A1" s="2" t="s">
        <v>40</v>
      </c>
      <c r="B1" s="28">
        <v>100000</v>
      </c>
      <c r="D1" s="2" t="s">
        <v>40</v>
      </c>
      <c r="E1" s="28">
        <v>320000</v>
      </c>
    </row>
    <row r="2" spans="1:5" x14ac:dyDescent="0.25">
      <c r="A2" s="2"/>
      <c r="B2" s="2"/>
      <c r="D2" s="2"/>
      <c r="E2" s="2"/>
    </row>
    <row r="3" spans="1:5" x14ac:dyDescent="0.25">
      <c r="A3" s="2" t="s">
        <v>2</v>
      </c>
      <c r="B3" s="28">
        <v>-1000</v>
      </c>
      <c r="D3" s="2" t="s">
        <v>2</v>
      </c>
      <c r="E3" s="28">
        <v>-36000</v>
      </c>
    </row>
    <row r="4" spans="1:5" x14ac:dyDescent="0.25">
      <c r="A4" s="2"/>
      <c r="B4" s="2"/>
      <c r="D4" s="2"/>
      <c r="E4" s="2"/>
    </row>
    <row r="5" spans="1:5" x14ac:dyDescent="0.25">
      <c r="A5" s="2" t="s">
        <v>4</v>
      </c>
      <c r="B5" s="2">
        <v>12</v>
      </c>
      <c r="D5" s="2" t="s">
        <v>4</v>
      </c>
      <c r="E5" s="2">
        <v>2</v>
      </c>
    </row>
    <row r="6" spans="1:5" x14ac:dyDescent="0.25">
      <c r="A6" s="2" t="s">
        <v>5</v>
      </c>
      <c r="B6" s="3">
        <v>0.08</v>
      </c>
      <c r="D6" s="2" t="s">
        <v>5</v>
      </c>
      <c r="E6" s="3">
        <v>4.4999999999999998E-2</v>
      </c>
    </row>
    <row r="7" spans="1:5" x14ac:dyDescent="0.25">
      <c r="A7" s="2"/>
      <c r="B7" s="2"/>
      <c r="D7" s="2"/>
      <c r="E7" s="2"/>
    </row>
    <row r="8" spans="1:5" x14ac:dyDescent="0.25">
      <c r="A8" s="2" t="s">
        <v>7</v>
      </c>
      <c r="B8" s="3">
        <f>B6/B5</f>
        <v>6.6666666666666671E-3</v>
      </c>
      <c r="D8" s="2" t="s">
        <v>7</v>
      </c>
      <c r="E8" s="3">
        <f>E6/E5</f>
        <v>2.2499999999999999E-2</v>
      </c>
    </row>
    <row r="9" spans="1:5" x14ac:dyDescent="0.25">
      <c r="A9" s="2"/>
      <c r="B9" s="2"/>
      <c r="D9" s="2"/>
      <c r="E9" s="2"/>
    </row>
    <row r="10" spans="1:5" x14ac:dyDescent="0.25">
      <c r="A10" s="1" t="s">
        <v>6</v>
      </c>
      <c r="B10" s="29">
        <f>INT(NPER(B8,B3,B1,0,0))+1</f>
        <v>166</v>
      </c>
      <c r="D10" s="1" t="s">
        <v>6</v>
      </c>
      <c r="E10" s="29">
        <f>INT(NPER(E8,E3,E1,0,0))+1</f>
        <v>11</v>
      </c>
    </row>
    <row r="11" spans="1:5" x14ac:dyDescent="0.25">
      <c r="A11" s="2" t="s">
        <v>3</v>
      </c>
      <c r="B11" s="30">
        <f>B10/B5</f>
        <v>13.833333333333334</v>
      </c>
      <c r="D11" s="2" t="s">
        <v>3</v>
      </c>
      <c r="E11" s="30">
        <f>E10/E5</f>
        <v>5.5</v>
      </c>
    </row>
    <row r="12" spans="1:5" x14ac:dyDescent="0.25">
      <c r="A12" s="2"/>
      <c r="B12" s="2"/>
      <c r="D12" s="2"/>
      <c r="E12" s="2"/>
    </row>
    <row r="13" spans="1:5" x14ac:dyDescent="0.25">
      <c r="A13" s="2" t="s">
        <v>41</v>
      </c>
      <c r="B13" s="25">
        <f>CUMPRINC(B8,B10,B1,1,B10,0)</f>
        <v>-99999.999999999985</v>
      </c>
      <c r="D13" s="2" t="s">
        <v>41</v>
      </c>
      <c r="E13" s="25">
        <f>CUMPRINC(E8,E10,E1,1,E10,0)</f>
        <v>-319999.99999999994</v>
      </c>
    </row>
    <row r="14" spans="1:5" x14ac:dyDescent="0.25">
      <c r="A14" s="2" t="s">
        <v>42</v>
      </c>
      <c r="B14" s="25">
        <f>CUMIPMT(B8,B10,B1,1,B10,0)</f>
        <v>-65637.897622158765</v>
      </c>
      <c r="D14" s="2" t="s">
        <v>42</v>
      </c>
      <c r="E14" s="25">
        <f>CUMIPMT(E8,E10,E1,1,E10,0)</f>
        <v>-44800.433391341649</v>
      </c>
    </row>
    <row r="15" spans="1:5" x14ac:dyDescent="0.25">
      <c r="A15" s="2" t="s">
        <v>32</v>
      </c>
      <c r="B15" s="25">
        <f>B13+B14</f>
        <v>-165637.89762215875</v>
      </c>
      <c r="D15" s="2" t="s">
        <v>32</v>
      </c>
      <c r="E15" s="25">
        <f>E13+E14</f>
        <v>-364800.43339134159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8312-B94B-4E9F-A598-E7D027DA3FDA}">
  <dimension ref="A1:H11"/>
  <sheetViews>
    <sheetView tabSelected="1" workbookViewId="0">
      <selection activeCell="D17" sqref="D17"/>
    </sheetView>
  </sheetViews>
  <sheetFormatPr defaultRowHeight="15" x14ac:dyDescent="0.25"/>
  <cols>
    <col min="1" max="1" width="31.7109375" bestFit="1" customWidth="1"/>
    <col min="2" max="2" width="11" bestFit="1" customWidth="1"/>
    <col min="4" max="4" width="24.85546875" bestFit="1" customWidth="1"/>
    <col min="5" max="5" width="7.140625" bestFit="1" customWidth="1"/>
    <col min="7" max="7" width="29.42578125" customWidth="1"/>
    <col min="8" max="8" width="7.7109375" bestFit="1" customWidth="1"/>
  </cols>
  <sheetData>
    <row r="1" spans="1:8" x14ac:dyDescent="0.25">
      <c r="A1" s="2" t="s">
        <v>20</v>
      </c>
      <c r="B1" s="17">
        <v>8000</v>
      </c>
      <c r="D1" s="2" t="s">
        <v>20</v>
      </c>
      <c r="E1" s="2">
        <v>-3000</v>
      </c>
      <c r="G1" s="2" t="s">
        <v>20</v>
      </c>
      <c r="H1" s="2">
        <v>-200000</v>
      </c>
    </row>
    <row r="2" spans="1:8" x14ac:dyDescent="0.25">
      <c r="A2" s="2" t="s">
        <v>43</v>
      </c>
      <c r="B2" s="17">
        <v>-200</v>
      </c>
      <c r="D2" s="2" t="s">
        <v>44</v>
      </c>
      <c r="E2" s="2">
        <v>5000</v>
      </c>
      <c r="G2" s="2" t="s">
        <v>45</v>
      </c>
      <c r="H2" s="2">
        <v>69000</v>
      </c>
    </row>
    <row r="3" spans="1:8" x14ac:dyDescent="0.25">
      <c r="A3" s="2" t="s">
        <v>46</v>
      </c>
      <c r="B3" s="2">
        <v>4</v>
      </c>
      <c r="D3" s="2" t="s">
        <v>46</v>
      </c>
      <c r="E3" s="2">
        <v>5</v>
      </c>
      <c r="G3" s="2" t="s">
        <v>47</v>
      </c>
      <c r="H3" s="2">
        <v>60000</v>
      </c>
    </row>
    <row r="4" spans="1:8" x14ac:dyDescent="0.25">
      <c r="A4" s="2" t="s">
        <v>48</v>
      </c>
      <c r="B4" s="2">
        <v>12</v>
      </c>
      <c r="D4" s="2"/>
      <c r="E4" s="2"/>
      <c r="G4" s="2" t="s">
        <v>49</v>
      </c>
      <c r="H4" s="2">
        <v>51000</v>
      </c>
    </row>
    <row r="5" spans="1:8" x14ac:dyDescent="0.25">
      <c r="A5" s="2"/>
      <c r="B5" s="2"/>
      <c r="D5" s="1" t="s">
        <v>5</v>
      </c>
      <c r="E5" s="35">
        <f>RATE(E3,0,E1,E2)</f>
        <v>0.10756634324829126</v>
      </c>
      <c r="G5" s="2" t="s">
        <v>50</v>
      </c>
      <c r="H5" s="2">
        <v>69000</v>
      </c>
    </row>
    <row r="6" spans="1:8" x14ac:dyDescent="0.25">
      <c r="A6" s="2" t="s">
        <v>51</v>
      </c>
      <c r="B6" s="2">
        <f>B4*B3</f>
        <v>48</v>
      </c>
      <c r="G6" s="2" t="s">
        <v>52</v>
      </c>
      <c r="H6" s="2">
        <v>96000</v>
      </c>
    </row>
    <row r="7" spans="1:8" x14ac:dyDescent="0.25">
      <c r="A7" s="2"/>
      <c r="B7" s="2"/>
      <c r="G7" s="2"/>
      <c r="H7" s="2"/>
    </row>
    <row r="8" spans="1:8" x14ac:dyDescent="0.25">
      <c r="A8" s="2" t="s">
        <v>7</v>
      </c>
      <c r="B8" s="36">
        <f>RATE(B6,B2,B1)</f>
        <v>7.7014724882013682E-3</v>
      </c>
      <c r="G8" s="2" t="s">
        <v>53</v>
      </c>
      <c r="H8" s="39">
        <f>RATE(5,H2,H1)</f>
        <v>0.21435631813760692</v>
      </c>
    </row>
    <row r="9" spans="1:8" x14ac:dyDescent="0.25">
      <c r="A9" s="1" t="s">
        <v>5</v>
      </c>
      <c r="B9" s="36">
        <f>B8*B4</f>
        <v>9.2417669858416415E-2</v>
      </c>
      <c r="G9" s="2" t="s">
        <v>54</v>
      </c>
      <c r="H9" s="39">
        <v>0.01</v>
      </c>
    </row>
    <row r="10" spans="1:8" x14ac:dyDescent="0.25">
      <c r="G10" s="2"/>
      <c r="H10" s="2"/>
    </row>
    <row r="11" spans="1:8" x14ac:dyDescent="0.25">
      <c r="G11" s="1" t="s">
        <v>55</v>
      </c>
      <c r="H11" s="39">
        <f>MIRR(H1:H6,H8,H9)</f>
        <v>0.11927871185840044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D93E-1B54-4350-A720-CEAF94C8EDDC}">
  <dimension ref="A1:G12"/>
  <sheetViews>
    <sheetView workbookViewId="0">
      <selection activeCell="F12" sqref="F12"/>
    </sheetView>
  </sheetViews>
  <sheetFormatPr defaultRowHeight="15" x14ac:dyDescent="0.25"/>
  <cols>
    <col min="1" max="1" width="24.7109375" customWidth="1"/>
    <col min="2" max="3" width="12" bestFit="1" customWidth="1"/>
    <col min="6" max="7" width="12" bestFit="1" customWidth="1"/>
  </cols>
  <sheetData>
    <row r="1" spans="1:7" ht="30" x14ac:dyDescent="0.25">
      <c r="A1" s="37" t="s">
        <v>56</v>
      </c>
      <c r="B1" s="17">
        <v>50000</v>
      </c>
      <c r="E1" s="38" t="s">
        <v>57</v>
      </c>
      <c r="F1" s="38"/>
      <c r="G1" s="38"/>
    </row>
    <row r="2" spans="1:7" ht="30" x14ac:dyDescent="0.25">
      <c r="A2" s="37" t="s">
        <v>58</v>
      </c>
      <c r="B2" s="17">
        <v>3000</v>
      </c>
      <c r="E2" s="24" t="s">
        <v>59</v>
      </c>
      <c r="F2" s="24" t="s">
        <v>60</v>
      </c>
      <c r="G2" s="24" t="s">
        <v>61</v>
      </c>
    </row>
    <row r="3" spans="1:7" ht="30" x14ac:dyDescent="0.25">
      <c r="A3" s="37" t="s">
        <v>62</v>
      </c>
      <c r="B3" s="2">
        <v>5</v>
      </c>
      <c r="E3" s="24">
        <v>1</v>
      </c>
      <c r="F3" s="17">
        <v>15666.67</v>
      </c>
      <c r="G3" s="25">
        <f>SYD($B$1,$B$2,$B$3,E3)</f>
        <v>15666.666666666666</v>
      </c>
    </row>
    <row r="4" spans="1:7" x14ac:dyDescent="0.25">
      <c r="E4" s="24">
        <v>2</v>
      </c>
      <c r="F4" s="17">
        <v>12533.33</v>
      </c>
      <c r="G4" s="25">
        <f t="shared" ref="G4:G7" si="0">SYD($B$1,$B$2,$B$3,E4)</f>
        <v>12533.333333333334</v>
      </c>
    </row>
    <row r="5" spans="1:7" x14ac:dyDescent="0.25">
      <c r="A5" s="38" t="s">
        <v>63</v>
      </c>
      <c r="B5" s="38"/>
      <c r="C5" s="38"/>
      <c r="E5" s="24">
        <v>3</v>
      </c>
      <c r="F5" s="17">
        <v>9400</v>
      </c>
      <c r="G5" s="25">
        <f t="shared" si="0"/>
        <v>9400</v>
      </c>
    </row>
    <row r="6" spans="1:7" x14ac:dyDescent="0.25">
      <c r="A6" s="24" t="s">
        <v>59</v>
      </c>
      <c r="B6" s="24" t="s">
        <v>60</v>
      </c>
      <c r="C6" s="24" t="s">
        <v>61</v>
      </c>
      <c r="E6" s="24">
        <v>4</v>
      </c>
      <c r="F6" s="17">
        <v>6266.67</v>
      </c>
      <c r="G6" s="25">
        <f t="shared" si="0"/>
        <v>6266.666666666667</v>
      </c>
    </row>
    <row r="7" spans="1:7" x14ac:dyDescent="0.25">
      <c r="A7" s="24">
        <v>1</v>
      </c>
      <c r="B7" s="17">
        <f>9400</f>
        <v>9400</v>
      </c>
      <c r="C7" s="17">
        <f>SLN($B$1,$B$2,$B$3)</f>
        <v>9400</v>
      </c>
      <c r="E7" s="24">
        <v>5</v>
      </c>
      <c r="F7" s="17">
        <v>3133.33</v>
      </c>
      <c r="G7" s="25">
        <f t="shared" si="0"/>
        <v>3133.3333333333335</v>
      </c>
    </row>
    <row r="8" spans="1:7" x14ac:dyDescent="0.25">
      <c r="A8" s="24">
        <v>2</v>
      </c>
      <c r="B8" s="17">
        <f>9400</f>
        <v>9400</v>
      </c>
      <c r="C8" s="17">
        <f t="shared" ref="C8:C11" si="1">SLN($B$1,$B$2,$B$3)</f>
        <v>9400</v>
      </c>
      <c r="E8" s="1" t="s">
        <v>29</v>
      </c>
      <c r="F8" s="17">
        <f>SUM(F3:F7)</f>
        <v>47000</v>
      </c>
      <c r="G8" s="17">
        <f>SUM(G3:G7)</f>
        <v>47000</v>
      </c>
    </row>
    <row r="9" spans="1:7" x14ac:dyDescent="0.25">
      <c r="A9" s="24">
        <v>3</v>
      </c>
      <c r="B9" s="17">
        <f>9400</f>
        <v>9400</v>
      </c>
      <c r="C9" s="17">
        <f t="shared" si="1"/>
        <v>9400</v>
      </c>
    </row>
    <row r="10" spans="1:7" x14ac:dyDescent="0.25">
      <c r="A10" s="24">
        <v>4</v>
      </c>
      <c r="B10" s="17">
        <f>9400</f>
        <v>9400</v>
      </c>
      <c r="C10" s="17">
        <f t="shared" si="1"/>
        <v>9400</v>
      </c>
    </row>
    <row r="11" spans="1:7" x14ac:dyDescent="0.25">
      <c r="A11" s="24">
        <v>5</v>
      </c>
      <c r="B11" s="17">
        <f>9400</f>
        <v>9400</v>
      </c>
      <c r="C11" s="17">
        <f t="shared" si="1"/>
        <v>9400</v>
      </c>
    </row>
    <row r="12" spans="1:7" x14ac:dyDescent="0.25">
      <c r="A12" s="1" t="s">
        <v>29</v>
      </c>
      <c r="B12" s="17">
        <f>SUM(B7:B11)</f>
        <v>47000</v>
      </c>
      <c r="C12" s="17">
        <f>SUM(C7:C11)</f>
        <v>47000</v>
      </c>
    </row>
  </sheetData>
  <mergeCells count="2">
    <mergeCell ref="E1:G1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ПриведеннаяСтоимость</vt:lpstr>
      <vt:lpstr>PV</vt:lpstr>
      <vt:lpstr>БудущаяСтоимость</vt:lpstr>
      <vt:lpstr>ПЛТ</vt:lpstr>
      <vt:lpstr>ЧислоПериодовВыплат</vt:lpstr>
      <vt:lpstr>СТАВКА</vt:lpstr>
      <vt:lpstr>Амортизация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Vladisalv</dc:creator>
  <cp:lastModifiedBy>Влад Гордов</cp:lastModifiedBy>
  <dcterms:created xsi:type="dcterms:W3CDTF">2015-06-05T18:17:20Z</dcterms:created>
  <dcterms:modified xsi:type="dcterms:W3CDTF">2024-12-08T16:04:47Z</dcterms:modified>
</cp:coreProperties>
</file>