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git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1AE3ACD1-B468-46D1-AD2F-92DD398352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иведённая стоимость" sheetId="1" r:id="rId1"/>
    <sheet name="PV" sheetId="2" r:id="rId2"/>
    <sheet name="БудущаяСтоимость" sheetId="3" r:id="rId3"/>
    <sheet name="ПЛТ" sheetId="4" r:id="rId4"/>
    <sheet name="ЧислоПериодовВыплат" sheetId="5" r:id="rId5"/>
    <sheet name="Ставка" sheetId="6" r:id="rId6"/>
    <sheet name="Амортизация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6" l="1"/>
  <c r="G8" i="7" l="1"/>
  <c r="G4" i="7"/>
  <c r="G5" i="7"/>
  <c r="G6" i="7"/>
  <c r="G7" i="7"/>
  <c r="G3" i="7"/>
  <c r="F8" i="7"/>
  <c r="C12" i="7"/>
  <c r="C8" i="7"/>
  <c r="C9" i="7"/>
  <c r="C10" i="7"/>
  <c r="C11" i="7"/>
  <c r="C7" i="7"/>
  <c r="B12" i="7"/>
  <c r="B8" i="7"/>
  <c r="B9" i="7"/>
  <c r="B10" i="7"/>
  <c r="B11" i="7"/>
  <c r="B7" i="7"/>
  <c r="H11" i="6"/>
  <c r="E5" i="6"/>
  <c r="B9" i="6"/>
  <c r="B8" i="6"/>
  <c r="B6" i="6"/>
  <c r="E13" i="5"/>
  <c r="E15" i="5" s="1"/>
  <c r="E14" i="5"/>
  <c r="E11" i="5"/>
  <c r="E10" i="5"/>
  <c r="E8" i="5"/>
  <c r="B15" i="5"/>
  <c r="B13" i="5"/>
  <c r="B14" i="5"/>
  <c r="E13" i="4"/>
  <c r="E14" i="4"/>
  <c r="B11" i="5"/>
  <c r="B10" i="5"/>
  <c r="B8" i="5"/>
  <c r="J24" i="4"/>
  <c r="J23" i="4"/>
  <c r="N20" i="4"/>
  <c r="N15" i="4"/>
  <c r="N16" i="4"/>
  <c r="N17" i="4"/>
  <c r="N18" i="4"/>
  <c r="N19" i="4"/>
  <c r="N14" i="4"/>
  <c r="G18" i="4"/>
  <c r="M16" i="4"/>
  <c r="M17" i="4" s="1"/>
  <c r="M18" i="4" s="1"/>
  <c r="M19" i="4" s="1"/>
  <c r="M20" i="4" s="1"/>
  <c r="M15" i="4"/>
  <c r="M14" i="4"/>
  <c r="L21" i="4"/>
  <c r="K15" i="4"/>
  <c r="K16" i="4"/>
  <c r="K17" i="4"/>
  <c r="K18" i="4"/>
  <c r="K19" i="4"/>
  <c r="K20" i="4"/>
  <c r="K14" i="4"/>
  <c r="F2" i="4"/>
  <c r="F18" i="4" s="1"/>
  <c r="F6" i="4"/>
  <c r="E6" i="4"/>
  <c r="E10" i="4" s="1"/>
  <c r="J21" i="4"/>
  <c r="J15" i="4"/>
  <c r="J16" i="4"/>
  <c r="J17" i="4"/>
  <c r="J18" i="4"/>
  <c r="J19" i="4"/>
  <c r="J20" i="4"/>
  <c r="J14" i="4"/>
  <c r="E2" i="4"/>
  <c r="E18" i="4" s="1"/>
  <c r="E19" i="4" s="1"/>
  <c r="E20" i="4" s="1"/>
  <c r="E21" i="4" s="1"/>
  <c r="J7" i="4"/>
  <c r="G9" i="4"/>
  <c r="G8" i="4"/>
  <c r="G7" i="4"/>
  <c r="G6" i="4"/>
  <c r="G5" i="4"/>
  <c r="G4" i="4"/>
  <c r="G3" i="4"/>
  <c r="G2" i="4"/>
  <c r="F3" i="4"/>
  <c r="F4" i="4"/>
  <c r="F5" i="4"/>
  <c r="F7" i="4"/>
  <c r="F8" i="4"/>
  <c r="F9" i="4"/>
  <c r="E3" i="4"/>
  <c r="E4" i="4"/>
  <c r="E5" i="4"/>
  <c r="E7" i="4"/>
  <c r="E8" i="4"/>
  <c r="E9" i="4"/>
  <c r="B7" i="4"/>
  <c r="B8" i="4"/>
  <c r="B10" i="4" s="1"/>
  <c r="H12" i="3"/>
  <c r="E12" i="3"/>
  <c r="B12" i="3"/>
  <c r="H10" i="3"/>
  <c r="H9" i="3"/>
  <c r="E10" i="3"/>
  <c r="E9" i="3"/>
  <c r="B10" i="3"/>
  <c r="B9" i="3"/>
  <c r="B13" i="2"/>
  <c r="E13" i="2"/>
  <c r="H14" i="2"/>
  <c r="H12" i="2"/>
  <c r="H11" i="2"/>
  <c r="E11" i="2"/>
  <c r="E10" i="2"/>
  <c r="B11" i="2"/>
  <c r="B10" i="2"/>
  <c r="J12" i="1"/>
  <c r="J10" i="1"/>
  <c r="J9" i="1"/>
  <c r="F11" i="1"/>
  <c r="F9" i="1"/>
  <c r="F8" i="1"/>
  <c r="B11" i="1"/>
  <c r="B9" i="1"/>
  <c r="B8" i="1"/>
  <c r="E15" i="4" l="1"/>
  <c r="J25" i="4"/>
  <c r="K21" i="4"/>
  <c r="F19" i="4"/>
  <c r="F10" i="4"/>
  <c r="E22" i="4"/>
  <c r="E23" i="4" s="1"/>
  <c r="E24" i="4" s="1"/>
  <c r="E25" i="4" s="1"/>
  <c r="G10" i="4"/>
  <c r="G19" i="4" l="1"/>
  <c r="F20" i="4"/>
  <c r="G20" i="4" l="1"/>
  <c r="F21" i="4"/>
  <c r="G21" i="4" l="1"/>
  <c r="F22" i="4"/>
  <c r="F23" i="4" l="1"/>
  <c r="G22" i="4"/>
  <c r="G23" i="4" l="1"/>
  <c r="F24" i="4"/>
  <c r="G24" i="4" l="1"/>
  <c r="F25" i="4"/>
  <c r="G25" i="4" s="1"/>
</calcChain>
</file>

<file path=xl/sharedStrings.xml><?xml version="1.0" encoding="utf-8"?>
<sst xmlns="http://schemas.openxmlformats.org/spreadsheetml/2006/main" count="170" uniqueCount="75">
  <si>
    <t>Количество периодов выплат</t>
  </si>
  <si>
    <t>Ставка за период</t>
  </si>
  <si>
    <t>Текущая стоимость, банк</t>
  </si>
  <si>
    <t xml:space="preserve">Текущая стоимость, сделка </t>
  </si>
  <si>
    <t xml:space="preserve">Выплата за период </t>
  </si>
  <si>
    <t xml:space="preserve">Срок инвестиции, лет </t>
  </si>
  <si>
    <t xml:space="preserve">Периодичность выплат, раз/год </t>
  </si>
  <si>
    <t xml:space="preserve">Годовая ставка </t>
  </si>
  <si>
    <t xml:space="preserve">Будущая стоимость </t>
  </si>
  <si>
    <t>Срок инвестиции, лет</t>
  </si>
  <si>
    <t>Периодичность выплат,</t>
  </si>
  <si>
    <t>Будущая стоимость</t>
  </si>
  <si>
    <t>Текущая стоимость, сделка</t>
  </si>
  <si>
    <t>Выплата за период</t>
  </si>
  <si>
    <t>Годовая ставка</t>
  </si>
  <si>
    <t>Вариант 1</t>
  </si>
  <si>
    <t>Вариант 2</t>
  </si>
  <si>
    <t>Вариант 3</t>
  </si>
  <si>
    <t xml:space="preserve">Текущая стоимость, банк </t>
  </si>
  <si>
    <t>Наиболее выгодный вариант</t>
  </si>
  <si>
    <t>Срок инвестиции, лет 5</t>
  </si>
  <si>
    <t>Будущая стоимость, банк</t>
  </si>
  <si>
    <t>Периодичность выплат, раз/год</t>
  </si>
  <si>
    <t xml:space="preserve">Вложение за период </t>
  </si>
  <si>
    <t>Текущая стоимость</t>
  </si>
  <si>
    <t xml:space="preserve">Вариант 3 </t>
  </si>
  <si>
    <t>Общее количество выплат</t>
  </si>
  <si>
    <t>Процентная ставка за квартал</t>
  </si>
  <si>
    <t>Величина платежа</t>
  </si>
  <si>
    <t>Сумма займа</t>
  </si>
  <si>
    <t xml:space="preserve">Процентная ставка годовая </t>
  </si>
  <si>
    <t xml:space="preserve">Срок займа в годах </t>
  </si>
  <si>
    <t>Квартал</t>
  </si>
  <si>
    <t>Платежи по процентам</t>
  </si>
  <si>
    <t>Платежи по основной сумме</t>
  </si>
  <si>
    <t>Платежи за период</t>
  </si>
  <si>
    <t>Итого</t>
  </si>
  <si>
    <t>Выплаты по процентам</t>
  </si>
  <si>
    <t>Основные выплаты</t>
  </si>
  <si>
    <t xml:space="preserve">Общая сумма выплат </t>
  </si>
  <si>
    <t>Накопление по процентам</t>
  </si>
  <si>
    <t xml:space="preserve">Накопление по основной сумме </t>
  </si>
  <si>
    <t>Остаток долга</t>
  </si>
  <si>
    <t>Условия займа</t>
  </si>
  <si>
    <t>Процентная ставка годовая</t>
  </si>
  <si>
    <t>Срок займа в годах</t>
  </si>
  <si>
    <t>График погашения займа</t>
  </si>
  <si>
    <t>Накопление по основной сумме</t>
  </si>
  <si>
    <t>-</t>
  </si>
  <si>
    <t>Сумма, взятая в долг</t>
  </si>
  <si>
    <t>Сумма основных выплат</t>
  </si>
  <si>
    <t>Сумма выплат по процентам</t>
  </si>
  <si>
    <t>Общая сумма выплат</t>
  </si>
  <si>
    <t>Выплата за периоод</t>
  </si>
  <si>
    <t>Объём платежей</t>
  </si>
  <si>
    <t>Периодичность выплат раз/год</t>
  </si>
  <si>
    <t>Общее число периодов выплаты</t>
  </si>
  <si>
    <t>Срок займа, лет</t>
  </si>
  <si>
    <t>Будущая стоимость займа</t>
  </si>
  <si>
    <t>Прибыль за 1 год</t>
  </si>
  <si>
    <t>Прибыль за 2 год</t>
  </si>
  <si>
    <t>Прибыль за 3 год</t>
  </si>
  <si>
    <t>Прибыль за 4 год</t>
  </si>
  <si>
    <t>Прибыль за 5 год</t>
  </si>
  <si>
    <t>Финансовая ставка</t>
  </si>
  <si>
    <t>Ставка реинвестирования</t>
  </si>
  <si>
    <t>Модифицированная ставка</t>
  </si>
  <si>
    <t>Затраты на приобретение</t>
  </si>
  <si>
    <t>Стоимость к концу периода эксплуатации</t>
  </si>
  <si>
    <t>Полный период эксплуатации, лет</t>
  </si>
  <si>
    <t>Линейный метод (АПЛ)</t>
  </si>
  <si>
    <t>Период</t>
  </si>
  <si>
    <t>Формула</t>
  </si>
  <si>
    <t>Функция</t>
  </si>
  <si>
    <t>Метод суммы чисел (АСЧ)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</si>
</sst>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0" borderId="0" xfId="0" applyBorder="1"/>
    <xf numFmtId="0" fontId="4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8" fontId="0" fillId="0" borderId="1" xfId="0" applyNumberFormat="1" applyBorder="1"/>
    <xf numFmtId="0" fontId="0" fillId="0" borderId="1" xfId="0" applyNumberFormat="1" applyBorder="1"/>
    <xf numFmtId="4" fontId="0" fillId="0" borderId="1" xfId="0" applyNumberForma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4" fontId="4" fillId="0" borderId="1" xfId="0" applyNumberFormat="1" applyFont="1" applyBorder="1"/>
    <xf numFmtId="9" fontId="0" fillId="0" borderId="1" xfId="0" applyNumberFormat="1" applyBorder="1"/>
    <xf numFmtId="4" fontId="0" fillId="0" borderId="1" xfId="0" applyNumberFormat="1" applyBorder="1"/>
    <xf numFmtId="0" fontId="0" fillId="0" borderId="2" xfId="0" applyBorder="1"/>
    <xf numFmtId="4" fontId="0" fillId="0" borderId="0" xfId="0" applyNumberFormat="1" applyBorder="1"/>
    <xf numFmtId="10" fontId="0" fillId="0" borderId="2" xfId="0" applyNumberFormat="1" applyBorder="1"/>
    <xf numFmtId="0" fontId="0" fillId="0" borderId="0" xfId="0" applyAlignment="1">
      <alignment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horizontal="left"/>
    </xf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horizontal="left"/>
    </xf>
    <xf numFmtId="8" fontId="0" fillId="0" borderId="0" xfId="0" applyNumberFormat="1" applyBorder="1"/>
    <xf numFmtId="0" fontId="0" fillId="0" borderId="1" xfId="0" applyBorder="1" applyAlignment="1">
      <alignment wrapText="1"/>
    </xf>
    <xf numFmtId="164" fontId="5" fillId="0" borderId="1" xfId="1" applyNumberFormat="1" applyFont="1" applyBorder="1"/>
    <xf numFmtId="0" fontId="1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top" wrapText="1"/>
    </xf>
    <xf numFmtId="8" fontId="0" fillId="0" borderId="1" xfId="0" applyNumberFormat="1" applyBorder="1" applyAlignment="1">
      <alignment horizontal="center"/>
    </xf>
    <xf numFmtId="44" fontId="0" fillId="0" borderId="1" xfId="0" applyNumberFormat="1" applyBorder="1"/>
    <xf numFmtId="44" fontId="5" fillId="0" borderId="1" xfId="0" applyNumberFormat="1" applyFont="1" applyBorder="1"/>
    <xf numFmtId="10" fontId="4" fillId="0" borderId="1" xfId="0" applyNumberFormat="1" applyFon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E1" workbookViewId="0">
      <selection activeCell="G36" sqref="G36"/>
    </sheetView>
  </sheetViews>
  <sheetFormatPr defaultRowHeight="15" x14ac:dyDescent="0.25"/>
  <cols>
    <col min="1" max="1" width="32.140625" bestFit="1" customWidth="1"/>
    <col min="2" max="2" width="15" customWidth="1"/>
    <col min="5" max="5" width="35.7109375" bestFit="1" customWidth="1"/>
    <col min="6" max="6" width="11.28515625" bestFit="1" customWidth="1"/>
    <col min="9" max="9" width="28.5703125" bestFit="1" customWidth="1"/>
    <col min="10" max="10" width="10.28515625" bestFit="1" customWidth="1"/>
  </cols>
  <sheetData>
    <row r="1" spans="1:10" x14ac:dyDescent="0.25">
      <c r="A1" s="3" t="s">
        <v>3</v>
      </c>
      <c r="B1" s="12">
        <v>4000</v>
      </c>
      <c r="E1" s="14" t="s">
        <v>8</v>
      </c>
      <c r="F1" s="15">
        <v>5000</v>
      </c>
      <c r="I1" s="4" t="s">
        <v>11</v>
      </c>
      <c r="J1" s="4">
        <v>3000</v>
      </c>
    </row>
    <row r="2" spans="1:10" x14ac:dyDescent="0.25">
      <c r="A2" s="3"/>
      <c r="B2" s="7"/>
      <c r="E2" s="3" t="s">
        <v>3</v>
      </c>
      <c r="F2" s="16">
        <v>4000</v>
      </c>
      <c r="I2" s="3" t="s">
        <v>12</v>
      </c>
      <c r="J2" s="4">
        <v>4000</v>
      </c>
    </row>
    <row r="3" spans="1:10" x14ac:dyDescent="0.25">
      <c r="A3" s="4" t="s">
        <v>4</v>
      </c>
      <c r="B3" s="11">
        <v>1000</v>
      </c>
      <c r="E3" s="4"/>
      <c r="F3" s="4"/>
      <c r="I3" s="4"/>
      <c r="J3" s="4"/>
    </row>
    <row r="4" spans="1:10" x14ac:dyDescent="0.25">
      <c r="A4" s="4" t="s">
        <v>5</v>
      </c>
      <c r="B4" s="6">
        <v>2.5</v>
      </c>
      <c r="E4" s="4" t="s">
        <v>9</v>
      </c>
      <c r="F4" s="4">
        <v>2.5</v>
      </c>
      <c r="I4" s="4" t="s">
        <v>13</v>
      </c>
      <c r="J4" s="4">
        <v>500</v>
      </c>
    </row>
    <row r="5" spans="1:10" x14ac:dyDescent="0.25">
      <c r="A5" s="4" t="s">
        <v>6</v>
      </c>
      <c r="B5" s="6">
        <v>2</v>
      </c>
      <c r="E5" s="4" t="s">
        <v>6</v>
      </c>
      <c r="F5" s="4">
        <v>2</v>
      </c>
      <c r="I5" s="4" t="s">
        <v>9</v>
      </c>
      <c r="J5" s="4">
        <v>2.5</v>
      </c>
    </row>
    <row r="6" spans="1:10" x14ac:dyDescent="0.25">
      <c r="A6" s="4" t="s">
        <v>7</v>
      </c>
      <c r="B6" s="8">
        <v>0.08</v>
      </c>
      <c r="E6" s="4" t="s">
        <v>7</v>
      </c>
      <c r="F6" s="5">
        <v>0.08</v>
      </c>
      <c r="I6" s="4" t="s">
        <v>10</v>
      </c>
      <c r="J6" s="4">
        <v>2</v>
      </c>
    </row>
    <row r="7" spans="1:10" x14ac:dyDescent="0.25">
      <c r="A7" s="4"/>
      <c r="B7" s="5"/>
      <c r="E7" s="4"/>
      <c r="F7" s="4"/>
      <c r="I7" s="4" t="s">
        <v>14</v>
      </c>
      <c r="J7" s="17">
        <v>0.08</v>
      </c>
    </row>
    <row r="8" spans="1:10" x14ac:dyDescent="0.25">
      <c r="A8" s="4" t="s">
        <v>0</v>
      </c>
      <c r="B8" s="4">
        <f>B4*B5</f>
        <v>5</v>
      </c>
      <c r="E8" s="4" t="s">
        <v>0</v>
      </c>
      <c r="F8" s="3">
        <f>F4*F5</f>
        <v>5</v>
      </c>
      <c r="I8" s="4"/>
      <c r="J8" s="4"/>
    </row>
    <row r="9" spans="1:10" x14ac:dyDescent="0.25">
      <c r="A9" s="4" t="s">
        <v>1</v>
      </c>
      <c r="B9" s="10">
        <f>B6/B5</f>
        <v>0.04</v>
      </c>
      <c r="E9" s="4" t="s">
        <v>1</v>
      </c>
      <c r="F9" s="4">
        <f>F6/F5</f>
        <v>0.04</v>
      </c>
      <c r="I9" s="4" t="s">
        <v>0</v>
      </c>
      <c r="J9" s="4">
        <f>J5*J6</f>
        <v>5</v>
      </c>
    </row>
    <row r="10" spans="1:10" x14ac:dyDescent="0.25">
      <c r="A10" s="4"/>
      <c r="B10" s="4"/>
      <c r="E10" s="4"/>
      <c r="F10" s="4"/>
      <c r="I10" s="4" t="s">
        <v>1</v>
      </c>
      <c r="J10" s="4">
        <f>J7/J6</f>
        <v>0.04</v>
      </c>
    </row>
    <row r="11" spans="1:10" x14ac:dyDescent="0.25">
      <c r="A11" s="3" t="s">
        <v>2</v>
      </c>
      <c r="B11" s="9">
        <f>PV(B9,B8,B3)</f>
        <v>-4451.8223310162102</v>
      </c>
      <c r="E11" s="3" t="s">
        <v>2</v>
      </c>
      <c r="F11" s="9">
        <f>PV(F9,F8,0,F1)</f>
        <v>-4109.635533796758</v>
      </c>
      <c r="I11" s="3"/>
      <c r="J11" s="4"/>
    </row>
    <row r="12" spans="1:10" x14ac:dyDescent="0.25">
      <c r="I12" s="3" t="s">
        <v>2</v>
      </c>
      <c r="J12" s="9">
        <f>PV(J10,J9,J4,J1)</f>
        <v>-4691.6924857861595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40AE-D87F-43D0-83EE-FBCCA9068EC6}">
  <dimension ref="A1:H15"/>
  <sheetViews>
    <sheetView workbookViewId="0">
      <selection activeCell="A25" sqref="A25"/>
    </sheetView>
  </sheetViews>
  <sheetFormatPr defaultRowHeight="15" x14ac:dyDescent="0.25"/>
  <cols>
    <col min="1" max="1" width="34.7109375" bestFit="1" customWidth="1"/>
    <col min="2" max="2" width="11.28515625" bestFit="1" customWidth="1"/>
    <col min="4" max="4" width="34.7109375" bestFit="1" customWidth="1"/>
    <col min="5" max="5" width="11.28515625" bestFit="1" customWidth="1"/>
    <col min="7" max="7" width="34.7109375" bestFit="1" customWidth="1"/>
    <col min="8" max="8" width="11.28515625" bestFit="1" customWidth="1"/>
  </cols>
  <sheetData>
    <row r="1" spans="1:8" x14ac:dyDescent="0.25">
      <c r="A1" s="3" t="s">
        <v>18</v>
      </c>
      <c r="B1" s="3">
        <v>45000</v>
      </c>
      <c r="D1" s="3" t="s">
        <v>18</v>
      </c>
      <c r="E1" s="3">
        <v>45000</v>
      </c>
      <c r="G1" s="3" t="s">
        <v>18</v>
      </c>
      <c r="H1" s="3">
        <v>45000</v>
      </c>
    </row>
    <row r="2" spans="1:8" x14ac:dyDescent="0.25">
      <c r="A2" s="4"/>
      <c r="B2" s="4"/>
      <c r="D2" s="4"/>
      <c r="E2" s="4"/>
      <c r="G2" s="4"/>
      <c r="H2" s="4"/>
    </row>
    <row r="3" spans="1:8" x14ac:dyDescent="0.25">
      <c r="A3" s="3" t="s">
        <v>15</v>
      </c>
      <c r="B3" s="4"/>
      <c r="D3" s="3" t="s">
        <v>16</v>
      </c>
      <c r="E3" s="4"/>
      <c r="G3" s="3" t="s">
        <v>17</v>
      </c>
      <c r="H3" s="4"/>
    </row>
    <row r="4" spans="1:8" x14ac:dyDescent="0.25">
      <c r="A4" s="4"/>
      <c r="B4" s="4"/>
      <c r="D4" s="4" t="s">
        <v>11</v>
      </c>
      <c r="E4" s="4">
        <v>70000</v>
      </c>
      <c r="G4" s="4" t="s">
        <v>11</v>
      </c>
      <c r="H4" s="4">
        <v>35000</v>
      </c>
    </row>
    <row r="5" spans="1:8" x14ac:dyDescent="0.25">
      <c r="A5" s="4" t="s">
        <v>4</v>
      </c>
      <c r="B5" s="4">
        <v>5000</v>
      </c>
      <c r="D5" s="4"/>
      <c r="E5" s="4"/>
      <c r="G5" s="4"/>
      <c r="H5" s="4"/>
    </row>
    <row r="6" spans="1:8" x14ac:dyDescent="0.25">
      <c r="A6" s="4" t="s">
        <v>9</v>
      </c>
      <c r="B6" s="4">
        <v>7</v>
      </c>
      <c r="D6" s="4" t="s">
        <v>9</v>
      </c>
      <c r="E6" s="4">
        <v>7</v>
      </c>
      <c r="G6" s="4" t="s">
        <v>4</v>
      </c>
      <c r="H6" s="4">
        <v>2500</v>
      </c>
    </row>
    <row r="7" spans="1:8" x14ac:dyDescent="0.25">
      <c r="A7" s="4" t="s">
        <v>6</v>
      </c>
      <c r="B7" s="4">
        <v>2</v>
      </c>
      <c r="D7" s="4" t="s">
        <v>6</v>
      </c>
      <c r="E7" s="4">
        <v>2</v>
      </c>
      <c r="G7" s="4" t="s">
        <v>9</v>
      </c>
      <c r="H7" s="4">
        <v>7</v>
      </c>
    </row>
    <row r="8" spans="1:8" x14ac:dyDescent="0.25">
      <c r="A8" s="4" t="s">
        <v>7</v>
      </c>
      <c r="B8" s="17">
        <v>0.12</v>
      </c>
      <c r="D8" s="4" t="s">
        <v>7</v>
      </c>
      <c r="E8" s="17">
        <v>0.12</v>
      </c>
      <c r="G8" s="4" t="s">
        <v>6</v>
      </c>
      <c r="H8" s="10">
        <v>2</v>
      </c>
    </row>
    <row r="9" spans="1:8" x14ac:dyDescent="0.25">
      <c r="A9" s="4"/>
      <c r="B9" s="4"/>
      <c r="D9" s="4"/>
      <c r="E9" s="4"/>
      <c r="G9" s="4" t="s">
        <v>7</v>
      </c>
      <c r="H9" s="17">
        <v>0.12</v>
      </c>
    </row>
    <row r="10" spans="1:8" x14ac:dyDescent="0.25">
      <c r="A10" s="4" t="s">
        <v>0</v>
      </c>
      <c r="B10" s="4">
        <f>B7*B6</f>
        <v>14</v>
      </c>
      <c r="D10" s="4" t="s">
        <v>0</v>
      </c>
      <c r="E10" s="4">
        <f>E7*E6</f>
        <v>14</v>
      </c>
      <c r="G10" s="4"/>
      <c r="H10" s="4"/>
    </row>
    <row r="11" spans="1:8" x14ac:dyDescent="0.25">
      <c r="A11" s="4" t="s">
        <v>1</v>
      </c>
      <c r="B11" s="4">
        <f>B8/B7</f>
        <v>0.06</v>
      </c>
      <c r="D11" s="4" t="s">
        <v>1</v>
      </c>
      <c r="E11" s="4">
        <f>E8/E7</f>
        <v>0.06</v>
      </c>
      <c r="G11" s="4" t="s">
        <v>0</v>
      </c>
      <c r="H11" s="4">
        <f>H8*H7</f>
        <v>14</v>
      </c>
    </row>
    <row r="12" spans="1:8" x14ac:dyDescent="0.25">
      <c r="A12" s="4"/>
      <c r="B12" s="4"/>
      <c r="D12" s="4"/>
      <c r="E12" s="4"/>
      <c r="G12" s="4" t="s">
        <v>1</v>
      </c>
      <c r="H12" s="4">
        <f>H9/H8</f>
        <v>0.06</v>
      </c>
    </row>
    <row r="13" spans="1:8" x14ac:dyDescent="0.25">
      <c r="A13" s="3" t="s">
        <v>12</v>
      </c>
      <c r="B13" s="9">
        <f>PV(B11,B10,B5)</f>
        <v>-46474.919635027261</v>
      </c>
      <c r="D13" s="3" t="s">
        <v>12</v>
      </c>
      <c r="E13" s="9">
        <f>PV(E11,E10,0,E4)</f>
        <v>-30961.067506577103</v>
      </c>
      <c r="G13" s="4"/>
      <c r="H13" s="4"/>
    </row>
    <row r="14" spans="1:8" x14ac:dyDescent="0.25">
      <c r="G14" s="3" t="s">
        <v>12</v>
      </c>
      <c r="H14" s="9">
        <f>PV(H12,H11,H6,H4)</f>
        <v>-38717.99357080218</v>
      </c>
    </row>
    <row r="15" spans="1:8" x14ac:dyDescent="0.25">
      <c r="A15" s="1" t="s">
        <v>19</v>
      </c>
      <c r="B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3E73-3FE6-41D8-97EA-676AA5E897E2}">
  <dimension ref="A1:H14"/>
  <sheetViews>
    <sheetView workbookViewId="0">
      <selection activeCell="C28" sqref="C28"/>
    </sheetView>
  </sheetViews>
  <sheetFormatPr defaultRowHeight="15" x14ac:dyDescent="0.25"/>
  <cols>
    <col min="1" max="1" width="30.5703125" bestFit="1" customWidth="1"/>
    <col min="2" max="2" width="11.5703125" bestFit="1" customWidth="1"/>
    <col min="4" max="4" width="30.7109375" bestFit="1" customWidth="1"/>
    <col min="5" max="5" width="11.5703125" bestFit="1" customWidth="1"/>
    <col min="7" max="7" width="30.7109375" bestFit="1" customWidth="1"/>
    <col min="8" max="8" width="11.5703125" bestFit="1" customWidth="1"/>
  </cols>
  <sheetData>
    <row r="1" spans="1:8" x14ac:dyDescent="0.25">
      <c r="A1" s="3" t="s">
        <v>15</v>
      </c>
      <c r="B1" s="4"/>
      <c r="D1" s="3" t="s">
        <v>16</v>
      </c>
      <c r="E1" s="4"/>
      <c r="G1" s="3" t="s">
        <v>25</v>
      </c>
      <c r="H1" s="4"/>
    </row>
    <row r="2" spans="1:8" x14ac:dyDescent="0.25">
      <c r="A2" s="4"/>
      <c r="B2" s="4"/>
      <c r="D2" s="4" t="s">
        <v>24</v>
      </c>
      <c r="E2" s="4">
        <v>-100000</v>
      </c>
      <c r="G2" s="4" t="s">
        <v>24</v>
      </c>
      <c r="H2" s="4">
        <v>-30000</v>
      </c>
    </row>
    <row r="3" spans="1:8" x14ac:dyDescent="0.25">
      <c r="A3" s="4"/>
      <c r="B3" s="4"/>
      <c r="D3" s="4"/>
      <c r="E3" s="4"/>
      <c r="G3" s="4"/>
      <c r="H3" s="4"/>
    </row>
    <row r="4" spans="1:8" x14ac:dyDescent="0.25">
      <c r="A4" s="4" t="s">
        <v>23</v>
      </c>
      <c r="B4" s="18">
        <v>-2000</v>
      </c>
      <c r="D4" s="4"/>
      <c r="E4" s="18"/>
      <c r="G4" s="4" t="s">
        <v>23</v>
      </c>
      <c r="H4" s="18">
        <v>-1500</v>
      </c>
    </row>
    <row r="5" spans="1:8" x14ac:dyDescent="0.25">
      <c r="A5" s="4" t="s">
        <v>20</v>
      </c>
      <c r="B5" s="4">
        <v>5</v>
      </c>
      <c r="D5" s="4" t="s">
        <v>20</v>
      </c>
      <c r="E5" s="4">
        <v>5</v>
      </c>
      <c r="G5" s="4" t="s">
        <v>20</v>
      </c>
      <c r="H5" s="4">
        <v>5</v>
      </c>
    </row>
    <row r="6" spans="1:8" x14ac:dyDescent="0.25">
      <c r="A6" s="4" t="s">
        <v>22</v>
      </c>
      <c r="B6" s="4">
        <v>12</v>
      </c>
      <c r="D6" s="4" t="s">
        <v>22</v>
      </c>
      <c r="E6" s="4">
        <v>12</v>
      </c>
      <c r="G6" s="4" t="s">
        <v>22</v>
      </c>
      <c r="H6" s="4">
        <v>12</v>
      </c>
    </row>
    <row r="7" spans="1:8" x14ac:dyDescent="0.25">
      <c r="A7" s="4" t="s">
        <v>7</v>
      </c>
      <c r="B7" s="5">
        <v>0.11</v>
      </c>
      <c r="D7" s="4" t="s">
        <v>7</v>
      </c>
      <c r="E7" s="5">
        <v>0.11</v>
      </c>
      <c r="G7" s="4" t="s">
        <v>7</v>
      </c>
      <c r="H7" s="5">
        <v>0.11</v>
      </c>
    </row>
    <row r="8" spans="1:8" x14ac:dyDescent="0.25">
      <c r="A8" s="4"/>
      <c r="B8" s="4"/>
      <c r="D8" s="4"/>
      <c r="E8" s="4"/>
      <c r="G8" s="4"/>
      <c r="H8" s="4"/>
    </row>
    <row r="9" spans="1:8" x14ac:dyDescent="0.25">
      <c r="A9" s="4" t="s">
        <v>0</v>
      </c>
      <c r="B9" s="4">
        <f>B6*B5</f>
        <v>60</v>
      </c>
      <c r="D9" s="4" t="s">
        <v>0</v>
      </c>
      <c r="E9" s="4">
        <f>E6*E5</f>
        <v>60</v>
      </c>
      <c r="G9" s="4" t="s">
        <v>0</v>
      </c>
      <c r="H9" s="4">
        <f>H6*H5</f>
        <v>60</v>
      </c>
    </row>
    <row r="10" spans="1:8" x14ac:dyDescent="0.25">
      <c r="A10" s="4" t="s">
        <v>1</v>
      </c>
      <c r="B10" s="4">
        <f>B7/B6</f>
        <v>9.1666666666666667E-3</v>
      </c>
      <c r="D10" s="4" t="s">
        <v>1</v>
      </c>
      <c r="E10" s="4">
        <f>E7/E6</f>
        <v>9.1666666666666667E-3</v>
      </c>
      <c r="G10" s="4" t="s">
        <v>1</v>
      </c>
      <c r="H10" s="4">
        <f>H7/H6</f>
        <v>9.1666666666666667E-3</v>
      </c>
    </row>
    <row r="11" spans="1:8" x14ac:dyDescent="0.25">
      <c r="A11" s="4"/>
      <c r="B11" s="4"/>
      <c r="D11" s="4"/>
      <c r="E11" s="4"/>
      <c r="G11" s="4"/>
      <c r="H11" s="4"/>
    </row>
    <row r="12" spans="1:8" x14ac:dyDescent="0.25">
      <c r="A12" s="3" t="s">
        <v>21</v>
      </c>
      <c r="B12" s="9">
        <f>FV(B10,B9,B4,0,1)</f>
        <v>160493.99083256302</v>
      </c>
      <c r="D12" s="3" t="s">
        <v>21</v>
      </c>
      <c r="E12" s="9">
        <f>FV(E10,E9,0,E2,1)</f>
        <v>172891.5730453424</v>
      </c>
      <c r="G12" s="3" t="s">
        <v>21</v>
      </c>
      <c r="H12" s="9">
        <f>FV(H10,H9,H4,H2,1)</f>
        <v>172237.96503802497</v>
      </c>
    </row>
    <row r="14" spans="1:8" x14ac:dyDescent="0.25">
      <c r="A14" s="1" t="s">
        <v>19</v>
      </c>
      <c r="B14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3073-4127-4BBE-AF52-6A39DDC34CF8}">
  <dimension ref="A1:N25"/>
  <sheetViews>
    <sheetView topLeftCell="B1" workbookViewId="0">
      <selection activeCell="L15" sqref="L15"/>
    </sheetView>
  </sheetViews>
  <sheetFormatPr defaultRowHeight="15" x14ac:dyDescent="0.25"/>
  <cols>
    <col min="1" max="1" width="32.140625" bestFit="1" customWidth="1"/>
    <col min="2" max="2" width="10.28515625" bestFit="1" customWidth="1"/>
    <col min="4" max="4" width="13" customWidth="1"/>
    <col min="5" max="5" width="14" customWidth="1"/>
    <col min="6" max="6" width="16.42578125" customWidth="1"/>
    <col min="7" max="7" width="11.28515625" bestFit="1" customWidth="1"/>
    <col min="9" max="9" width="26.28515625" bestFit="1" customWidth="1"/>
    <col min="10" max="10" width="12.140625" customWidth="1"/>
    <col min="11" max="11" width="14.28515625" customWidth="1"/>
    <col min="12" max="12" width="12.28515625" bestFit="1" customWidth="1"/>
    <col min="13" max="13" width="13.85546875" customWidth="1"/>
    <col min="14" max="14" width="15.5703125" customWidth="1"/>
  </cols>
  <sheetData>
    <row r="1" spans="1:14" ht="33.75" customHeight="1" x14ac:dyDescent="0.25">
      <c r="A1" s="2"/>
      <c r="B1" s="20"/>
      <c r="D1" s="23" t="s">
        <v>32</v>
      </c>
      <c r="E1" s="23" t="s">
        <v>33</v>
      </c>
      <c r="F1" s="23" t="s">
        <v>34</v>
      </c>
      <c r="G1" s="23" t="s">
        <v>35</v>
      </c>
      <c r="H1" s="22"/>
    </row>
    <row r="2" spans="1:14" x14ac:dyDescent="0.25">
      <c r="A2" s="4" t="s">
        <v>29</v>
      </c>
      <c r="B2" s="18">
        <v>50000</v>
      </c>
      <c r="D2" s="24">
        <v>1</v>
      </c>
      <c r="E2" s="9">
        <f>IPMT($B$8,D2,$B$7,$B$2)</f>
        <v>-750</v>
      </c>
      <c r="F2" s="9">
        <f>PPMT($B$8,$D2,$B$7,$B$2)</f>
        <v>-5929.2012297883248</v>
      </c>
      <c r="G2" s="9">
        <f>PMT(B8,B7,B2)</f>
        <v>-6679.2012297883239</v>
      </c>
      <c r="I2" s="3" t="s">
        <v>43</v>
      </c>
      <c r="J2" s="4"/>
    </row>
    <row r="3" spans="1:14" x14ac:dyDescent="0.25">
      <c r="A3" s="19" t="s">
        <v>30</v>
      </c>
      <c r="B3" s="21">
        <v>0.06</v>
      </c>
      <c r="D3" s="24">
        <v>2</v>
      </c>
      <c r="E3" s="9">
        <f t="shared" ref="E3:E9" si="0">IPMT($B$8,D3,$B$7,$B$2)</f>
        <v>-661.06198155317509</v>
      </c>
      <c r="F3" s="9">
        <f t="shared" ref="F3:F9" si="1">PPMT($B$8,$D3,$B$7,$B$2)</f>
        <v>-6018.1392482351494</v>
      </c>
      <c r="G3" s="9">
        <f>PMT(B8,B7,B2)</f>
        <v>-6679.2012297883239</v>
      </c>
      <c r="I3" s="4" t="s">
        <v>29</v>
      </c>
      <c r="J3" s="4">
        <v>220000</v>
      </c>
    </row>
    <row r="4" spans="1:14" x14ac:dyDescent="0.25">
      <c r="A4" s="4" t="s">
        <v>31</v>
      </c>
      <c r="B4" s="4">
        <v>2</v>
      </c>
      <c r="D4" s="24">
        <v>3</v>
      </c>
      <c r="E4" s="9">
        <f t="shared" si="0"/>
        <v>-570.78989282964778</v>
      </c>
      <c r="F4" s="9">
        <f t="shared" si="1"/>
        <v>-6108.4113369586757</v>
      </c>
      <c r="G4" s="9">
        <f>PMT(B8,B7,B2)</f>
        <v>-6679.2012297883239</v>
      </c>
      <c r="I4" s="4" t="s">
        <v>44</v>
      </c>
      <c r="J4" s="17">
        <v>0.09</v>
      </c>
    </row>
    <row r="5" spans="1:14" x14ac:dyDescent="0.25">
      <c r="A5" s="4" t="s">
        <v>6</v>
      </c>
      <c r="B5" s="4">
        <v>4</v>
      </c>
      <c r="D5" s="24">
        <v>4</v>
      </c>
      <c r="E5" s="9">
        <f t="shared" si="0"/>
        <v>-479.16372277526767</v>
      </c>
      <c r="F5" s="9">
        <f t="shared" si="1"/>
        <v>-6200.0375070130567</v>
      </c>
      <c r="G5" s="9">
        <f>PMT(B8,B7,B2)</f>
        <v>-6679.2012297883239</v>
      </c>
      <c r="I5" s="4" t="s">
        <v>45</v>
      </c>
      <c r="J5" s="4">
        <v>7</v>
      </c>
    </row>
    <row r="6" spans="1:14" x14ac:dyDescent="0.25">
      <c r="A6" s="4"/>
      <c r="B6" s="4"/>
      <c r="D6" s="24">
        <v>5</v>
      </c>
      <c r="E6" s="9">
        <f>IPMT($B$8,D6,$B$7,$B$2)</f>
        <v>-386.16316017007182</v>
      </c>
      <c r="F6" s="9">
        <f>PPMT($B$8,$D6,$B$7,$B$2)</f>
        <v>-6293.0380696182528</v>
      </c>
      <c r="G6" s="9">
        <f>PMT(B8,B7,B2)</f>
        <v>-6679.2012297883239</v>
      </c>
      <c r="I6" s="4"/>
      <c r="J6" s="4"/>
    </row>
    <row r="7" spans="1:14" x14ac:dyDescent="0.25">
      <c r="A7" s="4" t="s">
        <v>26</v>
      </c>
      <c r="B7" s="4">
        <f>B5*B4</f>
        <v>8</v>
      </c>
      <c r="D7" s="24">
        <v>6</v>
      </c>
      <c r="E7" s="9">
        <f t="shared" si="0"/>
        <v>-291.76758912579811</v>
      </c>
      <c r="F7" s="9">
        <f t="shared" si="1"/>
        <v>-6387.4336406625262</v>
      </c>
      <c r="G7" s="9">
        <f>PMT(B8,B7,B2)</f>
        <v>-6679.2012297883239</v>
      </c>
      <c r="I7" s="4" t="s">
        <v>28</v>
      </c>
      <c r="J7" s="9">
        <f>PMT(J4,J5,J3)</f>
        <v>-43711.913703390455</v>
      </c>
    </row>
    <row r="8" spans="1:14" x14ac:dyDescent="0.25">
      <c r="A8" s="4" t="s">
        <v>27</v>
      </c>
      <c r="B8" s="4">
        <f>B3/B5</f>
        <v>1.4999999999999999E-2</v>
      </c>
      <c r="D8" s="24">
        <v>7</v>
      </c>
      <c r="E8" s="9">
        <f t="shared" si="0"/>
        <v>-195.95608451586023</v>
      </c>
      <c r="F8" s="9">
        <f t="shared" si="1"/>
        <v>-6483.2451452724636</v>
      </c>
      <c r="G8" s="9">
        <f>PMT(B8,B7,B2)</f>
        <v>-6679.2012297883239</v>
      </c>
    </row>
    <row r="9" spans="1:14" x14ac:dyDescent="0.25">
      <c r="A9" s="4"/>
      <c r="B9" s="4"/>
      <c r="D9" s="24">
        <v>8</v>
      </c>
      <c r="E9" s="9">
        <f t="shared" si="0"/>
        <v>-98.707407336773258</v>
      </c>
      <c r="F9" s="9">
        <f t="shared" si="1"/>
        <v>-6580.4938224515508</v>
      </c>
      <c r="G9" s="9">
        <f>PMT(B8,B7,B2)</f>
        <v>-6679.2012297883239</v>
      </c>
    </row>
    <row r="10" spans="1:14" x14ac:dyDescent="0.25">
      <c r="A10" s="4" t="s">
        <v>28</v>
      </c>
      <c r="B10" s="9">
        <f>PMT(B8,B7,B2)</f>
        <v>-6679.2012297883239</v>
      </c>
      <c r="D10" s="3" t="s">
        <v>36</v>
      </c>
      <c r="E10" s="9">
        <f>SUM(E2:E9)</f>
        <v>-3433.6098383065937</v>
      </c>
      <c r="F10" s="9">
        <f t="shared" ref="F10:G10" si="2">SUM(F2:F9)</f>
        <v>-50000</v>
      </c>
      <c r="G10" s="9">
        <f t="shared" si="2"/>
        <v>-53433.609838306598</v>
      </c>
    </row>
    <row r="11" spans="1:14" x14ac:dyDescent="0.25">
      <c r="D11" s="13"/>
    </row>
    <row r="12" spans="1:14" x14ac:dyDescent="0.25">
      <c r="I12" s="39" t="s">
        <v>46</v>
      </c>
      <c r="J12" s="39"/>
      <c r="K12" s="39"/>
      <c r="L12" s="39"/>
      <c r="M12" s="39"/>
      <c r="N12" s="39"/>
    </row>
    <row r="13" spans="1:14" ht="46.5" customHeight="1" x14ac:dyDescent="0.25">
      <c r="D13" s="28" t="s">
        <v>37</v>
      </c>
      <c r="E13" s="29">
        <f>CUMIPMT(B8,B7,B2,1,8,0)</f>
        <v>-3433.6098383065982</v>
      </c>
      <c r="I13" s="28" t="s">
        <v>32</v>
      </c>
      <c r="J13" s="33" t="s">
        <v>33</v>
      </c>
      <c r="K13" s="33" t="s">
        <v>34</v>
      </c>
      <c r="L13" s="33" t="s">
        <v>35</v>
      </c>
      <c r="M13" s="33" t="s">
        <v>47</v>
      </c>
      <c r="N13" s="33" t="s">
        <v>42</v>
      </c>
    </row>
    <row r="14" spans="1:14" ht="30" x14ac:dyDescent="0.25">
      <c r="D14" s="30" t="s">
        <v>38</v>
      </c>
      <c r="E14" s="31">
        <f>CUMPRINC(B8,B7,B2,1,8,0)</f>
        <v>-49999.999999999993</v>
      </c>
      <c r="F14" s="25"/>
      <c r="G14" s="25"/>
      <c r="I14" s="4">
        <v>1</v>
      </c>
      <c r="J14" s="9">
        <f>IPMT($J$4,$I14,$J$5,$J$3)</f>
        <v>-19800</v>
      </c>
      <c r="K14" s="9">
        <f>PPMT($J$4,$I14,$J$5,$J$3)</f>
        <v>-23911.913703390459</v>
      </c>
      <c r="L14" s="9">
        <v>-43711.913703390455</v>
      </c>
      <c r="M14" s="9">
        <f>K14</f>
        <v>-23911.913703390459</v>
      </c>
      <c r="N14" s="9">
        <f>-220000-M14</f>
        <v>-196088.08629660954</v>
      </c>
    </row>
    <row r="15" spans="1:14" ht="30.75" customHeight="1" x14ac:dyDescent="0.25">
      <c r="D15" s="32" t="s">
        <v>39</v>
      </c>
      <c r="E15" s="9">
        <f>SUM(E13:E14)</f>
        <v>-53433.609838306591</v>
      </c>
      <c r="F15" s="27"/>
      <c r="G15" s="27"/>
      <c r="I15" s="4">
        <v>2</v>
      </c>
      <c r="J15" s="9">
        <f t="shared" ref="J15:J20" si="3">IPMT($J$4,$I15,$J$5,$J$3)</f>
        <v>-17647.927766694862</v>
      </c>
      <c r="K15" s="9">
        <f t="shared" ref="K15:K20" si="4">PPMT($J$4,$I15,$J$5,$J$3)</f>
        <v>-26063.985936695597</v>
      </c>
      <c r="L15" s="9">
        <v>-43711.913703390455</v>
      </c>
      <c r="M15" s="9">
        <f>M14+K15</f>
        <v>-49975.899640086056</v>
      </c>
      <c r="N15" s="9">
        <f t="shared" ref="N15:N19" si="5">-220000-M15</f>
        <v>-170024.10035991395</v>
      </c>
    </row>
    <row r="16" spans="1:14" x14ac:dyDescent="0.25">
      <c r="D16" s="26"/>
      <c r="E16" s="27"/>
      <c r="F16" s="27"/>
      <c r="G16" s="27"/>
      <c r="I16" s="4">
        <v>3</v>
      </c>
      <c r="J16" s="9">
        <f t="shared" si="3"/>
        <v>-15302.169032392252</v>
      </c>
      <c r="K16" s="9">
        <f t="shared" si="4"/>
        <v>-28409.744670998203</v>
      </c>
      <c r="L16" s="9">
        <v>-43711.913703390455</v>
      </c>
      <c r="M16" s="9">
        <f t="shared" ref="M16:M20" si="6">M15+K16</f>
        <v>-78385.644311084267</v>
      </c>
      <c r="N16" s="9">
        <f t="shared" si="5"/>
        <v>-141614.35568891573</v>
      </c>
    </row>
    <row r="17" spans="4:14" ht="45" x14ac:dyDescent="0.25">
      <c r="D17" s="23" t="s">
        <v>32</v>
      </c>
      <c r="E17" s="23" t="s">
        <v>40</v>
      </c>
      <c r="F17" s="23" t="s">
        <v>41</v>
      </c>
      <c r="G17" s="23" t="s">
        <v>42</v>
      </c>
      <c r="I17" s="4">
        <v>4</v>
      </c>
      <c r="J17" s="9">
        <f t="shared" si="3"/>
        <v>-12745.292012002414</v>
      </c>
      <c r="K17" s="9">
        <f t="shared" si="4"/>
        <v>-30966.621691388038</v>
      </c>
      <c r="L17" s="9">
        <v>-43711.913703390455</v>
      </c>
      <c r="M17" s="9">
        <f t="shared" si="6"/>
        <v>-109352.2660024723</v>
      </c>
      <c r="N17" s="9">
        <f t="shared" si="5"/>
        <v>-110647.7339975277</v>
      </c>
    </row>
    <row r="18" spans="4:14" x14ac:dyDescent="0.25">
      <c r="D18" s="24">
        <v>1</v>
      </c>
      <c r="E18" s="9">
        <f>E2</f>
        <v>-750</v>
      </c>
      <c r="F18" s="9">
        <f>F2</f>
        <v>-5929.2012297883248</v>
      </c>
      <c r="G18" s="9">
        <f>-50000-F18</f>
        <v>-44070.798770211673</v>
      </c>
      <c r="I18" s="4">
        <v>5</v>
      </c>
      <c r="J18" s="9">
        <f t="shared" si="3"/>
        <v>-9958.2960597774909</v>
      </c>
      <c r="K18" s="9">
        <f t="shared" si="4"/>
        <v>-33753.617643612968</v>
      </c>
      <c r="L18" s="9">
        <v>-43711.913703390455</v>
      </c>
      <c r="M18" s="9">
        <f t="shared" si="6"/>
        <v>-143105.88364608528</v>
      </c>
      <c r="N18" s="9">
        <f t="shared" si="5"/>
        <v>-76894.116353914724</v>
      </c>
    </row>
    <row r="19" spans="4:14" x14ac:dyDescent="0.25">
      <c r="D19" s="24">
        <v>2</v>
      </c>
      <c r="E19" s="9">
        <f>E3+E18</f>
        <v>-1411.061981553175</v>
      </c>
      <c r="F19" s="9">
        <f>F3+F18</f>
        <v>-11947.340478023474</v>
      </c>
      <c r="G19" s="9">
        <f t="shared" ref="G19:G25" si="7">-50000-F19</f>
        <v>-38052.65952197653</v>
      </c>
      <c r="I19" s="4">
        <v>6</v>
      </c>
      <c r="J19" s="9">
        <f t="shared" si="3"/>
        <v>-6920.4704718523235</v>
      </c>
      <c r="K19" s="9">
        <f t="shared" si="4"/>
        <v>-36791.443231538135</v>
      </c>
      <c r="L19" s="9">
        <v>-43711.913703390455</v>
      </c>
      <c r="M19" s="9">
        <f t="shared" si="6"/>
        <v>-179897.32687762342</v>
      </c>
      <c r="N19" s="9">
        <f t="shared" si="5"/>
        <v>-40102.673122376582</v>
      </c>
    </row>
    <row r="20" spans="4:14" x14ac:dyDescent="0.25">
      <c r="D20" s="24">
        <v>3</v>
      </c>
      <c r="E20" s="9">
        <f t="shared" ref="E20:E25" si="8">E4+E19</f>
        <v>-1981.8518743828226</v>
      </c>
      <c r="F20" s="9">
        <f t="shared" ref="F20:F25" si="9">F4+F19</f>
        <v>-18055.751814982148</v>
      </c>
      <c r="G20" s="9">
        <f t="shared" si="7"/>
        <v>-31944.248185017852</v>
      </c>
      <c r="I20" s="4">
        <v>7</v>
      </c>
      <c r="J20" s="9">
        <f t="shared" si="3"/>
        <v>-3609.2405810138907</v>
      </c>
      <c r="K20" s="9">
        <f t="shared" si="4"/>
        <v>-40102.67312237656</v>
      </c>
      <c r="L20" s="9">
        <v>-43711.913703390455</v>
      </c>
      <c r="M20" s="9">
        <f t="shared" si="6"/>
        <v>-219999.99999999997</v>
      </c>
      <c r="N20" s="9">
        <f>-220000-M20</f>
        <v>0</v>
      </c>
    </row>
    <row r="21" spans="4:14" x14ac:dyDescent="0.25">
      <c r="D21" s="24">
        <v>4</v>
      </c>
      <c r="E21" s="9">
        <f t="shared" si="8"/>
        <v>-2461.0155971580903</v>
      </c>
      <c r="F21" s="9">
        <f t="shared" si="9"/>
        <v>-24255.789321995206</v>
      </c>
      <c r="G21" s="9">
        <f t="shared" si="7"/>
        <v>-25744.210678004794</v>
      </c>
      <c r="I21" s="3" t="s">
        <v>36</v>
      </c>
      <c r="J21" s="9">
        <f>SUM(J14:J20)</f>
        <v>-85983.395923733231</v>
      </c>
      <c r="K21" s="9">
        <f t="shared" ref="K21:L21" si="10">SUM(K14:K20)</f>
        <v>-219999.99999999997</v>
      </c>
      <c r="L21" s="9">
        <f t="shared" si="10"/>
        <v>-305983.39592373319</v>
      </c>
      <c r="M21" s="34" t="s">
        <v>48</v>
      </c>
      <c r="N21" s="34" t="s">
        <v>48</v>
      </c>
    </row>
    <row r="22" spans="4:14" x14ac:dyDescent="0.25">
      <c r="D22" s="24">
        <v>5</v>
      </c>
      <c r="E22" s="9">
        <f t="shared" si="8"/>
        <v>-2847.1787573281622</v>
      </c>
      <c r="F22" s="9">
        <f t="shared" si="9"/>
        <v>-30548.827391613457</v>
      </c>
      <c r="G22" s="9">
        <f t="shared" si="7"/>
        <v>-19451.172608386543</v>
      </c>
    </row>
    <row r="23" spans="4:14" x14ac:dyDescent="0.25">
      <c r="D23" s="24">
        <v>6</v>
      </c>
      <c r="E23" s="9">
        <f t="shared" si="8"/>
        <v>-3138.9463464539604</v>
      </c>
      <c r="F23" s="9">
        <f t="shared" si="9"/>
        <v>-36936.261032275987</v>
      </c>
      <c r="G23" s="9">
        <f t="shared" si="7"/>
        <v>-13063.738967724013</v>
      </c>
      <c r="I23" s="28" t="s">
        <v>37</v>
      </c>
      <c r="J23" s="29">
        <f>CUMIPMT(J4,J5,J3,1,7,0)</f>
        <v>-85983.395923733187</v>
      </c>
    </row>
    <row r="24" spans="4:14" x14ac:dyDescent="0.25">
      <c r="D24" s="24">
        <v>7</v>
      </c>
      <c r="E24" s="9">
        <f t="shared" si="8"/>
        <v>-3334.9024309698207</v>
      </c>
      <c r="F24" s="9">
        <f t="shared" si="9"/>
        <v>-43419.50617754845</v>
      </c>
      <c r="G24" s="9">
        <f t="shared" si="7"/>
        <v>-6580.4938224515499</v>
      </c>
      <c r="I24" s="30" t="s">
        <v>38</v>
      </c>
      <c r="J24" s="31">
        <f>CUMPRINC(J4,J5,J3,1,7,0)</f>
        <v>-220000</v>
      </c>
    </row>
    <row r="25" spans="4:14" x14ac:dyDescent="0.25">
      <c r="D25" s="24">
        <v>8</v>
      </c>
      <c r="E25" s="9">
        <f t="shared" si="8"/>
        <v>-3433.6098383065937</v>
      </c>
      <c r="F25" s="9">
        <f t="shared" si="9"/>
        <v>-50000</v>
      </c>
      <c r="G25" s="9">
        <f t="shared" si="7"/>
        <v>0</v>
      </c>
      <c r="I25" s="32" t="s">
        <v>39</v>
      </c>
      <c r="J25" s="9">
        <f>SUM(J23:J24)</f>
        <v>-305983.39592373319</v>
      </c>
    </row>
  </sheetData>
  <mergeCells count="1">
    <mergeCell ref="I12:N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EB0E-68EC-493B-A7BD-AE023A1358D2}">
  <dimension ref="A1:E15"/>
  <sheetViews>
    <sheetView workbookViewId="0">
      <selection activeCell="A19" sqref="A19"/>
    </sheetView>
  </sheetViews>
  <sheetFormatPr defaultRowHeight="15" x14ac:dyDescent="0.25"/>
  <cols>
    <col min="1" max="1" width="30.7109375" bestFit="1" customWidth="1"/>
    <col min="2" max="2" width="13.140625" bestFit="1" customWidth="1"/>
    <col min="4" max="4" width="30.7109375" bestFit="1" customWidth="1"/>
    <col min="5" max="5" width="13.140625" bestFit="1" customWidth="1"/>
  </cols>
  <sheetData>
    <row r="1" spans="1:5" x14ac:dyDescent="0.25">
      <c r="A1" s="4" t="s">
        <v>49</v>
      </c>
      <c r="B1" s="4">
        <v>100000</v>
      </c>
      <c r="D1" s="9" t="s">
        <v>49</v>
      </c>
      <c r="E1" s="4">
        <v>320000</v>
      </c>
    </row>
    <row r="2" spans="1:5" x14ac:dyDescent="0.25">
      <c r="A2" s="4"/>
      <c r="B2" s="4"/>
      <c r="D2" s="4"/>
      <c r="E2" s="4"/>
    </row>
    <row r="3" spans="1:5" x14ac:dyDescent="0.25">
      <c r="A3" s="4" t="s">
        <v>13</v>
      </c>
      <c r="B3" s="4">
        <v>-1000</v>
      </c>
      <c r="D3" s="4" t="s">
        <v>53</v>
      </c>
      <c r="E3" s="4">
        <v>-36000</v>
      </c>
    </row>
    <row r="4" spans="1:5" x14ac:dyDescent="0.25">
      <c r="A4" s="4"/>
      <c r="B4" s="4"/>
      <c r="D4" s="4"/>
      <c r="E4" s="4"/>
    </row>
    <row r="5" spans="1:5" x14ac:dyDescent="0.25">
      <c r="A5" s="4" t="s">
        <v>22</v>
      </c>
      <c r="B5" s="4">
        <v>12</v>
      </c>
      <c r="D5" s="4" t="s">
        <v>22</v>
      </c>
      <c r="E5" s="4">
        <v>2</v>
      </c>
    </row>
    <row r="6" spans="1:5" x14ac:dyDescent="0.25">
      <c r="A6" s="4" t="s">
        <v>14</v>
      </c>
      <c r="B6" s="17">
        <v>0.08</v>
      </c>
      <c r="D6" s="4" t="s">
        <v>14</v>
      </c>
      <c r="E6" s="5">
        <v>4.4999999999999998E-2</v>
      </c>
    </row>
    <row r="7" spans="1:5" x14ac:dyDescent="0.25">
      <c r="A7" s="4"/>
      <c r="B7" s="4"/>
      <c r="D7" s="4"/>
      <c r="E7" s="4"/>
    </row>
    <row r="8" spans="1:5" x14ac:dyDescent="0.25">
      <c r="A8" s="4" t="s">
        <v>1</v>
      </c>
      <c r="B8" s="4">
        <f>B6/B5</f>
        <v>6.6666666666666671E-3</v>
      </c>
      <c r="D8" s="4" t="s">
        <v>1</v>
      </c>
      <c r="E8" s="4">
        <f>E6/E5</f>
        <v>2.2499999999999999E-2</v>
      </c>
    </row>
    <row r="9" spans="1:5" x14ac:dyDescent="0.25">
      <c r="A9" s="4"/>
      <c r="B9" s="4"/>
      <c r="D9" s="4"/>
      <c r="E9" s="4"/>
    </row>
    <row r="10" spans="1:5" x14ac:dyDescent="0.25">
      <c r="A10" s="3" t="s">
        <v>0</v>
      </c>
      <c r="B10" s="4">
        <f>ROUNDUP(NPER(B8,B3,B1),0)</f>
        <v>166</v>
      </c>
      <c r="D10" s="3" t="s">
        <v>0</v>
      </c>
      <c r="E10" s="4">
        <f>ROUNDUP(NPER(E8,E3,E1),0)</f>
        <v>11</v>
      </c>
    </row>
    <row r="11" spans="1:5" x14ac:dyDescent="0.25">
      <c r="A11" s="4" t="s">
        <v>9</v>
      </c>
      <c r="B11" s="4">
        <f>B10/B5</f>
        <v>13.833333333333334</v>
      </c>
      <c r="D11" s="4" t="s">
        <v>9</v>
      </c>
      <c r="E11" s="4">
        <f>E10/E5</f>
        <v>5.5</v>
      </c>
    </row>
    <row r="12" spans="1:5" x14ac:dyDescent="0.25">
      <c r="A12" s="4"/>
      <c r="B12" s="4"/>
      <c r="D12" s="4"/>
      <c r="E12" s="4"/>
    </row>
    <row r="13" spans="1:5" x14ac:dyDescent="0.25">
      <c r="A13" s="4" t="s">
        <v>50</v>
      </c>
      <c r="B13" s="35">
        <f>CUMPRINC(B8,B10,B1,1,166,0)</f>
        <v>-99999.999999999985</v>
      </c>
      <c r="D13" s="4" t="s">
        <v>50</v>
      </c>
      <c r="E13" s="36">
        <f>CUMPRINC(E8,E10,E1,1,11,0)</f>
        <v>-319999.99999999994</v>
      </c>
    </row>
    <row r="14" spans="1:5" x14ac:dyDescent="0.25">
      <c r="A14" s="4" t="s">
        <v>51</v>
      </c>
      <c r="B14" s="35">
        <f>CUMIPMT(B8,B10,B1,1,166,0)</f>
        <v>-65637.897622158765</v>
      </c>
      <c r="D14" s="4" t="s">
        <v>51</v>
      </c>
      <c r="E14" s="36">
        <f>CUMIPMT(E8,E10,E1,1,11,0)</f>
        <v>-44800.433391341649</v>
      </c>
    </row>
    <row r="15" spans="1:5" x14ac:dyDescent="0.25">
      <c r="A15" s="4" t="s">
        <v>52</v>
      </c>
      <c r="B15" s="35">
        <f>SUM(B13:B14)</f>
        <v>-165637.89762215875</v>
      </c>
      <c r="D15" s="4" t="s">
        <v>52</v>
      </c>
      <c r="E15" s="36">
        <f>SUM(E13:E14)</f>
        <v>-364800.43339134159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9469-C27A-4198-A94F-29BE69305F7F}">
  <dimension ref="A1:H11"/>
  <sheetViews>
    <sheetView topLeftCell="B1" workbookViewId="0">
      <selection activeCell="H11" sqref="H11"/>
    </sheetView>
  </sheetViews>
  <sheetFormatPr defaultRowHeight="15" x14ac:dyDescent="0.25"/>
  <cols>
    <col min="1" max="1" width="31.7109375" bestFit="1" customWidth="1"/>
    <col min="2" max="2" width="11" bestFit="1" customWidth="1"/>
    <col min="4" max="4" width="24.85546875" bestFit="1" customWidth="1"/>
    <col min="7" max="7" width="26.5703125" bestFit="1" customWidth="1"/>
  </cols>
  <sheetData>
    <row r="1" spans="1:8" x14ac:dyDescent="0.25">
      <c r="A1" s="4" t="s">
        <v>29</v>
      </c>
      <c r="B1" s="35">
        <v>8000</v>
      </c>
      <c r="D1" s="4" t="s">
        <v>29</v>
      </c>
      <c r="E1" s="4">
        <v>-3000</v>
      </c>
      <c r="G1" s="4" t="s">
        <v>29</v>
      </c>
      <c r="H1" s="4">
        <v>-200000</v>
      </c>
    </row>
    <row r="2" spans="1:8" x14ac:dyDescent="0.25">
      <c r="A2" s="4" t="s">
        <v>54</v>
      </c>
      <c r="B2" s="35">
        <v>-200</v>
      </c>
      <c r="D2" s="4" t="s">
        <v>58</v>
      </c>
      <c r="E2" s="4">
        <v>5000</v>
      </c>
      <c r="G2" s="4" t="s">
        <v>59</v>
      </c>
      <c r="H2" s="4">
        <v>69000</v>
      </c>
    </row>
    <row r="3" spans="1:8" x14ac:dyDescent="0.25">
      <c r="A3" s="4" t="s">
        <v>57</v>
      </c>
      <c r="B3" s="4">
        <v>4</v>
      </c>
      <c r="D3" s="4" t="s">
        <v>57</v>
      </c>
      <c r="E3" s="4">
        <v>5</v>
      </c>
      <c r="G3" s="4" t="s">
        <v>60</v>
      </c>
      <c r="H3" s="4">
        <v>60000</v>
      </c>
    </row>
    <row r="4" spans="1:8" x14ac:dyDescent="0.25">
      <c r="A4" s="4" t="s">
        <v>55</v>
      </c>
      <c r="B4" s="4">
        <v>12</v>
      </c>
      <c r="D4" s="4"/>
      <c r="E4" s="4"/>
      <c r="G4" s="4" t="s">
        <v>61</v>
      </c>
      <c r="H4" s="4">
        <v>51000</v>
      </c>
    </row>
    <row r="5" spans="1:8" x14ac:dyDescent="0.25">
      <c r="A5" s="4"/>
      <c r="B5" s="4"/>
      <c r="D5" s="3" t="s">
        <v>14</v>
      </c>
      <c r="E5" s="37">
        <f>RATE(E3,0,E1,E2)</f>
        <v>0.10756634324829126</v>
      </c>
      <c r="G5" s="4" t="s">
        <v>62</v>
      </c>
      <c r="H5" s="4">
        <v>69000</v>
      </c>
    </row>
    <row r="6" spans="1:8" x14ac:dyDescent="0.25">
      <c r="A6" s="4" t="s">
        <v>56</v>
      </c>
      <c r="B6" s="4">
        <f>B4*B3</f>
        <v>48</v>
      </c>
      <c r="G6" s="4" t="s">
        <v>63</v>
      </c>
      <c r="H6" s="4">
        <v>96000</v>
      </c>
    </row>
    <row r="7" spans="1:8" x14ac:dyDescent="0.25">
      <c r="A7" s="4"/>
      <c r="B7" s="4"/>
      <c r="G7" s="4"/>
      <c r="H7" s="4"/>
    </row>
    <row r="8" spans="1:8" x14ac:dyDescent="0.25">
      <c r="A8" s="4" t="s">
        <v>1</v>
      </c>
      <c r="B8" s="5">
        <f>RATE(B6,B2,B1)</f>
        <v>7.7014724882013682E-3</v>
      </c>
      <c r="G8" s="4" t="s">
        <v>64</v>
      </c>
      <c r="H8" s="5">
        <f>RATE(5,,H1,SUM(H2:H6))</f>
        <v>0.11521299112136614</v>
      </c>
    </row>
    <row r="9" spans="1:8" x14ac:dyDescent="0.25">
      <c r="A9" s="3" t="s">
        <v>14</v>
      </c>
      <c r="B9" s="5">
        <f>B8*B4</f>
        <v>9.2417669858416415E-2</v>
      </c>
      <c r="G9" s="4" t="s">
        <v>65</v>
      </c>
      <c r="H9" s="17">
        <v>0.01</v>
      </c>
    </row>
    <row r="10" spans="1:8" x14ac:dyDescent="0.25">
      <c r="G10" s="4"/>
      <c r="H10" s="4"/>
    </row>
    <row r="11" spans="1:8" x14ac:dyDescent="0.25">
      <c r="G11" s="3" t="s">
        <v>66</v>
      </c>
      <c r="H11" s="5">
        <f>MIRR(H1:H6,H8,H9)</f>
        <v>0.11927871185840044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1B3B-8EFC-4380-8451-263A67164302}">
  <dimension ref="A1:G12"/>
  <sheetViews>
    <sheetView workbookViewId="0">
      <selection activeCell="N17" sqref="N17"/>
    </sheetView>
  </sheetViews>
  <sheetFormatPr defaultRowHeight="15" x14ac:dyDescent="0.25"/>
  <cols>
    <col min="1" max="1" width="35.140625" customWidth="1"/>
    <col min="2" max="3" width="12" bestFit="1" customWidth="1"/>
    <col min="4" max="4" width="8" bestFit="1" customWidth="1"/>
    <col min="6" max="7" width="12" bestFit="1" customWidth="1"/>
  </cols>
  <sheetData>
    <row r="1" spans="1:7" x14ac:dyDescent="0.25">
      <c r="A1" s="28" t="s">
        <v>67</v>
      </c>
      <c r="B1" s="35">
        <v>50000</v>
      </c>
      <c r="E1" s="39" t="s">
        <v>74</v>
      </c>
      <c r="F1" s="39"/>
      <c r="G1" s="39"/>
    </row>
    <row r="2" spans="1:7" ht="30" x14ac:dyDescent="0.25">
      <c r="A2" s="28" t="s">
        <v>68</v>
      </c>
      <c r="B2" s="35">
        <v>3000</v>
      </c>
      <c r="E2" s="38" t="s">
        <v>71</v>
      </c>
      <c r="F2" s="38" t="s">
        <v>72</v>
      </c>
      <c r="G2" s="38" t="s">
        <v>73</v>
      </c>
    </row>
    <row r="3" spans="1:7" x14ac:dyDescent="0.25">
      <c r="A3" s="28" t="s">
        <v>69</v>
      </c>
      <c r="B3" s="4">
        <v>5</v>
      </c>
      <c r="E3" s="38">
        <v>1</v>
      </c>
      <c r="F3" s="35">
        <v>15666.67</v>
      </c>
      <c r="G3" s="9">
        <f>SYD($B$1,$B$2,$B$3,E3)</f>
        <v>15666.666666666666</v>
      </c>
    </row>
    <row r="4" spans="1:7" x14ac:dyDescent="0.25">
      <c r="E4" s="38">
        <v>2</v>
      </c>
      <c r="F4" s="35">
        <v>12533.33</v>
      </c>
      <c r="G4" s="9">
        <f t="shared" ref="G4:G7" si="0">SYD($B$1,$B$2,$B$3,E4)</f>
        <v>12533.333333333334</v>
      </c>
    </row>
    <row r="5" spans="1:7" x14ac:dyDescent="0.25">
      <c r="A5" s="39" t="s">
        <v>70</v>
      </c>
      <c r="B5" s="39"/>
      <c r="C5" s="39"/>
      <c r="E5" s="38">
        <v>3</v>
      </c>
      <c r="F5" s="35">
        <v>9400</v>
      </c>
      <c r="G5" s="9">
        <f t="shared" si="0"/>
        <v>9400</v>
      </c>
    </row>
    <row r="6" spans="1:7" x14ac:dyDescent="0.25">
      <c r="A6" s="38" t="s">
        <v>71</v>
      </c>
      <c r="B6" s="38" t="s">
        <v>72</v>
      </c>
      <c r="C6" s="38" t="s">
        <v>73</v>
      </c>
      <c r="E6" s="38">
        <v>4</v>
      </c>
      <c r="F6" s="35">
        <v>6266.67</v>
      </c>
      <c r="G6" s="9">
        <f t="shared" si="0"/>
        <v>6266.666666666667</v>
      </c>
    </row>
    <row r="7" spans="1:7" x14ac:dyDescent="0.25">
      <c r="A7" s="38">
        <v>1</v>
      </c>
      <c r="B7" s="35">
        <f>9400</f>
        <v>9400</v>
      </c>
      <c r="C7" s="35">
        <f>SLN($B$1,$B$2,$B$3)</f>
        <v>9400</v>
      </c>
      <c r="E7" s="38">
        <v>5</v>
      </c>
      <c r="F7" s="35">
        <v>3133.33</v>
      </c>
      <c r="G7" s="9">
        <f t="shared" si="0"/>
        <v>3133.3333333333335</v>
      </c>
    </row>
    <row r="8" spans="1:7" x14ac:dyDescent="0.25">
      <c r="A8" s="38">
        <v>2</v>
      </c>
      <c r="B8" s="35">
        <f>9400</f>
        <v>9400</v>
      </c>
      <c r="C8" s="35">
        <f t="shared" ref="C8:C11" si="1">SLN($B$1,$B$2,$B$3)</f>
        <v>9400</v>
      </c>
      <c r="E8" s="3" t="s">
        <v>36</v>
      </c>
      <c r="F8" s="35">
        <f>SUM(F3:F7)</f>
        <v>47000</v>
      </c>
      <c r="G8" s="35">
        <f>SUM(G3:G7)</f>
        <v>47000</v>
      </c>
    </row>
    <row r="9" spans="1:7" x14ac:dyDescent="0.25">
      <c r="A9" s="38">
        <v>3</v>
      </c>
      <c r="B9" s="35">
        <f>9400</f>
        <v>9400</v>
      </c>
      <c r="C9" s="35">
        <f t="shared" si="1"/>
        <v>9400</v>
      </c>
    </row>
    <row r="10" spans="1:7" x14ac:dyDescent="0.25">
      <c r="A10" s="38">
        <v>4</v>
      </c>
      <c r="B10" s="35">
        <f>9400</f>
        <v>9400</v>
      </c>
      <c r="C10" s="35">
        <f t="shared" si="1"/>
        <v>9400</v>
      </c>
    </row>
    <row r="11" spans="1:7" x14ac:dyDescent="0.25">
      <c r="A11" s="38">
        <v>5</v>
      </c>
      <c r="B11" s="35">
        <f>9400</f>
        <v>9400</v>
      </c>
      <c r="C11" s="35">
        <f t="shared" si="1"/>
        <v>9400</v>
      </c>
    </row>
    <row r="12" spans="1:7" x14ac:dyDescent="0.25">
      <c r="A12" s="3" t="s">
        <v>36</v>
      </c>
      <c r="B12" s="35">
        <f>SUM(B7:B11)</f>
        <v>47000</v>
      </c>
      <c r="C12" s="35">
        <f>SUM(C7:C11)</f>
        <v>47000</v>
      </c>
    </row>
  </sheetData>
  <mergeCells count="2">
    <mergeCell ref="A5:C5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Приведённая стоимость</vt:lpstr>
      <vt:lpstr>PV</vt:lpstr>
      <vt:lpstr>БудущаяСтоимость</vt:lpstr>
      <vt:lpstr>ПЛТ</vt:lpstr>
      <vt:lpstr>ЧислоПериодовВыплат</vt:lpstr>
      <vt:lpstr>Ставка</vt:lpstr>
      <vt:lpstr>Амортизация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2024-12-09T02:58:51Z</dcterms:modified>
</cp:coreProperties>
</file>