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leal\Documents\Unal\3_semestre\Materias\Muestreo\Tareas\5)Censo\"/>
    </mc:Choice>
  </mc:AlternateContent>
  <xr:revisionPtr revIDLastSave="0" documentId="13_ncr:1_{267B3D2F-5AD5-4B60-8209-5C3607AD5E23}" xr6:coauthVersionLast="47" xr6:coauthVersionMax="47" xr10:uidLastSave="{00000000-0000-0000-0000-000000000000}"/>
  <bookViews>
    <workbookView xWindow="-108" yWindow="-108" windowWidth="23256" windowHeight="13176" activeTab="2" xr2:uid="{07E2D503-BE16-4BC5-9912-DF52E3C0A38B}"/>
  </bookViews>
  <sheets>
    <sheet name="Resultados" sheetId="8" r:id="rId1"/>
    <sheet name="BASE" sheetId="4" r:id="rId2"/>
    <sheet name="Muestreo_PPTCR" sheetId="5" r:id="rId3"/>
    <sheet name="Muestreo_PiPT_RHC" sheetId="6" r:id="rId4"/>
    <sheet name="Muestreo_PiPT_Sunter" sheetId="7" r:id="rId5"/>
    <sheet name="Matrices-sunter" sheetId="9" r:id="rId6"/>
  </sheets>
  <definedNames>
    <definedName name="_xlnm._FilterDatabase" localSheetId="5" hidden="1">'Matrices-sunter'!$AP$103:$AR$140</definedName>
    <definedName name="_xlnm._FilterDatabase" localSheetId="3" hidden="1">Muestreo_PiPT_RHC!$B$2:$G$2</definedName>
    <definedName name="_xlnm._FilterDatabase" localSheetId="4" hidden="1">Muestreo_PiPT_Sunter!$B$2:$O$39</definedName>
    <definedName name="_xlnm._FilterDatabase" localSheetId="2" hidden="1">Muestreo_PPTCR!$B$2:$C$2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/>
  <c r="D10" i="8"/>
  <c r="I15" i="9"/>
  <c r="I14" i="9"/>
  <c r="I13" i="9"/>
  <c r="I12" i="9"/>
  <c r="I11" i="9"/>
  <c r="AI93" i="9"/>
  <c r="AJ93" i="9"/>
  <c r="AK93" i="9"/>
  <c r="AL93" i="9"/>
  <c r="AM93" i="9"/>
  <c r="AN93" i="9"/>
  <c r="AI94" i="9"/>
  <c r="AJ94" i="9"/>
  <c r="AK94" i="9"/>
  <c r="AL94" i="9"/>
  <c r="AM94" i="9"/>
  <c r="AN94" i="9"/>
  <c r="AI95" i="9"/>
  <c r="AJ95" i="9"/>
  <c r="AK95" i="9"/>
  <c r="AL95" i="9"/>
  <c r="AM95" i="9"/>
  <c r="AN95" i="9"/>
  <c r="AI96" i="9"/>
  <c r="AJ96" i="9"/>
  <c r="AK96" i="9"/>
  <c r="AL96" i="9"/>
  <c r="AM96" i="9"/>
  <c r="AN96" i="9"/>
  <c r="AI97" i="9"/>
  <c r="AJ97" i="9"/>
  <c r="AK97" i="9"/>
  <c r="AL97" i="9"/>
  <c r="AM97" i="9"/>
  <c r="AN97" i="9"/>
  <c r="AJ92" i="9"/>
  <c r="AK92" i="9"/>
  <c r="AL92" i="9"/>
  <c r="AM92" i="9"/>
  <c r="AN92" i="9"/>
  <c r="AI92" i="9"/>
  <c r="AG90" i="9"/>
  <c r="AH90" i="9"/>
  <c r="AI90" i="9"/>
  <c r="AJ90" i="9"/>
  <c r="AK90" i="9"/>
  <c r="AL90" i="9"/>
  <c r="AM90" i="9"/>
  <c r="AN90" i="9"/>
  <c r="AG91" i="9"/>
  <c r="AH91" i="9"/>
  <c r="AI91" i="9"/>
  <c r="AJ91" i="9"/>
  <c r="AK91" i="9"/>
  <c r="AL91" i="9"/>
  <c r="AM91" i="9"/>
  <c r="AN91" i="9"/>
  <c r="AG92" i="9"/>
  <c r="AH92" i="9"/>
  <c r="AG93" i="9"/>
  <c r="AH93" i="9"/>
  <c r="AG94" i="9"/>
  <c r="AH94" i="9"/>
  <c r="AG95" i="9"/>
  <c r="AH95" i="9"/>
  <c r="AG96" i="9"/>
  <c r="AH96" i="9"/>
  <c r="AG97" i="9"/>
  <c r="AH97" i="9"/>
  <c r="Y90" i="9"/>
  <c r="Z90" i="9"/>
  <c r="AA90" i="9"/>
  <c r="AB90" i="9"/>
  <c r="AC90" i="9"/>
  <c r="AD90" i="9"/>
  <c r="Y91" i="9"/>
  <c r="Z91" i="9"/>
  <c r="AA91" i="9"/>
  <c r="AB91" i="9"/>
  <c r="AC91" i="9"/>
  <c r="AD91" i="9"/>
  <c r="Y92" i="9"/>
  <c r="Z92" i="9"/>
  <c r="AA92" i="9"/>
  <c r="AB92" i="9"/>
  <c r="AC92" i="9"/>
  <c r="AD92" i="9"/>
  <c r="Y93" i="9"/>
  <c r="Z93" i="9"/>
  <c r="AA93" i="9"/>
  <c r="AB93" i="9"/>
  <c r="AC93" i="9"/>
  <c r="AD93" i="9"/>
  <c r="Y94" i="9"/>
  <c r="Z94" i="9"/>
  <c r="AA94" i="9"/>
  <c r="AB94" i="9"/>
  <c r="AC94" i="9"/>
  <c r="AD94" i="9"/>
  <c r="Y95" i="9"/>
  <c r="Z95" i="9"/>
  <c r="AA95" i="9"/>
  <c r="AB95" i="9"/>
  <c r="AC95" i="9"/>
  <c r="AD95" i="9"/>
  <c r="Y96" i="9"/>
  <c r="Z96" i="9"/>
  <c r="AA96" i="9"/>
  <c r="AB96" i="9"/>
  <c r="AC96" i="9"/>
  <c r="AD96" i="9"/>
  <c r="Y97" i="9"/>
  <c r="Z97" i="9"/>
  <c r="AA97" i="9"/>
  <c r="AB97" i="9"/>
  <c r="AC97" i="9"/>
  <c r="AD97" i="9"/>
  <c r="X90" i="9"/>
  <c r="X91" i="9"/>
  <c r="X92" i="9"/>
  <c r="X93" i="9"/>
  <c r="X94" i="9"/>
  <c r="X95" i="9"/>
  <c r="X96" i="9"/>
  <c r="X97" i="9"/>
  <c r="W92" i="9"/>
  <c r="W93" i="9"/>
  <c r="W94" i="9"/>
  <c r="W95" i="9"/>
  <c r="W96" i="9"/>
  <c r="W97" i="9"/>
  <c r="W90" i="9"/>
  <c r="W91" i="9"/>
  <c r="N90" i="9"/>
  <c r="O90" i="9"/>
  <c r="P90" i="9"/>
  <c r="Q90" i="9"/>
  <c r="R90" i="9"/>
  <c r="S90" i="9"/>
  <c r="T90" i="9"/>
  <c r="N91" i="9"/>
  <c r="O91" i="9"/>
  <c r="P91" i="9"/>
  <c r="Q91" i="9"/>
  <c r="R91" i="9"/>
  <c r="S91" i="9"/>
  <c r="T91" i="9"/>
  <c r="N92" i="9"/>
  <c r="O92" i="9"/>
  <c r="P92" i="9"/>
  <c r="Q92" i="9"/>
  <c r="R92" i="9"/>
  <c r="S92" i="9"/>
  <c r="T92" i="9"/>
  <c r="N93" i="9"/>
  <c r="O93" i="9"/>
  <c r="P93" i="9"/>
  <c r="Q93" i="9"/>
  <c r="R93" i="9"/>
  <c r="S93" i="9"/>
  <c r="T93" i="9"/>
  <c r="N94" i="9"/>
  <c r="O94" i="9"/>
  <c r="P94" i="9"/>
  <c r="Q94" i="9"/>
  <c r="R94" i="9"/>
  <c r="S94" i="9"/>
  <c r="T94" i="9"/>
  <c r="N95" i="9"/>
  <c r="O95" i="9"/>
  <c r="P95" i="9"/>
  <c r="Q95" i="9"/>
  <c r="R95" i="9"/>
  <c r="S95" i="9"/>
  <c r="T95" i="9"/>
  <c r="N96" i="9"/>
  <c r="O96" i="9"/>
  <c r="P96" i="9"/>
  <c r="Q96" i="9"/>
  <c r="R96" i="9"/>
  <c r="S96" i="9"/>
  <c r="T96" i="9"/>
  <c r="N97" i="9"/>
  <c r="O97" i="9"/>
  <c r="P97" i="9"/>
  <c r="Q97" i="9"/>
  <c r="R97" i="9"/>
  <c r="S97" i="9"/>
  <c r="T97" i="9"/>
  <c r="M91" i="9"/>
  <c r="M92" i="9"/>
  <c r="M93" i="9"/>
  <c r="M94" i="9"/>
  <c r="M95" i="9"/>
  <c r="M96" i="9"/>
  <c r="M97" i="9"/>
  <c r="M90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AX85" i="9" s="1"/>
  <c r="I7" i="9"/>
  <c r="I6" i="9"/>
  <c r="F8" i="9" l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7" i="9"/>
  <c r="F6" i="9"/>
  <c r="M11" i="7"/>
  <c r="I5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" i="9"/>
  <c r="N4" i="7" l="1"/>
  <c r="O4" i="7" s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" i="7"/>
  <c r="O3" i="7" s="1"/>
  <c r="N2" i="5"/>
  <c r="M6" i="7"/>
  <c r="M7" i="7"/>
  <c r="M8" i="7"/>
  <c r="M9" i="7"/>
  <c r="M10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5" i="7"/>
  <c r="K32" i="7"/>
  <c r="K33" i="7"/>
  <c r="K34" i="7"/>
  <c r="K35" i="7"/>
  <c r="K36" i="7"/>
  <c r="K37" i="7"/>
  <c r="K38" i="7"/>
  <c r="K39" i="7"/>
  <c r="I5" i="7"/>
  <c r="K5" i="7" s="1"/>
  <c r="O5" i="7" l="1"/>
  <c r="M39" i="7"/>
  <c r="M36" i="7"/>
  <c r="M34" i="7"/>
  <c r="M32" i="7"/>
  <c r="M38" i="7"/>
  <c r="M37" i="7"/>
  <c r="M33" i="7"/>
  <c r="M35" i="7"/>
  <c r="L3" i="7"/>
  <c r="L4" i="7" s="1"/>
  <c r="L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5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5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3" i="7"/>
  <c r="R25" i="6"/>
  <c r="R6" i="6"/>
  <c r="R12" i="6"/>
  <c r="R19" i="6"/>
  <c r="R30" i="6"/>
  <c r="R38" i="6"/>
  <c r="R39" i="6"/>
  <c r="R3" i="6"/>
  <c r="N28" i="6"/>
  <c r="O28" i="6" s="1"/>
  <c r="N24" i="6"/>
  <c r="O24" i="6" s="1"/>
  <c r="N18" i="6"/>
  <c r="O18" i="6" s="1"/>
  <c r="N11" i="6"/>
  <c r="O11" i="6" s="1"/>
  <c r="N6" i="6"/>
  <c r="O6" i="6" s="1"/>
  <c r="N3" i="6"/>
  <c r="O3" i="6" s="1"/>
  <c r="M4" i="6"/>
  <c r="M5" i="6"/>
  <c r="M6" i="6"/>
  <c r="P6" i="6" s="1"/>
  <c r="Q6" i="6" s="1"/>
  <c r="M7" i="6"/>
  <c r="M8" i="6"/>
  <c r="M9" i="6"/>
  <c r="M10" i="6"/>
  <c r="M11" i="6"/>
  <c r="M12" i="6"/>
  <c r="P11" i="6" s="1"/>
  <c r="Q11" i="6" s="1"/>
  <c r="M13" i="6"/>
  <c r="M14" i="6"/>
  <c r="M15" i="6"/>
  <c r="M16" i="6"/>
  <c r="M17" i="6"/>
  <c r="M18" i="6"/>
  <c r="M19" i="6"/>
  <c r="P18" i="6" s="1"/>
  <c r="Q18" i="6" s="1"/>
  <c r="M20" i="6"/>
  <c r="M21" i="6"/>
  <c r="M22" i="6"/>
  <c r="M23" i="6"/>
  <c r="M24" i="6"/>
  <c r="M25" i="6"/>
  <c r="P24" i="6" s="1"/>
  <c r="Q24" i="6" s="1"/>
  <c r="M26" i="6"/>
  <c r="M27" i="6"/>
  <c r="M28" i="6"/>
  <c r="M29" i="6"/>
  <c r="M30" i="6"/>
  <c r="P28" i="6" s="1"/>
  <c r="Q28" i="6" s="1"/>
  <c r="M31" i="6"/>
  <c r="M32" i="6"/>
  <c r="M33" i="6"/>
  <c r="M34" i="6"/>
  <c r="M35" i="6"/>
  <c r="M36" i="6"/>
  <c r="M37" i="6"/>
  <c r="M38" i="6"/>
  <c r="P38" i="6" s="1"/>
  <c r="Q38" i="6" s="1"/>
  <c r="M39" i="6"/>
  <c r="P39" i="6" s="1"/>
  <c r="Q39" i="6" s="1"/>
  <c r="M3" i="6"/>
  <c r="P3" i="6" s="1"/>
  <c r="I24" i="6"/>
  <c r="H29" i="6"/>
  <c r="H30" i="6"/>
  <c r="H31" i="6"/>
  <c r="H32" i="6"/>
  <c r="H33" i="6"/>
  <c r="H34" i="6"/>
  <c r="H35" i="6"/>
  <c r="H36" i="6"/>
  <c r="H37" i="6"/>
  <c r="H28" i="6"/>
  <c r="J28" i="6" s="1"/>
  <c r="I29" i="6" s="1"/>
  <c r="H25" i="6"/>
  <c r="H26" i="6"/>
  <c r="H27" i="6"/>
  <c r="H24" i="6"/>
  <c r="H19" i="6"/>
  <c r="H20" i="6"/>
  <c r="H21" i="6"/>
  <c r="H22" i="6"/>
  <c r="H23" i="6"/>
  <c r="H18" i="6"/>
  <c r="J18" i="6" s="1"/>
  <c r="I19" i="6" s="1"/>
  <c r="H12" i="6"/>
  <c r="H13" i="6"/>
  <c r="H14" i="6"/>
  <c r="H15" i="6"/>
  <c r="H16" i="6"/>
  <c r="H17" i="6"/>
  <c r="H11" i="6"/>
  <c r="J11" i="6" s="1"/>
  <c r="I12" i="6" s="1"/>
  <c r="H7" i="6"/>
  <c r="H8" i="6"/>
  <c r="H9" i="6"/>
  <c r="H10" i="6"/>
  <c r="H6" i="6"/>
  <c r="J6" i="6" s="1"/>
  <c r="H4" i="6"/>
  <c r="H5" i="6"/>
  <c r="H3" i="6"/>
  <c r="J3" i="6" s="1"/>
  <c r="F29" i="6"/>
  <c r="F18" i="6"/>
  <c r="F30" i="6"/>
  <c r="F19" i="6"/>
  <c r="F24" i="6"/>
  <c r="F6" i="6"/>
  <c r="F3" i="6"/>
  <c r="F31" i="6"/>
  <c r="F25" i="6"/>
  <c r="F11" i="6"/>
  <c r="F26" i="6"/>
  <c r="F32" i="6"/>
  <c r="F27" i="6"/>
  <c r="F7" i="6"/>
  <c r="F20" i="6"/>
  <c r="F21" i="6"/>
  <c r="F8" i="6"/>
  <c r="F12" i="6"/>
  <c r="F13" i="6"/>
  <c r="F22" i="6"/>
  <c r="F4" i="6"/>
  <c r="F33" i="6"/>
  <c r="F34" i="6"/>
  <c r="F35" i="6"/>
  <c r="F14" i="6"/>
  <c r="F9" i="6"/>
  <c r="F15" i="6"/>
  <c r="F16" i="6"/>
  <c r="F36" i="6"/>
  <c r="F5" i="6"/>
  <c r="F23" i="6"/>
  <c r="F37" i="6"/>
  <c r="F17" i="6"/>
  <c r="F10" i="6"/>
  <c r="F28" i="6"/>
  <c r="E28" i="6"/>
  <c r="E29" i="6"/>
  <c r="E18" i="6"/>
  <c r="E30" i="6"/>
  <c r="E19" i="6"/>
  <c r="E24" i="6"/>
  <c r="E6" i="6"/>
  <c r="E3" i="6"/>
  <c r="E31" i="6"/>
  <c r="E25" i="6"/>
  <c r="E11" i="6"/>
  <c r="E26" i="6"/>
  <c r="E32" i="6"/>
  <c r="E27" i="6"/>
  <c r="E7" i="6"/>
  <c r="E20" i="6"/>
  <c r="E21" i="6"/>
  <c r="E8" i="6"/>
  <c r="E12" i="6"/>
  <c r="E13" i="6"/>
  <c r="E22" i="6"/>
  <c r="E4" i="6"/>
  <c r="E33" i="6"/>
  <c r="E34" i="6"/>
  <c r="E35" i="6"/>
  <c r="E14" i="6"/>
  <c r="E9" i="6"/>
  <c r="E15" i="6"/>
  <c r="E16" i="6"/>
  <c r="E36" i="6"/>
  <c r="E5" i="6"/>
  <c r="E23" i="6"/>
  <c r="E37" i="6"/>
  <c r="E17" i="6"/>
  <c r="E10" i="6"/>
  <c r="E39" i="6"/>
  <c r="D28" i="6"/>
  <c r="D29" i="6"/>
  <c r="D18" i="6"/>
  <c r="D30" i="6"/>
  <c r="D19" i="6"/>
  <c r="D24" i="6"/>
  <c r="D6" i="6"/>
  <c r="D3" i="6"/>
  <c r="D31" i="6"/>
  <c r="D25" i="6"/>
  <c r="D11" i="6"/>
  <c r="D26" i="6"/>
  <c r="D32" i="6"/>
  <c r="D27" i="6"/>
  <c r="D7" i="6"/>
  <c r="D20" i="6"/>
  <c r="D21" i="6"/>
  <c r="D8" i="6"/>
  <c r="D12" i="6"/>
  <c r="D13" i="6"/>
  <c r="D22" i="6"/>
  <c r="D4" i="6"/>
  <c r="D33" i="6"/>
  <c r="D34" i="6"/>
  <c r="D35" i="6"/>
  <c r="D14" i="6"/>
  <c r="D9" i="6"/>
  <c r="D15" i="6"/>
  <c r="D16" i="6"/>
  <c r="D36" i="6"/>
  <c r="D5" i="6"/>
  <c r="D23" i="6"/>
  <c r="D37" i="6"/>
  <c r="D17" i="6"/>
  <c r="D10" i="6"/>
  <c r="D39" i="6"/>
  <c r="D38" i="6"/>
  <c r="C40" i="5"/>
  <c r="I40" i="5"/>
  <c r="E42" i="9" l="1"/>
  <c r="O33" i="7"/>
  <c r="O38" i="7"/>
  <c r="O37" i="7"/>
  <c r="O32" i="7"/>
  <c r="O35" i="7"/>
  <c r="O34" i="7"/>
  <c r="O36" i="7"/>
  <c r="O39" i="7"/>
  <c r="I6" i="7"/>
  <c r="K6" i="7" s="1"/>
  <c r="S6" i="6"/>
  <c r="S3" i="6"/>
  <c r="S39" i="6"/>
  <c r="S38" i="6"/>
  <c r="S30" i="6"/>
  <c r="S25" i="6"/>
  <c r="S12" i="6"/>
  <c r="S19" i="6"/>
  <c r="X3" i="6"/>
  <c r="T6" i="6" s="1"/>
  <c r="U6" i="6" s="1"/>
  <c r="O40" i="6"/>
  <c r="N40" i="6"/>
  <c r="X5" i="6" s="1"/>
  <c r="Q3" i="6"/>
  <c r="J19" i="6"/>
  <c r="I20" i="6" s="1"/>
  <c r="J20" i="6" s="1"/>
  <c r="I21" i="6" s="1"/>
  <c r="J21" i="6" s="1"/>
  <c r="I22" i="6" s="1"/>
  <c r="J22" i="6" s="1"/>
  <c r="J12" i="6"/>
  <c r="I13" i="6" s="1"/>
  <c r="J13" i="6" s="1"/>
  <c r="I14" i="6" s="1"/>
  <c r="J14" i="6" s="1"/>
  <c r="I15" i="6" s="1"/>
  <c r="J15" i="6" s="1"/>
  <c r="I16" i="6" s="1"/>
  <c r="J16" i="6" s="1"/>
  <c r="I17" i="6" s="1"/>
  <c r="J17" i="6" s="1"/>
  <c r="J29" i="6"/>
  <c r="I30" i="6" s="1"/>
  <c r="J30" i="6" s="1"/>
  <c r="I31" i="6" s="1"/>
  <c r="J31" i="6" s="1"/>
  <c r="I32" i="6" s="1"/>
  <c r="J32" i="6" s="1"/>
  <c r="I33" i="6" s="1"/>
  <c r="J33" i="6" s="1"/>
  <c r="I34" i="6" s="1"/>
  <c r="J34" i="6" s="1"/>
  <c r="I35" i="6" s="1"/>
  <c r="J35" i="6" s="1"/>
  <c r="I36" i="6" s="1"/>
  <c r="J36" i="6" s="1"/>
  <c r="I37" i="6" s="1"/>
  <c r="J37" i="6" s="1"/>
  <c r="L37" i="6" s="1"/>
  <c r="I7" i="6"/>
  <c r="L6" i="6"/>
  <c r="L11" i="6"/>
  <c r="L34" i="6"/>
  <c r="L33" i="6"/>
  <c r="L28" i="6"/>
  <c r="L18" i="6"/>
  <c r="J24" i="6"/>
  <c r="I4" i="6"/>
  <c r="L3" i="6"/>
  <c r="D12" i="5"/>
  <c r="I2" i="4"/>
  <c r="AR42" i="9" l="1"/>
  <c r="AE42" i="9"/>
  <c r="AL42" i="9"/>
  <c r="AA42" i="9"/>
  <c r="S42" i="9"/>
  <c r="AT42" i="9"/>
  <c r="AI42" i="9"/>
  <c r="AS42" i="9"/>
  <c r="AH42" i="9"/>
  <c r="AM42" i="9"/>
  <c r="T42" i="9"/>
  <c r="AN42" i="9"/>
  <c r="AK42" i="9"/>
  <c r="N42" i="9"/>
  <c r="AD42" i="9"/>
  <c r="AV42" i="9"/>
  <c r="AB42" i="9"/>
  <c r="AG42" i="9"/>
  <c r="V42" i="9"/>
  <c r="M42" i="9"/>
  <c r="AO42" i="9"/>
  <c r="Z42" i="9"/>
  <c r="AJ42" i="9"/>
  <c r="AU42" i="9"/>
  <c r="AQ42" i="9"/>
  <c r="O42" i="9"/>
  <c r="X42" i="9"/>
  <c r="W42" i="9"/>
  <c r="R42" i="9"/>
  <c r="U42" i="9"/>
  <c r="AW42" i="9"/>
  <c r="Y42" i="9"/>
  <c r="AF42" i="9"/>
  <c r="AC42" i="9"/>
  <c r="Q42" i="9"/>
  <c r="P42" i="9"/>
  <c r="AP42" i="9"/>
  <c r="L6" i="7"/>
  <c r="I7" i="7" s="1"/>
  <c r="K7" i="7" s="1"/>
  <c r="O6" i="7"/>
  <c r="T19" i="6"/>
  <c r="U19" i="6" s="1"/>
  <c r="T12" i="6"/>
  <c r="U12" i="6" s="1"/>
  <c r="T30" i="6"/>
  <c r="U30" i="6" s="1"/>
  <c r="L20" i="6"/>
  <c r="T39" i="6"/>
  <c r="U39" i="6" s="1"/>
  <c r="T25" i="6"/>
  <c r="U25" i="6" s="1"/>
  <c r="L19" i="6"/>
  <c r="T38" i="6"/>
  <c r="U38" i="6" s="1"/>
  <c r="T3" i="6"/>
  <c r="U3" i="6" s="1"/>
  <c r="X6" i="6" s="1"/>
  <c r="X8" i="6" s="1"/>
  <c r="L32" i="6"/>
  <c r="L21" i="6"/>
  <c r="L36" i="6"/>
  <c r="L29" i="6"/>
  <c r="I23" i="6"/>
  <c r="L22" i="6"/>
  <c r="L31" i="6"/>
  <c r="L35" i="6"/>
  <c r="L30" i="6"/>
  <c r="L12" i="6"/>
  <c r="L17" i="6"/>
  <c r="L13" i="6"/>
  <c r="L15" i="6"/>
  <c r="L16" i="6"/>
  <c r="L14" i="6"/>
  <c r="I25" i="6"/>
  <c r="L24" i="6"/>
  <c r="J7" i="6"/>
  <c r="I8" i="6" s="1"/>
  <c r="L7" i="6"/>
  <c r="I5" i="6"/>
  <c r="J5" i="6"/>
  <c r="L4" i="6"/>
  <c r="D21" i="5"/>
  <c r="D26" i="5"/>
  <c r="D9" i="5"/>
  <c r="D7" i="5"/>
  <c r="D36" i="5"/>
  <c r="D27" i="5"/>
  <c r="D10" i="5"/>
  <c r="D8" i="5"/>
  <c r="D38" i="5"/>
  <c r="D37" i="5"/>
  <c r="D4" i="5"/>
  <c r="D34" i="5"/>
  <c r="D17" i="5"/>
  <c r="D14" i="5"/>
  <c r="D24" i="5"/>
  <c r="D23" i="5"/>
  <c r="D6" i="5"/>
  <c r="D20" i="5"/>
  <c r="D19" i="5"/>
  <c r="D18" i="5"/>
  <c r="D33" i="5"/>
  <c r="D16" i="5"/>
  <c r="D31" i="5"/>
  <c r="D30" i="5"/>
  <c r="D29" i="5"/>
  <c r="D13" i="5"/>
  <c r="D11" i="5"/>
  <c r="D25" i="5"/>
  <c r="D3" i="5"/>
  <c r="D39" i="5"/>
  <c r="D22" i="5"/>
  <c r="D5" i="5"/>
  <c r="D35" i="5"/>
  <c r="D32" i="5"/>
  <c r="D15" i="5"/>
  <c r="D28" i="5"/>
  <c r="AX42" i="9" l="1"/>
  <c r="L7" i="7"/>
  <c r="I8" i="7" s="1"/>
  <c r="K8" i="7" s="1"/>
  <c r="O7" i="7"/>
  <c r="X9" i="6"/>
  <c r="X10" i="6"/>
  <c r="X11" i="6"/>
  <c r="J23" i="6"/>
  <c r="L23" i="6"/>
  <c r="J8" i="6"/>
  <c r="I9" i="6" s="1"/>
  <c r="J25" i="6"/>
  <c r="I26" i="6" s="1"/>
  <c r="L5" i="6"/>
  <c r="F3" i="5"/>
  <c r="L8" i="7" l="1"/>
  <c r="I9" i="7" s="1"/>
  <c r="K9" i="7" s="1"/>
  <c r="O8" i="7"/>
  <c r="L25" i="6"/>
  <c r="L8" i="6"/>
  <c r="J26" i="6"/>
  <c r="I27" i="6" s="1"/>
  <c r="J9" i="6"/>
  <c r="I10" i="6" s="1"/>
  <c r="L9" i="6"/>
  <c r="H3" i="5" a="1"/>
  <c r="H3" i="5" s="1"/>
  <c r="E4" i="5"/>
  <c r="L9" i="7" l="1"/>
  <c r="I10" i="7" s="1"/>
  <c r="K10" i="7" s="1"/>
  <c r="O9" i="7"/>
  <c r="L26" i="6"/>
  <c r="J10" i="6"/>
  <c r="L10" i="6" s="1"/>
  <c r="J27" i="6"/>
  <c r="L27" i="6" s="1"/>
  <c r="F4" i="5"/>
  <c r="E5" i="5" s="1"/>
  <c r="J3" i="5"/>
  <c r="L10" i="7" l="1"/>
  <c r="I11" i="7" s="1"/>
  <c r="K11" i="7" s="1"/>
  <c r="O10" i="7"/>
  <c r="F5" i="5"/>
  <c r="E6" i="5" s="1"/>
  <c r="H4" i="5" a="1"/>
  <c r="H4" i="5" s="1"/>
  <c r="L11" i="7" l="1"/>
  <c r="I12" i="7" s="1"/>
  <c r="K12" i="7" s="1"/>
  <c r="O11" i="7"/>
  <c r="H5" i="5" a="1"/>
  <c r="H5" i="5" s="1"/>
  <c r="J4" i="5"/>
  <c r="F6" i="5"/>
  <c r="E7" i="5" s="1"/>
  <c r="L12" i="7" l="1"/>
  <c r="I13" i="7" s="1"/>
  <c r="K13" i="7" s="1"/>
  <c r="O12" i="7"/>
  <c r="J5" i="5"/>
  <c r="H6" i="5" a="1"/>
  <c r="H6" i="5" s="1"/>
  <c r="F7" i="5"/>
  <c r="E8" i="5" s="1"/>
  <c r="H7" i="5" a="1"/>
  <c r="H7" i="5" s="1"/>
  <c r="L13" i="7" l="1"/>
  <c r="I14" i="7" s="1"/>
  <c r="K14" i="7" s="1"/>
  <c r="O13" i="7"/>
  <c r="J7" i="5"/>
  <c r="J6" i="5"/>
  <c r="F8" i="5"/>
  <c r="E9" i="5" s="1"/>
  <c r="L14" i="7" l="1"/>
  <c r="I15" i="7" s="1"/>
  <c r="K15" i="7" s="1"/>
  <c r="O14" i="7"/>
  <c r="H8" i="5" a="1"/>
  <c r="H8" i="5" s="1"/>
  <c r="F9" i="5"/>
  <c r="E10" i="5" s="1"/>
  <c r="H9" i="5" a="1"/>
  <c r="H9" i="5" s="1"/>
  <c r="L15" i="7" l="1"/>
  <c r="I16" i="7" s="1"/>
  <c r="K16" i="7" s="1"/>
  <c r="O15" i="7"/>
  <c r="J9" i="5"/>
  <c r="F10" i="5"/>
  <c r="E11" i="5" s="1"/>
  <c r="H10" i="5" a="1"/>
  <c r="H10" i="5" s="1"/>
  <c r="J8" i="5"/>
  <c r="L16" i="7" l="1"/>
  <c r="I17" i="7" s="1"/>
  <c r="K17" i="7" s="1"/>
  <c r="O16" i="7"/>
  <c r="J10" i="5"/>
  <c r="F11" i="5"/>
  <c r="E12" i="5" s="1"/>
  <c r="H11" i="5" a="1"/>
  <c r="H11" i="5" s="1"/>
  <c r="L17" i="7" l="1"/>
  <c r="I18" i="7" s="1"/>
  <c r="K18" i="7" s="1"/>
  <c r="O17" i="7"/>
  <c r="J11" i="5"/>
  <c r="F12" i="5"/>
  <c r="E13" i="5" s="1"/>
  <c r="H12" i="5" a="1"/>
  <c r="H12" i="5" s="1"/>
  <c r="L18" i="7" l="1"/>
  <c r="I19" i="7" s="1"/>
  <c r="K19" i="7" s="1"/>
  <c r="O18" i="7"/>
  <c r="J12" i="5"/>
  <c r="F13" i="5"/>
  <c r="E14" i="5" s="1"/>
  <c r="H13" i="5" a="1"/>
  <c r="H13" i="5" s="1"/>
  <c r="L19" i="7" l="1"/>
  <c r="I20" i="7" s="1"/>
  <c r="K20" i="7" s="1"/>
  <c r="O19" i="7"/>
  <c r="J13" i="5"/>
  <c r="F14" i="5"/>
  <c r="E15" i="5" s="1"/>
  <c r="H14" i="5" a="1"/>
  <c r="H14" i="5" s="1"/>
  <c r="L20" i="7" l="1"/>
  <c r="I21" i="7" s="1"/>
  <c r="K21" i="7" s="1"/>
  <c r="O20" i="7"/>
  <c r="J14" i="5"/>
  <c r="F15" i="5"/>
  <c r="E16" i="5" s="1"/>
  <c r="H15" i="5" a="1"/>
  <c r="H15" i="5" s="1"/>
  <c r="L21" i="7" l="1"/>
  <c r="I22" i="7" s="1"/>
  <c r="K22" i="7" s="1"/>
  <c r="L22" i="7" s="1"/>
  <c r="I23" i="7" s="1"/>
  <c r="K23" i="7" s="1"/>
  <c r="O21" i="7"/>
  <c r="J15" i="5"/>
  <c r="F16" i="5"/>
  <c r="E17" i="5" s="1"/>
  <c r="H16" i="5" a="1"/>
  <c r="H16" i="5" s="1"/>
  <c r="O22" i="7" l="1"/>
  <c r="J16" i="5"/>
  <c r="L23" i="7"/>
  <c r="O23" i="7"/>
  <c r="I24" i="7"/>
  <c r="K24" i="7" s="1"/>
  <c r="F17" i="5"/>
  <c r="E18" i="5" s="1"/>
  <c r="H17" i="5" a="1"/>
  <c r="H17" i="5" s="1"/>
  <c r="J17" i="5" l="1"/>
  <c r="L24" i="7"/>
  <c r="O24" i="7"/>
  <c r="I25" i="7"/>
  <c r="K25" i="7" s="1"/>
  <c r="F18" i="5"/>
  <c r="E19" i="5" s="1"/>
  <c r="H18" i="5" a="1"/>
  <c r="H18" i="5" s="1"/>
  <c r="J18" i="5" l="1"/>
  <c r="L25" i="7"/>
  <c r="I26" i="7" s="1"/>
  <c r="K26" i="7" s="1"/>
  <c r="O25" i="7"/>
  <c r="F19" i="5"/>
  <c r="E20" i="5" s="1"/>
  <c r="H19" i="5" a="1"/>
  <c r="H19" i="5" s="1"/>
  <c r="J19" i="5" l="1"/>
  <c r="L26" i="7"/>
  <c r="O26" i="7"/>
  <c r="I27" i="7"/>
  <c r="K27" i="7" s="1"/>
  <c r="F20" i="5"/>
  <c r="E21" i="5" s="1"/>
  <c r="H20" i="5" a="1"/>
  <c r="H20" i="5" s="1"/>
  <c r="J20" i="5" l="1"/>
  <c r="L27" i="7"/>
  <c r="I28" i="7" s="1"/>
  <c r="K28" i="7" s="1"/>
  <c r="O27" i="7"/>
  <c r="F21" i="5"/>
  <c r="E22" i="5" s="1"/>
  <c r="H21" i="5" a="1"/>
  <c r="H21" i="5" s="1"/>
  <c r="J21" i="5" l="1"/>
  <c r="L28" i="7"/>
  <c r="I29" i="7" s="1"/>
  <c r="K29" i="7" s="1"/>
  <c r="O28" i="7"/>
  <c r="F22" i="5"/>
  <c r="E23" i="5" s="1"/>
  <c r="H22" i="5" a="1"/>
  <c r="H22" i="5" s="1"/>
  <c r="J22" i="5" l="1"/>
  <c r="L29" i="7"/>
  <c r="I30" i="7" s="1"/>
  <c r="K30" i="7" s="1"/>
  <c r="O29" i="7"/>
  <c r="F23" i="5"/>
  <c r="E24" i="5" s="1"/>
  <c r="H23" i="5" a="1"/>
  <c r="H23" i="5" s="1"/>
  <c r="J23" i="5" l="1"/>
  <c r="L30" i="7"/>
  <c r="I31" i="7" s="1"/>
  <c r="K31" i="7" s="1"/>
  <c r="O30" i="7"/>
  <c r="F24" i="5"/>
  <c r="E25" i="5" s="1"/>
  <c r="H24" i="5" a="1"/>
  <c r="H24" i="5" s="1"/>
  <c r="J24" i="5" l="1"/>
  <c r="L31" i="7"/>
  <c r="L32" i="7" s="1"/>
  <c r="L33" i="7" s="1"/>
  <c r="L34" i="7" s="1"/>
  <c r="L35" i="7" s="1"/>
  <c r="L36" i="7" s="1"/>
  <c r="L37" i="7" s="1"/>
  <c r="L38" i="7" s="1"/>
  <c r="L39" i="7" s="1"/>
  <c r="O31" i="7"/>
  <c r="S7" i="7" s="1"/>
  <c r="F25" i="5"/>
  <c r="E26" i="5" s="1"/>
  <c r="H25" i="5" a="1"/>
  <c r="H25" i="5" s="1"/>
  <c r="J25" i="5" l="1"/>
  <c r="F26" i="5"/>
  <c r="E27" i="5" s="1"/>
  <c r="H26" i="5" a="1"/>
  <c r="H26" i="5" s="1"/>
  <c r="J26" i="5" l="1"/>
  <c r="F27" i="5"/>
  <c r="E28" i="5" s="1"/>
  <c r="H27" i="5" l="1" a="1"/>
  <c r="H27" i="5" s="1"/>
  <c r="F28" i="5"/>
  <c r="E29" i="5" s="1"/>
  <c r="H28" i="5" a="1"/>
  <c r="H28" i="5" s="1"/>
  <c r="J28" i="5" l="1"/>
  <c r="J27" i="5"/>
  <c r="F29" i="5"/>
  <c r="E30" i="5" s="1"/>
  <c r="H29" i="5" a="1"/>
  <c r="H29" i="5" s="1"/>
  <c r="J29" i="5" l="1"/>
  <c r="F30" i="5"/>
  <c r="E31" i="5" s="1"/>
  <c r="H30" i="5" a="1"/>
  <c r="H30" i="5" s="1"/>
  <c r="J30" i="5" l="1"/>
  <c r="F31" i="5"/>
  <c r="E32" i="5" s="1"/>
  <c r="H31" i="5" a="1"/>
  <c r="H31" i="5" s="1"/>
  <c r="J31" i="5" l="1"/>
  <c r="F32" i="5"/>
  <c r="E33" i="5" s="1"/>
  <c r="H32" i="5" l="1" a="1"/>
  <c r="H32" i="5" s="1"/>
  <c r="F33" i="5"/>
  <c r="E34" i="5" s="1"/>
  <c r="H33" i="5" a="1"/>
  <c r="H33" i="5" s="1"/>
  <c r="J33" i="5" l="1"/>
  <c r="J32" i="5"/>
  <c r="F34" i="5"/>
  <c r="E35" i="5" s="1"/>
  <c r="H34" i="5" a="1"/>
  <c r="H34" i="5" s="1"/>
  <c r="J34" i="5" l="1"/>
  <c r="F35" i="5"/>
  <c r="E36" i="5" s="1"/>
  <c r="H35" i="5" a="1"/>
  <c r="H35" i="5" s="1"/>
  <c r="J35" i="5" l="1"/>
  <c r="F36" i="5"/>
  <c r="E37" i="5" s="1"/>
  <c r="H36" i="5" a="1"/>
  <c r="H36" i="5" s="1"/>
  <c r="J36" i="5" l="1"/>
  <c r="F37" i="5"/>
  <c r="E38" i="5" s="1"/>
  <c r="H37" i="5" a="1"/>
  <c r="H37" i="5" s="1"/>
  <c r="J37" i="5" l="1"/>
  <c r="F38" i="5"/>
  <c r="E39" i="5" s="1"/>
  <c r="H38" i="5" a="1"/>
  <c r="H38" i="5" s="1"/>
  <c r="J38" i="5" l="1"/>
  <c r="F39" i="5"/>
  <c r="H39" i="5" a="1"/>
  <c r="H39" i="5" s="1"/>
  <c r="J39" i="5" l="1"/>
  <c r="H40" i="5"/>
  <c r="J40" i="5" l="1"/>
  <c r="N6" i="5"/>
  <c r="K3" i="5" l="1"/>
  <c r="K4" i="5"/>
  <c r="K5" i="5"/>
  <c r="K7" i="5"/>
  <c r="K6" i="5"/>
  <c r="K9" i="5"/>
  <c r="K8" i="5"/>
  <c r="K40" i="5" s="1"/>
  <c r="K10" i="5"/>
  <c r="N7" i="5" s="1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8" i="5"/>
  <c r="K27" i="5"/>
  <c r="K29" i="5"/>
  <c r="K30" i="5"/>
  <c r="K31" i="5"/>
  <c r="K33" i="5"/>
  <c r="K32" i="5"/>
  <c r="K34" i="5"/>
  <c r="K35" i="5"/>
  <c r="K36" i="5"/>
  <c r="K37" i="5"/>
  <c r="K38" i="5"/>
  <c r="K39" i="5"/>
  <c r="N10" i="5" l="1"/>
  <c r="N9" i="5"/>
  <c r="N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<sst xmlns="http://schemas.openxmlformats.org/spreadsheetml/2006/main" count="529" uniqueCount="141">
  <si>
    <t>Pearson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</si>
  <si>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</si>
  <si>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</si>
  <si>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</si>
  <si>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</si>
  <si>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</si>
  <si>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</si>
  <si>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</si>
  <si>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</si>
  <si>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</si>
  <si>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</si>
  <si>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</si>
  <si>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</si>
  <si>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</si>
  <si>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</si>
  <si>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</si>
  <si>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</si>
  <si>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</si>
  <si>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</si>
  <si>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</si>
  <si>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</si>
  <si>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</si>
  <si>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</si>
  <si>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</si>
  <si>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</si>
  <si>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</si>
  <si>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</si>
  <si>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</si>
  <si>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</si>
  <si>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</si>
  <si>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</si>
  <si>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</si>
  <si>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</si>
  <si>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</si>
  <si>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</si>
  <si>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</si>
  <si>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</si>
  <si>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</si>
  <si>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</si>
  <si>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</si>
  <si>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</si>
  <si>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</si>
  <si>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</si>
  <si>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</si>
  <si>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</si>
  <si>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</si>
  <si>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</si>
  <si>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</si>
  <si>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</si>
  <si>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</si>
  <si>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</si>
  <si>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</si>
  <si>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</si>
  <si>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</si>
  <si>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</si>
  <si>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</si>
  <si>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</si>
  <si>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</si>
  <si>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</si>
  <si>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</si>
  <si>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</si>
  <si>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</si>
  <si>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</si>
  <si>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</si>
  <si>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</si>
  <si>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</si>
  <si>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</si>
  <si>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</si>
  <si>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</si>
  <si>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</si>
  <si>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</si>
  <si>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</si>
  <si>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</si>
  <si>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</si>
  <si>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</si>
  <si>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DIVIPOLA</t>
  </si>
  <si>
    <t>Municipio</t>
  </si>
  <si>
    <t>Pob2018</t>
  </si>
  <si>
    <t>Probabilidades</t>
  </si>
  <si>
    <t>Intervalos</t>
  </si>
  <si>
    <t>epsilon</t>
  </si>
  <si>
    <t>Decisión</t>
  </si>
  <si>
    <t>m</t>
  </si>
  <si>
    <t>Total Pob2005</t>
  </si>
  <si>
    <t>total_poblacional</t>
  </si>
  <si>
    <t>muestra</t>
  </si>
  <si>
    <t>var_estimada</t>
  </si>
  <si>
    <t>varianza</t>
  </si>
  <si>
    <t>CVE</t>
  </si>
  <si>
    <t>Intervalo Inf</t>
  </si>
  <si>
    <t>Intervalo Sup</t>
  </si>
  <si>
    <t>probabilidad</t>
  </si>
  <si>
    <t>n1</t>
  </si>
  <si>
    <t>n2</t>
  </si>
  <si>
    <t>inclusión forzosa</t>
  </si>
  <si>
    <t>probabilidad2</t>
  </si>
  <si>
    <t>n3</t>
  </si>
  <si>
    <t>probabilidad3</t>
  </si>
  <si>
    <t>Epsilon</t>
  </si>
  <si>
    <t>Epsilon_grupos</t>
  </si>
  <si>
    <t>probabilidades_dentro</t>
  </si>
  <si>
    <t>N_grupo</t>
  </si>
  <si>
    <t xml:space="preserve">estimación por grupo </t>
  </si>
  <si>
    <t>N_grupo^2</t>
  </si>
  <si>
    <t>1parte var</t>
  </si>
  <si>
    <t>2partevar</t>
  </si>
  <si>
    <t>txi/tx</t>
  </si>
  <si>
    <t>x_k/t_x</t>
  </si>
  <si>
    <t>y_k/(x_k/t_x)</t>
  </si>
  <si>
    <t>(y_k/(x_k/t_x)-t_est)^2</t>
  </si>
  <si>
    <t>sumatoria2</t>
  </si>
  <si>
    <t>pi_IF</t>
  </si>
  <si>
    <t>pi2_IF</t>
  </si>
  <si>
    <t>pi3_IF</t>
  </si>
  <si>
    <t>pi_mas</t>
  </si>
  <si>
    <t>pi_ppt</t>
  </si>
  <si>
    <t>decision</t>
  </si>
  <si>
    <t>acumulado</t>
  </si>
  <si>
    <t>Pob2005</t>
  </si>
  <si>
    <t>pi_k</t>
  </si>
  <si>
    <t>g_k</t>
  </si>
  <si>
    <t>y_k/pi_k</t>
  </si>
  <si>
    <t>k</t>
  </si>
  <si>
    <t>Sum U-IF</t>
  </si>
  <si>
    <t>Suma</t>
  </si>
  <si>
    <t>n'</t>
  </si>
  <si>
    <t>Promedio x_k*</t>
  </si>
  <si>
    <t>n(n-1)/T_N</t>
  </si>
  <si>
    <t>Matriz de pi_kl's - TODOS</t>
  </si>
  <si>
    <t>Matriz de covarianza - TODOS</t>
  </si>
  <si>
    <t>Matriz de pi_kl's - Muestra</t>
  </si>
  <si>
    <t>Matriz de Covarianza - Muestra</t>
  </si>
  <si>
    <t>Matriz de Varianza - Muestra</t>
  </si>
  <si>
    <t>Varianza estimada</t>
  </si>
  <si>
    <t>Muestreo PPT</t>
  </si>
  <si>
    <t>Muestreo Rao-Hartley-Cochran</t>
  </si>
  <si>
    <t>Muestreo Sunter</t>
  </si>
  <si>
    <t>Estimación poblacional</t>
  </si>
  <si>
    <t>Limite Inferior</t>
  </si>
  <si>
    <t>Limite Superior</t>
  </si>
  <si>
    <t>Valor Pob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</si>
</sst>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0" tint="-4.9989318521683403E-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4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10" fontId="0" fillId="0" borderId="0" xfId="1" applyNumberFormat="1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/>
    <xf numFmtId="0" fontId="3" fillId="5" borderId="0" xfId="0" applyFont="1" applyFill="1" applyAlignment="1">
      <alignment horizontal="center" vertical="center" wrapText="1"/>
    </xf>
    <xf numFmtId="0" fontId="0" fillId="5" borderId="0" xfId="0" applyFill="1"/>
    <xf numFmtId="0" fontId="3" fillId="6" borderId="0" xfId="0" applyFont="1" applyFill="1" applyAlignment="1">
      <alignment horizontal="center" vertical="center" wrapText="1"/>
    </xf>
    <xf numFmtId="0" fontId="0" fillId="6" borderId="0" xfId="0" applyFill="1"/>
    <xf numFmtId="0" fontId="3" fillId="7" borderId="0" xfId="0" applyFont="1" applyFill="1" applyAlignment="1">
      <alignment horizontal="center" vertical="center" wrapText="1"/>
    </xf>
    <xf numFmtId="0" fontId="0" fillId="7" borderId="0" xfId="0" applyFill="1"/>
    <xf numFmtId="0" fontId="3" fillId="8" borderId="0" xfId="0" applyFont="1" applyFill="1" applyAlignment="1">
      <alignment horizontal="center" vertical="center" wrapText="1"/>
    </xf>
    <xf numFmtId="0" fontId="0" fillId="8" borderId="0" xfId="0" applyFill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9" borderId="0" xfId="0" applyFill="1"/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/>
    <xf numFmtId="0" fontId="4" fillId="0" borderId="0" xfId="0" applyFont="1" applyAlignment="1">
      <alignment horizontal="center"/>
    </xf>
    <xf numFmtId="0" fontId="0" fillId="11" borderId="0" xfId="0" applyFill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1" xfId="0" applyBorder="1"/>
    <xf numFmtId="0" fontId="9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/>
    <xf numFmtId="3" fontId="0" fillId="0" borderId="1" xfId="0" applyNumberFormat="1" applyBorder="1"/>
    <xf numFmtId="0" fontId="10" fillId="1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2C75-4B69-4FCD-989B-098E9A952F20}">
  <dimension ref="C3:F10"/>
  <sheetViews>
    <sheetView workbookViewId="0">
      <selection activeCell="E8" sqref="E8"/>
    </sheetView>
  </sheetViews>
  <sheetFormatPr baseColWidth="10" defaultRowHeight="14.4" x14ac:dyDescent="0.3"/>
  <cols>
    <col min="3" max="3" width="20.6640625" bestFit="1" customWidth="1"/>
    <col min="4" max="4" width="17.33203125" bestFit="1" customWidth="1"/>
    <col min="5" max="5" width="34.21875" bestFit="1" customWidth="1"/>
    <col min="6" max="6" width="18.6640625" bestFit="1" customWidth="1"/>
  </cols>
  <sheetData>
    <row r="3" spans="3:6" ht="18" x14ac:dyDescent="0.35">
      <c r="C3" s="33"/>
      <c r="D3" s="34" t="s">
        <v>134</v>
      </c>
      <c r="E3" s="34" t="s">
        <v>135</v>
      </c>
      <c r="F3" s="34" t="s">
        <v>136</v>
      </c>
    </row>
    <row r="4" spans="3:6" x14ac:dyDescent="0.3">
      <c r="C4" s="35" t="s">
        <v>137</v>
      </c>
      <c r="D4" s="37">
        <v>1043826.2757055089</v>
      </c>
      <c r="E4" s="37">
        <v>989409.36890117754</v>
      </c>
      <c r="F4" s="37">
        <v>1018870.1616891733</v>
      </c>
    </row>
    <row r="5" spans="3:6" x14ac:dyDescent="0.3">
      <c r="C5" s="35" t="s">
        <v>133</v>
      </c>
      <c r="D5" s="37">
        <v>155653014457.91721</v>
      </c>
      <c r="E5" s="37">
        <v>396963918.33524477</v>
      </c>
      <c r="F5" s="37">
        <v>1687029896.6065779</v>
      </c>
    </row>
    <row r="6" spans="3:6" x14ac:dyDescent="0.3">
      <c r="C6" s="35" t="s">
        <v>88</v>
      </c>
      <c r="D6" s="36">
        <v>0.3779640927028281</v>
      </c>
      <c r="E6" s="36">
        <v>2.0137219241518282E-2</v>
      </c>
      <c r="F6" s="36">
        <v>4.031276117650423E-2</v>
      </c>
    </row>
    <row r="7" spans="3:6" x14ac:dyDescent="0.3">
      <c r="C7" s="35" t="s">
        <v>138</v>
      </c>
      <c r="D7" s="37">
        <v>270549.72728215554</v>
      </c>
      <c r="E7" s="37">
        <v>950358.42027407407</v>
      </c>
      <c r="F7" s="37">
        <v>938366.16147301125</v>
      </c>
    </row>
    <row r="8" spans="3:6" x14ac:dyDescent="0.3">
      <c r="C8" s="35" t="s">
        <v>139</v>
      </c>
      <c r="D8" s="37">
        <v>1817102.8241288622</v>
      </c>
      <c r="E8" s="37">
        <v>1028460.317528281</v>
      </c>
      <c r="F8" s="37">
        <v>1099374.1619053355</v>
      </c>
    </row>
    <row r="10" spans="3:6" x14ac:dyDescent="0.3">
      <c r="C10" s="5" t="s">
        <v>140</v>
      </c>
      <c r="D10" s="7">
        <f>SUM(BASE!F2:F38)</f>
        <v>1001854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ACA-98C8-4D14-AE8C-1F92761EE8EC}">
  <dimension ref="C1:I38"/>
  <sheetViews>
    <sheetView workbookViewId="0">
      <selection activeCell="F2" sqref="F2:F38"/>
    </sheetView>
  </sheetViews>
  <sheetFormatPr baseColWidth="10" defaultRowHeight="14.4" x14ac:dyDescent="0.3"/>
  <cols>
    <col min="4" max="4" width="24.109375" customWidth="1"/>
  </cols>
  <sheetData>
    <row r="1" spans="3:9" x14ac:dyDescent="0.3">
      <c r="C1" s="4" t="s">
        <v>75</v>
      </c>
      <c r="D1" s="4" t="s">
        <v>76</v>
      </c>
      <c r="E1" s="4" t="s">
        <v>118</v>
      </c>
      <c r="F1" s="4" t="s">
        <v>77</v>
      </c>
    </row>
    <row r="2" spans="3:9" x14ac:dyDescent="0.3">
      <c r="C2" s="2" t="s">
        <v>1</v>
      </c>
      <c r="D2" s="3" t="s">
        <v>2</v>
      </c>
      <c r="E2">
        <v>312979</v>
      </c>
      <c r="F2">
        <v>313310</v>
      </c>
      <c r="H2" t="s">
        <v>0</v>
      </c>
      <c r="I2">
        <f>PEARSON(F2:F38,E2:E38)</f>
        <v>0.99796242237516031</v>
      </c>
    </row>
    <row r="3" spans="3:9" x14ac:dyDescent="0.3">
      <c r="C3" s="2" t="s">
        <v>3</v>
      </c>
      <c r="D3" s="3" t="s">
        <v>4</v>
      </c>
      <c r="E3">
        <v>26582</v>
      </c>
      <c r="F3">
        <v>24562</v>
      </c>
    </row>
    <row r="4" spans="3:9" x14ac:dyDescent="0.3">
      <c r="C4" s="2" t="s">
        <v>5</v>
      </c>
      <c r="D4" s="3" t="s">
        <v>6</v>
      </c>
      <c r="E4">
        <v>8426</v>
      </c>
      <c r="F4">
        <v>8578</v>
      </c>
    </row>
    <row r="5" spans="3:9" x14ac:dyDescent="0.3">
      <c r="C5" s="2" t="s">
        <v>7</v>
      </c>
      <c r="D5" s="3" t="s">
        <v>8</v>
      </c>
      <c r="E5">
        <v>19748</v>
      </c>
      <c r="F5">
        <v>14634</v>
      </c>
    </row>
    <row r="6" spans="3:9" x14ac:dyDescent="0.3">
      <c r="C6" s="2" t="s">
        <v>9</v>
      </c>
      <c r="D6" s="3" t="s">
        <v>10</v>
      </c>
      <c r="E6">
        <v>23014</v>
      </c>
      <c r="F6">
        <v>20015</v>
      </c>
    </row>
    <row r="7" spans="3:9" x14ac:dyDescent="0.3">
      <c r="C7" s="2" t="s">
        <v>11</v>
      </c>
      <c r="D7" s="3" t="s">
        <v>12</v>
      </c>
      <c r="E7">
        <v>3596</v>
      </c>
      <c r="F7">
        <v>3810</v>
      </c>
    </row>
    <row r="8" spans="3:9" x14ac:dyDescent="0.3">
      <c r="C8" s="2" t="s">
        <v>13</v>
      </c>
      <c r="D8" s="3" t="s">
        <v>14</v>
      </c>
      <c r="E8">
        <v>4330</v>
      </c>
      <c r="F8">
        <v>6397</v>
      </c>
    </row>
    <row r="9" spans="3:9" x14ac:dyDescent="0.3">
      <c r="C9" s="2" t="s">
        <v>15</v>
      </c>
      <c r="D9" s="3" t="s">
        <v>16</v>
      </c>
      <c r="E9">
        <v>32009</v>
      </c>
      <c r="F9">
        <v>30082</v>
      </c>
    </row>
    <row r="10" spans="3:9" x14ac:dyDescent="0.3">
      <c r="C10" s="2" t="s">
        <v>17</v>
      </c>
      <c r="D10" s="3" t="s">
        <v>18</v>
      </c>
      <c r="E10">
        <v>8479</v>
      </c>
      <c r="F10">
        <v>6965</v>
      </c>
    </row>
    <row r="11" spans="3:9" x14ac:dyDescent="0.3">
      <c r="C11" s="2" t="s">
        <v>19</v>
      </c>
      <c r="D11" s="3" t="s">
        <v>20</v>
      </c>
      <c r="E11">
        <v>3321</v>
      </c>
      <c r="F11">
        <v>3733</v>
      </c>
    </row>
    <row r="12" spans="3:9" x14ac:dyDescent="0.3">
      <c r="C12" s="2" t="s">
        <v>21</v>
      </c>
      <c r="D12" s="3" t="s">
        <v>22</v>
      </c>
      <c r="E12">
        <v>67324</v>
      </c>
      <c r="F12">
        <v>65319</v>
      </c>
    </row>
    <row r="13" spans="3:9" x14ac:dyDescent="0.3">
      <c r="C13" s="2" t="s">
        <v>23</v>
      </c>
      <c r="D13" s="3" t="s">
        <v>24</v>
      </c>
      <c r="E13">
        <v>28032</v>
      </c>
      <c r="F13">
        <v>22622</v>
      </c>
    </row>
    <row r="14" spans="3:9" x14ac:dyDescent="0.3">
      <c r="C14" s="2" t="s">
        <v>25</v>
      </c>
      <c r="D14" s="3" t="s">
        <v>26</v>
      </c>
      <c r="E14">
        <v>16002</v>
      </c>
      <c r="F14">
        <v>15875</v>
      </c>
    </row>
    <row r="15" spans="3:9" x14ac:dyDescent="0.3">
      <c r="C15" s="2" t="s">
        <v>27</v>
      </c>
      <c r="D15" s="3" t="s">
        <v>28</v>
      </c>
      <c r="E15">
        <v>6468</v>
      </c>
      <c r="F15">
        <v>6686</v>
      </c>
    </row>
    <row r="16" spans="3:9" x14ac:dyDescent="0.3">
      <c r="C16" s="2" t="s">
        <v>29</v>
      </c>
      <c r="D16" s="3" t="s">
        <v>30</v>
      </c>
      <c r="E16">
        <v>9876</v>
      </c>
      <c r="F16">
        <v>9044</v>
      </c>
    </row>
    <row r="17" spans="3:6" x14ac:dyDescent="0.3">
      <c r="C17" s="2" t="s">
        <v>31</v>
      </c>
      <c r="D17" s="3" t="s">
        <v>32</v>
      </c>
      <c r="E17">
        <v>23738</v>
      </c>
      <c r="F17">
        <v>24571</v>
      </c>
    </row>
    <row r="18" spans="3:6" x14ac:dyDescent="0.3">
      <c r="C18" s="2" t="s">
        <v>33</v>
      </c>
      <c r="D18" s="3" t="s">
        <v>34</v>
      </c>
      <c r="E18">
        <v>11665</v>
      </c>
      <c r="F18">
        <v>12475</v>
      </c>
    </row>
    <row r="19" spans="3:6" x14ac:dyDescent="0.3">
      <c r="C19" s="2" t="s">
        <v>35</v>
      </c>
      <c r="D19" s="3" t="s">
        <v>36</v>
      </c>
      <c r="E19">
        <v>52367</v>
      </c>
      <c r="F19">
        <v>53967</v>
      </c>
    </row>
    <row r="20" spans="3:6" x14ac:dyDescent="0.3">
      <c r="C20" s="2" t="s">
        <v>37</v>
      </c>
      <c r="D20" s="3" t="s">
        <v>38</v>
      </c>
      <c r="E20">
        <v>5781</v>
      </c>
      <c r="F20">
        <v>6157</v>
      </c>
    </row>
    <row r="21" spans="3:6" x14ac:dyDescent="0.3">
      <c r="C21" s="2" t="s">
        <v>39</v>
      </c>
      <c r="D21" s="3" t="s">
        <v>40</v>
      </c>
      <c r="E21">
        <v>10096</v>
      </c>
      <c r="F21">
        <v>11111</v>
      </c>
    </row>
    <row r="22" spans="3:6" x14ac:dyDescent="0.3">
      <c r="C22" s="2" t="s">
        <v>41</v>
      </c>
      <c r="D22" s="3" t="s">
        <v>42</v>
      </c>
      <c r="E22">
        <v>5169</v>
      </c>
      <c r="F22">
        <v>6403</v>
      </c>
    </row>
    <row r="23" spans="3:6" x14ac:dyDescent="0.3">
      <c r="C23" s="2" t="s">
        <v>43</v>
      </c>
      <c r="D23" s="3" t="s">
        <v>44</v>
      </c>
      <c r="E23">
        <v>27199</v>
      </c>
      <c r="F23">
        <v>24146</v>
      </c>
    </row>
    <row r="24" spans="3:6" x14ac:dyDescent="0.3">
      <c r="C24" s="2" t="s">
        <v>45</v>
      </c>
      <c r="D24" s="3" t="s">
        <v>46</v>
      </c>
      <c r="E24">
        <v>10268</v>
      </c>
      <c r="F24">
        <v>10454</v>
      </c>
    </row>
    <row r="25" spans="3:6" x14ac:dyDescent="0.3">
      <c r="C25" s="2" t="s">
        <v>47</v>
      </c>
      <c r="D25" s="3" t="s">
        <v>48</v>
      </c>
      <c r="E25">
        <v>12788</v>
      </c>
      <c r="F25">
        <v>12222</v>
      </c>
    </row>
    <row r="26" spans="3:6" x14ac:dyDescent="0.3">
      <c r="C26" s="2" t="s">
        <v>49</v>
      </c>
      <c r="D26" s="3" t="s">
        <v>50</v>
      </c>
      <c r="E26">
        <v>102382</v>
      </c>
      <c r="F26">
        <v>118991</v>
      </c>
    </row>
    <row r="27" spans="3:6" x14ac:dyDescent="0.3">
      <c r="C27" s="2" t="s">
        <v>51</v>
      </c>
      <c r="D27" s="3" t="s">
        <v>52</v>
      </c>
      <c r="E27">
        <v>16547</v>
      </c>
      <c r="F27">
        <v>21065</v>
      </c>
    </row>
    <row r="28" spans="3:6" x14ac:dyDescent="0.3">
      <c r="C28" s="2" t="s">
        <v>53</v>
      </c>
      <c r="D28" s="3" t="s">
        <v>54</v>
      </c>
      <c r="E28">
        <v>10247</v>
      </c>
      <c r="F28">
        <v>10065</v>
      </c>
    </row>
    <row r="29" spans="3:6" x14ac:dyDescent="0.3">
      <c r="C29" s="2" t="s">
        <v>55</v>
      </c>
      <c r="D29" s="3" t="s">
        <v>56</v>
      </c>
      <c r="E29">
        <v>29623</v>
      </c>
      <c r="F29">
        <v>32380</v>
      </c>
    </row>
    <row r="30" spans="3:6" x14ac:dyDescent="0.3">
      <c r="C30" s="2" t="s">
        <v>57</v>
      </c>
      <c r="D30" s="3" t="s">
        <v>58</v>
      </c>
      <c r="E30">
        <v>10163</v>
      </c>
      <c r="F30">
        <v>10215</v>
      </c>
    </row>
    <row r="31" spans="3:6" x14ac:dyDescent="0.3">
      <c r="C31" s="2" t="s">
        <v>59</v>
      </c>
      <c r="D31" s="3" t="s">
        <v>60</v>
      </c>
      <c r="E31">
        <v>14473</v>
      </c>
      <c r="F31">
        <v>17362</v>
      </c>
    </row>
    <row r="32" spans="3:6" x14ac:dyDescent="0.3">
      <c r="C32" s="2" t="s">
        <v>61</v>
      </c>
      <c r="D32" s="3" t="s">
        <v>62</v>
      </c>
      <c r="E32">
        <v>15898</v>
      </c>
      <c r="F32">
        <v>16108</v>
      </c>
    </row>
    <row r="33" spans="3:6" x14ac:dyDescent="0.3">
      <c r="C33" s="2" t="s">
        <v>63</v>
      </c>
      <c r="D33" s="3" t="s">
        <v>64</v>
      </c>
      <c r="E33">
        <v>8811</v>
      </c>
      <c r="F33">
        <v>9767</v>
      </c>
    </row>
    <row r="34" spans="3:6" x14ac:dyDescent="0.3">
      <c r="C34" s="2" t="s">
        <v>65</v>
      </c>
      <c r="D34" s="3" t="s">
        <v>66</v>
      </c>
      <c r="E34">
        <v>13423</v>
      </c>
      <c r="F34">
        <v>10215</v>
      </c>
    </row>
    <row r="35" spans="3:6" x14ac:dyDescent="0.3">
      <c r="C35" s="2" t="s">
        <v>67</v>
      </c>
      <c r="D35" s="3" t="s">
        <v>68</v>
      </c>
      <c r="E35">
        <v>8174</v>
      </c>
      <c r="F35">
        <v>7350</v>
      </c>
    </row>
    <row r="36" spans="3:6" x14ac:dyDescent="0.3">
      <c r="C36" s="2" t="s">
        <v>69</v>
      </c>
      <c r="D36" s="3" t="s">
        <v>70</v>
      </c>
      <c r="E36">
        <v>19738</v>
      </c>
      <c r="F36">
        <v>20894</v>
      </c>
    </row>
    <row r="37" spans="3:6" x14ac:dyDescent="0.3">
      <c r="C37" s="2" t="s">
        <v>71</v>
      </c>
      <c r="D37" s="3" t="s">
        <v>72</v>
      </c>
      <c r="E37">
        <v>7308</v>
      </c>
      <c r="F37">
        <v>6943</v>
      </c>
    </row>
    <row r="38" spans="3:6" x14ac:dyDescent="0.3">
      <c r="C38" s="2" t="s">
        <v>73</v>
      </c>
      <c r="D38" s="3" t="s">
        <v>74</v>
      </c>
      <c r="E38">
        <v>7798</v>
      </c>
      <c r="F38">
        <v>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74D8-D6CA-4870-B3B9-3C92507113BF}">
  <dimension ref="B2:N40"/>
  <sheetViews>
    <sheetView tabSelected="1" topLeftCell="A8" workbookViewId="0">
      <selection activeCell="N6" sqref="N6:N10"/>
    </sheetView>
  </sheetViews>
  <sheetFormatPr baseColWidth="10" defaultRowHeight="14.4" x14ac:dyDescent="0.3"/>
  <cols>
    <col min="2" max="2" width="19.5546875" customWidth="1"/>
    <col min="3" max="3" width="12.6640625" bestFit="1" customWidth="1"/>
    <col min="4" max="4" width="13.77734375" bestFit="1" customWidth="1"/>
    <col min="9" max="9" width="12.6640625" bestFit="1" customWidth="1"/>
    <col min="10" max="10" width="12" bestFit="1" customWidth="1"/>
    <col min="11" max="11" width="23.5546875" bestFit="1" customWidth="1"/>
    <col min="13" max="13" width="15.5546875" bestFit="1" customWidth="1"/>
    <col min="14" max="14" width="27.5546875" customWidth="1"/>
  </cols>
  <sheetData>
    <row r="2" spans="2:14" x14ac:dyDescent="0.3">
      <c r="B2" s="4" t="s">
        <v>76</v>
      </c>
      <c r="C2" s="4" t="s">
        <v>118</v>
      </c>
      <c r="D2" s="4" t="s">
        <v>78</v>
      </c>
      <c r="E2" s="39" t="s">
        <v>79</v>
      </c>
      <c r="F2" s="39"/>
      <c r="G2" s="4" t="s">
        <v>80</v>
      </c>
      <c r="H2" s="4" t="s">
        <v>81</v>
      </c>
      <c r="I2" s="4" t="s">
        <v>77</v>
      </c>
      <c r="J2" s="4" t="s">
        <v>85</v>
      </c>
      <c r="K2" s="4" t="s">
        <v>87</v>
      </c>
      <c r="M2" s="4" t="s">
        <v>83</v>
      </c>
      <c r="N2">
        <f>SUM(C3:C39)</f>
        <v>993842</v>
      </c>
    </row>
    <row r="3" spans="2:14" x14ac:dyDescent="0.3">
      <c r="B3" s="3" t="s">
        <v>2</v>
      </c>
      <c r="C3">
        <v>312979</v>
      </c>
      <c r="D3">
        <f t="shared" ref="D3:D39" si="0">C3/$N$2</f>
        <v>0.31491826668625394</v>
      </c>
      <c r="E3">
        <v>0</v>
      </c>
      <c r="F3">
        <f>D3</f>
        <v>0.31491826668625394</v>
      </c>
      <c r="G3">
        <v>0.19567224999999999</v>
      </c>
      <c r="H3" cm="1">
        <f t="array" ref="H3">(SUMPRODUCT(($G$3:$G$10&gt;=E3)*($G$3:$G$10&lt;=F3)))</f>
        <v>5</v>
      </c>
      <c r="I3">
        <v>313310</v>
      </c>
      <c r="J3" s="7">
        <f t="shared" ref="J3:J39" si="1">(I3/D3)*H3</f>
        <v>4974465.331859326</v>
      </c>
      <c r="K3" s="7">
        <f>H3*( (I3/C3) - $N$6 )^2</f>
        <v>5447856019969.1318</v>
      </c>
      <c r="M3" s="4" t="s">
        <v>82</v>
      </c>
      <c r="N3">
        <v>8</v>
      </c>
    </row>
    <row r="4" spans="2:14" x14ac:dyDescent="0.3">
      <c r="B4" s="3" t="s">
        <v>50</v>
      </c>
      <c r="C4">
        <v>102382</v>
      </c>
      <c r="D4">
        <f t="shared" si="0"/>
        <v>0.10301637483624157</v>
      </c>
      <c r="E4">
        <f t="shared" ref="E4:E39" si="2">F3</f>
        <v>0.31491826668625394</v>
      </c>
      <c r="F4">
        <f t="shared" ref="F4:F39" si="3">E4+D4</f>
        <v>0.41793464152249549</v>
      </c>
      <c r="G4">
        <v>0.74040216000000003</v>
      </c>
      <c r="H4" cm="1">
        <f t="array" ref="H4">(SUMPRODUCT(($G$3:$G$10&gt;=E4)*($G$3:$G$10&lt;=F4)))</f>
        <v>0</v>
      </c>
      <c r="I4">
        <v>24562</v>
      </c>
      <c r="J4" s="7">
        <f t="shared" si="1"/>
        <v>0</v>
      </c>
      <c r="K4" s="7">
        <f t="shared" ref="K4:K39" si="4">H4*( (I4/C4) - $N$6 )^2</f>
        <v>0</v>
      </c>
      <c r="M4" s="4"/>
      <c r="N4" s="7"/>
    </row>
    <row r="5" spans="2:14" x14ac:dyDescent="0.3">
      <c r="B5" s="3" t="s">
        <v>22</v>
      </c>
      <c r="C5">
        <v>67324</v>
      </c>
      <c r="D5">
        <f t="shared" si="0"/>
        <v>6.7741150001710534E-2</v>
      </c>
      <c r="E5">
        <f t="shared" si="2"/>
        <v>0.41793464152249549</v>
      </c>
      <c r="F5">
        <f t="shared" si="3"/>
        <v>0.48567579152420604</v>
      </c>
      <c r="G5">
        <v>0.7301647</v>
      </c>
      <c r="H5" cm="1">
        <f t="array" ref="H5">(SUMPRODUCT(($G$3:$G$10&gt;=E5)*($G$3:$G$10&lt;=F5)))</f>
        <v>0</v>
      </c>
      <c r="I5">
        <v>8578</v>
      </c>
      <c r="J5" s="7">
        <f t="shared" si="1"/>
        <v>0</v>
      </c>
      <c r="K5" s="7">
        <f t="shared" si="4"/>
        <v>0</v>
      </c>
    </row>
    <row r="6" spans="2:14" x14ac:dyDescent="0.3">
      <c r="B6" s="3" t="s">
        <v>36</v>
      </c>
      <c r="C6">
        <v>52367</v>
      </c>
      <c r="D6">
        <f t="shared" si="0"/>
        <v>5.2691474097492356E-2</v>
      </c>
      <c r="E6">
        <f t="shared" si="2"/>
        <v>0.48567579152420604</v>
      </c>
      <c r="F6">
        <f t="shared" si="3"/>
        <v>0.53836726562169834</v>
      </c>
      <c r="G6">
        <v>8.0542989999999995E-2</v>
      </c>
      <c r="H6" cm="1">
        <f t="array" ref="H6">(SUMPRODUCT(($G$3:$G$10&gt;=E6)*($G$3:$G$10&lt;=F6)))</f>
        <v>0</v>
      </c>
      <c r="I6">
        <v>14634</v>
      </c>
      <c r="J6" s="7">
        <f t="shared" si="1"/>
        <v>0</v>
      </c>
      <c r="K6" s="7">
        <f t="shared" si="4"/>
        <v>0</v>
      </c>
      <c r="M6" s="4" t="s">
        <v>84</v>
      </c>
      <c r="N6" s="1">
        <f>SUM(J3:J39)/N3</f>
        <v>1043826.2757055089</v>
      </c>
    </row>
    <row r="7" spans="2:14" x14ac:dyDescent="0.3">
      <c r="B7" s="3" t="s">
        <v>16</v>
      </c>
      <c r="C7">
        <v>32009</v>
      </c>
      <c r="D7">
        <f t="shared" si="0"/>
        <v>3.2207332755105941E-2</v>
      </c>
      <c r="E7">
        <f t="shared" si="2"/>
        <v>0.53836726562169834</v>
      </c>
      <c r="F7">
        <f t="shared" si="3"/>
        <v>0.57057459837680424</v>
      </c>
      <c r="G7">
        <v>0.28383288000000001</v>
      </c>
      <c r="H7" cm="1">
        <f t="array" ref="H7">(SUMPRODUCT(($G$3:$G$10&gt;=E7)*($G$3:$G$10&lt;=F7)))</f>
        <v>0</v>
      </c>
      <c r="I7">
        <v>20015</v>
      </c>
      <c r="J7" s="7">
        <f t="shared" si="1"/>
        <v>0</v>
      </c>
      <c r="K7" s="7">
        <f t="shared" si="4"/>
        <v>0</v>
      </c>
      <c r="M7" s="4" t="s">
        <v>86</v>
      </c>
      <c r="N7" s="1">
        <f>(1/(8*7))*SUM(K3:K39)</f>
        <v>155653014457.91721</v>
      </c>
    </row>
    <row r="8" spans="2:14" x14ac:dyDescent="0.3">
      <c r="B8" s="3" t="s">
        <v>56</v>
      </c>
      <c r="C8">
        <v>29623</v>
      </c>
      <c r="D8">
        <f t="shared" si="0"/>
        <v>2.9806548727061243E-2</v>
      </c>
      <c r="E8">
        <f t="shared" si="2"/>
        <v>0.57057459837680424</v>
      </c>
      <c r="F8">
        <f t="shared" si="3"/>
        <v>0.60038114710386548</v>
      </c>
      <c r="G8">
        <v>0.28088225</v>
      </c>
      <c r="H8" cm="1">
        <f t="array" ref="H8">(SUMPRODUCT(($G$3:$G$10&gt;=E8)*($G$3:$G$10&lt;=F8)))</f>
        <v>0</v>
      </c>
      <c r="I8">
        <v>3810</v>
      </c>
      <c r="J8" s="7">
        <f t="shared" si="1"/>
        <v>0</v>
      </c>
      <c r="K8" s="7">
        <f t="shared" si="4"/>
        <v>0</v>
      </c>
      <c r="M8" s="4" t="s">
        <v>88</v>
      </c>
      <c r="N8" s="8">
        <f>SQRT(N7)/N6</f>
        <v>0.3779640927028281</v>
      </c>
    </row>
    <row r="9" spans="2:14" x14ac:dyDescent="0.3">
      <c r="B9" s="3" t="s">
        <v>24</v>
      </c>
      <c r="C9">
        <v>28032</v>
      </c>
      <c r="D9">
        <f t="shared" si="0"/>
        <v>2.8205690642979467E-2</v>
      </c>
      <c r="E9">
        <f t="shared" si="2"/>
        <v>0.60038114710386548</v>
      </c>
      <c r="F9">
        <f t="shared" si="3"/>
        <v>0.62858683774684498</v>
      </c>
      <c r="G9">
        <v>0.65275384999999997</v>
      </c>
      <c r="H9" cm="1">
        <f t="array" ref="H9">(SUMPRODUCT(($G$3:$G$10&gt;=E9)*($G$3:$G$10&lt;=F9)))</f>
        <v>0</v>
      </c>
      <c r="I9">
        <v>6397</v>
      </c>
      <c r="J9" s="7">
        <f t="shared" si="1"/>
        <v>0</v>
      </c>
      <c r="K9" s="7">
        <f t="shared" si="4"/>
        <v>0</v>
      </c>
      <c r="M9" s="4" t="s">
        <v>89</v>
      </c>
      <c r="N9" s="7">
        <f>$N$6-1.96*SQRT($N$7)</f>
        <v>270549.72728215554</v>
      </c>
    </row>
    <row r="10" spans="2:14" x14ac:dyDescent="0.3">
      <c r="B10" s="3" t="s">
        <v>44</v>
      </c>
      <c r="C10">
        <v>27199</v>
      </c>
      <c r="D10">
        <f t="shared" si="0"/>
        <v>2.7367529245091272E-2</v>
      </c>
      <c r="E10">
        <f t="shared" si="2"/>
        <v>0.62858683774684498</v>
      </c>
      <c r="F10">
        <f t="shared" si="3"/>
        <v>0.65595436699193621</v>
      </c>
      <c r="G10">
        <v>0.27326387000000002</v>
      </c>
      <c r="H10" cm="1">
        <f t="array" ref="H10">(SUMPRODUCT(($G$3:$G$10&gt;=E10)*($G$3:$G$10&lt;=F10)))</f>
        <v>1</v>
      </c>
      <c r="I10">
        <v>30082</v>
      </c>
      <c r="J10" s="7">
        <f t="shared" si="1"/>
        <v>1099185.8172726939</v>
      </c>
      <c r="K10" s="7">
        <f t="shared" si="4"/>
        <v>1089570984917.9493</v>
      </c>
      <c r="M10" s="4" t="s">
        <v>90</v>
      </c>
      <c r="N10" s="7">
        <f>$N$6+1.96*SQRT($N$7)</f>
        <v>1817102.8241288622</v>
      </c>
    </row>
    <row r="11" spans="2:14" x14ac:dyDescent="0.3">
      <c r="B11" s="3" t="s">
        <v>4</v>
      </c>
      <c r="C11">
        <v>26582</v>
      </c>
      <c r="D11">
        <f t="shared" si="0"/>
        <v>2.6746706216883569E-2</v>
      </c>
      <c r="E11">
        <f t="shared" si="2"/>
        <v>0.65595436699193621</v>
      </c>
      <c r="F11">
        <f t="shared" si="3"/>
        <v>0.68270107320881979</v>
      </c>
      <c r="H11" cm="1">
        <f t="array" ref="H11">(SUMPRODUCT(($G$3:$G$10&gt;=E11)*($G$3:$G$10&lt;=F11)))</f>
        <v>0</v>
      </c>
      <c r="I11">
        <v>6965</v>
      </c>
      <c r="J11" s="7">
        <f t="shared" si="1"/>
        <v>0</v>
      </c>
      <c r="K11" s="7">
        <f t="shared" si="4"/>
        <v>0</v>
      </c>
    </row>
    <row r="12" spans="2:14" x14ac:dyDescent="0.3">
      <c r="B12" s="3" t="s">
        <v>32</v>
      </c>
      <c r="C12">
        <v>23738</v>
      </c>
      <c r="D12">
        <f t="shared" si="0"/>
        <v>2.3885084349423751E-2</v>
      </c>
      <c r="E12">
        <f t="shared" si="2"/>
        <v>0.68270107320881979</v>
      </c>
      <c r="F12">
        <f t="shared" si="3"/>
        <v>0.7065861575582435</v>
      </c>
      <c r="H12" cm="1">
        <f t="array" ref="H12">(SUMPRODUCT(($G$3:$G$10&gt;=E12)*($G$3:$G$10&lt;=F12)))</f>
        <v>0</v>
      </c>
      <c r="I12">
        <v>3733</v>
      </c>
      <c r="J12" s="7">
        <f t="shared" si="1"/>
        <v>0</v>
      </c>
      <c r="K12" s="7">
        <f t="shared" si="4"/>
        <v>0</v>
      </c>
    </row>
    <row r="13" spans="2:14" x14ac:dyDescent="0.3">
      <c r="B13" s="3" t="s">
        <v>10</v>
      </c>
      <c r="C13">
        <v>23014</v>
      </c>
      <c r="D13">
        <f t="shared" si="0"/>
        <v>2.3156598332531732E-2</v>
      </c>
      <c r="E13">
        <f t="shared" si="2"/>
        <v>0.7065861575582435</v>
      </c>
      <c r="F13">
        <f t="shared" si="3"/>
        <v>0.7297427558907752</v>
      </c>
      <c r="H13" cm="1">
        <f t="array" ref="H13">(SUMPRODUCT(($G$3:$G$10&gt;=E13)*($G$3:$G$10&lt;=F13)))</f>
        <v>0</v>
      </c>
      <c r="I13">
        <v>65319</v>
      </c>
      <c r="J13" s="7">
        <f t="shared" si="1"/>
        <v>0</v>
      </c>
      <c r="K13" s="7">
        <f t="shared" si="4"/>
        <v>0</v>
      </c>
    </row>
    <row r="14" spans="2:14" x14ac:dyDescent="0.3">
      <c r="B14" s="3" t="s">
        <v>8</v>
      </c>
      <c r="C14">
        <v>19748</v>
      </c>
      <c r="D14">
        <f t="shared" si="0"/>
        <v>1.9870361687270209E-2</v>
      </c>
      <c r="E14">
        <f t="shared" si="2"/>
        <v>0.7297427558907752</v>
      </c>
      <c r="F14">
        <f t="shared" si="3"/>
        <v>0.74961311757804538</v>
      </c>
      <c r="H14" cm="1">
        <f t="array" ref="H14">(SUMPRODUCT(($G$3:$G$10&gt;=E14)*($G$3:$G$10&lt;=F14)))</f>
        <v>2</v>
      </c>
      <c r="I14">
        <v>22622</v>
      </c>
      <c r="J14" s="7">
        <f t="shared" si="1"/>
        <v>2276959.0565120517</v>
      </c>
      <c r="K14" s="7">
        <f t="shared" si="4"/>
        <v>2179141804756.2834</v>
      </c>
    </row>
    <row r="15" spans="2:14" x14ac:dyDescent="0.3">
      <c r="B15" s="3" t="s">
        <v>70</v>
      </c>
      <c r="C15">
        <v>19738</v>
      </c>
      <c r="D15">
        <f t="shared" si="0"/>
        <v>1.9860299725710927E-2</v>
      </c>
      <c r="E15">
        <f t="shared" si="2"/>
        <v>0.74961311757804538</v>
      </c>
      <c r="F15">
        <f t="shared" si="3"/>
        <v>0.76947341730375629</v>
      </c>
      <c r="H15" cm="1">
        <f t="array" ref="H15">(SUMPRODUCT(($G$3:$G$10&gt;=E15)*($G$3:$G$10&lt;=F15)))</f>
        <v>0</v>
      </c>
      <c r="I15">
        <v>15875</v>
      </c>
      <c r="J15" s="7">
        <f t="shared" si="1"/>
        <v>0</v>
      </c>
      <c r="K15" s="7">
        <f t="shared" si="4"/>
        <v>0</v>
      </c>
    </row>
    <row r="16" spans="2:14" x14ac:dyDescent="0.3">
      <c r="B16" s="3" t="s">
        <v>52</v>
      </c>
      <c r="C16">
        <v>16547</v>
      </c>
      <c r="D16">
        <f t="shared" si="0"/>
        <v>1.6649527792144021E-2</v>
      </c>
      <c r="E16">
        <f t="shared" si="2"/>
        <v>0.76947341730375629</v>
      </c>
      <c r="F16">
        <f t="shared" si="3"/>
        <v>0.78612294509590031</v>
      </c>
      <c r="H16" cm="1">
        <f t="array" ref="H16">(SUMPRODUCT(($G$3:$G$10&gt;=E16)*($G$3:$G$10&lt;=F16)))</f>
        <v>0</v>
      </c>
      <c r="I16">
        <v>6686</v>
      </c>
      <c r="J16" s="7">
        <f t="shared" si="1"/>
        <v>0</v>
      </c>
      <c r="K16" s="7">
        <f t="shared" si="4"/>
        <v>0</v>
      </c>
    </row>
    <row r="17" spans="2:11" x14ac:dyDescent="0.3">
      <c r="B17" s="3" t="s">
        <v>26</v>
      </c>
      <c r="C17">
        <v>16002</v>
      </c>
      <c r="D17">
        <f t="shared" si="0"/>
        <v>1.610115088716315E-2</v>
      </c>
      <c r="E17">
        <f t="shared" si="2"/>
        <v>0.78612294509590031</v>
      </c>
      <c r="F17">
        <f t="shared" si="3"/>
        <v>0.80222409598306343</v>
      </c>
      <c r="H17" cm="1">
        <f t="array" ref="H17">(SUMPRODUCT(($G$3:$G$10&gt;=E17)*($G$3:$G$10&lt;=F17)))</f>
        <v>0</v>
      </c>
      <c r="I17">
        <v>9044</v>
      </c>
      <c r="J17" s="7">
        <f t="shared" si="1"/>
        <v>0</v>
      </c>
      <c r="K17" s="7">
        <f t="shared" si="4"/>
        <v>0</v>
      </c>
    </row>
    <row r="18" spans="2:11" x14ac:dyDescent="0.3">
      <c r="B18" s="3" t="s">
        <v>62</v>
      </c>
      <c r="C18">
        <v>15898</v>
      </c>
      <c r="D18">
        <f t="shared" si="0"/>
        <v>1.5996506486946616E-2</v>
      </c>
      <c r="E18">
        <f t="shared" si="2"/>
        <v>0.80222409598306343</v>
      </c>
      <c r="F18">
        <f t="shared" si="3"/>
        <v>0.81822060247001005</v>
      </c>
      <c r="H18" cm="1">
        <f t="array" ref="H18">(SUMPRODUCT(($G$3:$G$10&gt;=E18)*($G$3:$G$10&lt;=F18)))</f>
        <v>0</v>
      </c>
      <c r="I18">
        <v>24571</v>
      </c>
      <c r="J18" s="7">
        <f t="shared" si="1"/>
        <v>0</v>
      </c>
      <c r="K18" s="7">
        <f t="shared" si="4"/>
        <v>0</v>
      </c>
    </row>
    <row r="19" spans="2:11" x14ac:dyDescent="0.3">
      <c r="B19" s="3" t="s">
        <v>60</v>
      </c>
      <c r="C19">
        <v>14473</v>
      </c>
      <c r="D19">
        <f t="shared" si="0"/>
        <v>1.4562676964748923E-2</v>
      </c>
      <c r="E19">
        <f t="shared" si="2"/>
        <v>0.81822060247001005</v>
      </c>
      <c r="F19">
        <f t="shared" si="3"/>
        <v>0.83278327943475894</v>
      </c>
      <c r="H19" cm="1">
        <f t="array" ref="H19">(SUMPRODUCT(($G$3:$G$10&gt;=E19)*($G$3:$G$10&lt;=F19)))</f>
        <v>0</v>
      </c>
      <c r="I19">
        <v>12475</v>
      </c>
      <c r="J19" s="7">
        <f t="shared" si="1"/>
        <v>0</v>
      </c>
      <c r="K19" s="7">
        <f t="shared" si="4"/>
        <v>0</v>
      </c>
    </row>
    <row r="20" spans="2:11" x14ac:dyDescent="0.3">
      <c r="B20" s="3" t="s">
        <v>66</v>
      </c>
      <c r="C20">
        <v>13423</v>
      </c>
      <c r="D20">
        <f t="shared" si="0"/>
        <v>1.3506171001024308E-2</v>
      </c>
      <c r="E20">
        <f t="shared" si="2"/>
        <v>0.83278327943475894</v>
      </c>
      <c r="F20">
        <f t="shared" si="3"/>
        <v>0.8462894504357833</v>
      </c>
      <c r="H20" cm="1">
        <f t="array" ref="H20">(SUMPRODUCT(($G$3:$G$10&gt;=E20)*($G$3:$G$10&lt;=F20)))</f>
        <v>0</v>
      </c>
      <c r="I20">
        <v>53967</v>
      </c>
      <c r="J20" s="7">
        <f t="shared" si="1"/>
        <v>0</v>
      </c>
      <c r="K20" s="7">
        <f t="shared" si="4"/>
        <v>0</v>
      </c>
    </row>
    <row r="21" spans="2:11" x14ac:dyDescent="0.3">
      <c r="B21" s="3" t="s">
        <v>48</v>
      </c>
      <c r="C21">
        <v>12788</v>
      </c>
      <c r="D21">
        <f t="shared" si="0"/>
        <v>1.2867236442009896E-2</v>
      </c>
      <c r="E21">
        <f t="shared" si="2"/>
        <v>0.8462894504357833</v>
      </c>
      <c r="F21">
        <f t="shared" si="3"/>
        <v>0.85915668687779323</v>
      </c>
      <c r="H21" cm="1">
        <f t="array" ref="H21">(SUMPRODUCT(($G$3:$G$10&gt;=E21)*($G$3:$G$10&lt;=F21)))</f>
        <v>0</v>
      </c>
      <c r="I21">
        <v>6157</v>
      </c>
      <c r="J21" s="7">
        <f t="shared" si="1"/>
        <v>0</v>
      </c>
      <c r="K21" s="7">
        <f t="shared" si="4"/>
        <v>0</v>
      </c>
    </row>
    <row r="22" spans="2:11" x14ac:dyDescent="0.3">
      <c r="B22" s="3" t="s">
        <v>34</v>
      </c>
      <c r="C22">
        <v>11665</v>
      </c>
      <c r="D22">
        <f t="shared" si="0"/>
        <v>1.1737278158902522E-2</v>
      </c>
      <c r="E22">
        <f t="shared" si="2"/>
        <v>0.85915668687779323</v>
      </c>
      <c r="F22">
        <f t="shared" si="3"/>
        <v>0.87089396503669581</v>
      </c>
      <c r="H22" cm="1">
        <f t="array" ref="H22">(SUMPRODUCT(($G$3:$G$10&gt;=E22)*($G$3:$G$10&lt;=F22)))</f>
        <v>0</v>
      </c>
      <c r="I22">
        <v>11111</v>
      </c>
      <c r="J22" s="7">
        <f t="shared" si="1"/>
        <v>0</v>
      </c>
      <c r="K22" s="7">
        <f t="shared" si="4"/>
        <v>0</v>
      </c>
    </row>
    <row r="23" spans="2:11" x14ac:dyDescent="0.3">
      <c r="B23" s="3" t="s">
        <v>46</v>
      </c>
      <c r="C23">
        <v>10268</v>
      </c>
      <c r="D23">
        <f t="shared" si="0"/>
        <v>1.0331622129070819E-2</v>
      </c>
      <c r="E23">
        <f t="shared" si="2"/>
        <v>0.87089396503669581</v>
      </c>
      <c r="F23">
        <f t="shared" si="3"/>
        <v>0.8812255871657666</v>
      </c>
      <c r="H23" cm="1">
        <f t="array" ref="H23">(SUMPRODUCT(($G$3:$G$10&gt;=E23)*($G$3:$G$10&lt;=F23)))</f>
        <v>0</v>
      </c>
      <c r="I23">
        <v>6403</v>
      </c>
      <c r="J23" s="7">
        <f t="shared" si="1"/>
        <v>0</v>
      </c>
      <c r="K23" s="7">
        <f t="shared" si="4"/>
        <v>0</v>
      </c>
    </row>
    <row r="24" spans="2:11" x14ac:dyDescent="0.3">
      <c r="B24" s="3" t="s">
        <v>54</v>
      </c>
      <c r="C24">
        <v>10247</v>
      </c>
      <c r="D24">
        <f t="shared" si="0"/>
        <v>1.0310492009796326E-2</v>
      </c>
      <c r="E24">
        <f t="shared" si="2"/>
        <v>0.8812255871657666</v>
      </c>
      <c r="F24">
        <f t="shared" si="3"/>
        <v>0.89153607917556288</v>
      </c>
      <c r="H24" cm="1">
        <f t="array" ref="H24">(SUMPRODUCT(($G$3:$G$10&gt;=E24)*($G$3:$G$10&lt;=F24)))</f>
        <v>0</v>
      </c>
      <c r="I24">
        <v>24146</v>
      </c>
      <c r="J24" s="7">
        <f t="shared" si="1"/>
        <v>0</v>
      </c>
      <c r="K24" s="7">
        <f t="shared" si="4"/>
        <v>0</v>
      </c>
    </row>
    <row r="25" spans="2:11" x14ac:dyDescent="0.3">
      <c r="B25" s="3" t="s">
        <v>58</v>
      </c>
      <c r="C25">
        <v>10163</v>
      </c>
      <c r="D25">
        <f t="shared" si="0"/>
        <v>1.0225971532698356E-2</v>
      </c>
      <c r="E25">
        <f t="shared" si="2"/>
        <v>0.89153607917556288</v>
      </c>
      <c r="F25">
        <f t="shared" si="3"/>
        <v>0.90176205070826121</v>
      </c>
      <c r="H25" cm="1">
        <f t="array" ref="H25">(SUMPRODUCT(($G$3:$G$10&gt;=E25)*($G$3:$G$10&lt;=F25)))</f>
        <v>0</v>
      </c>
      <c r="I25">
        <v>10454</v>
      </c>
      <c r="J25" s="7">
        <f t="shared" si="1"/>
        <v>0</v>
      </c>
      <c r="K25" s="7">
        <f t="shared" si="4"/>
        <v>0</v>
      </c>
    </row>
    <row r="26" spans="2:11" x14ac:dyDescent="0.3">
      <c r="B26" s="3" t="s">
        <v>40</v>
      </c>
      <c r="C26">
        <v>10096</v>
      </c>
      <c r="D26">
        <f t="shared" si="0"/>
        <v>1.0158556390251167E-2</v>
      </c>
      <c r="E26">
        <f t="shared" si="2"/>
        <v>0.90176205070826121</v>
      </c>
      <c r="F26">
        <f t="shared" si="3"/>
        <v>0.91192060709851241</v>
      </c>
      <c r="H26" cm="1">
        <f t="array" ref="H26">(SUMPRODUCT(($G$3:$G$10&gt;=E26)*($G$3:$G$10&lt;=F26)))</f>
        <v>0</v>
      </c>
      <c r="I26">
        <v>12222</v>
      </c>
      <c r="J26" s="7">
        <f t="shared" si="1"/>
        <v>0</v>
      </c>
      <c r="K26" s="7">
        <f t="shared" si="4"/>
        <v>0</v>
      </c>
    </row>
    <row r="27" spans="2:11" x14ac:dyDescent="0.3">
      <c r="B27" s="3" t="s">
        <v>30</v>
      </c>
      <c r="C27">
        <v>9876</v>
      </c>
      <c r="D27">
        <f t="shared" si="0"/>
        <v>9.937193235946962E-3</v>
      </c>
      <c r="E27">
        <f t="shared" si="2"/>
        <v>0.91192060709851241</v>
      </c>
      <c r="F27">
        <f t="shared" si="3"/>
        <v>0.92185780033445941</v>
      </c>
      <c r="H27" cm="1">
        <f t="array" ref="H27">(SUMPRODUCT(($G$3:$G$10&gt;=E27)*($G$3:$G$10&lt;=F27)))</f>
        <v>0</v>
      </c>
      <c r="I27">
        <v>118991</v>
      </c>
      <c r="J27" s="7">
        <f t="shared" si="1"/>
        <v>0</v>
      </c>
      <c r="K27" s="7">
        <f t="shared" si="4"/>
        <v>0</v>
      </c>
    </row>
    <row r="28" spans="2:11" x14ac:dyDescent="0.3">
      <c r="B28" s="3" t="s">
        <v>64</v>
      </c>
      <c r="C28">
        <v>8811</v>
      </c>
      <c r="D28">
        <f t="shared" si="0"/>
        <v>8.8655943298834219E-3</v>
      </c>
      <c r="E28">
        <f t="shared" si="2"/>
        <v>0.92185780033445941</v>
      </c>
      <c r="F28">
        <f t="shared" si="3"/>
        <v>0.93072339466434284</v>
      </c>
      <c r="H28" cm="1">
        <f t="array" ref="H28">(SUMPRODUCT(($G$3:$G$10&gt;=E28)*($G$3:$G$10&lt;=F28)))</f>
        <v>0</v>
      </c>
      <c r="I28">
        <v>21065</v>
      </c>
      <c r="J28" s="7">
        <f t="shared" si="1"/>
        <v>0</v>
      </c>
      <c r="K28" s="7">
        <f t="shared" si="4"/>
        <v>0</v>
      </c>
    </row>
    <row r="29" spans="2:11" x14ac:dyDescent="0.3">
      <c r="B29" s="3" t="s">
        <v>18</v>
      </c>
      <c r="C29">
        <v>8479</v>
      </c>
      <c r="D29">
        <f t="shared" si="0"/>
        <v>8.5315372061152573E-3</v>
      </c>
      <c r="E29">
        <f t="shared" si="2"/>
        <v>0.93072339466434284</v>
      </c>
      <c r="F29">
        <f t="shared" si="3"/>
        <v>0.93925493187045805</v>
      </c>
      <c r="H29" cm="1">
        <f t="array" ref="H29">(SUMPRODUCT(($G$3:$G$10&gt;=E29)*($G$3:$G$10&lt;=F29)))</f>
        <v>0</v>
      </c>
      <c r="I29">
        <v>10065</v>
      </c>
      <c r="J29" s="7">
        <f t="shared" si="1"/>
        <v>0</v>
      </c>
      <c r="K29" s="7">
        <f t="shared" si="4"/>
        <v>0</v>
      </c>
    </row>
    <row r="30" spans="2:11" x14ac:dyDescent="0.3">
      <c r="B30" s="3" t="s">
        <v>6</v>
      </c>
      <c r="C30">
        <v>8426</v>
      </c>
      <c r="D30">
        <f t="shared" si="0"/>
        <v>8.4782088098510622E-3</v>
      </c>
      <c r="E30">
        <f t="shared" si="2"/>
        <v>0.93925493187045805</v>
      </c>
      <c r="F30">
        <f t="shared" si="3"/>
        <v>0.94773314068030912</v>
      </c>
      <c r="H30" cm="1">
        <f t="array" ref="H30">(SUMPRODUCT(($G$3:$G$10&gt;=E30)*($G$3:$G$10&lt;=F30)))</f>
        <v>0</v>
      </c>
      <c r="I30">
        <v>32380</v>
      </c>
      <c r="J30" s="7">
        <f t="shared" si="1"/>
        <v>0</v>
      </c>
      <c r="K30" s="7">
        <f t="shared" si="4"/>
        <v>0</v>
      </c>
    </row>
    <row r="31" spans="2:11" x14ac:dyDescent="0.3">
      <c r="B31" s="3" t="s">
        <v>68</v>
      </c>
      <c r="C31">
        <v>8174</v>
      </c>
      <c r="D31">
        <f t="shared" si="0"/>
        <v>8.2246473785571542E-3</v>
      </c>
      <c r="E31">
        <f t="shared" si="2"/>
        <v>0.94773314068030912</v>
      </c>
      <c r="F31">
        <f t="shared" si="3"/>
        <v>0.95595778805886622</v>
      </c>
      <c r="H31" cm="1">
        <f t="array" ref="H31">(SUMPRODUCT(($G$3:$G$10&gt;=E31)*($G$3:$G$10&lt;=F31)))</f>
        <v>0</v>
      </c>
      <c r="I31">
        <v>10215</v>
      </c>
      <c r="J31" s="7">
        <f t="shared" si="1"/>
        <v>0</v>
      </c>
      <c r="K31" s="7">
        <f t="shared" si="4"/>
        <v>0</v>
      </c>
    </row>
    <row r="32" spans="2:11" x14ac:dyDescent="0.3">
      <c r="B32" s="3" t="s">
        <v>74</v>
      </c>
      <c r="C32">
        <v>7798</v>
      </c>
      <c r="D32">
        <f t="shared" si="0"/>
        <v>7.846317623928149E-3</v>
      </c>
      <c r="E32">
        <f t="shared" si="2"/>
        <v>0.95595778805886622</v>
      </c>
      <c r="F32">
        <f t="shared" si="3"/>
        <v>0.9638041056827944</v>
      </c>
      <c r="H32" cm="1">
        <f t="array" ref="H32">(SUMPRODUCT(($G$3:$G$10&gt;=E32)*($G$3:$G$10&lt;=F32)))</f>
        <v>0</v>
      </c>
      <c r="I32">
        <v>17362</v>
      </c>
      <c r="J32" s="7">
        <f t="shared" si="1"/>
        <v>0</v>
      </c>
      <c r="K32" s="7">
        <f t="shared" si="4"/>
        <v>0</v>
      </c>
    </row>
    <row r="33" spans="2:11" x14ac:dyDescent="0.3">
      <c r="B33" s="3" t="s">
        <v>72</v>
      </c>
      <c r="C33">
        <v>7308</v>
      </c>
      <c r="D33">
        <f t="shared" si="0"/>
        <v>7.3532815075233286E-3</v>
      </c>
      <c r="E33">
        <f t="shared" si="2"/>
        <v>0.9638041056827944</v>
      </c>
      <c r="F33">
        <f t="shared" si="3"/>
        <v>0.97115738719031774</v>
      </c>
      <c r="H33" cm="1">
        <f t="array" ref="H33">(SUMPRODUCT(($G$3:$G$10&gt;=E33)*($G$3:$G$10&lt;=F33)))</f>
        <v>0</v>
      </c>
      <c r="I33">
        <v>16108</v>
      </c>
      <c r="J33" s="7">
        <f t="shared" si="1"/>
        <v>0</v>
      </c>
      <c r="K33" s="7">
        <f t="shared" si="4"/>
        <v>0</v>
      </c>
    </row>
    <row r="34" spans="2:11" x14ac:dyDescent="0.3">
      <c r="B34" s="3" t="s">
        <v>28</v>
      </c>
      <c r="C34">
        <v>6468</v>
      </c>
      <c r="D34">
        <f t="shared" si="0"/>
        <v>6.5080767365436358E-3</v>
      </c>
      <c r="E34">
        <f t="shared" si="2"/>
        <v>0.97115738719031774</v>
      </c>
      <c r="F34">
        <f t="shared" si="3"/>
        <v>0.97766546392686138</v>
      </c>
      <c r="H34" cm="1">
        <f t="array" ref="H34">(SUMPRODUCT(($G$3:$G$10&gt;=E34)*($G$3:$G$10&lt;=F34)))</f>
        <v>0</v>
      </c>
      <c r="I34">
        <v>9767</v>
      </c>
      <c r="J34" s="7">
        <f t="shared" si="1"/>
        <v>0</v>
      </c>
      <c r="K34" s="7">
        <f t="shared" si="4"/>
        <v>0</v>
      </c>
    </row>
    <row r="35" spans="2:11" x14ac:dyDescent="0.3">
      <c r="B35" s="3" t="s">
        <v>38</v>
      </c>
      <c r="C35">
        <v>5781</v>
      </c>
      <c r="D35">
        <f t="shared" si="0"/>
        <v>5.8168199774209584E-3</v>
      </c>
      <c r="E35">
        <f t="shared" si="2"/>
        <v>0.97766546392686138</v>
      </c>
      <c r="F35">
        <f t="shared" si="3"/>
        <v>0.98348228390428238</v>
      </c>
      <c r="H35" cm="1">
        <f t="array" ref="H35">(SUMPRODUCT(($G$3:$G$10&gt;=E35)*($G$3:$G$10&lt;=F35)))</f>
        <v>0</v>
      </c>
      <c r="I35">
        <v>10215</v>
      </c>
      <c r="J35" s="7">
        <f t="shared" si="1"/>
        <v>0</v>
      </c>
      <c r="K35" s="7">
        <f t="shared" si="4"/>
        <v>0</v>
      </c>
    </row>
    <row r="36" spans="2:11" x14ac:dyDescent="0.3">
      <c r="B36" s="3" t="s">
        <v>42</v>
      </c>
      <c r="C36">
        <v>5169</v>
      </c>
      <c r="D36">
        <f t="shared" si="0"/>
        <v>5.2010279299928965E-3</v>
      </c>
      <c r="E36">
        <f t="shared" si="2"/>
        <v>0.98348228390428238</v>
      </c>
      <c r="F36">
        <f t="shared" si="3"/>
        <v>0.98868331183427527</v>
      </c>
      <c r="H36" cm="1">
        <f t="array" ref="H36">(SUMPRODUCT(($G$3:$G$10&gt;=E36)*($G$3:$G$10&lt;=F36)))</f>
        <v>0</v>
      </c>
      <c r="I36">
        <v>7350</v>
      </c>
      <c r="J36" s="7">
        <f t="shared" si="1"/>
        <v>0</v>
      </c>
      <c r="K36" s="7">
        <f t="shared" si="4"/>
        <v>0</v>
      </c>
    </row>
    <row r="37" spans="2:11" x14ac:dyDescent="0.3">
      <c r="B37" s="3" t="s">
        <v>14</v>
      </c>
      <c r="C37">
        <v>4330</v>
      </c>
      <c r="D37">
        <f t="shared" si="0"/>
        <v>4.3568293551691315E-3</v>
      </c>
      <c r="E37">
        <f t="shared" si="2"/>
        <v>0.98868331183427527</v>
      </c>
      <c r="F37">
        <f t="shared" si="3"/>
        <v>0.99304014118944439</v>
      </c>
      <c r="H37" cm="1">
        <f t="array" ref="H37">(SUMPRODUCT(($G$3:$G$10&gt;=E37)*($G$3:$G$10&lt;=F37)))</f>
        <v>0</v>
      </c>
      <c r="I37">
        <v>20894</v>
      </c>
      <c r="J37" s="7">
        <f t="shared" si="1"/>
        <v>0</v>
      </c>
      <c r="K37" s="7">
        <f t="shared" si="4"/>
        <v>0</v>
      </c>
    </row>
    <row r="38" spans="2:11" x14ac:dyDescent="0.3">
      <c r="B38" s="3" t="s">
        <v>12</v>
      </c>
      <c r="C38">
        <v>3596</v>
      </c>
      <c r="D38">
        <f t="shared" si="0"/>
        <v>3.6182813767178285E-3</v>
      </c>
      <c r="E38">
        <f t="shared" si="2"/>
        <v>0.99304014118944439</v>
      </c>
      <c r="F38">
        <f t="shared" si="3"/>
        <v>0.99665842256616222</v>
      </c>
      <c r="H38" cm="1">
        <f t="array" ref="H38">(SUMPRODUCT(($G$3:$G$10&gt;=E38)*($G$3:$G$10&lt;=F38)))</f>
        <v>0</v>
      </c>
      <c r="I38">
        <v>6943</v>
      </c>
      <c r="J38" s="7">
        <f t="shared" si="1"/>
        <v>0</v>
      </c>
      <c r="K38" s="7">
        <f t="shared" si="4"/>
        <v>0</v>
      </c>
    </row>
    <row r="39" spans="2:11" x14ac:dyDescent="0.3">
      <c r="B39" s="3" t="s">
        <v>20</v>
      </c>
      <c r="C39">
        <v>3321</v>
      </c>
      <c r="D39">
        <f t="shared" si="0"/>
        <v>3.3415774338375719E-3</v>
      </c>
      <c r="E39">
        <f t="shared" si="2"/>
        <v>0.99665842256616222</v>
      </c>
      <c r="F39">
        <f t="shared" si="3"/>
        <v>0.99999999999999978</v>
      </c>
      <c r="H39" cm="1">
        <f t="array" ref="H39">(SUMPRODUCT(($G$3:$G$10&gt;=E39)*($G$3:$G$10&lt;=F39)))</f>
        <v>0</v>
      </c>
      <c r="I39">
        <v>7361</v>
      </c>
      <c r="J39" s="7">
        <f t="shared" si="1"/>
        <v>0</v>
      </c>
      <c r="K39" s="7">
        <f t="shared" si="4"/>
        <v>0</v>
      </c>
    </row>
    <row r="40" spans="2:11" x14ac:dyDescent="0.3">
      <c r="C40" s="7">
        <f>SUM(C3:C39)</f>
        <v>993842</v>
      </c>
      <c r="H40" s="7">
        <f>SUM(H3:H39)</f>
        <v>8</v>
      </c>
      <c r="I40" s="7">
        <f>SUM(I3:I39)</f>
        <v>1001854</v>
      </c>
      <c r="J40" s="7">
        <f>SUM(J3:J39)</f>
        <v>8350610.2056440711</v>
      </c>
      <c r="K40" s="7">
        <f>SUM(K3:K39)</f>
        <v>8716568809643.3643</v>
      </c>
    </row>
  </sheetData>
  <autoFilter ref="B2:C2" xr:uid="{9A7B74D8-D6CA-4870-B3B9-3C92507113BF}">
    <sortState xmlns:xlrd2="http://schemas.microsoft.com/office/spreadsheetml/2017/richdata2" ref="B3:C39">
      <sortCondition descending="1" ref="C2"/>
    </sortState>
  </autoFilter>
  <mergeCells count="1"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B4E3-68BA-4F8F-BAF3-90974E07F60C}">
  <dimension ref="B2:AA40"/>
  <sheetViews>
    <sheetView topLeftCell="M5" workbookViewId="0">
      <selection activeCell="X5" sqref="X5"/>
    </sheetView>
  </sheetViews>
  <sheetFormatPr baseColWidth="10" defaultRowHeight="14.4" x14ac:dyDescent="0.3"/>
  <cols>
    <col min="2" max="2" width="14" bestFit="1" customWidth="1"/>
    <col min="3" max="3" width="12.6640625" bestFit="1" customWidth="1"/>
    <col min="4" max="4" width="16.33203125" bestFit="1" customWidth="1"/>
    <col min="5" max="6" width="17.33203125" bestFit="1" customWidth="1"/>
    <col min="7" max="7" width="17.88671875" bestFit="1" customWidth="1"/>
    <col min="8" max="8" width="20.109375" bestFit="1" customWidth="1"/>
    <col min="11" max="11" width="13.44140625" bestFit="1" customWidth="1"/>
    <col min="16" max="16" width="18.88671875" bestFit="1" customWidth="1"/>
    <col min="19" max="19" width="12.21875" bestFit="1" customWidth="1"/>
    <col min="20" max="20" width="23.21875" bestFit="1" customWidth="1"/>
    <col min="21" max="21" width="26.5546875" customWidth="1"/>
    <col min="22" max="22" width="13.77734375" customWidth="1"/>
    <col min="23" max="23" width="15.5546875" bestFit="1" customWidth="1"/>
    <col min="24" max="24" width="16.33203125" bestFit="1" customWidth="1"/>
    <col min="26" max="26" width="3" bestFit="1" customWidth="1"/>
    <col min="27" max="27" width="2" bestFit="1" customWidth="1"/>
  </cols>
  <sheetData>
    <row r="2" spans="2:27" x14ac:dyDescent="0.3">
      <c r="B2" s="4" t="s">
        <v>76</v>
      </c>
      <c r="C2" s="4" t="s">
        <v>118</v>
      </c>
      <c r="D2" s="4" t="s">
        <v>91</v>
      </c>
      <c r="E2" s="4" t="s">
        <v>95</v>
      </c>
      <c r="F2" s="4" t="s">
        <v>97</v>
      </c>
      <c r="G2" s="4" t="s">
        <v>99</v>
      </c>
      <c r="H2" s="4" t="s">
        <v>100</v>
      </c>
      <c r="I2" s="40" t="s">
        <v>79</v>
      </c>
      <c r="J2" s="40"/>
      <c r="K2" s="4" t="s">
        <v>98</v>
      </c>
      <c r="L2" s="4" t="s">
        <v>81</v>
      </c>
      <c r="M2" s="4" t="s">
        <v>77</v>
      </c>
      <c r="N2" s="4" t="s">
        <v>101</v>
      </c>
      <c r="O2" s="4" t="s">
        <v>103</v>
      </c>
      <c r="P2" s="4" t="s">
        <v>102</v>
      </c>
      <c r="Q2" s="4" t="s">
        <v>106</v>
      </c>
      <c r="R2" s="23" t="s">
        <v>107</v>
      </c>
      <c r="S2" s="23" t="s">
        <v>108</v>
      </c>
      <c r="T2" s="23" t="s">
        <v>109</v>
      </c>
      <c r="U2" s="23" t="s">
        <v>110</v>
      </c>
      <c r="V2" s="23"/>
      <c r="W2" s="4"/>
      <c r="X2" s="4"/>
      <c r="Z2" s="4" t="s">
        <v>92</v>
      </c>
      <c r="AA2">
        <v>8</v>
      </c>
    </row>
    <row r="3" spans="2:27" x14ac:dyDescent="0.3">
      <c r="B3" s="10" t="s">
        <v>32</v>
      </c>
      <c r="C3" s="11">
        <v>23738</v>
      </c>
      <c r="D3" s="11">
        <f t="shared" ref="D3:D37" si="0">(($C3*$AA$2)/SUM($C$3:$C$39))</f>
        <v>0.19108067479539001</v>
      </c>
      <c r="E3" s="11">
        <f t="shared" ref="E3:E37" si="1">(($C3*$AA$3)/SUM($C$4:$C$39))</f>
        <v>0.17128678986995208</v>
      </c>
      <c r="F3" s="11">
        <f t="shared" ref="F3:F37" si="2">(($C3*$AA$4)/SUM($C$5:$C$39))</f>
        <v>0.14836126365613619</v>
      </c>
      <c r="G3" s="11">
        <v>1</v>
      </c>
      <c r="H3" s="11">
        <f>C3/SUM($C$3:$C$5)</f>
        <v>0.5992174681307586</v>
      </c>
      <c r="I3" s="11">
        <v>0</v>
      </c>
      <c r="J3" s="11">
        <f>H3</f>
        <v>0.5992174681307586</v>
      </c>
      <c r="K3" s="11">
        <v>9.4046704189210004E-2</v>
      </c>
      <c r="L3" s="22">
        <f>(SUMPRODUCT(($K$3&gt;=I3)*($K$3&lt;=J3)))</f>
        <v>1</v>
      </c>
      <c r="M3" s="11">
        <f>VLOOKUP(B3,BASE!$D$1:$F$38,3,FALSE)</f>
        <v>24571</v>
      </c>
      <c r="N3">
        <f>COUNTIF($G$3:$G$39, 1)</f>
        <v>3</v>
      </c>
      <c r="O3">
        <f>N3^2</f>
        <v>9</v>
      </c>
      <c r="P3" s="1">
        <f>SUM(C3:C5)*(M3/C3)</f>
        <v>41005.146389754824</v>
      </c>
      <c r="Q3">
        <f>P3/SUM($C$3:$C$39)</f>
        <v>4.125922067064465E-2</v>
      </c>
      <c r="R3">
        <f>C3/SUM($C$3:$C$39)</f>
        <v>2.3885084349423751E-2</v>
      </c>
      <c r="S3">
        <f>M3/R3</f>
        <v>1028717.3216783217</v>
      </c>
      <c r="T3" s="1">
        <f>(S3-$X$3)^2</f>
        <v>1545115151.5301945</v>
      </c>
      <c r="U3" s="1">
        <f>T3*Q3</f>
        <v>63750246.998540841</v>
      </c>
      <c r="V3" s="1"/>
      <c r="W3" s="4" t="s">
        <v>84</v>
      </c>
      <c r="X3" s="1">
        <f>SUM(P3:P39)</f>
        <v>989409.36890117754</v>
      </c>
      <c r="Z3" s="4" t="s">
        <v>93</v>
      </c>
      <c r="AA3">
        <v>7</v>
      </c>
    </row>
    <row r="4" spans="2:27" x14ac:dyDescent="0.3">
      <c r="B4" s="10" t="s">
        <v>40</v>
      </c>
      <c r="C4" s="11">
        <v>10096</v>
      </c>
      <c r="D4" s="11">
        <f t="shared" si="0"/>
        <v>8.1268451122009339E-2</v>
      </c>
      <c r="E4" s="11">
        <f t="shared" si="1"/>
        <v>7.2849921245557184E-2</v>
      </c>
      <c r="F4" s="11">
        <f t="shared" si="2"/>
        <v>6.3099474171048581E-2</v>
      </c>
      <c r="G4" s="11">
        <v>1</v>
      </c>
      <c r="H4" s="11">
        <f t="shared" ref="H4:H5" si="3">C4/SUM($C$3:$C$5)</f>
        <v>0.25485295973747318</v>
      </c>
      <c r="I4" s="11">
        <f>J3</f>
        <v>0.5992174681307586</v>
      </c>
      <c r="J4" s="11">
        <f>J3+H4</f>
        <v>0.85407042786823184</v>
      </c>
      <c r="K4" s="11"/>
      <c r="L4" s="11">
        <f t="shared" ref="L4:L5" si="4">(SUMPRODUCT(($K$3&gt;=I4)*($K$3&lt;=J4)))</f>
        <v>0</v>
      </c>
      <c r="M4" s="11">
        <f>VLOOKUP(B4,BASE!$D$1:$F$38,3,FALSE)</f>
        <v>11111</v>
      </c>
      <c r="T4" s="1"/>
      <c r="Z4" s="4" t="s">
        <v>96</v>
      </c>
      <c r="AA4">
        <v>6</v>
      </c>
    </row>
    <row r="5" spans="2:27" x14ac:dyDescent="0.3">
      <c r="B5" s="10" t="s">
        <v>38</v>
      </c>
      <c r="C5" s="11">
        <v>5781</v>
      </c>
      <c r="D5" s="11">
        <f t="shared" si="0"/>
        <v>4.6534559819367667E-2</v>
      </c>
      <c r="E5" s="11">
        <f t="shared" si="1"/>
        <v>4.1714084263130551E-2</v>
      </c>
      <c r="F5" s="11">
        <f t="shared" si="2"/>
        <v>3.6130948908759092E-2</v>
      </c>
      <c r="G5" s="11">
        <v>1</v>
      </c>
      <c r="H5" s="11">
        <f t="shared" si="3"/>
        <v>0.14592957213176827</v>
      </c>
      <c r="I5" s="11">
        <f>J4</f>
        <v>0.85407042786823184</v>
      </c>
      <c r="J5" s="11">
        <f>J4+H5</f>
        <v>1</v>
      </c>
      <c r="K5" s="11"/>
      <c r="L5" s="11">
        <f t="shared" si="4"/>
        <v>0</v>
      </c>
      <c r="M5" s="11">
        <f>VLOOKUP(B5,BASE!$D$1:$F$38,3,FALSE)</f>
        <v>6157</v>
      </c>
      <c r="T5" s="1"/>
      <c r="W5" s="6" t="s">
        <v>104</v>
      </c>
      <c r="X5">
        <f>((O40-N40)/(N40^2 -O40))^2</f>
        <v>3.1215273008777737E-2</v>
      </c>
    </row>
    <row r="6" spans="2:27" x14ac:dyDescent="0.3">
      <c r="B6" s="12" t="s">
        <v>4</v>
      </c>
      <c r="C6" s="13">
        <v>26582</v>
      </c>
      <c r="D6" s="13">
        <f t="shared" si="0"/>
        <v>0.21397364973506855</v>
      </c>
      <c r="E6" s="13">
        <f t="shared" si="1"/>
        <v>0.19180830096566967</v>
      </c>
      <c r="F6" s="13">
        <f t="shared" si="2"/>
        <v>0.16613611553237057</v>
      </c>
      <c r="G6" s="13">
        <v>2</v>
      </c>
      <c r="H6" s="13">
        <f>C6/SUM($C$6:$C$10)</f>
        <v>0.41395312621661606</v>
      </c>
      <c r="I6" s="13">
        <v>0</v>
      </c>
      <c r="J6" s="13">
        <f>H6</f>
        <v>0.41395312621661606</v>
      </c>
      <c r="K6" s="13">
        <v>7.6268842630679901E-2</v>
      </c>
      <c r="L6" s="22">
        <f>(SUMPRODUCT(($K$6&gt;=I6)*($K$6&lt;=J6)))</f>
        <v>1</v>
      </c>
      <c r="M6" s="13">
        <f>VLOOKUP(B6,BASE!$D$1:$F$38,3,FALSE)</f>
        <v>24562</v>
      </c>
      <c r="N6">
        <f>COUNTIF($G$3:$G$39, 2)</f>
        <v>5</v>
      </c>
      <c r="O6">
        <f>N6^2</f>
        <v>25</v>
      </c>
      <c r="P6" s="1">
        <f>SUM(C6:C10)*(M6/C6)</f>
        <v>59335.220449928529</v>
      </c>
      <c r="Q6">
        <f>P6/SUM($C$3:$C$39)</f>
        <v>5.9702870727870755E-2</v>
      </c>
      <c r="R6">
        <f t="shared" ref="R6:R39" si="5">C6/SUM($C$3:$C$39)</f>
        <v>2.6746706216883569E-2</v>
      </c>
      <c r="S6">
        <f t="shared" ref="S6:S39" si="6">M6/R6</f>
        <v>918318.6819652397</v>
      </c>
      <c r="T6" s="1">
        <f>(S6-$X$3)^2</f>
        <v>5053885769.0235243</v>
      </c>
      <c r="U6" s="1">
        <f t="shared" ref="U6:U39" si="7">T6*Q6</f>
        <v>301731488.74143714</v>
      </c>
      <c r="V6" s="1"/>
      <c r="W6" s="6" t="s">
        <v>105</v>
      </c>
      <c r="X6" s="1">
        <f>SUM(U3:U39)</f>
        <v>12716977302.220566</v>
      </c>
    </row>
    <row r="7" spans="2:27" x14ac:dyDescent="0.3">
      <c r="B7" s="12" t="s">
        <v>60</v>
      </c>
      <c r="C7" s="13">
        <v>14473</v>
      </c>
      <c r="D7" s="13">
        <f t="shared" si="0"/>
        <v>0.11650141571799139</v>
      </c>
      <c r="E7" s="13">
        <f t="shared" si="1"/>
        <v>0.10443313294244741</v>
      </c>
      <c r="F7" s="13">
        <f t="shared" si="2"/>
        <v>9.0455496204198294E-2</v>
      </c>
      <c r="G7" s="13">
        <v>2</v>
      </c>
      <c r="H7" s="13">
        <f t="shared" ref="H7:H10" si="8">C7/SUM($C$6:$C$10)</f>
        <v>0.2253834773806743</v>
      </c>
      <c r="I7" s="13">
        <f>J6</f>
        <v>0.41395312621661606</v>
      </c>
      <c r="J7" s="13">
        <f>I7+H7</f>
        <v>0.63933660359729039</v>
      </c>
      <c r="K7" s="13"/>
      <c r="L7" s="13">
        <f t="shared" ref="L7:L10" si="9">(SUMPRODUCT(($K$6&gt;=I7)*($K$6&lt;=J7)))</f>
        <v>0</v>
      </c>
      <c r="M7" s="13">
        <f>VLOOKUP(B7,BASE!$D$1:$F$38,3,FALSE)</f>
        <v>17362</v>
      </c>
      <c r="T7" s="1"/>
    </row>
    <row r="8" spans="2:27" x14ac:dyDescent="0.3">
      <c r="B8" s="12" t="s">
        <v>34</v>
      </c>
      <c r="C8" s="13">
        <v>11665</v>
      </c>
      <c r="D8" s="13">
        <f t="shared" si="0"/>
        <v>9.3898225271220173E-2</v>
      </c>
      <c r="E8" s="13">
        <f t="shared" si="1"/>
        <v>8.4171387809966761E-2</v>
      </c>
      <c r="F8" s="13">
        <f t="shared" si="2"/>
        <v>7.2905642452979563E-2</v>
      </c>
      <c r="G8" s="13">
        <v>2</v>
      </c>
      <c r="H8" s="13">
        <f t="shared" si="8"/>
        <v>0.1816553764696722</v>
      </c>
      <c r="I8" s="13">
        <f t="shared" ref="I8:I10" si="10">J7</f>
        <v>0.63933660359729039</v>
      </c>
      <c r="J8" s="13">
        <f t="shared" ref="J8:J10" si="11">I8+H8</f>
        <v>0.82099198006696261</v>
      </c>
      <c r="K8" s="13"/>
      <c r="L8" s="13">
        <f t="shared" si="9"/>
        <v>0</v>
      </c>
      <c r="M8" s="13">
        <f>VLOOKUP(B8,BASE!$D$1:$F$38,3,FALSE)</f>
        <v>12475</v>
      </c>
      <c r="T8" s="1"/>
      <c r="W8" s="4" t="s">
        <v>86</v>
      </c>
      <c r="X8" s="1">
        <f>X5*X6</f>
        <v>396963918.33524477</v>
      </c>
    </row>
    <row r="9" spans="2:27" x14ac:dyDescent="0.3">
      <c r="B9" s="12" t="s">
        <v>68</v>
      </c>
      <c r="C9" s="13">
        <v>8174</v>
      </c>
      <c r="D9" s="13">
        <f t="shared" si="0"/>
        <v>6.5797179028457234E-2</v>
      </c>
      <c r="E9" s="13">
        <f t="shared" si="1"/>
        <v>5.8981305097185459E-2</v>
      </c>
      <c r="F9" s="13">
        <f t="shared" si="2"/>
        <v>5.1087074274381049E-2</v>
      </c>
      <c r="G9" s="13">
        <v>2</v>
      </c>
      <c r="H9" s="13">
        <f t="shared" si="8"/>
        <v>0.12729113135560227</v>
      </c>
      <c r="I9" s="13">
        <f t="shared" si="10"/>
        <v>0.82099198006696261</v>
      </c>
      <c r="J9" s="13">
        <f t="shared" si="11"/>
        <v>0.94828311142256494</v>
      </c>
      <c r="K9" s="13"/>
      <c r="L9" s="13">
        <f t="shared" si="9"/>
        <v>0</v>
      </c>
      <c r="M9" s="13">
        <f>VLOOKUP(B9,BASE!$D$1:$F$38,3,FALSE)</f>
        <v>7350</v>
      </c>
      <c r="T9" s="1"/>
      <c r="W9" s="4" t="s">
        <v>88</v>
      </c>
      <c r="X9" s="8">
        <f>SQRT(X8)/X3</f>
        <v>2.0137219241518282E-2</v>
      </c>
    </row>
    <row r="10" spans="2:27" x14ac:dyDescent="0.3">
      <c r="B10" s="12" t="s">
        <v>20</v>
      </c>
      <c r="C10" s="13">
        <v>3321</v>
      </c>
      <c r="D10" s="13">
        <f t="shared" si="0"/>
        <v>2.6732619470700575E-2</v>
      </c>
      <c r="E10" s="13">
        <f t="shared" si="1"/>
        <v>2.3963410108606913E-2</v>
      </c>
      <c r="F10" s="13">
        <f t="shared" si="2"/>
        <v>2.0756077032691393E-2</v>
      </c>
      <c r="G10" s="13">
        <v>2</v>
      </c>
      <c r="H10" s="13">
        <f t="shared" si="8"/>
        <v>5.1716888577435179E-2</v>
      </c>
      <c r="I10" s="13">
        <f t="shared" si="10"/>
        <v>0.94828311142256494</v>
      </c>
      <c r="J10" s="13">
        <f t="shared" si="11"/>
        <v>1.0000000000000002</v>
      </c>
      <c r="K10" s="13"/>
      <c r="L10" s="13">
        <f t="shared" si="9"/>
        <v>0</v>
      </c>
      <c r="M10" s="13">
        <f>VLOOKUP(B10,BASE!$D$1:$F$38,3,FALSE)</f>
        <v>3733</v>
      </c>
      <c r="T10" s="1"/>
      <c r="W10" s="4" t="s">
        <v>89</v>
      </c>
      <c r="X10" s="7">
        <f>$X$3-1.96*SQRT($X$8)</f>
        <v>950358.42027407407</v>
      </c>
    </row>
    <row r="11" spans="2:27" x14ac:dyDescent="0.3">
      <c r="B11" s="14" t="s">
        <v>70</v>
      </c>
      <c r="C11" s="15">
        <v>19738</v>
      </c>
      <c r="D11" s="15">
        <f t="shared" si="0"/>
        <v>0.15888239780568741</v>
      </c>
      <c r="E11" s="15">
        <f t="shared" si="1"/>
        <v>0.14242390506584862</v>
      </c>
      <c r="F11" s="15">
        <f t="shared" si="2"/>
        <v>0.12336147198773344</v>
      </c>
      <c r="G11" s="15">
        <v>3</v>
      </c>
      <c r="H11" s="15">
        <f>C11/SUM($C$11:$C$17)</f>
        <v>0.29293124174470547</v>
      </c>
      <c r="I11" s="15">
        <v>0</v>
      </c>
      <c r="J11" s="15">
        <f>H11</f>
        <v>0.29293124174470547</v>
      </c>
      <c r="K11" s="15">
        <v>0.36771250570517089</v>
      </c>
      <c r="L11" s="15">
        <f>(SUMPRODUCT(($K$11&gt;=I11)*($K$11&lt;=J11)))</f>
        <v>0</v>
      </c>
      <c r="M11" s="15">
        <f>VLOOKUP(B11,BASE!$D$1:$F$38,3,FALSE)</f>
        <v>20894</v>
      </c>
      <c r="N11">
        <f>COUNTIF($G$3:$G$39, 3)</f>
        <v>7</v>
      </c>
      <c r="O11">
        <f>N11^2</f>
        <v>49</v>
      </c>
      <c r="P11" s="1">
        <f>SUM(C11:C17)*(M12/C12)</f>
        <v>68601.5751850409</v>
      </c>
      <c r="Q11">
        <f>P11/SUM($C$3:$C$39)</f>
        <v>6.9026641241807948E-2</v>
      </c>
      <c r="T11" s="1"/>
      <c r="W11" s="4" t="s">
        <v>90</v>
      </c>
      <c r="X11" s="7">
        <f>$X$3+1.96*SQRT($X$8)</f>
        <v>1028460.317528281</v>
      </c>
    </row>
    <row r="12" spans="2:27" x14ac:dyDescent="0.3">
      <c r="B12" s="14" t="s">
        <v>46</v>
      </c>
      <c r="C12" s="15">
        <v>10268</v>
      </c>
      <c r="D12" s="15">
        <f t="shared" si="0"/>
        <v>8.2652977032566549E-2</v>
      </c>
      <c r="E12" s="15">
        <f t="shared" si="1"/>
        <v>7.4091025292133628E-2</v>
      </c>
      <c r="F12" s="15">
        <f t="shared" si="2"/>
        <v>6.4174465212789897E-2</v>
      </c>
      <c r="G12" s="15">
        <v>3</v>
      </c>
      <c r="H12" s="15">
        <f t="shared" ref="H12:H17" si="12">C12/SUM($C$11:$C$17)</f>
        <v>0.15238717145782935</v>
      </c>
      <c r="I12" s="15">
        <f>J11</f>
        <v>0.29293124174470547</v>
      </c>
      <c r="J12" s="15">
        <f>I12+H12</f>
        <v>0.44531841320253485</v>
      </c>
      <c r="K12" s="15"/>
      <c r="L12" s="22">
        <f t="shared" ref="L12:L16" si="13">(SUMPRODUCT(($K$11&gt;=I12)*($K$11&lt;=J12)))</f>
        <v>1</v>
      </c>
      <c r="M12" s="15">
        <f>VLOOKUP(B12,BASE!$D$1:$F$38,3,FALSE)</f>
        <v>10454</v>
      </c>
      <c r="R12">
        <f t="shared" si="5"/>
        <v>1.0331622129070819E-2</v>
      </c>
      <c r="S12">
        <f t="shared" si="6"/>
        <v>1011844.9813011297</v>
      </c>
      <c r="T12" s="1">
        <f>(S12-$X$3)^2</f>
        <v>503356703.76088607</v>
      </c>
      <c r="U12" s="1">
        <f>T12*Q11</f>
        <v>34745022.607161686</v>
      </c>
      <c r="V12" s="1"/>
    </row>
    <row r="13" spans="2:27" x14ac:dyDescent="0.3">
      <c r="B13" s="14" t="s">
        <v>54</v>
      </c>
      <c r="C13" s="15">
        <v>10247</v>
      </c>
      <c r="D13" s="15">
        <f t="shared" si="0"/>
        <v>8.2483936078370609E-2</v>
      </c>
      <c r="E13" s="15">
        <f t="shared" si="1"/>
        <v>7.3939495146912088E-2</v>
      </c>
      <c r="F13" s="15">
        <f t="shared" si="2"/>
        <v>6.4043216306530773E-2</v>
      </c>
      <c r="G13" s="15">
        <v>3</v>
      </c>
      <c r="H13" s="15">
        <f t="shared" si="12"/>
        <v>0.15207551090069901</v>
      </c>
      <c r="I13" s="15">
        <f t="shared" ref="I13:I17" si="14">J12</f>
        <v>0.44531841320253485</v>
      </c>
      <c r="J13" s="15">
        <f t="shared" ref="J13:J17" si="15">I13+H13</f>
        <v>0.59739392410323389</v>
      </c>
      <c r="K13" s="15"/>
      <c r="L13" s="15">
        <f t="shared" si="13"/>
        <v>0</v>
      </c>
      <c r="M13" s="15">
        <f>VLOOKUP(B13,BASE!$D$1:$F$38,3,FALSE)</f>
        <v>10065</v>
      </c>
      <c r="T13" s="1"/>
    </row>
    <row r="14" spans="2:27" x14ac:dyDescent="0.3">
      <c r="B14" s="14" t="s">
        <v>6</v>
      </c>
      <c r="C14" s="15">
        <v>8426</v>
      </c>
      <c r="D14" s="15">
        <f t="shared" si="0"/>
        <v>6.7825670478808497E-2</v>
      </c>
      <c r="E14" s="15">
        <f t="shared" si="1"/>
        <v>6.0799666839843974E-2</v>
      </c>
      <c r="F14" s="15">
        <f t="shared" si="2"/>
        <v>5.2662061149490423E-2</v>
      </c>
      <c r="G14" s="15">
        <v>3</v>
      </c>
      <c r="H14" s="15">
        <f t="shared" si="12"/>
        <v>0.12505008830382452</v>
      </c>
      <c r="I14" s="15">
        <f t="shared" si="14"/>
        <v>0.59739392410323389</v>
      </c>
      <c r="J14" s="15">
        <f t="shared" si="15"/>
        <v>0.72244401240705836</v>
      </c>
      <c r="K14" s="15"/>
      <c r="L14" s="15">
        <f t="shared" si="13"/>
        <v>0</v>
      </c>
      <c r="M14" s="15">
        <f>VLOOKUP(B14,BASE!$D$1:$F$38,3,FALSE)</f>
        <v>8578</v>
      </c>
      <c r="T14" s="1"/>
    </row>
    <row r="15" spans="2:27" x14ac:dyDescent="0.3">
      <c r="B15" s="14" t="s">
        <v>74</v>
      </c>
      <c r="C15" s="15">
        <v>7798</v>
      </c>
      <c r="D15" s="15">
        <f t="shared" si="0"/>
        <v>6.2770540991425192E-2</v>
      </c>
      <c r="E15" s="15">
        <f t="shared" si="1"/>
        <v>5.626819392559973E-2</v>
      </c>
      <c r="F15" s="15">
        <f t="shared" si="2"/>
        <v>4.8737093857551185E-2</v>
      </c>
      <c r="G15" s="15">
        <v>3</v>
      </c>
      <c r="H15" s="15">
        <f t="shared" si="12"/>
        <v>0.11572995354773601</v>
      </c>
      <c r="I15" s="15">
        <f t="shared" si="14"/>
        <v>0.72244401240705836</v>
      </c>
      <c r="J15" s="15">
        <f t="shared" si="15"/>
        <v>0.83817396595479432</v>
      </c>
      <c r="K15" s="15"/>
      <c r="L15" s="15">
        <f t="shared" si="13"/>
        <v>0</v>
      </c>
      <c r="M15" s="15">
        <f>VLOOKUP(B15,BASE!$D$1:$F$38,3,FALSE)</f>
        <v>7361</v>
      </c>
      <c r="T15" s="1"/>
    </row>
    <row r="16" spans="2:27" x14ac:dyDescent="0.3">
      <c r="B16" s="14" t="s">
        <v>72</v>
      </c>
      <c r="C16" s="15">
        <v>7308</v>
      </c>
      <c r="D16" s="15">
        <f t="shared" si="0"/>
        <v>5.8826252060186629E-2</v>
      </c>
      <c r="E16" s="15">
        <f t="shared" si="1"/>
        <v>5.2732490537097054E-2</v>
      </c>
      <c r="F16" s="15">
        <f t="shared" si="2"/>
        <v>4.5674619378171848E-2</v>
      </c>
      <c r="G16" s="15">
        <v>3</v>
      </c>
      <c r="H16" s="15">
        <f t="shared" si="12"/>
        <v>0.10845787388136122</v>
      </c>
      <c r="I16" s="15">
        <f t="shared" si="14"/>
        <v>0.83817396595479432</v>
      </c>
      <c r="J16" s="15">
        <f t="shared" si="15"/>
        <v>0.94663183983615551</v>
      </c>
      <c r="K16" s="15"/>
      <c r="L16" s="15">
        <f t="shared" si="13"/>
        <v>0</v>
      </c>
      <c r="M16" s="15">
        <f>VLOOKUP(B16,BASE!$D$1:$F$38,3,FALSE)</f>
        <v>6943</v>
      </c>
      <c r="T16" s="1"/>
    </row>
    <row r="17" spans="2:22" x14ac:dyDescent="0.3">
      <c r="B17" s="14" t="s">
        <v>12</v>
      </c>
      <c r="C17" s="15">
        <v>3596</v>
      </c>
      <c r="D17" s="15">
        <f t="shared" si="0"/>
        <v>2.8946251013742628E-2</v>
      </c>
      <c r="E17" s="15">
        <f t="shared" si="1"/>
        <v>2.5947733438889026E-2</v>
      </c>
      <c r="F17" s="15">
        <f t="shared" si="2"/>
        <v>2.2474812709894085E-2</v>
      </c>
      <c r="G17" s="15">
        <v>3</v>
      </c>
      <c r="H17" s="15">
        <f t="shared" si="12"/>
        <v>5.3368160163844408E-2</v>
      </c>
      <c r="I17" s="15">
        <f t="shared" si="14"/>
        <v>0.94663183983615551</v>
      </c>
      <c r="J17" s="15">
        <f t="shared" si="15"/>
        <v>0.99999999999999989</v>
      </c>
      <c r="K17" s="15"/>
      <c r="L17" s="15">
        <f>(SUMPRODUCT(($K$11&gt;=I17)*($K$11&lt;=J17)))</f>
        <v>0</v>
      </c>
      <c r="M17" s="15">
        <f>VLOOKUP(B17,BASE!$D$1:$F$38,3,FALSE)</f>
        <v>3810</v>
      </c>
      <c r="T17" s="1"/>
    </row>
    <row r="18" spans="2:22" x14ac:dyDescent="0.3">
      <c r="B18" s="16" t="s">
        <v>16</v>
      </c>
      <c r="C18" s="17">
        <v>32009</v>
      </c>
      <c r="D18" s="17">
        <f t="shared" si="0"/>
        <v>0.25765866204084753</v>
      </c>
      <c r="E18" s="17">
        <f t="shared" si="1"/>
        <v>0.23096801992363705</v>
      </c>
      <c r="F18" s="17">
        <f t="shared" si="2"/>
        <v>0.20005458287847602</v>
      </c>
      <c r="G18" s="17">
        <v>4</v>
      </c>
      <c r="H18" s="17">
        <f>C18/SUM($C$18:$C$23)</f>
        <v>0.31509883446212</v>
      </c>
      <c r="I18" s="17">
        <v>0</v>
      </c>
      <c r="J18" s="17">
        <f>H18</f>
        <v>0.31509883446212</v>
      </c>
      <c r="K18" s="17">
        <v>0.36250199560263929</v>
      </c>
      <c r="L18" s="17">
        <f>(SUMPRODUCT(($K$18&gt;=I18)*($K$18&lt;=J18)))</f>
        <v>0</v>
      </c>
      <c r="M18" s="17">
        <f>VLOOKUP(B18,BASE!$D$1:$F$38,3,FALSE)</f>
        <v>30082</v>
      </c>
      <c r="N18">
        <f>COUNTIF($G$3:$G$39, 4)</f>
        <v>6</v>
      </c>
      <c r="O18">
        <f>N18^2</f>
        <v>36</v>
      </c>
      <c r="P18" s="1">
        <f>SUM(C18:C23)*(M19/C19)</f>
        <v>81978.925799086763</v>
      </c>
      <c r="Q18">
        <f>P18/SUM($C$3:$C$39)</f>
        <v>8.248688000616472E-2</v>
      </c>
      <c r="T18" s="1"/>
    </row>
    <row r="19" spans="2:22" x14ac:dyDescent="0.3">
      <c r="B19" s="16" t="s">
        <v>24</v>
      </c>
      <c r="C19" s="17">
        <v>28032</v>
      </c>
      <c r="D19" s="17">
        <f t="shared" si="0"/>
        <v>0.22564552514383573</v>
      </c>
      <c r="E19" s="17">
        <f t="shared" si="1"/>
        <v>0.20227109670715718</v>
      </c>
      <c r="F19" s="17">
        <f t="shared" si="2"/>
        <v>0.17519854001216656</v>
      </c>
      <c r="G19" s="17">
        <v>4</v>
      </c>
      <c r="H19" s="17">
        <f t="shared" ref="H19:H23" si="16">C19/SUM($C$18:$C$23)</f>
        <v>0.27594896834147109</v>
      </c>
      <c r="I19" s="17">
        <f>J18</f>
        <v>0.31509883446212</v>
      </c>
      <c r="J19" s="17">
        <f>I19+H19</f>
        <v>0.59104780280359104</v>
      </c>
      <c r="K19" s="17"/>
      <c r="L19" s="22">
        <f t="shared" ref="L19:L23" si="17">(SUMPRODUCT(($K$18&gt;=I19)*($K$18&lt;=J19)))</f>
        <v>1</v>
      </c>
      <c r="M19" s="17">
        <f>VLOOKUP(B19,BASE!$D$1:$F$38,3,FALSE)</f>
        <v>22622</v>
      </c>
      <c r="R19">
        <f t="shared" si="5"/>
        <v>2.8205690642979467E-2</v>
      </c>
      <c r="S19">
        <f t="shared" si="6"/>
        <v>802036.73387557082</v>
      </c>
      <c r="T19" s="1">
        <f>(S19-$X$3)^2</f>
        <v>35108504356.439224</v>
      </c>
      <c r="U19" s="1">
        <f>T19*Q18</f>
        <v>2895990986.0455136</v>
      </c>
      <c r="V19" s="1"/>
    </row>
    <row r="20" spans="2:22" x14ac:dyDescent="0.3">
      <c r="B20" s="16" t="s">
        <v>66</v>
      </c>
      <c r="C20" s="17">
        <v>13423</v>
      </c>
      <c r="D20" s="17">
        <f t="shared" si="0"/>
        <v>0.10804936800819447</v>
      </c>
      <c r="E20" s="17">
        <f t="shared" si="1"/>
        <v>9.685662568137024E-2</v>
      </c>
      <c r="F20" s="17">
        <f t="shared" si="2"/>
        <v>8.3893050891242577E-2</v>
      </c>
      <c r="G20" s="17">
        <v>4</v>
      </c>
      <c r="H20" s="17">
        <f t="shared" si="16"/>
        <v>0.13213695070089779</v>
      </c>
      <c r="I20" s="17">
        <f t="shared" ref="I20:I23" si="18">J19</f>
        <v>0.59104780280359104</v>
      </c>
      <c r="J20" s="17">
        <f t="shared" ref="J20:J37" si="19">I20+H20</f>
        <v>0.72318475350448885</v>
      </c>
      <c r="K20" s="17"/>
      <c r="L20" s="17">
        <f t="shared" si="17"/>
        <v>0</v>
      </c>
      <c r="M20" s="17">
        <f>VLOOKUP(B20,BASE!$D$1:$F$38,3,FALSE)</f>
        <v>10215</v>
      </c>
      <c r="T20" s="1"/>
    </row>
    <row r="21" spans="2:22" x14ac:dyDescent="0.3">
      <c r="B21" s="16" t="s">
        <v>48</v>
      </c>
      <c r="C21" s="17">
        <v>12788</v>
      </c>
      <c r="D21" s="17">
        <f t="shared" si="0"/>
        <v>0.10293789153607917</v>
      </c>
      <c r="E21" s="17">
        <f t="shared" si="1"/>
        <v>9.2274642718718825E-2</v>
      </c>
      <c r="F21" s="17">
        <f t="shared" si="2"/>
        <v>7.992433396388364E-2</v>
      </c>
      <c r="G21" s="17">
        <v>4</v>
      </c>
      <c r="H21" s="17">
        <f t="shared" si="16"/>
        <v>0.12588596629390456</v>
      </c>
      <c r="I21" s="17">
        <f t="shared" si="18"/>
        <v>0.72318475350448885</v>
      </c>
      <c r="J21" s="17">
        <f t="shared" si="19"/>
        <v>0.84907071979839344</v>
      </c>
      <c r="K21" s="17"/>
      <c r="L21" s="17">
        <f t="shared" si="17"/>
        <v>0</v>
      </c>
      <c r="M21" s="17">
        <f>VLOOKUP(B21,BASE!$D$1:$F$38,3,FALSE)</f>
        <v>12222</v>
      </c>
      <c r="T21" s="1"/>
    </row>
    <row r="22" spans="2:22" x14ac:dyDescent="0.3">
      <c r="B22" s="16" t="s">
        <v>58</v>
      </c>
      <c r="C22" s="17">
        <v>10163</v>
      </c>
      <c r="D22" s="17">
        <f t="shared" si="0"/>
        <v>8.180777226158685E-2</v>
      </c>
      <c r="E22" s="17">
        <f t="shared" si="1"/>
        <v>7.3333374566025913E-2</v>
      </c>
      <c r="F22" s="17">
        <f t="shared" si="2"/>
        <v>6.351822068149432E-2</v>
      </c>
      <c r="G22" s="17">
        <v>4</v>
      </c>
      <c r="H22" s="17">
        <f t="shared" si="16"/>
        <v>0.10004528272168846</v>
      </c>
      <c r="I22" s="17">
        <f t="shared" si="18"/>
        <v>0.84907071979839344</v>
      </c>
      <c r="J22" s="17">
        <f t="shared" si="19"/>
        <v>0.94911600252008188</v>
      </c>
      <c r="K22" s="17"/>
      <c r="L22" s="17">
        <f t="shared" si="17"/>
        <v>0</v>
      </c>
      <c r="M22" s="17">
        <f>VLOOKUP(B22,BASE!$D$1:$F$38,3,FALSE)</f>
        <v>10215</v>
      </c>
      <c r="T22" s="1"/>
    </row>
    <row r="23" spans="2:22" x14ac:dyDescent="0.3">
      <c r="B23" s="16" t="s">
        <v>42</v>
      </c>
      <c r="C23" s="17">
        <v>5169</v>
      </c>
      <c r="D23" s="17">
        <f t="shared" si="0"/>
        <v>4.1608223439943172E-2</v>
      </c>
      <c r="E23" s="17">
        <f t="shared" si="1"/>
        <v>3.7298062888102716E-2</v>
      </c>
      <c r="F23" s="17">
        <f t="shared" si="2"/>
        <v>3.230598078349347E-2</v>
      </c>
      <c r="G23" s="17">
        <v>4</v>
      </c>
      <c r="H23" s="17">
        <f t="shared" si="16"/>
        <v>5.0883997479918099E-2</v>
      </c>
      <c r="I23" s="17">
        <f t="shared" si="18"/>
        <v>0.94911600252008188</v>
      </c>
      <c r="J23" s="17">
        <f t="shared" si="19"/>
        <v>1</v>
      </c>
      <c r="K23" s="17"/>
      <c r="L23" s="17">
        <f t="shared" si="17"/>
        <v>0</v>
      </c>
      <c r="M23" s="17">
        <f>VLOOKUP(B23,BASE!$D$1:$F$38,3,FALSE)</f>
        <v>6403</v>
      </c>
      <c r="T23" s="1"/>
    </row>
    <row r="24" spans="2:22" x14ac:dyDescent="0.3">
      <c r="B24" s="18" t="s">
        <v>44</v>
      </c>
      <c r="C24" s="19">
        <v>27199</v>
      </c>
      <c r="D24" s="19">
        <f t="shared" si="0"/>
        <v>0.21894023396073017</v>
      </c>
      <c r="E24" s="19">
        <f t="shared" si="1"/>
        <v>0.19626040094670263</v>
      </c>
      <c r="F24" s="19">
        <f t="shared" si="2"/>
        <v>0.1699923333972217</v>
      </c>
      <c r="G24" s="19">
        <v>5</v>
      </c>
      <c r="H24" s="19">
        <f>C24/SUM($C$24:$C$27)</f>
        <v>0.34259119306731156</v>
      </c>
      <c r="I24" s="19">
        <f>0</f>
        <v>0</v>
      </c>
      <c r="J24" s="19">
        <f t="shared" si="19"/>
        <v>0.34259119306731156</v>
      </c>
      <c r="K24" s="19">
        <v>0.42033369765185336</v>
      </c>
      <c r="L24" s="19">
        <f>(SUMPRODUCT(($K$24&gt;=I24)*($K$24&lt;=J24)))</f>
        <v>0</v>
      </c>
      <c r="M24" s="19">
        <f>VLOOKUP(B24,BASE!$D$1:$F$38,3,FALSE)</f>
        <v>24146</v>
      </c>
      <c r="N24">
        <f>COUNTIF($G$3:$G$39, 5)</f>
        <v>4</v>
      </c>
      <c r="O24">
        <f>N24^2</f>
        <v>16</v>
      </c>
      <c r="P24" s="1">
        <f>SUM(C24:C27)*(M25/C25)</f>
        <v>58832.414826817905</v>
      </c>
      <c r="Q24">
        <f>P24/SUM($C$3:$C$39)</f>
        <v>5.919694964271776E-2</v>
      </c>
      <c r="T24" s="1"/>
    </row>
    <row r="25" spans="2:22" x14ac:dyDescent="0.3">
      <c r="B25" s="18" t="s">
        <v>8</v>
      </c>
      <c r="C25" s="19">
        <v>19748</v>
      </c>
      <c r="D25" s="19">
        <f t="shared" si="0"/>
        <v>0.15896289349816167</v>
      </c>
      <c r="E25" s="19">
        <f t="shared" si="1"/>
        <v>0.14249606227785888</v>
      </c>
      <c r="F25" s="19">
        <f t="shared" si="2"/>
        <v>0.12342397146690444</v>
      </c>
      <c r="G25" s="19">
        <v>5</v>
      </c>
      <c r="H25" s="19">
        <f t="shared" ref="H25:H27" si="20">C25/SUM($C$24:$C$27)</f>
        <v>0.24874042724707779</v>
      </c>
      <c r="I25" s="19">
        <f>J24</f>
        <v>0.34259119306731156</v>
      </c>
      <c r="J25" s="19">
        <f t="shared" si="19"/>
        <v>0.59133162031438935</v>
      </c>
      <c r="K25" s="19"/>
      <c r="L25" s="22">
        <f t="shared" ref="L25:L27" si="21">(SUMPRODUCT(($K$24&gt;=I25)*($K$24&lt;=J25)))</f>
        <v>1</v>
      </c>
      <c r="M25" s="19">
        <f>VLOOKUP(B25,BASE!$D$1:$F$38,3,FALSE)</f>
        <v>14634</v>
      </c>
      <c r="R25">
        <f t="shared" si="5"/>
        <v>1.9870361687270209E-2</v>
      </c>
      <c r="S25">
        <f t="shared" si="6"/>
        <v>736473.76078590238</v>
      </c>
      <c r="T25" s="1">
        <f>(S25-$X$3)^2</f>
        <v>63976421852.644051</v>
      </c>
      <c r="U25" s="1">
        <f>T25*Q24</f>
        <v>3787209022.7322378</v>
      </c>
      <c r="V25" s="1"/>
    </row>
    <row r="26" spans="2:22" x14ac:dyDescent="0.3">
      <c r="B26" s="18" t="s">
        <v>52</v>
      </c>
      <c r="C26" s="19">
        <v>16547</v>
      </c>
      <c r="D26" s="19">
        <f t="shared" si="0"/>
        <v>0.13319622233715217</v>
      </c>
      <c r="E26" s="19">
        <f t="shared" si="1"/>
        <v>0.11939853871337507</v>
      </c>
      <c r="F26" s="19">
        <f t="shared" si="2"/>
        <v>0.10341788818426513</v>
      </c>
      <c r="G26" s="19">
        <v>5</v>
      </c>
      <c r="H26" s="19">
        <f t="shared" si="20"/>
        <v>0.20842150342603788</v>
      </c>
      <c r="I26" s="19">
        <f t="shared" ref="I26:I27" si="22">J25</f>
        <v>0.59133162031438935</v>
      </c>
      <c r="J26" s="19">
        <f t="shared" si="19"/>
        <v>0.79975312374042717</v>
      </c>
      <c r="K26" s="19"/>
      <c r="L26" s="19">
        <f t="shared" si="21"/>
        <v>0</v>
      </c>
      <c r="M26" s="19">
        <f>VLOOKUP(B26,BASE!$D$1:$F$38,3,FALSE)</f>
        <v>21065</v>
      </c>
      <c r="T26" s="1"/>
    </row>
    <row r="27" spans="2:22" x14ac:dyDescent="0.3">
      <c r="B27" s="18" t="s">
        <v>62</v>
      </c>
      <c r="C27" s="19">
        <v>15898</v>
      </c>
      <c r="D27" s="19">
        <f t="shared" si="0"/>
        <v>0.12797205189557292</v>
      </c>
      <c r="E27" s="19">
        <f t="shared" si="1"/>
        <v>0.11471553565390927</v>
      </c>
      <c r="F27" s="19">
        <f t="shared" si="2"/>
        <v>9.9361671986066782E-2</v>
      </c>
      <c r="G27" s="19">
        <v>5</v>
      </c>
      <c r="H27" s="19">
        <f t="shared" si="20"/>
        <v>0.20024687625957274</v>
      </c>
      <c r="I27" s="19">
        <f t="shared" si="22"/>
        <v>0.79975312374042717</v>
      </c>
      <c r="J27" s="19">
        <f t="shared" si="19"/>
        <v>0.99999999999999989</v>
      </c>
      <c r="K27" s="19"/>
      <c r="L27" s="19">
        <f t="shared" si="21"/>
        <v>0</v>
      </c>
      <c r="M27" s="19">
        <f>VLOOKUP(B27,BASE!$D$1:$F$38,3,FALSE)</f>
        <v>16108</v>
      </c>
      <c r="T27" s="1"/>
    </row>
    <row r="28" spans="2:22" x14ac:dyDescent="0.3">
      <c r="B28" s="20" t="s">
        <v>22</v>
      </c>
      <c r="C28" s="21">
        <v>67324</v>
      </c>
      <c r="D28" s="21">
        <f t="shared" si="0"/>
        <v>0.54192920001368428</v>
      </c>
      <c r="E28" s="21">
        <f t="shared" si="1"/>
        <v>0.48579121413786563</v>
      </c>
      <c r="F28" s="21">
        <f t="shared" si="2"/>
        <v>0.42077149357088689</v>
      </c>
      <c r="G28" s="21">
        <v>6</v>
      </c>
      <c r="H28" s="21">
        <f>C28/SUM($C$28:$C$37)</f>
        <v>0.29750678321122082</v>
      </c>
      <c r="I28" s="21">
        <v>0</v>
      </c>
      <c r="J28" s="21">
        <f t="shared" si="19"/>
        <v>0.29750678321122082</v>
      </c>
      <c r="K28" s="21">
        <v>0.61715942215544073</v>
      </c>
      <c r="L28" s="21">
        <f>(SUMPRODUCT(($K$28&gt;=I28)*($K$28&lt;=J28)))</f>
        <v>0</v>
      </c>
      <c r="M28" s="21">
        <f>VLOOKUP(B28,BASE!$D$1:$F$38,3,FALSE)</f>
        <v>65319</v>
      </c>
      <c r="N28">
        <f>COUNTIF($G$3:$G$39, 6)</f>
        <v>10</v>
      </c>
      <c r="O28">
        <f>N28^2</f>
        <v>100</v>
      </c>
      <c r="P28" s="1">
        <f>SUM(C28:C37)*(M30/C30)</f>
        <v>247355.08625054854</v>
      </c>
      <c r="Q28">
        <f>P28/SUM($C$3:$C$39)</f>
        <v>0.24888773693459176</v>
      </c>
      <c r="T28" s="1"/>
    </row>
    <row r="29" spans="2:22" x14ac:dyDescent="0.3">
      <c r="B29" s="20" t="s">
        <v>36</v>
      </c>
      <c r="C29" s="21">
        <v>52367</v>
      </c>
      <c r="D29" s="21">
        <f t="shared" si="0"/>
        <v>0.42153179277993885</v>
      </c>
      <c r="E29" s="21">
        <f t="shared" si="1"/>
        <v>0.3778656721341217</v>
      </c>
      <c r="F29" s="21">
        <f t="shared" si="2"/>
        <v>0.32729102257481185</v>
      </c>
      <c r="G29" s="21">
        <v>6</v>
      </c>
      <c r="H29" s="21">
        <f t="shared" ref="H29:H37" si="23">C29/SUM($C$28:$C$37)</f>
        <v>0.23141134983693779</v>
      </c>
      <c r="I29" s="21">
        <f>J28</f>
        <v>0.29750678321122082</v>
      </c>
      <c r="J29" s="21">
        <f t="shared" si="19"/>
        <v>0.5289181330481586</v>
      </c>
      <c r="K29" s="21"/>
      <c r="L29" s="21">
        <f t="shared" ref="L29:L37" si="24">(SUMPRODUCT(($K$28&gt;=I29)*($K$28&lt;=J29)))</f>
        <v>0</v>
      </c>
      <c r="M29" s="21">
        <f>VLOOKUP(B29,BASE!$D$1:$F$38,3,FALSE)</f>
        <v>53967</v>
      </c>
      <c r="T29" s="1"/>
    </row>
    <row r="30" spans="2:22" x14ac:dyDescent="0.3">
      <c r="B30" s="20" t="s">
        <v>56</v>
      </c>
      <c r="C30" s="21">
        <v>29623</v>
      </c>
      <c r="D30" s="21">
        <f t="shared" si="0"/>
        <v>0.23845238981648995</v>
      </c>
      <c r="E30" s="21">
        <f t="shared" si="1"/>
        <v>0.21375130913798934</v>
      </c>
      <c r="F30" s="21">
        <f t="shared" si="2"/>
        <v>0.18514220714827376</v>
      </c>
      <c r="G30" s="21">
        <v>6</v>
      </c>
      <c r="H30" s="21">
        <f t="shared" si="23"/>
        <v>0.13090492898618611</v>
      </c>
      <c r="I30" s="21">
        <f t="shared" ref="I30:I37" si="25">J29</f>
        <v>0.5289181330481586</v>
      </c>
      <c r="J30" s="21">
        <f t="shared" si="19"/>
        <v>0.65982306203434471</v>
      </c>
      <c r="K30" s="21"/>
      <c r="L30" s="22">
        <f t="shared" si="24"/>
        <v>1</v>
      </c>
      <c r="M30" s="21">
        <f>VLOOKUP(B30,BASE!$D$1:$F$38,3,FALSE)</f>
        <v>32380</v>
      </c>
      <c r="R30">
        <f t="shared" si="5"/>
        <v>2.9806548727061243E-2</v>
      </c>
      <c r="S30">
        <f t="shared" si="6"/>
        <v>1086338.4518786077</v>
      </c>
      <c r="T30" s="1">
        <f>(S30-$X$3)^2</f>
        <v>9395247126.8455486</v>
      </c>
      <c r="U30" s="1">
        <f>T30*Q28</f>
        <v>2338361795.341814</v>
      </c>
      <c r="V30" s="1"/>
    </row>
    <row r="31" spans="2:22" x14ac:dyDescent="0.3">
      <c r="B31" s="20" t="s">
        <v>10</v>
      </c>
      <c r="C31" s="21">
        <v>23014</v>
      </c>
      <c r="D31" s="21">
        <f t="shared" si="0"/>
        <v>0.18525278666025385</v>
      </c>
      <c r="E31" s="21">
        <f t="shared" si="1"/>
        <v>0.16606260772040937</v>
      </c>
      <c r="F31" s="21">
        <f t="shared" si="2"/>
        <v>0.14383630136415529</v>
      </c>
      <c r="G31" s="21">
        <v>6</v>
      </c>
      <c r="H31" s="21">
        <f t="shared" si="23"/>
        <v>0.1016995589807949</v>
      </c>
      <c r="I31" s="21">
        <f t="shared" si="25"/>
        <v>0.65982306203434471</v>
      </c>
      <c r="J31" s="21">
        <f t="shared" si="19"/>
        <v>0.76152262101513957</v>
      </c>
      <c r="K31" s="21"/>
      <c r="L31" s="21">
        <f t="shared" si="24"/>
        <v>0</v>
      </c>
      <c r="M31" s="21">
        <f>VLOOKUP(B31,BASE!$D$1:$F$38,3,FALSE)</f>
        <v>20015</v>
      </c>
      <c r="T31" s="1"/>
    </row>
    <row r="32" spans="2:22" x14ac:dyDescent="0.3">
      <c r="B32" s="20" t="s">
        <v>26</v>
      </c>
      <c r="C32" s="21">
        <v>16002</v>
      </c>
      <c r="D32" s="21">
        <f t="shared" si="0"/>
        <v>0.1288092070973052</v>
      </c>
      <c r="E32" s="21">
        <f t="shared" si="1"/>
        <v>0.11546597065881596</v>
      </c>
      <c r="F32" s="21">
        <f t="shared" si="2"/>
        <v>0.10001166656944525</v>
      </c>
      <c r="G32" s="21">
        <v>6</v>
      </c>
      <c r="H32" s="21">
        <f t="shared" si="23"/>
        <v>7.0713319840561395E-2</v>
      </c>
      <c r="I32" s="21">
        <f t="shared" si="25"/>
        <v>0.76152262101513957</v>
      </c>
      <c r="J32" s="21">
        <f t="shared" si="19"/>
        <v>0.83223594085570096</v>
      </c>
      <c r="K32" s="21"/>
      <c r="L32" s="21">
        <f t="shared" si="24"/>
        <v>0</v>
      </c>
      <c r="M32" s="21">
        <f>VLOOKUP(B32,BASE!$D$1:$F$38,3,FALSE)</f>
        <v>15875</v>
      </c>
      <c r="T32" s="1"/>
    </row>
    <row r="33" spans="2:22" x14ac:dyDescent="0.3">
      <c r="B33" s="20" t="s">
        <v>30</v>
      </c>
      <c r="C33" s="21">
        <v>9876</v>
      </c>
      <c r="D33" s="21">
        <f t="shared" si="0"/>
        <v>7.9497545887575696E-2</v>
      </c>
      <c r="E33" s="21">
        <f t="shared" si="1"/>
        <v>7.1262462581331482E-2</v>
      </c>
      <c r="F33" s="21">
        <f t="shared" si="2"/>
        <v>6.1724485629286424E-2</v>
      </c>
      <c r="G33" s="21">
        <v>6</v>
      </c>
      <c r="H33" s="21">
        <f t="shared" si="23"/>
        <v>4.3642341378914158E-2</v>
      </c>
      <c r="I33" s="21">
        <f t="shared" si="25"/>
        <v>0.83223594085570096</v>
      </c>
      <c r="J33" s="21">
        <f t="shared" si="19"/>
        <v>0.87587828223461517</v>
      </c>
      <c r="K33" s="21"/>
      <c r="L33" s="21">
        <f t="shared" si="24"/>
        <v>0</v>
      </c>
      <c r="M33" s="21">
        <f>VLOOKUP(B33,BASE!$D$1:$F$38,3,FALSE)</f>
        <v>9044</v>
      </c>
      <c r="T33" s="1"/>
    </row>
    <row r="34" spans="2:22" x14ac:dyDescent="0.3">
      <c r="B34" s="20" t="s">
        <v>64</v>
      </c>
      <c r="C34" s="21">
        <v>8811</v>
      </c>
      <c r="D34" s="21">
        <f t="shared" si="0"/>
        <v>7.0924754639067375E-2</v>
      </c>
      <c r="E34" s="21">
        <f t="shared" si="1"/>
        <v>6.3577719502238936E-2</v>
      </c>
      <c r="F34" s="21">
        <f t="shared" si="2"/>
        <v>5.506829109757419E-2</v>
      </c>
      <c r="G34" s="21">
        <v>6</v>
      </c>
      <c r="H34" s="21">
        <f t="shared" si="23"/>
        <v>3.8936074310410351E-2</v>
      </c>
      <c r="I34" s="21">
        <f t="shared" si="25"/>
        <v>0.87587828223461517</v>
      </c>
      <c r="J34" s="21">
        <f t="shared" si="19"/>
        <v>0.91481435654502552</v>
      </c>
      <c r="K34" s="21"/>
      <c r="L34" s="21">
        <f t="shared" si="24"/>
        <v>0</v>
      </c>
      <c r="M34" s="21">
        <f>VLOOKUP(B34,BASE!$D$1:$F$38,3,FALSE)</f>
        <v>9767</v>
      </c>
      <c r="T34" s="1"/>
    </row>
    <row r="35" spans="2:22" x14ac:dyDescent="0.3">
      <c r="B35" s="20" t="s">
        <v>18</v>
      </c>
      <c r="C35" s="21">
        <v>8479</v>
      </c>
      <c r="D35" s="21">
        <f t="shared" si="0"/>
        <v>6.8252297648922058E-2</v>
      </c>
      <c r="E35" s="21">
        <f t="shared" si="1"/>
        <v>6.1182100063498349E-2</v>
      </c>
      <c r="F35" s="21">
        <f t="shared" si="2"/>
        <v>5.2993308389096758E-2</v>
      </c>
      <c r="G35" s="21">
        <v>6</v>
      </c>
      <c r="H35" s="21">
        <f t="shared" si="23"/>
        <v>3.7468956313468318E-2</v>
      </c>
      <c r="I35" s="21">
        <f t="shared" si="25"/>
        <v>0.91481435654502552</v>
      </c>
      <c r="J35" s="21">
        <f t="shared" si="19"/>
        <v>0.95228331285849388</v>
      </c>
      <c r="K35" s="21"/>
      <c r="L35" s="21">
        <f t="shared" si="24"/>
        <v>0</v>
      </c>
      <c r="M35" s="21">
        <f>VLOOKUP(B35,BASE!$D$1:$F$38,3,FALSE)</f>
        <v>6965</v>
      </c>
      <c r="T35" s="1"/>
    </row>
    <row r="36" spans="2:22" x14ac:dyDescent="0.3">
      <c r="B36" s="20" t="s">
        <v>28</v>
      </c>
      <c r="C36" s="21">
        <v>6468</v>
      </c>
      <c r="D36" s="21">
        <f t="shared" si="0"/>
        <v>5.2064613892349086E-2</v>
      </c>
      <c r="E36" s="21">
        <f t="shared" si="1"/>
        <v>4.6671284728235327E-2</v>
      </c>
      <c r="F36" s="21">
        <f t="shared" si="2"/>
        <v>4.0424663127807271E-2</v>
      </c>
      <c r="G36" s="21">
        <v>6</v>
      </c>
      <c r="H36" s="21">
        <f t="shared" si="23"/>
        <v>2.858228675970198E-2</v>
      </c>
      <c r="I36" s="21">
        <f t="shared" si="25"/>
        <v>0.95228331285849388</v>
      </c>
      <c r="J36" s="21">
        <f t="shared" si="19"/>
        <v>0.98086559961819586</v>
      </c>
      <c r="K36" s="21"/>
      <c r="L36" s="21">
        <f t="shared" si="24"/>
        <v>0</v>
      </c>
      <c r="M36" s="21">
        <f>VLOOKUP(B36,BASE!$D$1:$F$38,3,FALSE)</f>
        <v>6686</v>
      </c>
      <c r="T36" s="1"/>
    </row>
    <row r="37" spans="2:22" x14ac:dyDescent="0.3">
      <c r="B37" s="20" t="s">
        <v>14</v>
      </c>
      <c r="C37" s="21">
        <v>4330</v>
      </c>
      <c r="D37" s="21">
        <f t="shared" si="0"/>
        <v>3.4854634841353052E-2</v>
      </c>
      <c r="E37" s="21">
        <f t="shared" si="1"/>
        <v>3.1244072800442016E-2</v>
      </c>
      <c r="F37" s="21">
        <f t="shared" si="2"/>
        <v>2.7062274481045992E-2</v>
      </c>
      <c r="G37" s="21">
        <v>6</v>
      </c>
      <c r="H37" s="21">
        <f t="shared" si="23"/>
        <v>1.9134400381804202E-2</v>
      </c>
      <c r="I37" s="21">
        <f t="shared" si="25"/>
        <v>0.98086559961819586</v>
      </c>
      <c r="J37" s="21">
        <f t="shared" si="19"/>
        <v>1</v>
      </c>
      <c r="K37" s="21"/>
      <c r="L37" s="21">
        <f t="shared" si="24"/>
        <v>0</v>
      </c>
      <c r="M37" s="21">
        <f>VLOOKUP(B37,BASE!$D$1:$F$38,3,FALSE)</f>
        <v>6397</v>
      </c>
      <c r="T37" s="1"/>
    </row>
    <row r="38" spans="2:22" x14ac:dyDescent="0.3">
      <c r="B38" s="3" t="s">
        <v>2</v>
      </c>
      <c r="C38">
        <v>312979</v>
      </c>
      <c r="D38">
        <f>((C38*$AA$2)/SUM($C$3:$C$39))</f>
        <v>2.5193461334900316</v>
      </c>
      <c r="E38" s="9" t="s">
        <v>94</v>
      </c>
      <c r="L38">
        <v>1</v>
      </c>
      <c r="M38">
        <f>VLOOKUP(B38,BASE!$D$1:$F$38,3,FALSE)</f>
        <v>313310</v>
      </c>
      <c r="N38">
        <v>1</v>
      </c>
      <c r="O38">
        <v>1</v>
      </c>
      <c r="P38">
        <f>M38</f>
        <v>313310</v>
      </c>
      <c r="Q38">
        <f t="shared" ref="Q38:Q39" si="26">P38/SUM($C$3:$C$39)</f>
        <v>0.31525131761386621</v>
      </c>
      <c r="R38">
        <f t="shared" si="5"/>
        <v>0.31491826668625394</v>
      </c>
      <c r="S38">
        <f t="shared" si="6"/>
        <v>994893.06637186522</v>
      </c>
      <c r="T38" s="1">
        <f>(S38-$X$3)^2</f>
        <v>30070937.950026449</v>
      </c>
      <c r="U38" s="1">
        <f t="shared" si="7"/>
        <v>9479902.8106306512</v>
      </c>
      <c r="V38" s="1"/>
    </row>
    <row r="39" spans="2:22" x14ac:dyDescent="0.3">
      <c r="B39" s="3" t="s">
        <v>50</v>
      </c>
      <c r="C39">
        <v>102382</v>
      </c>
      <c r="D39">
        <f>(($C39*$AA$2)/SUM($C$3:$C$39))</f>
        <v>0.82413099868993256</v>
      </c>
      <c r="E39">
        <f>(($C39*$AA$3)/SUM($C$4:$C$39))</f>
        <v>0.73875996800343058</v>
      </c>
      <c r="F39" s="9" t="s">
        <v>94</v>
      </c>
      <c r="L39">
        <v>1</v>
      </c>
      <c r="M39">
        <f>VLOOKUP(B39,BASE!$D$1:$F$38,3,FALSE)</f>
        <v>118991</v>
      </c>
      <c r="N39">
        <v>1</v>
      </c>
      <c r="O39">
        <v>1</v>
      </c>
      <c r="P39">
        <f>M39</f>
        <v>118991</v>
      </c>
      <c r="Q39">
        <f t="shared" si="26"/>
        <v>0.11972828679005315</v>
      </c>
      <c r="R39">
        <f t="shared" si="5"/>
        <v>0.10301637483624157</v>
      </c>
      <c r="S39">
        <f t="shared" si="6"/>
        <v>1155068.7955109298</v>
      </c>
      <c r="T39" s="1">
        <f>(S39-$X$3)^2</f>
        <v>27443045624.671886</v>
      </c>
      <c r="U39" s="1">
        <f t="shared" si="7"/>
        <v>3285708836.9432287</v>
      </c>
      <c r="V39" s="1"/>
    </row>
    <row r="40" spans="2:22" x14ac:dyDescent="0.3">
      <c r="N40">
        <f>SUM(N3:N39)</f>
        <v>37</v>
      </c>
      <c r="O40">
        <f>SUM(O3:O39)</f>
        <v>237</v>
      </c>
    </row>
  </sheetData>
  <autoFilter ref="B2:G2" xr:uid="{FFE2B4E3-68BA-4F8F-BAF3-90974E07F60C}">
    <sortState xmlns:xlrd2="http://schemas.microsoft.com/office/spreadsheetml/2017/richdata2" ref="B3:G39">
      <sortCondition ref="G2"/>
    </sortState>
  </autoFilter>
  <mergeCells count="1">
    <mergeCell ref="I2:J2"/>
  </mergeCells>
  <pageMargins left="0.7" right="0.7" top="0.75" bottom="0.75" header="0.3" footer="0.3"/>
  <ignoredErrors>
    <ignoredError sqref="J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625-9E4F-45A7-9AF0-86F71215C304}">
  <dimension ref="B2:S39"/>
  <sheetViews>
    <sheetView topLeftCell="C1" zoomScale="70" zoomScaleNormal="70" workbookViewId="0">
      <selection activeCell="C3" sqref="C3:C22"/>
    </sheetView>
  </sheetViews>
  <sheetFormatPr baseColWidth="10" defaultRowHeight="14.4" x14ac:dyDescent="0.3"/>
  <cols>
    <col min="2" max="2" width="11" bestFit="1" customWidth="1"/>
    <col min="3" max="3" width="20.5546875" bestFit="1" customWidth="1"/>
    <col min="4" max="4" width="19.88671875" bestFit="1" customWidth="1"/>
    <col min="5" max="5" width="15.21875" bestFit="1" customWidth="1"/>
    <col min="6" max="7" width="16.6640625" bestFit="1" customWidth="1"/>
    <col min="8" max="8" width="17.6640625" bestFit="1" customWidth="1"/>
    <col min="9" max="9" width="16.88671875" bestFit="1" customWidth="1"/>
    <col min="10" max="10" width="17.88671875" bestFit="1" customWidth="1"/>
    <col min="11" max="11" width="19.33203125" bestFit="1" customWidth="1"/>
    <col min="12" max="12" width="22.109375" bestFit="1" customWidth="1"/>
    <col min="13" max="13" width="14.6640625" bestFit="1" customWidth="1"/>
    <col min="14" max="14" width="19.5546875" bestFit="1" customWidth="1"/>
    <col min="15" max="15" width="19.109375" bestFit="1" customWidth="1"/>
    <col min="16" max="16" width="12.44140625" customWidth="1"/>
    <col min="18" max="18" width="23.109375" bestFit="1" customWidth="1"/>
    <col min="19" max="19" width="14.6640625" bestFit="1" customWidth="1"/>
  </cols>
  <sheetData>
    <row r="2" spans="2:19" x14ac:dyDescent="0.3">
      <c r="B2" s="4" t="s">
        <v>122</v>
      </c>
      <c r="C2" s="4" t="s">
        <v>76</v>
      </c>
      <c r="D2" s="4" t="s">
        <v>118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80</v>
      </c>
      <c r="K2" s="4" t="s">
        <v>116</v>
      </c>
      <c r="L2" s="4" t="s">
        <v>117</v>
      </c>
      <c r="M2" s="4" t="s">
        <v>119</v>
      </c>
      <c r="N2" s="4" t="s">
        <v>77</v>
      </c>
      <c r="O2" s="28" t="s">
        <v>121</v>
      </c>
      <c r="P2" s="4"/>
    </row>
    <row r="3" spans="2:19" x14ac:dyDescent="0.3">
      <c r="B3" s="12">
        <v>1</v>
      </c>
      <c r="C3" s="12" t="s">
        <v>2</v>
      </c>
      <c r="D3" s="13">
        <v>312979</v>
      </c>
      <c r="E3" s="13">
        <f t="shared" ref="E3:E39" si="0">($S$3*D3)/(SUM($D$3:$D$39))</f>
        <v>2.5193461334900316</v>
      </c>
      <c r="F3" s="13">
        <v>1</v>
      </c>
      <c r="G3" s="13">
        <v>1</v>
      </c>
      <c r="K3">
        <v>1</v>
      </c>
      <c r="L3">
        <f>K3</f>
        <v>1</v>
      </c>
      <c r="M3">
        <v>1</v>
      </c>
      <c r="N3">
        <f>VLOOKUP(C3,BASE!$D$1:$F$38,3,FALSE)</f>
        <v>313310</v>
      </c>
      <c r="O3" s="7">
        <f t="shared" ref="O3:O39" si="1">(N3*K3)/M3</f>
        <v>313310</v>
      </c>
      <c r="R3" s="4" t="s">
        <v>92</v>
      </c>
      <c r="S3">
        <v>8</v>
      </c>
    </row>
    <row r="4" spans="2:19" x14ac:dyDescent="0.3">
      <c r="B4" s="12">
        <v>2</v>
      </c>
      <c r="C4" s="12" t="s">
        <v>50</v>
      </c>
      <c r="D4" s="13">
        <v>102382</v>
      </c>
      <c r="E4" s="13">
        <f t="shared" si="0"/>
        <v>0.82413099868993256</v>
      </c>
      <c r="F4" s="13">
        <f t="shared" ref="F4:F39" si="2">($S$4*D4)/(SUM($D$4:$D$39))</f>
        <v>1.052596484167887</v>
      </c>
      <c r="G4" s="13">
        <v>1</v>
      </c>
      <c r="K4">
        <v>1</v>
      </c>
      <c r="L4">
        <f>K4+L3</f>
        <v>2</v>
      </c>
      <c r="M4">
        <v>1</v>
      </c>
      <c r="N4">
        <f>VLOOKUP(C4,BASE!$D$1:$F$38,3,FALSE)</f>
        <v>118991</v>
      </c>
      <c r="O4" s="7">
        <f t="shared" si="1"/>
        <v>118991</v>
      </c>
      <c r="R4" s="4" t="s">
        <v>93</v>
      </c>
      <c r="S4">
        <v>7</v>
      </c>
    </row>
    <row r="5" spans="2:19" x14ac:dyDescent="0.3">
      <c r="B5" s="26">
        <v>3</v>
      </c>
      <c r="C5" s="26" t="s">
        <v>22</v>
      </c>
      <c r="D5" s="27">
        <v>67324</v>
      </c>
      <c r="E5" s="27">
        <f t="shared" si="0"/>
        <v>0.54192920001368428</v>
      </c>
      <c r="F5" s="27">
        <f t="shared" si="2"/>
        <v>0.69216274052195526</v>
      </c>
      <c r="G5" s="27">
        <f t="shared" ref="G5:G39" si="3">($S$5*D5)/(SUM($D$5:$D$39))</f>
        <v>0.69828395401058985</v>
      </c>
      <c r="H5" s="27">
        <f>($S$5*D5)/(SUM(D5:$D$39))</f>
        <v>0.69828395401058985</v>
      </c>
      <c r="I5">
        <f>($S$5*D5)/(SUM(D5:$D$39))</f>
        <v>0.69828395401058985</v>
      </c>
      <c r="J5">
        <v>0.35309332131082194</v>
      </c>
      <c r="K5">
        <f>IF(J5&lt;I5,1,0)</f>
        <v>1</v>
      </c>
      <c r="L5">
        <f t="shared" ref="L5:L39" si="4">K5+L4</f>
        <v>3</v>
      </c>
      <c r="M5">
        <f t="shared" ref="M5:M31" si="5">(($S$5)*D5)/SUM($D$5:$D$39)</f>
        <v>0.69828395401058985</v>
      </c>
      <c r="N5">
        <f>VLOOKUP(C5,BASE!$D$1:$F$38,3,FALSE)</f>
        <v>65319</v>
      </c>
      <c r="O5" s="7">
        <f t="shared" si="1"/>
        <v>93542.175249539534</v>
      </c>
      <c r="R5" s="4" t="s">
        <v>96</v>
      </c>
      <c r="S5">
        <v>6</v>
      </c>
    </row>
    <row r="6" spans="2:19" x14ac:dyDescent="0.3">
      <c r="B6" s="26">
        <v>4</v>
      </c>
      <c r="C6" s="26" t="s">
        <v>36</v>
      </c>
      <c r="D6" s="27">
        <v>52367</v>
      </c>
      <c r="E6" s="27">
        <f t="shared" si="0"/>
        <v>0.42153179277993885</v>
      </c>
      <c r="F6" s="27">
        <f t="shared" si="2"/>
        <v>0.53838878012169844</v>
      </c>
      <c r="G6" s="27">
        <f t="shared" si="3"/>
        <v>0.54315007753063627</v>
      </c>
      <c r="H6" s="27">
        <f>($S$5*D6)/(SUM(D6:$D$39))</f>
        <v>0.61468785519908753</v>
      </c>
      <c r="I6">
        <f>(($S$3-L5)*D6)/SUM(D6:$D$39)</f>
        <v>0.51223987933257298</v>
      </c>
      <c r="J6">
        <v>0.60204614145168633</v>
      </c>
      <c r="K6">
        <f t="shared" ref="K6:K39" si="6">IF(J6&lt;I6,1,0)</f>
        <v>0</v>
      </c>
      <c r="L6">
        <f t="shared" si="4"/>
        <v>3</v>
      </c>
      <c r="M6">
        <f t="shared" si="5"/>
        <v>0.54315007753063627</v>
      </c>
      <c r="N6">
        <f>VLOOKUP(C6,BASE!$D$1:$F$38,3,FALSE)</f>
        <v>53967</v>
      </c>
      <c r="O6" s="7">
        <f t="shared" si="1"/>
        <v>0</v>
      </c>
      <c r="R6" s="4"/>
    </row>
    <row r="7" spans="2:19" x14ac:dyDescent="0.3">
      <c r="B7" s="26">
        <v>5</v>
      </c>
      <c r="C7" s="26" t="s">
        <v>16</v>
      </c>
      <c r="D7" s="27">
        <v>32009</v>
      </c>
      <c r="E7" s="27">
        <f t="shared" si="0"/>
        <v>0.25765866204084753</v>
      </c>
      <c r="F7" s="27">
        <f t="shared" si="2"/>
        <v>0.32908676194770459</v>
      </c>
      <c r="G7" s="27">
        <f t="shared" si="3"/>
        <v>0.33199707509840426</v>
      </c>
      <c r="H7" s="27">
        <f>($S$5*D7)/(SUM(D7:$D$39))</f>
        <v>0.4186098214869548</v>
      </c>
      <c r="I7">
        <f>(($S$3-L6)*D7)/SUM(D7:$D$39)</f>
        <v>0.34884151790579571</v>
      </c>
      <c r="J7">
        <v>0.94530028944987898</v>
      </c>
      <c r="K7">
        <f t="shared" si="6"/>
        <v>0</v>
      </c>
      <c r="L7">
        <f t="shared" si="4"/>
        <v>3</v>
      </c>
      <c r="M7">
        <f t="shared" si="5"/>
        <v>0.33199707509840426</v>
      </c>
      <c r="N7">
        <f>VLOOKUP(C7,BASE!$D$1:$F$38,3,FALSE)</f>
        <v>30082</v>
      </c>
      <c r="O7" s="7">
        <f t="shared" si="1"/>
        <v>0</v>
      </c>
      <c r="R7" s="4" t="s">
        <v>84</v>
      </c>
      <c r="S7" s="7">
        <f>SUM(O3:O39)</f>
        <v>1018870.1616891733</v>
      </c>
    </row>
    <row r="8" spans="2:19" x14ac:dyDescent="0.3">
      <c r="B8" s="26">
        <v>6</v>
      </c>
      <c r="C8" s="26" t="s">
        <v>56</v>
      </c>
      <c r="D8" s="27">
        <v>29623</v>
      </c>
      <c r="E8" s="27">
        <f t="shared" si="0"/>
        <v>0.23845238981648995</v>
      </c>
      <c r="F8" s="27">
        <f t="shared" si="2"/>
        <v>0.30455612950035471</v>
      </c>
      <c r="G8" s="27">
        <f t="shared" si="3"/>
        <v>0.30724950344090818</v>
      </c>
      <c r="H8" s="27">
        <f>($S$5*D8)/(SUM(D8:$D$39))</f>
        <v>0.41646183874164971</v>
      </c>
      <c r="I8">
        <f>(($S$3-L7)*D8)/SUM(D8:$D$39)</f>
        <v>0.34705153228470809</v>
      </c>
      <c r="J8">
        <v>0.31642406011455371</v>
      </c>
      <c r="K8">
        <f t="shared" si="6"/>
        <v>1</v>
      </c>
      <c r="L8">
        <f t="shared" si="4"/>
        <v>4</v>
      </c>
      <c r="M8">
        <f t="shared" si="5"/>
        <v>0.30724950344090818</v>
      </c>
      <c r="N8">
        <f>VLOOKUP(C8,BASE!$D$1:$F$38,3,FALSE)</f>
        <v>32380</v>
      </c>
      <c r="O8" s="7">
        <f t="shared" si="1"/>
        <v>105386.66340343651</v>
      </c>
    </row>
    <row r="9" spans="2:19" x14ac:dyDescent="0.3">
      <c r="B9" s="26">
        <v>7</v>
      </c>
      <c r="C9" s="26" t="s">
        <v>24</v>
      </c>
      <c r="D9" s="27">
        <v>28032</v>
      </c>
      <c r="E9" s="27">
        <f t="shared" si="0"/>
        <v>0.22564552514383573</v>
      </c>
      <c r="F9" s="27">
        <f t="shared" si="2"/>
        <v>0.28819894751220143</v>
      </c>
      <c r="G9" s="27">
        <f t="shared" si="3"/>
        <v>0.29074766500541938</v>
      </c>
      <c r="H9" s="27">
        <f>($S$5*D9)/(SUM(D9:$D$39))</f>
        <v>0.4234888885531703</v>
      </c>
      <c r="I9">
        <f>(($S$3-L8)*D9)/SUM(D9:$D$39)</f>
        <v>0.28232592570211351</v>
      </c>
      <c r="J9">
        <v>0.8529408847677532</v>
      </c>
      <c r="K9">
        <f t="shared" si="6"/>
        <v>0</v>
      </c>
      <c r="L9">
        <f t="shared" si="4"/>
        <v>4</v>
      </c>
      <c r="M9">
        <f t="shared" si="5"/>
        <v>0.29074766500541938</v>
      </c>
      <c r="N9">
        <f>VLOOKUP(C9,BASE!$D$1:$F$38,3,FALSE)</f>
        <v>22622</v>
      </c>
      <c r="O9" s="7">
        <f t="shared" si="1"/>
        <v>0</v>
      </c>
      <c r="R9" s="4"/>
    </row>
    <row r="10" spans="2:19" x14ac:dyDescent="0.3">
      <c r="B10" s="26">
        <v>8</v>
      </c>
      <c r="C10" s="26" t="s">
        <v>44</v>
      </c>
      <c r="D10" s="27">
        <v>27199</v>
      </c>
      <c r="E10" s="27">
        <f t="shared" si="0"/>
        <v>0.21894023396073017</v>
      </c>
      <c r="F10" s="27">
        <f t="shared" si="2"/>
        <v>0.27963481640212495</v>
      </c>
      <c r="G10" s="27">
        <f t="shared" si="3"/>
        <v>0.28210779610739162</v>
      </c>
      <c r="H10" s="27">
        <f>($S$5*D10)/(SUM(D10:$D$39))</f>
        <v>0.44210919848507013</v>
      </c>
      <c r="I10">
        <f>(($S$3-L9)*D10)/SUM(D10:$D$39)</f>
        <v>0.29473946565671344</v>
      </c>
      <c r="J10">
        <v>0.89994366612244925</v>
      </c>
      <c r="K10">
        <f t="shared" si="6"/>
        <v>0</v>
      </c>
      <c r="L10">
        <f t="shared" si="4"/>
        <v>4</v>
      </c>
      <c r="M10">
        <f t="shared" si="5"/>
        <v>0.28210779610739162</v>
      </c>
      <c r="N10">
        <f>VLOOKUP(C10,BASE!$D$1:$F$38,3,FALSE)</f>
        <v>24146</v>
      </c>
      <c r="O10" s="7">
        <f t="shared" si="1"/>
        <v>0</v>
      </c>
      <c r="R10" s="4"/>
    </row>
    <row r="11" spans="2:19" x14ac:dyDescent="0.3">
      <c r="B11" s="26">
        <v>9</v>
      </c>
      <c r="C11" s="26" t="s">
        <v>4</v>
      </c>
      <c r="D11" s="27">
        <v>26582</v>
      </c>
      <c r="E11" s="27">
        <f t="shared" si="0"/>
        <v>0.21397364973506855</v>
      </c>
      <c r="F11" s="27">
        <f t="shared" si="2"/>
        <v>0.27329139636020755</v>
      </c>
      <c r="G11" s="27">
        <f t="shared" si="3"/>
        <v>0.27570827736779602</v>
      </c>
      <c r="H11" s="27">
        <f>($S$5*D11)/(SUM(D11:$D$39))</f>
        <v>0.46645044117604051</v>
      </c>
      <c r="I11">
        <f>(($S$3-L10)*D11)/SUM(D11:$D$39)</f>
        <v>0.31096696078402702</v>
      </c>
      <c r="J11">
        <v>0.10416690886965796</v>
      </c>
      <c r="K11">
        <f t="shared" si="6"/>
        <v>1</v>
      </c>
      <c r="L11">
        <f t="shared" si="4"/>
        <v>5</v>
      </c>
      <c r="M11">
        <f t="shared" si="5"/>
        <v>0.27570827736779602</v>
      </c>
      <c r="N11">
        <f>VLOOKUP(C11,BASE!$D$1:$F$38,3,FALSE)</f>
        <v>24562</v>
      </c>
      <c r="O11" s="7">
        <f t="shared" si="1"/>
        <v>89086.915469114436</v>
      </c>
    </row>
    <row r="12" spans="2:19" x14ac:dyDescent="0.3">
      <c r="B12" s="26">
        <v>10</v>
      </c>
      <c r="C12" s="26" t="s">
        <v>32</v>
      </c>
      <c r="D12" s="27">
        <v>23738</v>
      </c>
      <c r="E12" s="27">
        <f t="shared" si="0"/>
        <v>0.19108067479539001</v>
      </c>
      <c r="F12" s="27">
        <f t="shared" si="2"/>
        <v>0.24405203396277958</v>
      </c>
      <c r="G12" s="27">
        <f t="shared" si="3"/>
        <v>0.24621033361510578</v>
      </c>
      <c r="H12" s="27">
        <f>($S$5*D12)/(SUM(D12:$D$39))</f>
        <v>0.45165770822432572</v>
      </c>
      <c r="I12">
        <f>(($S$3-L11)*D12)/SUM(D12:$D$39)</f>
        <v>0.22582885411216286</v>
      </c>
      <c r="J12">
        <v>2.2009621560999948E-2</v>
      </c>
      <c r="K12">
        <f t="shared" si="6"/>
        <v>1</v>
      </c>
      <c r="L12">
        <f t="shared" si="4"/>
        <v>6</v>
      </c>
      <c r="M12">
        <f t="shared" si="5"/>
        <v>0.24621033361510578</v>
      </c>
      <c r="N12">
        <f>VLOOKUP(C12,BASE!$D$1:$F$38,3,FALSE)</f>
        <v>24571</v>
      </c>
      <c r="O12" s="7">
        <f t="shared" si="1"/>
        <v>99796.786102451762</v>
      </c>
    </row>
    <row r="13" spans="2:19" x14ac:dyDescent="0.3">
      <c r="B13" s="26">
        <v>11</v>
      </c>
      <c r="C13" s="26" t="s">
        <v>10</v>
      </c>
      <c r="D13" s="27">
        <v>23014</v>
      </c>
      <c r="E13" s="27">
        <f t="shared" si="0"/>
        <v>0.18525278666025385</v>
      </c>
      <c r="F13" s="27">
        <f t="shared" si="2"/>
        <v>0.23660853945654264</v>
      </c>
      <c r="G13" s="27">
        <f t="shared" si="3"/>
        <v>0.23870101178776831</v>
      </c>
      <c r="H13" s="27">
        <f>($S$5*D13)/(SUM(D13:$D$39))</f>
        <v>0.47352772738651677</v>
      </c>
      <c r="I13">
        <f>(($S$3-L12)*D13)/SUM(D13:$D$39)</f>
        <v>0.15784257579550559</v>
      </c>
      <c r="J13">
        <v>0.28825945510887296</v>
      </c>
      <c r="K13">
        <f t="shared" si="6"/>
        <v>0</v>
      </c>
      <c r="L13">
        <f t="shared" si="4"/>
        <v>6</v>
      </c>
      <c r="M13">
        <f t="shared" si="5"/>
        <v>0.23870101178776831</v>
      </c>
      <c r="N13">
        <f>VLOOKUP(C13,BASE!$D$1:$F$38,3,FALSE)</f>
        <v>20015</v>
      </c>
      <c r="O13" s="7">
        <f t="shared" si="1"/>
        <v>0</v>
      </c>
    </row>
    <row r="14" spans="2:19" x14ac:dyDescent="0.3">
      <c r="B14" s="26">
        <v>12</v>
      </c>
      <c r="C14" s="26" t="s">
        <v>8</v>
      </c>
      <c r="D14" s="27">
        <v>19748</v>
      </c>
      <c r="E14" s="27">
        <f t="shared" si="0"/>
        <v>0.15896289349816167</v>
      </c>
      <c r="F14" s="27">
        <f t="shared" si="2"/>
        <v>0.20303056562039648</v>
      </c>
      <c r="G14" s="27">
        <f t="shared" si="3"/>
        <v>0.20482608763295596</v>
      </c>
      <c r="H14" s="27">
        <f>($S$5*D14)/(SUM(D14:$D$39))</f>
        <v>0.44114329115055123</v>
      </c>
      <c r="I14">
        <f>(($S$3-L13)*D14)/SUM(D14:$D$39)</f>
        <v>0.14704776371685041</v>
      </c>
      <c r="J14">
        <v>0.61979131203144899</v>
      </c>
      <c r="K14">
        <f t="shared" si="6"/>
        <v>0</v>
      </c>
      <c r="L14">
        <f t="shared" si="4"/>
        <v>6</v>
      </c>
      <c r="M14">
        <f t="shared" si="5"/>
        <v>0.20482608763295596</v>
      </c>
      <c r="N14">
        <f>VLOOKUP(C14,BASE!$D$1:$F$38,3,FALSE)</f>
        <v>14634</v>
      </c>
      <c r="O14" s="7">
        <f t="shared" si="1"/>
        <v>0</v>
      </c>
    </row>
    <row r="15" spans="2:19" x14ac:dyDescent="0.3">
      <c r="B15" s="26">
        <v>13</v>
      </c>
      <c r="C15" s="26" t="s">
        <v>70</v>
      </c>
      <c r="D15" s="27">
        <v>19738</v>
      </c>
      <c r="E15" s="27">
        <f t="shared" si="0"/>
        <v>0.15888239780568741</v>
      </c>
      <c r="F15" s="27">
        <f t="shared" si="2"/>
        <v>0.20292775492279652</v>
      </c>
      <c r="G15" s="27">
        <f t="shared" si="3"/>
        <v>0.20472236771821373</v>
      </c>
      <c r="H15" s="27">
        <f>($S$5*D15)/(SUM(D15:$D$39))</f>
        <v>0.4759107074685045</v>
      </c>
      <c r="I15">
        <f>(($S$3-L14)*D15)/SUM(D15:$D$39)</f>
        <v>0.15863690248950149</v>
      </c>
      <c r="J15">
        <v>0.80089332878544972</v>
      </c>
      <c r="K15">
        <f t="shared" si="6"/>
        <v>0</v>
      </c>
      <c r="L15">
        <f t="shared" si="4"/>
        <v>6</v>
      </c>
      <c r="M15">
        <f t="shared" si="5"/>
        <v>0.20472236771821373</v>
      </c>
      <c r="N15">
        <f>VLOOKUP(C15,BASE!$D$1:$F$38,3,FALSE)</f>
        <v>20894</v>
      </c>
      <c r="O15" s="7">
        <f t="shared" si="1"/>
        <v>0</v>
      </c>
    </row>
    <row r="16" spans="2:19" x14ac:dyDescent="0.3">
      <c r="B16" s="26">
        <v>14</v>
      </c>
      <c r="C16" s="26" t="s">
        <v>52</v>
      </c>
      <c r="D16" s="27">
        <v>16547</v>
      </c>
      <c r="E16" s="27">
        <f t="shared" si="0"/>
        <v>0.13319622233715217</v>
      </c>
      <c r="F16" s="27">
        <f t="shared" si="2"/>
        <v>0.17012086131865001</v>
      </c>
      <c r="G16" s="27">
        <f t="shared" si="3"/>
        <v>0.17162534292396811</v>
      </c>
      <c r="H16" s="27">
        <f>($S$5*D16)/(SUM(D16:$D$39))</f>
        <v>0.43334337231075437</v>
      </c>
      <c r="I16">
        <f>(($S$3-L15)*D16)/SUM(D16:$D$39)</f>
        <v>0.14444779077025147</v>
      </c>
      <c r="J16">
        <v>0.37489259115767215</v>
      </c>
      <c r="K16">
        <f t="shared" si="6"/>
        <v>0</v>
      </c>
      <c r="L16">
        <f t="shared" si="4"/>
        <v>6</v>
      </c>
      <c r="M16">
        <f t="shared" si="5"/>
        <v>0.17162534292396811</v>
      </c>
      <c r="N16">
        <f>VLOOKUP(C16,BASE!$D$1:$F$38,3,FALSE)</f>
        <v>21065</v>
      </c>
      <c r="O16" s="7">
        <f t="shared" si="1"/>
        <v>0</v>
      </c>
    </row>
    <row r="17" spans="2:15" x14ac:dyDescent="0.3">
      <c r="B17" s="26">
        <v>15</v>
      </c>
      <c r="C17" s="26" t="s">
        <v>26</v>
      </c>
      <c r="D17" s="27">
        <v>16002</v>
      </c>
      <c r="E17" s="27">
        <f t="shared" si="0"/>
        <v>0.1288092070973052</v>
      </c>
      <c r="F17" s="27">
        <f t="shared" si="2"/>
        <v>0.16451767829945232</v>
      </c>
      <c r="G17" s="27">
        <f t="shared" si="3"/>
        <v>0.16597260757051657</v>
      </c>
      <c r="H17" s="27">
        <f>($S$5*D17)/(SUM(D17:$D$39))</f>
        <v>0.4516936394429808</v>
      </c>
      <c r="I17">
        <f>(($S$3-L16)*D17)/SUM(D17:$D$39)</f>
        <v>0.1505645464809936</v>
      </c>
      <c r="J17">
        <v>4.1042037058979686E-2</v>
      </c>
      <c r="K17">
        <f t="shared" si="6"/>
        <v>1</v>
      </c>
      <c r="L17">
        <f t="shared" si="4"/>
        <v>7</v>
      </c>
      <c r="M17">
        <f t="shared" si="5"/>
        <v>0.16597260757051657</v>
      </c>
      <c r="N17">
        <f>VLOOKUP(C17,BASE!$D$1:$F$38,3,FALSE)</f>
        <v>15875</v>
      </c>
      <c r="O17" s="7">
        <f t="shared" si="1"/>
        <v>95648.313492063491</v>
      </c>
    </row>
    <row r="18" spans="2:15" x14ac:dyDescent="0.3">
      <c r="B18" s="26">
        <v>16</v>
      </c>
      <c r="C18" s="26" t="s">
        <v>62</v>
      </c>
      <c r="D18" s="27">
        <v>15898</v>
      </c>
      <c r="E18" s="27">
        <f t="shared" si="0"/>
        <v>0.12797205189557292</v>
      </c>
      <c r="F18" s="27">
        <f t="shared" si="2"/>
        <v>0.16344844704441275</v>
      </c>
      <c r="G18" s="27">
        <f t="shared" si="3"/>
        <v>0.16489392045719739</v>
      </c>
      <c r="H18" s="27">
        <f>($S$5*D18)/(SUM(D18:$D$39))</f>
        <v>0.48529187313668232</v>
      </c>
      <c r="I18">
        <f>(($S$3-L17)*D18)/SUM(D18:$D$39)</f>
        <v>8.0881978856113715E-2</v>
      </c>
      <c r="J18">
        <v>0.87530788142575866</v>
      </c>
      <c r="K18">
        <f t="shared" si="6"/>
        <v>0</v>
      </c>
      <c r="L18">
        <f t="shared" si="4"/>
        <v>7</v>
      </c>
      <c r="M18">
        <f t="shared" si="5"/>
        <v>0.16489392045719739</v>
      </c>
      <c r="N18">
        <f>VLOOKUP(C18,BASE!$D$1:$F$38,3,FALSE)</f>
        <v>16108</v>
      </c>
      <c r="O18" s="7">
        <f t="shared" si="1"/>
        <v>0</v>
      </c>
    </row>
    <row r="19" spans="2:15" x14ac:dyDescent="0.3">
      <c r="B19" s="26">
        <v>17</v>
      </c>
      <c r="C19" s="26" t="s">
        <v>60</v>
      </c>
      <c r="D19" s="27">
        <v>14473</v>
      </c>
      <c r="E19" s="27">
        <f t="shared" si="0"/>
        <v>0.11650141571799139</v>
      </c>
      <c r="F19" s="27">
        <f t="shared" si="2"/>
        <v>0.14879792263641878</v>
      </c>
      <c r="G19" s="27">
        <f t="shared" si="3"/>
        <v>0.1501138326064296</v>
      </c>
      <c r="H19" s="27">
        <f>($S$5*D19)/(SUM(D19:$D$39))</f>
        <v>0.48067087346396548</v>
      </c>
      <c r="I19">
        <f>(($S$3-L18)*D19)/SUM(D19:$D$39)</f>
        <v>8.0111812243994246E-2</v>
      </c>
      <c r="J19">
        <v>0.6816174635657879</v>
      </c>
      <c r="K19">
        <f t="shared" si="6"/>
        <v>0</v>
      </c>
      <c r="L19">
        <f t="shared" si="4"/>
        <v>7</v>
      </c>
      <c r="M19">
        <f t="shared" si="5"/>
        <v>0.1501138326064296</v>
      </c>
      <c r="N19">
        <f>VLOOKUP(C19,BASE!$D$1:$F$38,3,FALSE)</f>
        <v>17362</v>
      </c>
      <c r="O19" s="7">
        <f t="shared" si="1"/>
        <v>0</v>
      </c>
    </row>
    <row r="20" spans="2:15" x14ac:dyDescent="0.3">
      <c r="B20" s="26">
        <v>18</v>
      </c>
      <c r="C20" s="26" t="s">
        <v>66</v>
      </c>
      <c r="D20" s="27">
        <v>13423</v>
      </c>
      <c r="E20" s="27">
        <f t="shared" si="0"/>
        <v>0.10804936800819447</v>
      </c>
      <c r="F20" s="27">
        <f t="shared" si="2"/>
        <v>0.13800279938842322</v>
      </c>
      <c r="G20" s="27">
        <f t="shared" si="3"/>
        <v>0.13922324155849544</v>
      </c>
      <c r="H20" s="27">
        <f>($S$5*D20)/(SUM(D20:$D$39))</f>
        <v>0.48462274425797447</v>
      </c>
      <c r="I20">
        <f>(($S$3-L19)*D20)/SUM(D20:$D$39)</f>
        <v>8.0770457376329069E-2</v>
      </c>
      <c r="J20">
        <v>0.97475462291587534</v>
      </c>
      <c r="K20">
        <f t="shared" si="6"/>
        <v>0</v>
      </c>
      <c r="L20">
        <f t="shared" si="4"/>
        <v>7</v>
      </c>
      <c r="M20">
        <f t="shared" si="5"/>
        <v>0.13922324155849544</v>
      </c>
      <c r="N20">
        <f>VLOOKUP(C20,BASE!$D$1:$F$38,3,FALSE)</f>
        <v>10215</v>
      </c>
      <c r="O20" s="7">
        <f t="shared" si="1"/>
        <v>0</v>
      </c>
    </row>
    <row r="21" spans="2:15" x14ac:dyDescent="0.3">
      <c r="B21" s="26">
        <v>19</v>
      </c>
      <c r="C21" s="26" t="s">
        <v>48</v>
      </c>
      <c r="D21" s="27">
        <v>12788</v>
      </c>
      <c r="E21" s="27">
        <f t="shared" si="0"/>
        <v>0.10293789153607917</v>
      </c>
      <c r="F21" s="27">
        <f t="shared" si="2"/>
        <v>0.13147432009082591</v>
      </c>
      <c r="G21" s="27">
        <f t="shared" si="3"/>
        <v>0.13263702697236382</v>
      </c>
      <c r="H21" s="27">
        <f>($S$5*D21)/(SUM(D21:$D$39))</f>
        <v>0.5022649315283706</v>
      </c>
      <c r="I21">
        <f>(($S$3-L20)*D21)/SUM(D21:$D$39)</f>
        <v>8.371082192139509E-2</v>
      </c>
      <c r="J21">
        <v>0.85022913940303446</v>
      </c>
      <c r="K21">
        <f t="shared" si="6"/>
        <v>0</v>
      </c>
      <c r="L21">
        <f t="shared" si="4"/>
        <v>7</v>
      </c>
      <c r="M21">
        <f t="shared" si="5"/>
        <v>0.13263702697236382</v>
      </c>
      <c r="N21">
        <f>VLOOKUP(C21,BASE!$D$1:$F$38,3,FALSE)</f>
        <v>12222</v>
      </c>
      <c r="O21" s="7">
        <f t="shared" si="1"/>
        <v>0</v>
      </c>
    </row>
    <row r="22" spans="2:15" x14ac:dyDescent="0.3">
      <c r="B22" s="26">
        <v>20</v>
      </c>
      <c r="C22" s="26" t="s">
        <v>34</v>
      </c>
      <c r="D22" s="27">
        <v>11665</v>
      </c>
      <c r="E22" s="27">
        <f t="shared" si="0"/>
        <v>9.3898225271220173E-2</v>
      </c>
      <c r="F22" s="27">
        <f t="shared" si="2"/>
        <v>0.11992867875035065</v>
      </c>
      <c r="G22" s="27">
        <f t="shared" si="3"/>
        <v>0.12098928054681139</v>
      </c>
      <c r="H22" s="27">
        <f>($S$5*D22)/(SUM(D22:$D$39))</f>
        <v>0.50001428816368521</v>
      </c>
      <c r="I22">
        <f>(($S$3-L21)*D22)/SUM(D22:$D$39)</f>
        <v>8.333571469394753E-2</v>
      </c>
      <c r="J22">
        <v>2.0698484946555018E-2</v>
      </c>
      <c r="K22">
        <f t="shared" si="6"/>
        <v>1</v>
      </c>
      <c r="L22">
        <f t="shared" si="4"/>
        <v>8</v>
      </c>
      <c r="M22">
        <f t="shared" si="5"/>
        <v>0.12098928054681139</v>
      </c>
      <c r="N22">
        <f>VLOOKUP(C22,BASE!$D$1:$F$38,3,FALSE)</f>
        <v>12475</v>
      </c>
      <c r="O22" s="7">
        <f t="shared" si="1"/>
        <v>103108.30797256751</v>
      </c>
    </row>
    <row r="23" spans="2:15" x14ac:dyDescent="0.3">
      <c r="B23" s="26">
        <v>21</v>
      </c>
      <c r="C23" s="26" t="s">
        <v>46</v>
      </c>
      <c r="D23" s="27">
        <v>10268</v>
      </c>
      <c r="E23" s="27">
        <f t="shared" si="0"/>
        <v>8.2652977032566549E-2</v>
      </c>
      <c r="F23" s="27">
        <f t="shared" si="2"/>
        <v>0.10556602429563657</v>
      </c>
      <c r="G23" s="27">
        <f t="shared" si="3"/>
        <v>0.10649960845732184</v>
      </c>
      <c r="H23" s="27">
        <f>($S$5*D23)/(SUM(D23:$D$39))</f>
        <v>0.48014589551948</v>
      </c>
      <c r="I23">
        <f>(($S$3-L22)*D23)/SUM(D23:$D$39)</f>
        <v>0</v>
      </c>
      <c r="J23">
        <v>0.9955172682783856</v>
      </c>
      <c r="K23">
        <f t="shared" si="6"/>
        <v>0</v>
      </c>
      <c r="L23">
        <f t="shared" si="4"/>
        <v>8</v>
      </c>
      <c r="M23">
        <f t="shared" si="5"/>
        <v>0.10649960845732184</v>
      </c>
      <c r="N23">
        <f>VLOOKUP(C23,BASE!$D$1:$F$38,3,FALSE)</f>
        <v>10454</v>
      </c>
      <c r="O23" s="7">
        <f t="shared" si="1"/>
        <v>0</v>
      </c>
    </row>
    <row r="24" spans="2:15" x14ac:dyDescent="0.3">
      <c r="B24" s="26">
        <v>22</v>
      </c>
      <c r="C24" s="26" t="s">
        <v>54</v>
      </c>
      <c r="D24" s="27">
        <v>10247</v>
      </c>
      <c r="E24" s="27">
        <f t="shared" si="0"/>
        <v>8.2483936078370609E-2</v>
      </c>
      <c r="F24" s="27">
        <f t="shared" si="2"/>
        <v>0.10535012183067666</v>
      </c>
      <c r="G24" s="27">
        <f t="shared" si="3"/>
        <v>0.10628179663636317</v>
      </c>
      <c r="H24" s="27">
        <f>($S$5*D24)/(SUM(D24:$D$39))</f>
        <v>0.52084409918419561</v>
      </c>
      <c r="I24">
        <f>(($S$3-L23)*D24)/SUM(D24:$D$39)</f>
        <v>0</v>
      </c>
      <c r="J24">
        <v>0.26718728688439364</v>
      </c>
      <c r="K24">
        <f t="shared" si="6"/>
        <v>0</v>
      </c>
      <c r="L24">
        <f t="shared" si="4"/>
        <v>8</v>
      </c>
      <c r="M24">
        <f t="shared" si="5"/>
        <v>0.10628179663636317</v>
      </c>
      <c r="N24">
        <f>VLOOKUP(C24,BASE!$D$1:$F$38,3,FALSE)</f>
        <v>10065</v>
      </c>
      <c r="O24" s="7">
        <f t="shared" si="1"/>
        <v>0</v>
      </c>
    </row>
    <row r="25" spans="2:15" x14ac:dyDescent="0.3">
      <c r="B25" s="26">
        <v>23</v>
      </c>
      <c r="C25" s="26" t="s">
        <v>58</v>
      </c>
      <c r="D25" s="27">
        <v>10163</v>
      </c>
      <c r="E25" s="27">
        <f t="shared" si="0"/>
        <v>8.180777226158685E-2</v>
      </c>
      <c r="F25" s="27">
        <f t="shared" si="2"/>
        <v>0.10448651197083701</v>
      </c>
      <c r="G25" s="27">
        <f t="shared" si="3"/>
        <v>0.10541054935252843</v>
      </c>
      <c r="H25" s="27">
        <f>($S$5*D25)/(SUM(D25:$D$39))</f>
        <v>0.56567961705443615</v>
      </c>
      <c r="I25">
        <f>(($S$3-L24)*D25)/SUM(D25:$D$39)</f>
        <v>0</v>
      </c>
      <c r="J25">
        <v>0.56960393284606337</v>
      </c>
      <c r="K25">
        <f t="shared" si="6"/>
        <v>0</v>
      </c>
      <c r="L25">
        <f t="shared" si="4"/>
        <v>8</v>
      </c>
      <c r="M25">
        <f t="shared" si="5"/>
        <v>0.10541054935252843</v>
      </c>
      <c r="N25">
        <f>VLOOKUP(C25,BASE!$D$1:$F$38,3,FALSE)</f>
        <v>10215</v>
      </c>
      <c r="O25" s="7">
        <f t="shared" si="1"/>
        <v>0</v>
      </c>
    </row>
    <row r="26" spans="2:15" x14ac:dyDescent="0.3">
      <c r="B26" s="26">
        <v>24</v>
      </c>
      <c r="C26" s="26" t="s">
        <v>40</v>
      </c>
      <c r="D26" s="27">
        <v>10096</v>
      </c>
      <c r="E26" s="27">
        <f t="shared" si="0"/>
        <v>8.1268451122009339E-2</v>
      </c>
      <c r="F26" s="27">
        <f t="shared" si="2"/>
        <v>0.1037976802969173</v>
      </c>
      <c r="G26" s="27">
        <f t="shared" si="3"/>
        <v>0.1047156259237555</v>
      </c>
      <c r="H26" s="27">
        <f>($S$5*D26)/(SUM(D26:$D$39))</f>
        <v>0.62044595577315043</v>
      </c>
      <c r="I26">
        <f>(($S$3-L25)*D26)/SUM(D26:$D$39)</f>
        <v>0</v>
      </c>
      <c r="J26">
        <v>2.83509808846522E-2</v>
      </c>
      <c r="K26">
        <f t="shared" si="6"/>
        <v>0</v>
      </c>
      <c r="L26">
        <f t="shared" si="4"/>
        <v>8</v>
      </c>
      <c r="M26">
        <f t="shared" si="5"/>
        <v>0.1047156259237555</v>
      </c>
      <c r="N26">
        <f>VLOOKUP(C26,BASE!$D$1:$F$38,3,FALSE)</f>
        <v>11111</v>
      </c>
      <c r="O26" s="7">
        <f t="shared" si="1"/>
        <v>0</v>
      </c>
    </row>
    <row r="27" spans="2:15" x14ac:dyDescent="0.3">
      <c r="B27" s="26">
        <v>25</v>
      </c>
      <c r="C27" s="26" t="s">
        <v>30</v>
      </c>
      <c r="D27" s="27">
        <v>9876</v>
      </c>
      <c r="E27" s="27">
        <f t="shared" si="0"/>
        <v>7.9497545887575696E-2</v>
      </c>
      <c r="F27" s="27">
        <f t="shared" si="2"/>
        <v>0.10153584494971822</v>
      </c>
      <c r="G27" s="27">
        <f t="shared" si="3"/>
        <v>0.10243378779942643</v>
      </c>
      <c r="H27" s="27">
        <f>($S$5*D27)/(SUM(D27:$D$39))</f>
        <v>0.67692518592138184</v>
      </c>
      <c r="I27">
        <f>(($S$3-L26)*D27)/SUM(D27:$D$39)</f>
        <v>0</v>
      </c>
      <c r="J27">
        <v>0.12803784138147767</v>
      </c>
      <c r="K27">
        <f t="shared" si="6"/>
        <v>0</v>
      </c>
      <c r="L27">
        <f t="shared" si="4"/>
        <v>8</v>
      </c>
      <c r="M27">
        <f t="shared" si="5"/>
        <v>0.10243378779942643</v>
      </c>
      <c r="N27">
        <f>VLOOKUP(C27,BASE!$D$1:$F$38,3,FALSE)</f>
        <v>9044</v>
      </c>
      <c r="O27" s="7">
        <f t="shared" si="1"/>
        <v>0</v>
      </c>
    </row>
    <row r="28" spans="2:15" x14ac:dyDescent="0.3">
      <c r="B28" s="26">
        <v>26</v>
      </c>
      <c r="C28" s="26" t="s">
        <v>64</v>
      </c>
      <c r="D28" s="27">
        <v>8811</v>
      </c>
      <c r="E28" s="27">
        <f t="shared" si="0"/>
        <v>7.0924754639067375E-2</v>
      </c>
      <c r="F28" s="27">
        <f t="shared" si="2"/>
        <v>9.0586505655322724E-2</v>
      </c>
      <c r="G28" s="27">
        <f t="shared" si="3"/>
        <v>9.1387616879378922E-2</v>
      </c>
      <c r="H28" s="27">
        <f>($S$5*D28)/(SUM(D28:$D$39))</f>
        <v>0.68072777842160159</v>
      </c>
      <c r="I28">
        <f>(($S$3-L27)*D28)/SUM(D28:$D$39)</f>
        <v>0</v>
      </c>
      <c r="J28">
        <v>0.62880329060058782</v>
      </c>
      <c r="K28">
        <f t="shared" si="6"/>
        <v>0</v>
      </c>
      <c r="L28">
        <f t="shared" si="4"/>
        <v>8</v>
      </c>
      <c r="M28">
        <f t="shared" si="5"/>
        <v>9.1387616879378922E-2</v>
      </c>
      <c r="N28">
        <f>VLOOKUP(C28,BASE!$D$1:$F$38,3,FALSE)</f>
        <v>9767</v>
      </c>
      <c r="O28" s="7">
        <f t="shared" si="1"/>
        <v>0</v>
      </c>
    </row>
    <row r="29" spans="2:15" x14ac:dyDescent="0.3">
      <c r="B29" s="26">
        <v>27</v>
      </c>
      <c r="C29" s="26" t="s">
        <v>18</v>
      </c>
      <c r="D29" s="27">
        <v>8479</v>
      </c>
      <c r="E29" s="27">
        <f t="shared" si="0"/>
        <v>6.8252297648922058E-2</v>
      </c>
      <c r="F29" s="27">
        <f t="shared" si="2"/>
        <v>8.7173190495004133E-2</v>
      </c>
      <c r="G29" s="27">
        <f t="shared" si="3"/>
        <v>8.794411570993689E-2</v>
      </c>
      <c r="H29" s="27">
        <f>($S$5*D29)/(SUM(D29:$D$39))</f>
        <v>0.73891067538126365</v>
      </c>
      <c r="I29">
        <f>(($S$3-L28)*D29)/SUM(D29:$D$39)</f>
        <v>0</v>
      </c>
      <c r="J29">
        <v>2.1909593242142478E-2</v>
      </c>
      <c r="K29">
        <f t="shared" si="6"/>
        <v>0</v>
      </c>
      <c r="L29">
        <f t="shared" si="4"/>
        <v>8</v>
      </c>
      <c r="M29">
        <f t="shared" si="5"/>
        <v>8.794411570993689E-2</v>
      </c>
      <c r="N29">
        <f>VLOOKUP(C29,BASE!$D$1:$F$38,3,FALSE)</f>
        <v>6965</v>
      </c>
      <c r="O29" s="7">
        <f t="shared" si="1"/>
        <v>0</v>
      </c>
    </row>
    <row r="30" spans="2:15" x14ac:dyDescent="0.3">
      <c r="B30" s="26">
        <v>28</v>
      </c>
      <c r="C30" s="26" t="s">
        <v>6</v>
      </c>
      <c r="D30" s="27">
        <v>8426</v>
      </c>
      <c r="E30" s="27">
        <f t="shared" si="0"/>
        <v>6.7825670478808497E-2</v>
      </c>
      <c r="F30" s="27">
        <f t="shared" si="2"/>
        <v>8.6628293797724354E-2</v>
      </c>
      <c r="G30" s="27">
        <f t="shared" si="3"/>
        <v>8.7394400161803068E-2</v>
      </c>
      <c r="H30" s="27">
        <f>($S$5*D30)/(SUM(D30:$D$39))</f>
        <v>0.83742194099816136</v>
      </c>
      <c r="I30">
        <f>(($S$3-L29)*D30)/SUM(D30:$D$39)</f>
        <v>0</v>
      </c>
      <c r="J30">
        <v>0.15283993884057478</v>
      </c>
      <c r="K30">
        <f t="shared" si="6"/>
        <v>0</v>
      </c>
      <c r="L30">
        <f t="shared" si="4"/>
        <v>8</v>
      </c>
      <c r="M30">
        <f t="shared" si="5"/>
        <v>8.7394400161803068E-2</v>
      </c>
      <c r="N30">
        <f>VLOOKUP(C30,BASE!$D$1:$F$38,3,FALSE)</f>
        <v>8578</v>
      </c>
      <c r="O30" s="7">
        <f t="shared" si="1"/>
        <v>0</v>
      </c>
    </row>
    <row r="31" spans="2:15" x14ac:dyDescent="0.3">
      <c r="B31" s="26">
        <v>29</v>
      </c>
      <c r="C31" s="26" t="s">
        <v>68</v>
      </c>
      <c r="D31" s="27">
        <v>8174</v>
      </c>
      <c r="E31" s="27">
        <f t="shared" si="0"/>
        <v>6.5797179028457234E-2</v>
      </c>
      <c r="F31" s="27">
        <f t="shared" si="2"/>
        <v>8.4037464218205418E-2</v>
      </c>
      <c r="G31" s="27">
        <f t="shared" si="3"/>
        <v>8.4780658310298865E-2</v>
      </c>
      <c r="H31" s="27">
        <f>($S$5*D31)/(SUM(D31:$D$39))</f>
        <v>0.94415246895755123</v>
      </c>
      <c r="I31">
        <f>(($S$3-L30)*D31)/SUM(D31:$D$39)</f>
        <v>0</v>
      </c>
      <c r="J31">
        <v>0.72368934966038023</v>
      </c>
      <c r="K31">
        <f t="shared" si="6"/>
        <v>0</v>
      </c>
      <c r="L31">
        <f t="shared" si="4"/>
        <v>8</v>
      </c>
      <c r="M31">
        <f t="shared" si="5"/>
        <v>8.4780658310298865E-2</v>
      </c>
      <c r="N31">
        <f>VLOOKUP(C31,BASE!$D$1:$F$38,3,FALSE)</f>
        <v>7350</v>
      </c>
      <c r="O31" s="7">
        <f t="shared" si="1"/>
        <v>0</v>
      </c>
    </row>
    <row r="32" spans="2:15" x14ac:dyDescent="0.3">
      <c r="B32" s="25">
        <v>30</v>
      </c>
      <c r="C32" s="25" t="s">
        <v>74</v>
      </c>
      <c r="D32" s="24">
        <v>7798</v>
      </c>
      <c r="E32" s="24">
        <f t="shared" si="0"/>
        <v>6.2770540991425192E-2</v>
      </c>
      <c r="F32" s="24">
        <f t="shared" si="2"/>
        <v>8.0171781988447016E-2</v>
      </c>
      <c r="G32" s="24">
        <f t="shared" si="3"/>
        <v>8.0880789515991022E-2</v>
      </c>
      <c r="H32" s="24">
        <f>($S$5*D32)/(SUM(D32:$D$39))</f>
        <v>1.0689269150807612</v>
      </c>
      <c r="J32">
        <v>9.5521286658750704E-2</v>
      </c>
      <c r="K32">
        <f t="shared" si="6"/>
        <v>0</v>
      </c>
      <c r="L32">
        <f t="shared" si="4"/>
        <v>8</v>
      </c>
      <c r="M32">
        <f>(8-SUM($M$3:$M$31))/8</f>
        <v>5.6749054852276992E-2</v>
      </c>
      <c r="N32">
        <f>VLOOKUP(C32,BASE!$D$1:$F$38,3,FALSE)</f>
        <v>7361</v>
      </c>
      <c r="O32" s="7">
        <f t="shared" si="1"/>
        <v>0</v>
      </c>
    </row>
    <row r="33" spans="2:15" x14ac:dyDescent="0.3">
      <c r="B33" s="25">
        <v>31</v>
      </c>
      <c r="C33" s="25" t="s">
        <v>72</v>
      </c>
      <c r="D33" s="24">
        <v>7308</v>
      </c>
      <c r="E33" s="24">
        <f t="shared" si="0"/>
        <v>5.8826252060186629E-2</v>
      </c>
      <c r="F33" s="24">
        <f t="shared" si="2"/>
        <v>7.5134057806049093E-2</v>
      </c>
      <c r="G33" s="24">
        <f t="shared" si="3"/>
        <v>7.5798513693621741E-2</v>
      </c>
      <c r="H33" s="24">
        <f>($S$5*D33)/(SUM(D33:$D$39))</f>
        <v>1.2189141856392294</v>
      </c>
      <c r="J33">
        <v>0.38248250485275304</v>
      </c>
      <c r="K33">
        <f t="shared" si="6"/>
        <v>0</v>
      </c>
      <c r="L33">
        <f t="shared" si="4"/>
        <v>8</v>
      </c>
      <c r="M33">
        <f t="shared" ref="M33:M38" si="7">(8-SUM($M$3:$M$31))/8</f>
        <v>5.6749054852276992E-2</v>
      </c>
      <c r="N33">
        <f>VLOOKUP(C33,BASE!$D$1:$F$38,3,FALSE)</f>
        <v>6943</v>
      </c>
      <c r="O33" s="7">
        <f t="shared" si="1"/>
        <v>0</v>
      </c>
    </row>
    <row r="34" spans="2:15" x14ac:dyDescent="0.3">
      <c r="B34" s="25">
        <v>32</v>
      </c>
      <c r="C34" s="25" t="s">
        <v>28</v>
      </c>
      <c r="D34" s="24">
        <v>6468</v>
      </c>
      <c r="E34" s="24">
        <f t="shared" si="0"/>
        <v>5.2064613892349086E-2</v>
      </c>
      <c r="F34" s="24">
        <f t="shared" si="2"/>
        <v>6.649795920765264E-2</v>
      </c>
      <c r="G34" s="24">
        <f t="shared" si="3"/>
        <v>6.708604085527442E-2</v>
      </c>
      <c r="H34" s="24">
        <f>($S$5*D34)/(SUM(D34:$D$39))</f>
        <v>1.3538461538461539</v>
      </c>
      <c r="J34">
        <v>7.0681568262954686E-2</v>
      </c>
      <c r="K34">
        <f t="shared" si="6"/>
        <v>0</v>
      </c>
      <c r="L34">
        <f t="shared" si="4"/>
        <v>8</v>
      </c>
      <c r="M34">
        <f t="shared" si="7"/>
        <v>5.6749054852276992E-2</v>
      </c>
      <c r="N34">
        <f>VLOOKUP(C34,BASE!$D$1:$F$38,3,FALSE)</f>
        <v>6686</v>
      </c>
      <c r="O34" s="7">
        <f t="shared" si="1"/>
        <v>0</v>
      </c>
    </row>
    <row r="35" spans="2:15" x14ac:dyDescent="0.3">
      <c r="B35" s="25">
        <v>33</v>
      </c>
      <c r="C35" s="25" t="s">
        <v>38</v>
      </c>
      <c r="D35" s="24">
        <v>5781</v>
      </c>
      <c r="E35" s="24">
        <f t="shared" si="0"/>
        <v>4.6534559819367667E-2</v>
      </c>
      <c r="F35" s="24">
        <f t="shared" si="2"/>
        <v>5.9434864282535547E-2</v>
      </c>
      <c r="G35" s="24">
        <f t="shared" si="3"/>
        <v>5.9960482712483214E-2</v>
      </c>
      <c r="H35" s="24">
        <f>($S$5*D35)/(SUM(D35:$D$39))</f>
        <v>1.5626436004865523</v>
      </c>
      <c r="J35">
        <v>0.96057810565508528</v>
      </c>
      <c r="K35">
        <f t="shared" si="6"/>
        <v>0</v>
      </c>
      <c r="L35">
        <f t="shared" si="4"/>
        <v>8</v>
      </c>
      <c r="M35">
        <f t="shared" si="7"/>
        <v>5.6749054852276992E-2</v>
      </c>
      <c r="N35">
        <f>VLOOKUP(C35,BASE!$D$1:$F$38,3,FALSE)</f>
        <v>6157</v>
      </c>
      <c r="O35" s="7">
        <f t="shared" si="1"/>
        <v>0</v>
      </c>
    </row>
    <row r="36" spans="2:15" x14ac:dyDescent="0.3">
      <c r="B36" s="25">
        <v>34</v>
      </c>
      <c r="C36" s="25" t="s">
        <v>42</v>
      </c>
      <c r="D36" s="24">
        <v>5169</v>
      </c>
      <c r="E36" s="24">
        <f t="shared" si="0"/>
        <v>4.1608223439943172E-2</v>
      </c>
      <c r="F36" s="24">
        <f t="shared" si="2"/>
        <v>5.3142849589418138E-2</v>
      </c>
      <c r="G36" s="24">
        <f t="shared" si="3"/>
        <v>5.3612823930258728E-2</v>
      </c>
      <c r="H36" s="24">
        <f>($S$5*D36)/(SUM(D36:$D$39))</f>
        <v>1.8892543859649122</v>
      </c>
      <c r="J36">
        <v>0.80972317217921785</v>
      </c>
      <c r="K36">
        <f t="shared" si="6"/>
        <v>0</v>
      </c>
      <c r="L36">
        <f t="shared" si="4"/>
        <v>8</v>
      </c>
      <c r="M36">
        <f t="shared" si="7"/>
        <v>5.6749054852276992E-2</v>
      </c>
      <c r="N36">
        <f>VLOOKUP(C36,BASE!$D$1:$F$38,3,FALSE)</f>
        <v>6403</v>
      </c>
      <c r="O36" s="7">
        <f t="shared" si="1"/>
        <v>0</v>
      </c>
    </row>
    <row r="37" spans="2:15" x14ac:dyDescent="0.3">
      <c r="B37" s="25">
        <v>35</v>
      </c>
      <c r="C37" s="25" t="s">
        <v>14</v>
      </c>
      <c r="D37" s="24">
        <v>4330</v>
      </c>
      <c r="E37" s="24">
        <f t="shared" si="0"/>
        <v>3.4854634841353052E-2</v>
      </c>
      <c r="F37" s="24">
        <f t="shared" si="2"/>
        <v>4.4517032060781683E-2</v>
      </c>
      <c r="G37" s="24">
        <f t="shared" si="3"/>
        <v>4.4910723083385624E-2</v>
      </c>
      <c r="H37" s="24">
        <f>($S$5*D37)/(SUM(D37:$D$39))</f>
        <v>2.3099493198186183</v>
      </c>
      <c r="J37">
        <v>0.75525815647040406</v>
      </c>
      <c r="K37">
        <f t="shared" si="6"/>
        <v>0</v>
      </c>
      <c r="L37">
        <f t="shared" si="4"/>
        <v>8</v>
      </c>
      <c r="M37">
        <f t="shared" si="7"/>
        <v>5.6749054852276992E-2</v>
      </c>
      <c r="N37">
        <f>VLOOKUP(C37,BASE!$D$1:$F$38,3,FALSE)</f>
        <v>6397</v>
      </c>
      <c r="O37" s="7">
        <f t="shared" si="1"/>
        <v>0</v>
      </c>
    </row>
    <row r="38" spans="2:15" x14ac:dyDescent="0.3">
      <c r="B38" s="25">
        <v>36</v>
      </c>
      <c r="C38" s="25" t="s">
        <v>12</v>
      </c>
      <c r="D38" s="24">
        <v>3596</v>
      </c>
      <c r="E38" s="24">
        <f t="shared" si="0"/>
        <v>2.8946251013742628E-2</v>
      </c>
      <c r="F38" s="24">
        <f t="shared" si="2"/>
        <v>3.6970726856944788E-2</v>
      </c>
      <c r="G38" s="24">
        <f t="shared" si="3"/>
        <v>3.7297681341305934E-2</v>
      </c>
      <c r="H38" s="24">
        <f>($S$5*D38)/(SUM(D38:$D$39))</f>
        <v>3.1192713604163655</v>
      </c>
      <c r="J38">
        <v>0.66014197440722844</v>
      </c>
      <c r="K38">
        <f t="shared" si="6"/>
        <v>0</v>
      </c>
      <c r="L38">
        <f t="shared" si="4"/>
        <v>8</v>
      </c>
      <c r="M38">
        <f t="shared" si="7"/>
        <v>5.6749054852276992E-2</v>
      </c>
      <c r="N38">
        <f>VLOOKUP(C38,BASE!$D$1:$F$38,3,FALSE)</f>
        <v>3810</v>
      </c>
      <c r="O38" s="7">
        <f t="shared" si="1"/>
        <v>0</v>
      </c>
    </row>
    <row r="39" spans="2:15" x14ac:dyDescent="0.3">
      <c r="B39" s="25">
        <v>37</v>
      </c>
      <c r="C39" s="25" t="s">
        <v>20</v>
      </c>
      <c r="D39" s="24">
        <v>3321</v>
      </c>
      <c r="E39" s="24">
        <f t="shared" si="0"/>
        <v>2.6732619470700575E-2</v>
      </c>
      <c r="F39" s="24">
        <f t="shared" si="2"/>
        <v>3.414343267294595E-2</v>
      </c>
      <c r="G39" s="24">
        <f t="shared" si="3"/>
        <v>3.4445383685894608E-2</v>
      </c>
      <c r="H39" s="24">
        <f>($S$5*D39)/(SUM(D39:$D$39))</f>
        <v>6</v>
      </c>
      <c r="J39">
        <v>0.99871454289416151</v>
      </c>
      <c r="K39">
        <f t="shared" si="6"/>
        <v>0</v>
      </c>
      <c r="L39">
        <f t="shared" si="4"/>
        <v>8</v>
      </c>
      <c r="M39">
        <f>(8-SUM($M$3:$M$31))/8</f>
        <v>5.6749054852276992E-2</v>
      </c>
      <c r="N39">
        <v>7361</v>
      </c>
      <c r="O39" s="7">
        <f t="shared" si="1"/>
        <v>0</v>
      </c>
    </row>
  </sheetData>
  <autoFilter ref="B2:O39" xr:uid="{67EE5625-9E4F-45A7-9AF0-86F71215C30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020-7BA4-4E17-8EC5-2A59F0D01E32}">
  <dimension ref="B2:AX140"/>
  <sheetViews>
    <sheetView zoomScale="85" zoomScaleNormal="85" workbookViewId="0">
      <selection activeCell="H12" sqref="H12"/>
    </sheetView>
  </sheetViews>
  <sheetFormatPr baseColWidth="10" defaultColWidth="11.33203125" defaultRowHeight="14.4" x14ac:dyDescent="0.3"/>
  <cols>
    <col min="1" max="1" width="11.33203125" customWidth="1"/>
    <col min="2" max="2" width="16.33203125" bestFit="1" customWidth="1"/>
    <col min="3" max="3" width="22.77734375" bestFit="1" customWidth="1"/>
    <col min="4" max="4" width="13.77734375" customWidth="1"/>
    <col min="5" max="6" width="13.33203125" bestFit="1" customWidth="1"/>
    <col min="8" max="8" width="17.6640625" bestFit="1" customWidth="1"/>
    <col min="9" max="9" width="15.5546875" bestFit="1" customWidth="1"/>
    <col min="12" max="12" width="16.33203125" bestFit="1" customWidth="1"/>
    <col min="13" max="16" width="13.88671875" bestFit="1" customWidth="1"/>
    <col min="17" max="17" width="16.77734375" customWidth="1"/>
    <col min="18" max="23" width="13.88671875" bestFit="1" customWidth="1"/>
    <col min="24" max="24" width="13.33203125" bestFit="1" customWidth="1"/>
    <col min="25" max="25" width="13.88671875" bestFit="1" customWidth="1"/>
    <col min="26" max="26" width="13.33203125" bestFit="1" customWidth="1"/>
    <col min="27" max="30" width="13.88671875" bestFit="1" customWidth="1"/>
    <col min="31" max="31" width="13.33203125" bestFit="1" customWidth="1"/>
    <col min="32" max="32" width="14.6640625" bestFit="1" customWidth="1"/>
    <col min="33" max="33" width="13.88671875" bestFit="1" customWidth="1"/>
    <col min="34" max="34" width="14.88671875" bestFit="1" customWidth="1"/>
    <col min="35" max="35" width="13.88671875" bestFit="1" customWidth="1"/>
    <col min="36" max="37" width="13.33203125" bestFit="1" customWidth="1"/>
    <col min="38" max="38" width="13.88671875" bestFit="1" customWidth="1"/>
    <col min="39" max="41" width="13.33203125" bestFit="1" customWidth="1"/>
    <col min="42" max="49" width="13.88671875" bestFit="1" customWidth="1"/>
    <col min="50" max="50" width="12" bestFit="1" customWidth="1"/>
    <col min="51" max="87" width="13.33203125" bestFit="1" customWidth="1"/>
  </cols>
  <sheetData>
    <row r="2" spans="2:49" ht="15.6" x14ac:dyDescent="0.3">
      <c r="L2" s="41" t="s">
        <v>128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</row>
    <row r="3" spans="2:49" x14ac:dyDescent="0.3">
      <c r="B3" s="4" t="s">
        <v>76</v>
      </c>
      <c r="C3" s="4" t="s">
        <v>118</v>
      </c>
      <c r="D3" s="28" t="s">
        <v>124</v>
      </c>
      <c r="E3" s="28" t="s">
        <v>119</v>
      </c>
      <c r="F3" s="28" t="s">
        <v>120</v>
      </c>
      <c r="M3" s="12" t="s">
        <v>2</v>
      </c>
      <c r="N3" s="12" t="s">
        <v>50</v>
      </c>
      <c r="O3" s="26" t="s">
        <v>22</v>
      </c>
      <c r="P3" s="26" t="s">
        <v>36</v>
      </c>
      <c r="Q3" s="26" t="s">
        <v>16</v>
      </c>
      <c r="R3" s="26" t="s">
        <v>56</v>
      </c>
      <c r="S3" s="26" t="s">
        <v>24</v>
      </c>
      <c r="T3" s="26" t="s">
        <v>44</v>
      </c>
      <c r="U3" s="26" t="s">
        <v>4</v>
      </c>
      <c r="V3" s="26" t="s">
        <v>32</v>
      </c>
      <c r="W3" s="26" t="s">
        <v>10</v>
      </c>
      <c r="X3" s="26" t="s">
        <v>8</v>
      </c>
      <c r="Y3" s="26" t="s">
        <v>70</v>
      </c>
      <c r="Z3" s="26" t="s">
        <v>52</v>
      </c>
      <c r="AA3" s="26" t="s">
        <v>26</v>
      </c>
      <c r="AB3" s="26" t="s">
        <v>62</v>
      </c>
      <c r="AC3" s="26" t="s">
        <v>60</v>
      </c>
      <c r="AD3" s="26" t="s">
        <v>66</v>
      </c>
      <c r="AE3" s="26" t="s">
        <v>48</v>
      </c>
      <c r="AF3" s="26" t="s">
        <v>34</v>
      </c>
      <c r="AG3" s="26" t="s">
        <v>46</v>
      </c>
      <c r="AH3" s="26" t="s">
        <v>54</v>
      </c>
      <c r="AI3" s="26" t="s">
        <v>58</v>
      </c>
      <c r="AJ3" s="26" t="s">
        <v>40</v>
      </c>
      <c r="AK3" s="26" t="s">
        <v>30</v>
      </c>
      <c r="AL3" s="26" t="s">
        <v>64</v>
      </c>
      <c r="AM3" s="26" t="s">
        <v>18</v>
      </c>
      <c r="AN3" s="26" t="s">
        <v>6</v>
      </c>
      <c r="AO3" s="26" t="s">
        <v>68</v>
      </c>
      <c r="AP3" s="25" t="s">
        <v>74</v>
      </c>
      <c r="AQ3" s="25" t="s">
        <v>72</v>
      </c>
      <c r="AR3" s="25" t="s">
        <v>28</v>
      </c>
      <c r="AS3" s="25" t="s">
        <v>38</v>
      </c>
      <c r="AT3" s="25" t="s">
        <v>42</v>
      </c>
      <c r="AU3" s="25" t="s">
        <v>14</v>
      </c>
      <c r="AV3" s="25" t="s">
        <v>12</v>
      </c>
      <c r="AW3" s="25" t="s">
        <v>20</v>
      </c>
    </row>
    <row r="4" spans="2:49" x14ac:dyDescent="0.3">
      <c r="B4" s="12" t="s">
        <v>2</v>
      </c>
      <c r="C4" s="13">
        <v>312979</v>
      </c>
      <c r="D4" s="13">
        <f>SUM(C4:$C$40)</f>
        <v>993842</v>
      </c>
      <c r="E4" s="13">
        <v>1</v>
      </c>
      <c r="F4" s="13"/>
      <c r="H4" s="5" t="s">
        <v>125</v>
      </c>
      <c r="I4">
        <v>6</v>
      </c>
      <c r="L4" s="12" t="s">
        <v>2</v>
      </c>
      <c r="M4" s="13">
        <v>1</v>
      </c>
      <c r="N4" s="13">
        <v>1</v>
      </c>
      <c r="O4" s="17">
        <v>0.69828395401058996</v>
      </c>
      <c r="P4" s="17">
        <v>0.54315007753063604</v>
      </c>
      <c r="Q4" s="17">
        <v>0.33199707509840398</v>
      </c>
      <c r="R4" s="17">
        <v>0.30724950344090801</v>
      </c>
      <c r="S4" s="17">
        <v>0.29074766500541899</v>
      </c>
      <c r="T4" s="17">
        <v>0.28210779610739201</v>
      </c>
      <c r="U4" s="17">
        <v>0.27570827736779602</v>
      </c>
      <c r="V4" s="17">
        <v>0.246210333615106</v>
      </c>
      <c r="W4" s="17">
        <v>0.23870101178776801</v>
      </c>
      <c r="X4" s="17">
        <v>0.20482608763295601</v>
      </c>
      <c r="Y4" s="17">
        <v>0.204722367718214</v>
      </c>
      <c r="Z4" s="17">
        <v>0.171625342923968</v>
      </c>
      <c r="AA4" s="17">
        <v>0.16597260757051699</v>
      </c>
      <c r="AB4" s="17">
        <v>0.164893920457197</v>
      </c>
      <c r="AC4" s="17">
        <v>0.15011383260642999</v>
      </c>
      <c r="AD4" s="17">
        <v>0.139223241558495</v>
      </c>
      <c r="AE4" s="17">
        <v>0.13263702697236401</v>
      </c>
      <c r="AF4" s="17">
        <v>0.120989280546811</v>
      </c>
      <c r="AG4" s="17">
        <v>0.106499608457322</v>
      </c>
      <c r="AH4" s="17">
        <v>0.106281796636363</v>
      </c>
      <c r="AI4" s="17">
        <v>0.105410549352528</v>
      </c>
      <c r="AJ4" s="17">
        <v>0.104715625923755</v>
      </c>
      <c r="AK4" s="17">
        <v>0.102433787799426</v>
      </c>
      <c r="AL4" s="17">
        <v>9.1387616879378894E-2</v>
      </c>
      <c r="AM4" s="17">
        <v>8.7944115709936904E-2</v>
      </c>
      <c r="AN4" s="17">
        <v>8.7394400161803096E-2</v>
      </c>
      <c r="AO4" s="17">
        <v>8.4780658310298906E-2</v>
      </c>
      <c r="AP4" s="29">
        <v>5.6749054852276902E-2</v>
      </c>
      <c r="AQ4" s="29">
        <v>5.6749054852276902E-2</v>
      </c>
      <c r="AR4" s="29">
        <v>5.6749054852276902E-2</v>
      </c>
      <c r="AS4" s="29">
        <v>5.6749054852276902E-2</v>
      </c>
      <c r="AT4" s="29">
        <v>5.6749054852276902E-2</v>
      </c>
      <c r="AU4" s="29">
        <v>5.6749054852276902E-2</v>
      </c>
      <c r="AV4" s="29">
        <v>5.6749054852276902E-2</v>
      </c>
      <c r="AW4" s="29">
        <v>5.6749054852276902E-2</v>
      </c>
    </row>
    <row r="5" spans="2:49" x14ac:dyDescent="0.3">
      <c r="B5" s="12" t="s">
        <v>50</v>
      </c>
      <c r="C5" s="13">
        <v>102382</v>
      </c>
      <c r="D5" s="13">
        <f>SUM(C5:$C$40)</f>
        <v>680863</v>
      </c>
      <c r="E5" s="13">
        <v>1</v>
      </c>
      <c r="F5" s="13"/>
      <c r="H5" s="5" t="s">
        <v>123</v>
      </c>
      <c r="I5" s="7">
        <f>SUM(C4:C48)</f>
        <v>993842</v>
      </c>
      <c r="L5" s="12" t="s">
        <v>50</v>
      </c>
      <c r="M5" s="13">
        <v>1</v>
      </c>
      <c r="N5" s="13">
        <v>1</v>
      </c>
      <c r="O5" s="17">
        <v>0.69828395401058996</v>
      </c>
      <c r="P5" s="17">
        <v>0.54315007753063604</v>
      </c>
      <c r="Q5" s="17">
        <v>0.33199707509840398</v>
      </c>
      <c r="R5" s="17">
        <v>0.30724950344090801</v>
      </c>
      <c r="S5" s="17">
        <v>0.29074766500541899</v>
      </c>
      <c r="T5" s="17">
        <v>0.28210779610739201</v>
      </c>
      <c r="U5" s="17">
        <v>0.27570827736779602</v>
      </c>
      <c r="V5" s="17">
        <v>0.246210333615106</v>
      </c>
      <c r="W5" s="17">
        <v>0.23870101178776801</v>
      </c>
      <c r="X5" s="17">
        <v>0.20482608763295601</v>
      </c>
      <c r="Y5" s="17">
        <v>0.204722367718214</v>
      </c>
      <c r="Z5" s="17">
        <v>0.171625342923968</v>
      </c>
      <c r="AA5" s="17">
        <v>0.16597260757051699</v>
      </c>
      <c r="AB5" s="17">
        <v>0.164893920457197</v>
      </c>
      <c r="AC5" s="17">
        <v>0.15011383260642999</v>
      </c>
      <c r="AD5" s="17">
        <v>0.139223241558495</v>
      </c>
      <c r="AE5" s="17">
        <v>0.13263702697236401</v>
      </c>
      <c r="AF5" s="17">
        <v>0.120989280546811</v>
      </c>
      <c r="AG5" s="17">
        <v>0.106499608457322</v>
      </c>
      <c r="AH5" s="17">
        <v>0.106281796636363</v>
      </c>
      <c r="AI5" s="17">
        <v>0.105410549352528</v>
      </c>
      <c r="AJ5" s="17">
        <v>0.104715625923755</v>
      </c>
      <c r="AK5" s="17">
        <v>0.102433787799426</v>
      </c>
      <c r="AL5" s="17">
        <v>9.1387616879378894E-2</v>
      </c>
      <c r="AM5" s="17">
        <v>8.7944115709936904E-2</v>
      </c>
      <c r="AN5" s="17">
        <v>8.7394400161803096E-2</v>
      </c>
      <c r="AO5" s="17">
        <v>8.4780658310298906E-2</v>
      </c>
      <c r="AP5" s="29">
        <v>5.6749054852276902E-2</v>
      </c>
      <c r="AQ5" s="29">
        <v>5.6749054852276902E-2</v>
      </c>
      <c r="AR5" s="29">
        <v>5.6749054852276902E-2</v>
      </c>
      <c r="AS5" s="29">
        <v>5.6749054852276902E-2</v>
      </c>
      <c r="AT5" s="29">
        <v>5.6749054852276902E-2</v>
      </c>
      <c r="AU5" s="29">
        <v>5.6749054852276902E-2</v>
      </c>
      <c r="AV5" s="29">
        <v>5.6749054852276902E-2</v>
      </c>
      <c r="AW5" s="29">
        <v>5.6749054852276902E-2</v>
      </c>
    </row>
    <row r="6" spans="2:49" x14ac:dyDescent="0.3">
      <c r="B6" s="26" t="s">
        <v>22</v>
      </c>
      <c r="C6" s="27">
        <v>67324</v>
      </c>
      <c r="D6" s="27">
        <f>SUM(C6:$C$40)</f>
        <v>578481</v>
      </c>
      <c r="E6" s="27">
        <v>0.69828395401058985</v>
      </c>
      <c r="F6" s="27">
        <f>1/D7</f>
        <v>1.9563460932746691E-6</v>
      </c>
      <c r="H6" s="5" t="s">
        <v>126</v>
      </c>
      <c r="I6" s="7">
        <f>AVERAGE(D33:D40)</f>
        <v>21063.375</v>
      </c>
      <c r="L6" s="26" t="s">
        <v>22</v>
      </c>
      <c r="M6" s="17">
        <v>0.69828395401058996</v>
      </c>
      <c r="N6" s="17">
        <v>0.69828395401058996</v>
      </c>
      <c r="O6" s="27">
        <v>0.69828395401058996</v>
      </c>
      <c r="P6" s="27">
        <v>0.35768888834225598</v>
      </c>
      <c r="Q6" s="27">
        <v>0.21863508749684499</v>
      </c>
      <c r="R6" s="27">
        <v>0.20233769242772501</v>
      </c>
      <c r="S6" s="27">
        <v>0.19147048557316901</v>
      </c>
      <c r="T6" s="27">
        <v>0.185780741192374</v>
      </c>
      <c r="U6" s="27">
        <v>0.18156636870383799</v>
      </c>
      <c r="V6" s="27">
        <v>0.16214063878909399</v>
      </c>
      <c r="W6" s="27">
        <v>0.15719541077985499</v>
      </c>
      <c r="X6" s="27">
        <v>0.13488724133486499</v>
      </c>
      <c r="Y6" s="27">
        <v>0.134818937080594</v>
      </c>
      <c r="Z6" s="27">
        <v>0.113023049542638</v>
      </c>
      <c r="AA6" s="27">
        <v>0.109300467684855</v>
      </c>
      <c r="AB6" s="27">
        <v>0.108590103440434</v>
      </c>
      <c r="AC6" s="27">
        <v>9.8856747206780601E-2</v>
      </c>
      <c r="AD6" s="27">
        <v>9.1684800508299302E-2</v>
      </c>
      <c r="AE6" s="27">
        <v>8.7347480362074903E-2</v>
      </c>
      <c r="AF6" s="27">
        <v>7.9676912607413497E-2</v>
      </c>
      <c r="AG6" s="27">
        <v>7.0134808285719802E-2</v>
      </c>
      <c r="AH6" s="27">
        <v>6.9991369351750196E-2</v>
      </c>
      <c r="AI6" s="27">
        <v>6.9417613615871704E-2</v>
      </c>
      <c r="AJ6" s="27">
        <v>6.8959975112254296E-2</v>
      </c>
      <c r="AK6" s="27">
        <v>6.7457281518286796E-2</v>
      </c>
      <c r="AL6" s="27">
        <v>6.0182878438398597E-2</v>
      </c>
      <c r="AM6" s="27">
        <v>5.7915177196593101E-2</v>
      </c>
      <c r="AN6" s="27">
        <v>5.7553164648955497E-2</v>
      </c>
      <c r="AO6" s="27">
        <v>5.583189744132E-2</v>
      </c>
      <c r="AP6">
        <v>3.7371818921336203E-2</v>
      </c>
      <c r="AQ6">
        <v>3.7371818921336203E-2</v>
      </c>
      <c r="AR6">
        <v>3.7371818921336203E-2</v>
      </c>
      <c r="AS6">
        <v>3.7371818921336203E-2</v>
      </c>
      <c r="AT6">
        <v>3.7371818921336203E-2</v>
      </c>
      <c r="AU6">
        <v>3.7371818921336203E-2</v>
      </c>
      <c r="AV6">
        <v>3.7371818921336203E-2</v>
      </c>
      <c r="AW6">
        <v>3.7371818921336203E-2</v>
      </c>
    </row>
    <row r="7" spans="2:49" x14ac:dyDescent="0.3">
      <c r="B7" s="26" t="s">
        <v>36</v>
      </c>
      <c r="C7" s="27">
        <v>52367</v>
      </c>
      <c r="D7" s="27">
        <f>SUM(C7:$C$40)</f>
        <v>511157</v>
      </c>
      <c r="E7" s="27">
        <v>0.54315007753063627</v>
      </c>
      <c r="F7" s="27">
        <f>F6*(D7-C6)/D8</f>
        <v>1.8925673088262087E-6</v>
      </c>
      <c r="H7" s="5" t="s">
        <v>127</v>
      </c>
      <c r="I7">
        <f>(6*5)/D6</f>
        <v>5.1859957371115042E-5</v>
      </c>
      <c r="L7" s="26" t="s">
        <v>36</v>
      </c>
      <c r="M7" s="17">
        <v>0.54315007753063604</v>
      </c>
      <c r="N7" s="17">
        <v>0.54315007753063604</v>
      </c>
      <c r="O7" s="27">
        <v>0.35768888834225598</v>
      </c>
      <c r="P7" s="27">
        <v>0.54315007753063604</v>
      </c>
      <c r="Q7" s="27">
        <v>0.16451795054696799</v>
      </c>
      <c r="R7" s="27">
        <v>0.15225452994635399</v>
      </c>
      <c r="S7" s="27">
        <v>0.14407720296581</v>
      </c>
      <c r="T7" s="27">
        <v>0.13979579921044</v>
      </c>
      <c r="U7" s="27">
        <v>0.13662457938203301</v>
      </c>
      <c r="V7" s="27">
        <v>0.122007157677026</v>
      </c>
      <c r="W7" s="27">
        <v>0.11828598562554</v>
      </c>
      <c r="X7" s="27">
        <v>0.101499593470634</v>
      </c>
      <c r="Y7" s="27">
        <v>0.101448196066608</v>
      </c>
      <c r="Z7" s="27">
        <v>8.5047284441896895E-2</v>
      </c>
      <c r="AA7" s="27">
        <v>8.2246125922477403E-2</v>
      </c>
      <c r="AB7" s="27">
        <v>8.1711592920606604E-2</v>
      </c>
      <c r="AC7" s="27">
        <v>7.4387462846895097E-2</v>
      </c>
      <c r="AD7" s="27">
        <v>6.8990735424160399E-2</v>
      </c>
      <c r="AE7" s="27">
        <v>6.5727000268506502E-2</v>
      </c>
      <c r="AF7" s="27">
        <v>5.9955071796381702E-2</v>
      </c>
      <c r="AG7" s="27">
        <v>5.2774854453943101E-2</v>
      </c>
      <c r="AH7" s="27">
        <v>5.2666919905488503E-2</v>
      </c>
      <c r="AI7" s="27">
        <v>5.2235181711669701E-2</v>
      </c>
      <c r="AJ7" s="27">
        <v>5.1890819104695202E-2</v>
      </c>
      <c r="AK7" s="27">
        <v>5.0760076216122198E-2</v>
      </c>
      <c r="AL7" s="27">
        <v>4.5286252687348399E-2</v>
      </c>
      <c r="AM7" s="27">
        <v>4.3579858873683701E-2</v>
      </c>
      <c r="AN7" s="27">
        <v>4.3307452632345603E-2</v>
      </c>
      <c r="AO7" s="27">
        <v>4.20122380508893E-2</v>
      </c>
      <c r="AP7">
        <v>2.81214471453003E-2</v>
      </c>
      <c r="AQ7">
        <v>2.81214471453003E-2</v>
      </c>
      <c r="AR7">
        <v>2.81214471453003E-2</v>
      </c>
      <c r="AS7">
        <v>2.81214471453003E-2</v>
      </c>
      <c r="AT7">
        <v>2.81214471453003E-2</v>
      </c>
      <c r="AU7">
        <v>2.81214471453003E-2</v>
      </c>
      <c r="AV7">
        <v>2.81214471453003E-2</v>
      </c>
      <c r="AW7">
        <v>2.81214471453003E-2</v>
      </c>
    </row>
    <row r="8" spans="2:49" x14ac:dyDescent="0.3">
      <c r="B8" s="26" t="s">
        <v>16</v>
      </c>
      <c r="C8" s="27">
        <v>32009</v>
      </c>
      <c r="D8" s="27">
        <f>SUM(C8:$C$40)</f>
        <v>458790</v>
      </c>
      <c r="E8" s="27">
        <v>0.33199707509840426</v>
      </c>
      <c r="F8" s="27">
        <f t="shared" ref="F8:F32" si="0">F7*(D8-C7)/D9</f>
        <v>1.8022894256189339E-6</v>
      </c>
      <c r="H8" s="5"/>
      <c r="L8" s="26" t="s">
        <v>16</v>
      </c>
      <c r="M8" s="17">
        <v>0.33199707509840398</v>
      </c>
      <c r="N8" s="17">
        <v>0.33199707509840398</v>
      </c>
      <c r="O8" s="27">
        <v>0.21863508749684499</v>
      </c>
      <c r="P8" s="27">
        <v>0.16451795054696799</v>
      </c>
      <c r="Q8" s="27">
        <v>0.33199707509840398</v>
      </c>
      <c r="R8" s="27">
        <v>8.8625323836413195E-2</v>
      </c>
      <c r="S8" s="27">
        <v>8.3865411260923506E-2</v>
      </c>
      <c r="T8" s="27">
        <v>8.1373263444843705E-2</v>
      </c>
      <c r="U8" s="27">
        <v>7.9527338831972993E-2</v>
      </c>
      <c r="V8" s="27">
        <v>7.1018733323052294E-2</v>
      </c>
      <c r="W8" s="27">
        <v>6.8852688882666005E-2</v>
      </c>
      <c r="X8" s="27">
        <v>5.9081554708216202E-2</v>
      </c>
      <c r="Y8" s="27">
        <v>5.9051636967326897E-2</v>
      </c>
      <c r="Z8" s="27">
        <v>4.9504885849547001E-2</v>
      </c>
      <c r="AA8" s="27">
        <v>4.7874368971079398E-2</v>
      </c>
      <c r="AB8" s="27">
        <v>4.75632244658305E-2</v>
      </c>
      <c r="AC8" s="27">
        <v>4.3299946389103401E-2</v>
      </c>
      <c r="AD8" s="27">
        <v>4.0158583595725397E-2</v>
      </c>
      <c r="AE8" s="27">
        <v>3.8258807049254002E-2</v>
      </c>
      <c r="AF8" s="27">
        <v>3.4899044747384103E-2</v>
      </c>
      <c r="AG8" s="27">
        <v>3.0719536345147101E-2</v>
      </c>
      <c r="AH8" s="27">
        <v>3.0656709089279501E-2</v>
      </c>
      <c r="AI8" s="27">
        <v>3.0405400065809302E-2</v>
      </c>
      <c r="AJ8" s="27">
        <v>3.0204951201850901E-2</v>
      </c>
      <c r="AK8" s="27">
        <v>2.9546760902286001E-2</v>
      </c>
      <c r="AL8" s="27">
        <v>2.6360521497574101E-2</v>
      </c>
      <c r="AM8" s="27">
        <v>2.5367252500048901E-2</v>
      </c>
      <c r="AN8" s="27">
        <v>2.5208688473335499E-2</v>
      </c>
      <c r="AO8" s="27">
        <v>2.44547614029248E-2</v>
      </c>
      <c r="AP8">
        <v>1.6369117955826702E-2</v>
      </c>
      <c r="AQ8">
        <v>1.6369117955826702E-2</v>
      </c>
      <c r="AR8">
        <v>1.6369117955826702E-2</v>
      </c>
      <c r="AS8">
        <v>1.6369117955826702E-2</v>
      </c>
      <c r="AT8">
        <v>1.6369117955826702E-2</v>
      </c>
      <c r="AU8">
        <v>1.6369117955826702E-2</v>
      </c>
      <c r="AV8">
        <v>1.6369117955826702E-2</v>
      </c>
      <c r="AW8">
        <v>1.6369117955826702E-2</v>
      </c>
    </row>
    <row r="9" spans="2:49" x14ac:dyDescent="0.3">
      <c r="B9" s="26" t="s">
        <v>56</v>
      </c>
      <c r="C9" s="27">
        <v>29623</v>
      </c>
      <c r="D9" s="27">
        <f>SUM(C9:$C$40)</f>
        <v>426781</v>
      </c>
      <c r="E9" s="27">
        <v>0.30724950344090818</v>
      </c>
      <c r="F9" s="27">
        <f t="shared" si="0"/>
        <v>1.7914618391935647E-6</v>
      </c>
      <c r="L9" s="26" t="s">
        <v>56</v>
      </c>
      <c r="M9" s="17">
        <v>0.30724950344090801</v>
      </c>
      <c r="N9" s="17">
        <v>0.30724950344090801</v>
      </c>
      <c r="O9" s="27">
        <v>0.20233769242772501</v>
      </c>
      <c r="P9" s="27">
        <v>0.15225452994635399</v>
      </c>
      <c r="Q9" s="27">
        <v>8.8625323836413195E-2</v>
      </c>
      <c r="R9" s="27">
        <v>0.30724950344090801</v>
      </c>
      <c r="S9" s="27">
        <v>7.7147674595262297E-2</v>
      </c>
      <c r="T9" s="27">
        <v>7.4855151302673395E-2</v>
      </c>
      <c r="U9" s="27">
        <v>7.3157087831452E-2</v>
      </c>
      <c r="V9" s="27">
        <v>6.5330033516778602E-2</v>
      </c>
      <c r="W9" s="27">
        <v>6.3337492263676007E-2</v>
      </c>
      <c r="X9" s="27">
        <v>5.4349039594293699E-2</v>
      </c>
      <c r="Y9" s="27">
        <v>5.43215183062674E-2</v>
      </c>
      <c r="Z9" s="27">
        <v>4.5539475297082098E-2</v>
      </c>
      <c r="AA9" s="27">
        <v>4.4039565099649999E-2</v>
      </c>
      <c r="AB9" s="27">
        <v>4.3753343704176703E-2</v>
      </c>
      <c r="AC9" s="27">
        <v>3.98315601604321E-2</v>
      </c>
      <c r="AD9" s="27">
        <v>3.6941824917672901E-2</v>
      </c>
      <c r="AE9" s="27">
        <v>3.5194223128004201E-2</v>
      </c>
      <c r="AF9" s="27">
        <v>3.2103582482653201E-2</v>
      </c>
      <c r="AG9" s="27">
        <v>2.8258858545382199E-2</v>
      </c>
      <c r="AH9" s="27">
        <v>2.8201063840527001E-2</v>
      </c>
      <c r="AI9" s="27">
        <v>2.7969885021106301E-2</v>
      </c>
      <c r="AJ9" s="27">
        <v>2.7785492391330199E-2</v>
      </c>
      <c r="AK9" s="27">
        <v>2.7180024054752099E-2</v>
      </c>
      <c r="AL9" s="27">
        <v>2.4249006879953499E-2</v>
      </c>
      <c r="AM9" s="27">
        <v>2.3335300117481101E-2</v>
      </c>
      <c r="AN9" s="27">
        <v>2.3189437290941799E-2</v>
      </c>
      <c r="AO9" s="27">
        <v>2.2495900832679602E-2</v>
      </c>
      <c r="AP9">
        <v>1.5057928727477601E-2</v>
      </c>
      <c r="AQ9">
        <v>1.5057928727477601E-2</v>
      </c>
      <c r="AR9">
        <v>1.5057928727477601E-2</v>
      </c>
      <c r="AS9">
        <v>1.5057928727477601E-2</v>
      </c>
      <c r="AT9">
        <v>1.5057928727477601E-2</v>
      </c>
      <c r="AU9">
        <v>1.5057928727477601E-2</v>
      </c>
      <c r="AV9">
        <v>1.5057928727477601E-2</v>
      </c>
      <c r="AW9">
        <v>1.5057928727477601E-2</v>
      </c>
    </row>
    <row r="10" spans="2:49" x14ac:dyDescent="0.3">
      <c r="B10" s="26" t="s">
        <v>24</v>
      </c>
      <c r="C10" s="27">
        <v>28032</v>
      </c>
      <c r="D10" s="27">
        <f>SUM(C10:$C$40)</f>
        <v>397158</v>
      </c>
      <c r="E10" s="27">
        <v>0.29074766500541938</v>
      </c>
      <c r="F10" s="27">
        <f t="shared" si="0"/>
        <v>1.7837403137898898E-6</v>
      </c>
      <c r="L10" s="26" t="s">
        <v>24</v>
      </c>
      <c r="M10" s="17">
        <v>0.29074766500541899</v>
      </c>
      <c r="N10" s="17">
        <v>0.29074766500541899</v>
      </c>
      <c r="O10" s="27">
        <v>0.19147048557316901</v>
      </c>
      <c r="P10" s="27">
        <v>0.14407720296581</v>
      </c>
      <c r="Q10" s="27">
        <v>8.3865411260923506E-2</v>
      </c>
      <c r="R10" s="27">
        <v>7.7147674595262297E-2</v>
      </c>
      <c r="S10" s="27">
        <v>0.29074766500541899</v>
      </c>
      <c r="T10" s="27">
        <v>7.0529499952964397E-2</v>
      </c>
      <c r="U10" s="27">
        <v>6.89295624011802E-2</v>
      </c>
      <c r="V10" s="27">
        <v>6.15548097313676E-2</v>
      </c>
      <c r="W10" s="27">
        <v>5.9677411372385802E-2</v>
      </c>
      <c r="X10" s="27">
        <v>5.1208374023719298E-2</v>
      </c>
      <c r="Y10" s="27">
        <v>5.1182443107158797E-2</v>
      </c>
      <c r="Z10" s="27">
        <v>4.2907887632696103E-2</v>
      </c>
      <c r="AA10" s="27">
        <v>4.1494652680147702E-2</v>
      </c>
      <c r="AB10" s="27">
        <v>4.1224971147918198E-2</v>
      </c>
      <c r="AC10" s="27">
        <v>3.7529815538043798E-2</v>
      </c>
      <c r="AD10" s="27">
        <v>3.4807069299189003E-2</v>
      </c>
      <c r="AE10" s="27">
        <v>3.3160456097595797E-2</v>
      </c>
      <c r="AF10" s="27">
        <v>3.0248414167849201E-2</v>
      </c>
      <c r="AG10" s="27">
        <v>2.66258651243442E-2</v>
      </c>
      <c r="AH10" s="27">
        <v>2.6571410199567099E-2</v>
      </c>
      <c r="AI10" s="27">
        <v>2.6353590500458698E-2</v>
      </c>
      <c r="AJ10" s="27">
        <v>2.6179853359503201E-2</v>
      </c>
      <c r="AK10" s="27">
        <v>2.5609373195171699E-2</v>
      </c>
      <c r="AL10" s="27">
        <v>2.28477305814761E-2</v>
      </c>
      <c r="AM10" s="27">
        <v>2.1986824151666799E-2</v>
      </c>
      <c r="AN10" s="27">
        <v>2.1849390293896001E-2</v>
      </c>
      <c r="AO10" s="27">
        <v>2.11959311965709E-2</v>
      </c>
      <c r="AP10">
        <v>1.4187776859632699E-2</v>
      </c>
      <c r="AQ10">
        <v>1.4187776859632699E-2</v>
      </c>
      <c r="AR10">
        <v>1.4187776859632699E-2</v>
      </c>
      <c r="AS10">
        <v>1.4187776859632699E-2</v>
      </c>
      <c r="AT10">
        <v>1.4187776859632699E-2</v>
      </c>
      <c r="AU10">
        <v>1.4187776859632699E-2</v>
      </c>
      <c r="AV10">
        <v>1.4187776859632699E-2</v>
      </c>
      <c r="AW10">
        <v>1.4187776859632699E-2</v>
      </c>
    </row>
    <row r="11" spans="2:49" x14ac:dyDescent="0.3">
      <c r="B11" s="26" t="s">
        <v>44</v>
      </c>
      <c r="C11" s="27">
        <v>27199</v>
      </c>
      <c r="D11" s="27">
        <f>SUM(C11:$C$40)</f>
        <v>369126</v>
      </c>
      <c r="E11" s="27">
        <v>0.28210779610739162</v>
      </c>
      <c r="F11" s="27">
        <f t="shared" si="0"/>
        <v>1.7793947789786961E-6</v>
      </c>
      <c r="H11" s="4" t="s">
        <v>84</v>
      </c>
      <c r="I11" s="1">
        <f>SUM(AS89:AS96)</f>
        <v>1018870.1616891733</v>
      </c>
      <c r="L11" s="26" t="s">
        <v>44</v>
      </c>
      <c r="M11" s="17">
        <v>0.28210779610739201</v>
      </c>
      <c r="N11" s="17">
        <v>0.28210779610739201</v>
      </c>
      <c r="O11" s="27">
        <v>0.185780741192374</v>
      </c>
      <c r="P11" s="27">
        <v>0.13979579921044</v>
      </c>
      <c r="Q11" s="27">
        <v>8.1373263444843705E-2</v>
      </c>
      <c r="R11" s="27">
        <v>7.4855151302673395E-2</v>
      </c>
      <c r="S11" s="27">
        <v>7.0529499952964397E-2</v>
      </c>
      <c r="T11" s="27">
        <v>0.28210779610739201</v>
      </c>
      <c r="U11" s="27">
        <v>6.6718313251301106E-2</v>
      </c>
      <c r="V11" s="27">
        <v>5.9580141447573003E-2</v>
      </c>
      <c r="W11" s="27">
        <v>5.7762969722573297E-2</v>
      </c>
      <c r="X11" s="27">
        <v>4.9565617714494498E-2</v>
      </c>
      <c r="Y11" s="27">
        <v>4.9540518657519399E-2</v>
      </c>
      <c r="Z11" s="27">
        <v>4.1531409576754101E-2</v>
      </c>
      <c r="AA11" s="27">
        <v>4.0163510971609299E-2</v>
      </c>
      <c r="AB11" s="27">
        <v>3.9902480779068002E-2</v>
      </c>
      <c r="AC11" s="27">
        <v>3.6325865160111402E-2</v>
      </c>
      <c r="AD11" s="27">
        <v>3.3690464177722299E-2</v>
      </c>
      <c r="AE11" s="27">
        <v>3.2096674059801301E-2</v>
      </c>
      <c r="AF11" s="27">
        <v>2.9278049961493701E-2</v>
      </c>
      <c r="AG11" s="27">
        <v>2.5771711702067501E-2</v>
      </c>
      <c r="AH11" s="27">
        <v>2.5719003682419798E-2</v>
      </c>
      <c r="AI11" s="27">
        <v>2.5508171603828601E-2</v>
      </c>
      <c r="AJ11" s="27">
        <v>2.53400079220952E-2</v>
      </c>
      <c r="AK11" s="27">
        <v>2.4787828668642299E-2</v>
      </c>
      <c r="AL11" s="27">
        <v>2.2114779100790499E-2</v>
      </c>
      <c r="AM11" s="27">
        <v>2.1281490409216099E-2</v>
      </c>
      <c r="AN11" s="27">
        <v>2.11484654072479E-2</v>
      </c>
      <c r="AO11" s="27">
        <v>2.05159691714745E-2</v>
      </c>
      <c r="AP11">
        <v>1.37326352857324E-2</v>
      </c>
      <c r="AQ11">
        <v>1.37326352857324E-2</v>
      </c>
      <c r="AR11">
        <v>1.37326352857324E-2</v>
      </c>
      <c r="AS11">
        <v>1.37326352857324E-2</v>
      </c>
      <c r="AT11">
        <v>1.37326352857324E-2</v>
      </c>
      <c r="AU11">
        <v>1.37326352857324E-2</v>
      </c>
      <c r="AV11">
        <v>1.37326352857324E-2</v>
      </c>
      <c r="AW11">
        <v>1.37326352857324E-2</v>
      </c>
    </row>
    <row r="12" spans="2:49" x14ac:dyDescent="0.3">
      <c r="B12" s="26" t="s">
        <v>4</v>
      </c>
      <c r="C12" s="27">
        <v>26582</v>
      </c>
      <c r="D12" s="27">
        <f>SUM(C12:$C$40)</f>
        <v>341927</v>
      </c>
      <c r="E12" s="27">
        <v>0.27570827736779602</v>
      </c>
      <c r="F12" s="27">
        <f t="shared" si="0"/>
        <v>1.7759132378772681E-6</v>
      </c>
      <c r="H12" s="4" t="s">
        <v>86</v>
      </c>
      <c r="I12" s="1">
        <f>SUM(AG89:AN97)</f>
        <v>1687029896.6065779</v>
      </c>
      <c r="L12" s="26" t="s">
        <v>4</v>
      </c>
      <c r="M12" s="17">
        <v>0.27570827736779602</v>
      </c>
      <c r="N12" s="17">
        <v>0.27570827736779602</v>
      </c>
      <c r="O12" s="27">
        <v>0.18156636870383799</v>
      </c>
      <c r="P12" s="27">
        <v>0.13662457938203301</v>
      </c>
      <c r="Q12" s="27">
        <v>7.9527338831972993E-2</v>
      </c>
      <c r="R12" s="27">
        <v>7.3157087831452E-2</v>
      </c>
      <c r="S12" s="27">
        <v>6.89295624011802E-2</v>
      </c>
      <c r="T12" s="27">
        <v>6.6718313251301106E-2</v>
      </c>
      <c r="U12" s="27">
        <v>0.27570827736779602</v>
      </c>
      <c r="V12" s="27">
        <v>5.8114657035140301E-2</v>
      </c>
      <c r="W12" s="27">
        <v>5.6342182029097597E-2</v>
      </c>
      <c r="X12" s="27">
        <v>4.8346459142722703E-2</v>
      </c>
      <c r="Y12" s="27">
        <v>4.8321977443744203E-2</v>
      </c>
      <c r="Z12" s="27">
        <v>4.0509867299707902E-2</v>
      </c>
      <c r="AA12" s="27">
        <v>3.9175614705380203E-2</v>
      </c>
      <c r="AB12" s="27">
        <v>3.8921005036003903E-2</v>
      </c>
      <c r="AC12" s="27">
        <v>3.5432362931568998E-2</v>
      </c>
      <c r="AD12" s="27">
        <v>3.2861784538827599E-2</v>
      </c>
      <c r="AE12" s="27">
        <v>3.13071966536934E-2</v>
      </c>
      <c r="AF12" s="27">
        <v>2.8557901858409E-2</v>
      </c>
      <c r="AG12" s="27">
        <v>2.5137808511113899E-2</v>
      </c>
      <c r="AH12" s="27">
        <v>2.5086396943258999E-2</v>
      </c>
      <c r="AI12" s="27">
        <v>2.4880750671839699E-2</v>
      </c>
      <c r="AJ12" s="27">
        <v>2.4716723288683799E-2</v>
      </c>
      <c r="AK12" s="27">
        <v>2.4178125911156999E-2</v>
      </c>
      <c r="AL12" s="27">
        <v>2.1570824969947801E-2</v>
      </c>
      <c r="AM12" s="27">
        <v>2.0758032563861901E-2</v>
      </c>
      <c r="AN12" s="27">
        <v>2.0628279559275899E-2</v>
      </c>
      <c r="AO12" s="27">
        <v>2.0011340745018001E-2</v>
      </c>
      <c r="AP12">
        <v>1.3394855574843699E-2</v>
      </c>
      <c r="AQ12">
        <v>1.3394855574843699E-2</v>
      </c>
      <c r="AR12">
        <v>1.3394855574843699E-2</v>
      </c>
      <c r="AS12">
        <v>1.3394855574843699E-2</v>
      </c>
      <c r="AT12">
        <v>1.3394855574843699E-2</v>
      </c>
      <c r="AU12">
        <v>1.3394855574843699E-2</v>
      </c>
      <c r="AV12">
        <v>1.3394855574843699E-2</v>
      </c>
      <c r="AW12">
        <v>1.3394855574843699E-2</v>
      </c>
    </row>
    <row r="13" spans="2:49" x14ac:dyDescent="0.3">
      <c r="B13" s="26" t="s">
        <v>32</v>
      </c>
      <c r="C13" s="27">
        <v>23738</v>
      </c>
      <c r="D13" s="27">
        <f>SUM(C13:$C$40)</f>
        <v>315345</v>
      </c>
      <c r="E13" s="27">
        <v>0.24621033361510578</v>
      </c>
      <c r="F13" s="27">
        <f t="shared" si="0"/>
        <v>1.758593018374571E-6</v>
      </c>
      <c r="H13" s="4" t="s">
        <v>88</v>
      </c>
      <c r="I13" s="8">
        <f>SQRT(I12)/I11</f>
        <v>4.031276117650423E-2</v>
      </c>
      <c r="L13" s="26" t="s">
        <v>32</v>
      </c>
      <c r="M13" s="17">
        <v>0.246210333615106</v>
      </c>
      <c r="N13" s="17">
        <v>0.246210333615106</v>
      </c>
      <c r="O13" s="27">
        <v>0.16214063878909399</v>
      </c>
      <c r="P13" s="27">
        <v>0.122007157677026</v>
      </c>
      <c r="Q13" s="27">
        <v>7.1018733323052294E-2</v>
      </c>
      <c r="R13" s="27">
        <v>6.5330033516778602E-2</v>
      </c>
      <c r="S13" s="27">
        <v>6.15548097313676E-2</v>
      </c>
      <c r="T13" s="27">
        <v>5.9580141447573003E-2</v>
      </c>
      <c r="U13" s="27">
        <v>5.8114657035140301E-2</v>
      </c>
      <c r="V13" s="27">
        <v>0.246210333615106</v>
      </c>
      <c r="W13" s="27">
        <v>4.9823442845090202E-2</v>
      </c>
      <c r="X13" s="27">
        <v>4.2752817819798401E-2</v>
      </c>
      <c r="Y13" s="27">
        <v>4.2731168631111101E-2</v>
      </c>
      <c r="Z13" s="27">
        <v>3.5822912520974498E-2</v>
      </c>
      <c r="AA13" s="27">
        <v>3.4643031737513402E-2</v>
      </c>
      <c r="AB13" s="27">
        <v>3.4417880175164797E-2</v>
      </c>
      <c r="AC13" s="27">
        <v>3.1332870787215999E-2</v>
      </c>
      <c r="AD13" s="27">
        <v>2.9059705975043201E-2</v>
      </c>
      <c r="AE13" s="27">
        <v>2.7684982493395901E-2</v>
      </c>
      <c r="AF13" s="27">
        <v>2.5253778603805399E-2</v>
      </c>
      <c r="AG13" s="27">
        <v>2.2229386944181199E-2</v>
      </c>
      <c r="AH13" s="27">
        <v>2.2183923647937701E-2</v>
      </c>
      <c r="AI13" s="27">
        <v>2.2002070462963898E-2</v>
      </c>
      <c r="AJ13" s="27">
        <v>2.18570208987586E-2</v>
      </c>
      <c r="AK13" s="27">
        <v>2.1380738747636699E-2</v>
      </c>
      <c r="AL13" s="27">
        <v>1.90751001524328E-2</v>
      </c>
      <c r="AM13" s="27">
        <v>1.8356347088012499E-2</v>
      </c>
      <c r="AN13" s="27">
        <v>1.8241606387969501E-2</v>
      </c>
      <c r="AO13" s="27">
        <v>1.7696046833047999E-2</v>
      </c>
      <c r="AP13">
        <v>1.1845082975430399E-2</v>
      </c>
      <c r="AQ13">
        <v>1.1845082975430399E-2</v>
      </c>
      <c r="AR13">
        <v>1.1845082975430399E-2</v>
      </c>
      <c r="AS13">
        <v>1.1845082975430399E-2</v>
      </c>
      <c r="AT13">
        <v>1.1845082975430399E-2</v>
      </c>
      <c r="AU13">
        <v>1.1845082975430399E-2</v>
      </c>
      <c r="AV13">
        <v>1.1845082975430399E-2</v>
      </c>
      <c r="AW13">
        <v>1.1845082975430399E-2</v>
      </c>
    </row>
    <row r="14" spans="2:49" x14ac:dyDescent="0.3">
      <c r="B14" s="26" t="s">
        <v>10</v>
      </c>
      <c r="C14" s="27">
        <v>23014</v>
      </c>
      <c r="D14" s="27">
        <f>SUM(C14:$C$40)</f>
        <v>291607</v>
      </c>
      <c r="E14" s="27">
        <v>0.23870101178776831</v>
      </c>
      <c r="F14" s="27">
        <f t="shared" si="0"/>
        <v>1.7538526813393422E-6</v>
      </c>
      <c r="H14" s="4" t="s">
        <v>89</v>
      </c>
      <c r="I14" s="7">
        <f>$I$11-1.96*SQRT($I$12)</f>
        <v>938366.16147301125</v>
      </c>
      <c r="L14" s="26" t="s">
        <v>10</v>
      </c>
      <c r="M14" s="17">
        <v>0.23870101178776801</v>
      </c>
      <c r="N14" s="17">
        <v>0.23870101178776801</v>
      </c>
      <c r="O14" s="27">
        <v>0.15719541077985499</v>
      </c>
      <c r="P14" s="27">
        <v>0.11828598562554</v>
      </c>
      <c r="Q14" s="27">
        <v>6.8852688882666005E-2</v>
      </c>
      <c r="R14" s="27">
        <v>6.3337492263676007E-2</v>
      </c>
      <c r="S14" s="27">
        <v>5.9677411372385802E-2</v>
      </c>
      <c r="T14" s="27">
        <v>5.7762969722573297E-2</v>
      </c>
      <c r="U14" s="27">
        <v>5.6342182029097597E-2</v>
      </c>
      <c r="V14" s="27">
        <v>4.9823442845090202E-2</v>
      </c>
      <c r="W14" s="27">
        <v>0.23870101178776801</v>
      </c>
      <c r="X14" s="27">
        <v>4.1337146480190497E-2</v>
      </c>
      <c r="Y14" s="27">
        <v>4.13162141597124E-2</v>
      </c>
      <c r="Z14" s="27">
        <v>3.4636710695144499E-2</v>
      </c>
      <c r="AA14" s="27">
        <v>3.3495899229086898E-2</v>
      </c>
      <c r="AB14" s="27">
        <v>3.3278203096114498E-2</v>
      </c>
      <c r="AC14" s="27">
        <v>3.02953474279825E-2</v>
      </c>
      <c r="AD14" s="27">
        <v>2.8097453777779901E-2</v>
      </c>
      <c r="AE14" s="27">
        <v>2.6768251427419301E-2</v>
      </c>
      <c r="AF14" s="27">
        <v>2.4417551837726498E-2</v>
      </c>
      <c r="AG14" s="27">
        <v>2.14933066669332E-2</v>
      </c>
      <c r="AH14" s="27">
        <v>2.14493487939291E-2</v>
      </c>
      <c r="AI14" s="27">
        <v>2.12735173019129E-2</v>
      </c>
      <c r="AJ14" s="27">
        <v>2.1133270754709499E-2</v>
      </c>
      <c r="AK14" s="27">
        <v>2.0672759704190899E-2</v>
      </c>
      <c r="AL14" s="27">
        <v>1.8443467573271199E-2</v>
      </c>
      <c r="AM14" s="27">
        <v>1.77485145333976E-2</v>
      </c>
      <c r="AN14" s="27">
        <v>1.76375732348635E-2</v>
      </c>
      <c r="AO14" s="27">
        <v>1.7110078758814901E-2</v>
      </c>
      <c r="AP14">
        <v>1.14528574955971E-2</v>
      </c>
      <c r="AQ14">
        <v>1.14528574955971E-2</v>
      </c>
      <c r="AR14">
        <v>1.14528574955971E-2</v>
      </c>
      <c r="AS14">
        <v>1.14528574955971E-2</v>
      </c>
      <c r="AT14">
        <v>1.14528574955971E-2</v>
      </c>
      <c r="AU14">
        <v>1.14528574955971E-2</v>
      </c>
      <c r="AV14">
        <v>1.14528574955971E-2</v>
      </c>
      <c r="AW14">
        <v>1.14528574955971E-2</v>
      </c>
    </row>
    <row r="15" spans="2:49" x14ac:dyDescent="0.3">
      <c r="B15" s="26" t="s">
        <v>8</v>
      </c>
      <c r="C15" s="27">
        <v>19748</v>
      </c>
      <c r="D15" s="27">
        <f>SUM(C15:$C$40)</f>
        <v>268593</v>
      </c>
      <c r="E15" s="27">
        <v>0.20482608763295596</v>
      </c>
      <c r="F15" s="27">
        <f t="shared" si="0"/>
        <v>1.7308340036192582E-6</v>
      </c>
      <c r="H15" s="4" t="s">
        <v>90</v>
      </c>
      <c r="I15" s="7">
        <f>$I$11+1.96*SQRT($I$12)</f>
        <v>1099374.1619053355</v>
      </c>
      <c r="L15" s="26" t="s">
        <v>8</v>
      </c>
      <c r="M15" s="17">
        <v>0.20482608763295601</v>
      </c>
      <c r="N15" s="17">
        <v>0.20482608763295601</v>
      </c>
      <c r="O15" s="27">
        <v>0.13488724133486499</v>
      </c>
      <c r="P15" s="27">
        <v>0.101499593470634</v>
      </c>
      <c r="Q15" s="27">
        <v>5.9081554708216202E-2</v>
      </c>
      <c r="R15" s="27">
        <v>5.4349039594293699E-2</v>
      </c>
      <c r="S15" s="27">
        <v>5.1208374023719298E-2</v>
      </c>
      <c r="T15" s="27">
        <v>4.9565617714494498E-2</v>
      </c>
      <c r="U15" s="27">
        <v>4.8346459142722703E-2</v>
      </c>
      <c r="V15" s="27">
        <v>4.2752817819798401E-2</v>
      </c>
      <c r="W15" s="27">
        <v>4.1337146480190497E-2</v>
      </c>
      <c r="X15" s="27">
        <v>0.20482608763295601</v>
      </c>
      <c r="Y15" s="27">
        <v>3.49875745862743E-2</v>
      </c>
      <c r="Z15" s="27">
        <v>2.9331208667498301E-2</v>
      </c>
      <c r="AA15" s="27">
        <v>2.8365141783846502E-2</v>
      </c>
      <c r="AB15" s="27">
        <v>2.8180791406048698E-2</v>
      </c>
      <c r="AC15" s="27">
        <v>2.5654836710261902E-2</v>
      </c>
      <c r="AD15" s="27">
        <v>2.3793606934418898E-2</v>
      </c>
      <c r="AE15" s="27">
        <v>2.2668006069980599E-2</v>
      </c>
      <c r="AF15" s="27">
        <v>2.0677376509721901E-2</v>
      </c>
      <c r="AG15" s="27">
        <v>1.8201054607957502E-2</v>
      </c>
      <c r="AH15" s="27">
        <v>1.8163830012440599E-2</v>
      </c>
      <c r="AI15" s="27">
        <v>1.8014931630373199E-2</v>
      </c>
      <c r="AJ15" s="27">
        <v>1.7896167444676599E-2</v>
      </c>
      <c r="AK15" s="27">
        <v>1.7506195491642802E-2</v>
      </c>
      <c r="AL15" s="27">
        <v>1.5618376719002101E-2</v>
      </c>
      <c r="AM15" s="27">
        <v>1.50298735898784E-2</v>
      </c>
      <c r="AN15" s="27">
        <v>1.4935925801193E-2</v>
      </c>
      <c r="AO15" s="27">
        <v>1.4489230654990699E-2</v>
      </c>
      <c r="AP15">
        <v>9.6985581569549503E-3</v>
      </c>
      <c r="AQ15">
        <v>9.6985581569549503E-3</v>
      </c>
      <c r="AR15">
        <v>9.6985581569549503E-3</v>
      </c>
      <c r="AS15">
        <v>9.6985581569549503E-3</v>
      </c>
      <c r="AT15">
        <v>9.6985581569549503E-3</v>
      </c>
      <c r="AU15">
        <v>9.6985581569549503E-3</v>
      </c>
      <c r="AV15">
        <v>9.6985581569549503E-3</v>
      </c>
      <c r="AW15">
        <v>9.6985581569549503E-3</v>
      </c>
    </row>
    <row r="16" spans="2:49" x14ac:dyDescent="0.3">
      <c r="B16" s="26" t="s">
        <v>70</v>
      </c>
      <c r="C16" s="27">
        <v>19738</v>
      </c>
      <c r="D16" s="27">
        <f>SUM(C16:$C$40)</f>
        <v>248845</v>
      </c>
      <c r="E16" s="27">
        <v>0.20472236771821373</v>
      </c>
      <c r="F16" s="27">
        <f t="shared" si="0"/>
        <v>1.7307584566475976E-6</v>
      </c>
      <c r="L16" s="26" t="s">
        <v>70</v>
      </c>
      <c r="M16" s="17">
        <v>0.204722367718214</v>
      </c>
      <c r="N16" s="17">
        <v>0.204722367718214</v>
      </c>
      <c r="O16" s="27">
        <v>0.134818937080594</v>
      </c>
      <c r="P16" s="27">
        <v>0.101448196066608</v>
      </c>
      <c r="Q16" s="27">
        <v>5.9051636967326897E-2</v>
      </c>
      <c r="R16" s="27">
        <v>5.43215183062674E-2</v>
      </c>
      <c r="S16" s="27">
        <v>5.1182443107158797E-2</v>
      </c>
      <c r="T16" s="27">
        <v>4.9540518657519399E-2</v>
      </c>
      <c r="U16" s="27">
        <v>4.8321977443744203E-2</v>
      </c>
      <c r="V16" s="27">
        <v>4.2731168631111101E-2</v>
      </c>
      <c r="W16" s="27">
        <v>4.13162141597124E-2</v>
      </c>
      <c r="X16" s="27">
        <v>3.49875745862743E-2</v>
      </c>
      <c r="Y16" s="27">
        <v>0.204722367718214</v>
      </c>
      <c r="Z16" s="27">
        <v>2.9315076326200899E-2</v>
      </c>
      <c r="AA16" s="27">
        <v>2.8349540785149299E-2</v>
      </c>
      <c r="AB16" s="27">
        <v>2.8165291801168901E-2</v>
      </c>
      <c r="AC16" s="27">
        <v>2.5640726395667199E-2</v>
      </c>
      <c r="AD16" s="27">
        <v>2.3780520307402801E-2</v>
      </c>
      <c r="AE16" s="27">
        <v>2.2655538530214299E-2</v>
      </c>
      <c r="AF16" s="27">
        <v>2.0666003828194401E-2</v>
      </c>
      <c r="AG16" s="27">
        <v>1.81910439183798E-2</v>
      </c>
      <c r="AH16" s="27">
        <v>1.8153839796614502E-2</v>
      </c>
      <c r="AI16" s="27">
        <v>1.8005023309553399E-2</v>
      </c>
      <c r="AJ16" s="27">
        <v>1.7886324444873598E-2</v>
      </c>
      <c r="AK16" s="27">
        <v>1.7496566978761102E-2</v>
      </c>
      <c r="AL16" s="27">
        <v>1.56097865178072E-2</v>
      </c>
      <c r="AM16" s="27">
        <v>1.5021607068946501E-2</v>
      </c>
      <c r="AN16" s="27">
        <v>1.4927710952110301E-2</v>
      </c>
      <c r="AO16" s="27">
        <v>1.44812614909268E-2</v>
      </c>
      <c r="AP16">
        <v>9.6932238915976993E-3</v>
      </c>
      <c r="AQ16">
        <v>9.6932238915976993E-3</v>
      </c>
      <c r="AR16">
        <v>9.6932238915976993E-3</v>
      </c>
      <c r="AS16">
        <v>9.6932238915976993E-3</v>
      </c>
      <c r="AT16">
        <v>9.6932238915976993E-3</v>
      </c>
      <c r="AU16">
        <v>9.6932238915976993E-3</v>
      </c>
      <c r="AV16">
        <v>9.6932238915976993E-3</v>
      </c>
      <c r="AW16">
        <v>9.6932238915976993E-3</v>
      </c>
    </row>
    <row r="17" spans="2:49" x14ac:dyDescent="0.3">
      <c r="B17" s="26" t="s">
        <v>52</v>
      </c>
      <c r="C17" s="27">
        <v>16547</v>
      </c>
      <c r="D17" s="27">
        <f>SUM(C17:$C$40)</f>
        <v>229107</v>
      </c>
      <c r="E17" s="27">
        <v>0.17162534292396811</v>
      </c>
      <c r="F17" s="27">
        <f t="shared" si="0"/>
        <v>1.7047759094366338E-6</v>
      </c>
      <c r="L17" s="26" t="s">
        <v>52</v>
      </c>
      <c r="M17" s="17">
        <v>0.171625342923968</v>
      </c>
      <c r="N17" s="17">
        <v>0.171625342923968</v>
      </c>
      <c r="O17" s="27">
        <v>0.113023049542638</v>
      </c>
      <c r="P17" s="27">
        <v>8.5047284441896895E-2</v>
      </c>
      <c r="Q17" s="27">
        <v>4.9504885849547001E-2</v>
      </c>
      <c r="R17" s="27">
        <v>4.5539475297082098E-2</v>
      </c>
      <c r="S17" s="27">
        <v>4.2907887632696103E-2</v>
      </c>
      <c r="T17" s="27">
        <v>4.1531409576754101E-2</v>
      </c>
      <c r="U17" s="27">
        <v>4.0509867299707902E-2</v>
      </c>
      <c r="V17" s="27">
        <v>3.5822912520974498E-2</v>
      </c>
      <c r="W17" s="27">
        <v>3.4636710695144499E-2</v>
      </c>
      <c r="X17" s="27">
        <v>2.9331208667498301E-2</v>
      </c>
      <c r="Y17" s="27">
        <v>2.9315076326200899E-2</v>
      </c>
      <c r="Z17" s="27">
        <v>0.171625342923968</v>
      </c>
      <c r="AA17" s="27">
        <v>2.3409545832747201E-2</v>
      </c>
      <c r="AB17" s="27">
        <v>2.3257402802713101E-2</v>
      </c>
      <c r="AC17" s="27">
        <v>2.1172750708495801E-2</v>
      </c>
      <c r="AD17" s="27">
        <v>1.9636691270651499E-2</v>
      </c>
      <c r="AE17" s="27">
        <v>1.8707741039193301E-2</v>
      </c>
      <c r="AF17" s="27">
        <v>1.7064888897575101E-2</v>
      </c>
      <c r="AG17" s="27">
        <v>1.5021198388367E-2</v>
      </c>
      <c r="AH17" s="27">
        <v>1.49904771996101E-2</v>
      </c>
      <c r="AI17" s="27">
        <v>1.48675924445825E-2</v>
      </c>
      <c r="AJ17" s="27">
        <v>1.47695772233106E-2</v>
      </c>
      <c r="AK17" s="27">
        <v>1.4447736198238401E-2</v>
      </c>
      <c r="AL17" s="27">
        <v>1.2889733054139201E-2</v>
      </c>
      <c r="AM17" s="27">
        <v>1.2404045689030301E-2</v>
      </c>
      <c r="AN17" s="27">
        <v>1.2326511260263E-2</v>
      </c>
      <c r="AO17" s="27">
        <v>1.19578569951803E-2</v>
      </c>
      <c r="AP17">
        <v>8.0041497207003695E-3</v>
      </c>
      <c r="AQ17">
        <v>8.0041497207003695E-3</v>
      </c>
      <c r="AR17">
        <v>8.0041497207003695E-3</v>
      </c>
      <c r="AS17">
        <v>8.0041497207003695E-3</v>
      </c>
      <c r="AT17">
        <v>8.0041497207003695E-3</v>
      </c>
      <c r="AU17">
        <v>8.0041497207003695E-3</v>
      </c>
      <c r="AV17">
        <v>8.0041497207003695E-3</v>
      </c>
      <c r="AW17">
        <v>8.0041497207003695E-3</v>
      </c>
    </row>
    <row r="18" spans="2:49" x14ac:dyDescent="0.3">
      <c r="B18" s="26" t="s">
        <v>26</v>
      </c>
      <c r="C18" s="27">
        <v>16002</v>
      </c>
      <c r="D18" s="27">
        <f>SUM(C18:$C$40)</f>
        <v>212560</v>
      </c>
      <c r="E18" s="27">
        <v>0.16597260757051657</v>
      </c>
      <c r="F18" s="27">
        <f t="shared" si="0"/>
        <v>1.7000490457595361E-6</v>
      </c>
      <c r="L18" s="26" t="s">
        <v>26</v>
      </c>
      <c r="M18" s="17">
        <v>0.16597260757051699</v>
      </c>
      <c r="N18" s="17">
        <v>0.16597260757051699</v>
      </c>
      <c r="O18" s="27">
        <v>0.109300467684855</v>
      </c>
      <c r="P18" s="27">
        <v>8.2246125922477403E-2</v>
      </c>
      <c r="Q18" s="27">
        <v>4.7874368971079398E-2</v>
      </c>
      <c r="R18" s="27">
        <v>4.4039565099649999E-2</v>
      </c>
      <c r="S18" s="27">
        <v>4.1494652680147702E-2</v>
      </c>
      <c r="T18" s="27">
        <v>4.0163510971609299E-2</v>
      </c>
      <c r="U18" s="27">
        <v>3.9175614705380203E-2</v>
      </c>
      <c r="V18" s="27">
        <v>3.4643031737513402E-2</v>
      </c>
      <c r="W18" s="27">
        <v>3.3495899229086898E-2</v>
      </c>
      <c r="X18" s="27">
        <v>2.8365141783846502E-2</v>
      </c>
      <c r="Y18" s="27">
        <v>2.8349540785149299E-2</v>
      </c>
      <c r="Z18" s="27">
        <v>2.3409545832747201E-2</v>
      </c>
      <c r="AA18" s="27">
        <v>0.16597260757051699</v>
      </c>
      <c r="AB18" s="27">
        <v>2.2429023447505799E-2</v>
      </c>
      <c r="AC18" s="27">
        <v>2.04186222390082E-2</v>
      </c>
      <c r="AD18" s="27">
        <v>1.8937273980115198E-2</v>
      </c>
      <c r="AE18" s="27">
        <v>1.8041410985451301E-2</v>
      </c>
      <c r="AF18" s="27">
        <v>1.6457073752368601E-2</v>
      </c>
      <c r="AG18" s="27">
        <v>1.4486175164108101E-2</v>
      </c>
      <c r="AH18" s="27">
        <v>1.44565481989302E-2</v>
      </c>
      <c r="AI18" s="27">
        <v>1.43380403382188E-2</v>
      </c>
      <c r="AJ18" s="27">
        <v>1.42435162112227E-2</v>
      </c>
      <c r="AK18" s="27">
        <v>1.3933138480788001E-2</v>
      </c>
      <c r="AL18" s="27">
        <v>1.2430628103910799E-2</v>
      </c>
      <c r="AM18" s="27">
        <v>1.1962239892527499E-2</v>
      </c>
      <c r="AN18" s="27">
        <v>1.1887467075650001E-2</v>
      </c>
      <c r="AO18" s="27">
        <v>1.15319434935157E-2</v>
      </c>
      <c r="AP18">
        <v>7.71905888571501E-3</v>
      </c>
      <c r="AQ18">
        <v>7.71905888571501E-3</v>
      </c>
      <c r="AR18">
        <v>7.71905888571501E-3</v>
      </c>
      <c r="AS18">
        <v>7.71905888571501E-3</v>
      </c>
      <c r="AT18">
        <v>7.71905888571501E-3</v>
      </c>
      <c r="AU18">
        <v>7.71905888571501E-3</v>
      </c>
      <c r="AV18">
        <v>7.71905888571501E-3</v>
      </c>
      <c r="AW18">
        <v>7.71905888571501E-3</v>
      </c>
    </row>
    <row r="19" spans="2:49" x14ac:dyDescent="0.3">
      <c r="B19" s="26" t="s">
        <v>62</v>
      </c>
      <c r="C19" s="27">
        <v>15898</v>
      </c>
      <c r="D19" s="27">
        <f>SUM(C19:$C$40)</f>
        <v>196558</v>
      </c>
      <c r="E19" s="27">
        <v>0.16489392045719739</v>
      </c>
      <c r="F19" s="27">
        <f t="shared" si="0"/>
        <v>1.6990703836275811E-6</v>
      </c>
      <c r="L19" s="26" t="s">
        <v>62</v>
      </c>
      <c r="M19" s="17">
        <v>0.164893920457197</v>
      </c>
      <c r="N19" s="17">
        <v>0.164893920457197</v>
      </c>
      <c r="O19" s="27">
        <v>0.108590103440434</v>
      </c>
      <c r="P19" s="27">
        <v>8.1711592920606604E-2</v>
      </c>
      <c r="Q19" s="27">
        <v>4.75632244658305E-2</v>
      </c>
      <c r="R19" s="27">
        <v>4.3753343704176703E-2</v>
      </c>
      <c r="S19" s="27">
        <v>4.1224971147918198E-2</v>
      </c>
      <c r="T19" s="27">
        <v>3.9902480779068002E-2</v>
      </c>
      <c r="U19" s="27">
        <v>3.8921005036003903E-2</v>
      </c>
      <c r="V19" s="27">
        <v>3.4417880175164797E-2</v>
      </c>
      <c r="W19" s="27">
        <v>3.3278203096114498E-2</v>
      </c>
      <c r="X19" s="27">
        <v>2.8180791406048698E-2</v>
      </c>
      <c r="Y19" s="27">
        <v>2.8165291801168901E-2</v>
      </c>
      <c r="Z19" s="27">
        <v>2.3257402802713101E-2</v>
      </c>
      <c r="AA19" s="27">
        <v>2.2429023447505799E-2</v>
      </c>
      <c r="AB19" s="27">
        <v>0.164893920457197</v>
      </c>
      <c r="AC19" s="27">
        <v>2.02742398491043E-2</v>
      </c>
      <c r="AD19" s="27">
        <v>1.8803366371486701E-2</v>
      </c>
      <c r="AE19" s="27">
        <v>1.7913838125498901E-2</v>
      </c>
      <c r="AF19" s="27">
        <v>1.6340703920389801E-2</v>
      </c>
      <c r="AG19" s="27">
        <v>1.43837417792167E-2</v>
      </c>
      <c r="AH19" s="27">
        <v>1.4354324309664299E-2</v>
      </c>
      <c r="AI19" s="27">
        <v>1.4236654431454899E-2</v>
      </c>
      <c r="AJ19" s="27">
        <v>1.41427986952641E-2</v>
      </c>
      <c r="AK19" s="27">
        <v>1.38346156809061E-2</v>
      </c>
      <c r="AL19" s="27">
        <v>1.23427297250368E-2</v>
      </c>
      <c r="AM19" s="27">
        <v>1.1877653539733E-2</v>
      </c>
      <c r="AN19" s="27">
        <v>1.18034094499104E-2</v>
      </c>
      <c r="AO19" s="27">
        <v>1.1450399815282101E-2</v>
      </c>
      <c r="AP19">
        <v>7.6644765462856998E-3</v>
      </c>
      <c r="AQ19">
        <v>7.6644765462856998E-3</v>
      </c>
      <c r="AR19">
        <v>7.6644765462856998E-3</v>
      </c>
      <c r="AS19">
        <v>7.6644765462856998E-3</v>
      </c>
      <c r="AT19">
        <v>7.6644765462856998E-3</v>
      </c>
      <c r="AU19">
        <v>7.6644765462856998E-3</v>
      </c>
      <c r="AV19">
        <v>7.6644765462856998E-3</v>
      </c>
      <c r="AW19">
        <v>7.6644765462856998E-3</v>
      </c>
    </row>
    <row r="20" spans="2:49" x14ac:dyDescent="0.3">
      <c r="B20" s="26" t="s">
        <v>60</v>
      </c>
      <c r="C20" s="27">
        <v>14473</v>
      </c>
      <c r="D20" s="27">
        <f>SUM(C20:$C$40)</f>
        <v>180660</v>
      </c>
      <c r="E20" s="27">
        <v>0.1501138326064296</v>
      </c>
      <c r="F20" s="27">
        <f t="shared" si="0"/>
        <v>1.6845014023193604E-6</v>
      </c>
      <c r="L20" s="26" t="s">
        <v>60</v>
      </c>
      <c r="M20" s="17">
        <v>0.15011383260642999</v>
      </c>
      <c r="N20" s="17">
        <v>0.15011383260642999</v>
      </c>
      <c r="O20" s="27">
        <v>9.8856747206780601E-2</v>
      </c>
      <c r="P20" s="27">
        <v>7.4387462846895097E-2</v>
      </c>
      <c r="Q20" s="27">
        <v>4.3299946389103401E-2</v>
      </c>
      <c r="R20" s="27">
        <v>3.98315601604321E-2</v>
      </c>
      <c r="S20" s="27">
        <v>3.7529815538043798E-2</v>
      </c>
      <c r="T20" s="27">
        <v>3.6325865160111402E-2</v>
      </c>
      <c r="U20" s="27">
        <v>3.5432362931568998E-2</v>
      </c>
      <c r="V20" s="27">
        <v>3.1332870787215999E-2</v>
      </c>
      <c r="W20" s="27">
        <v>3.02953474279825E-2</v>
      </c>
      <c r="X20" s="27">
        <v>2.5654836710261902E-2</v>
      </c>
      <c r="Y20" s="27">
        <v>2.5640726395667199E-2</v>
      </c>
      <c r="Z20" s="27">
        <v>2.1172750708495801E-2</v>
      </c>
      <c r="AA20" s="27">
        <v>2.04186222390082E-2</v>
      </c>
      <c r="AB20" s="27">
        <v>2.02742398491043E-2</v>
      </c>
      <c r="AC20" s="27">
        <v>0.15011383260642999</v>
      </c>
      <c r="AD20" s="27">
        <v>1.6971166123291598E-2</v>
      </c>
      <c r="AE20" s="27">
        <v>1.61683135204241E-2</v>
      </c>
      <c r="AF20" s="27">
        <v>1.4748465531416E-2</v>
      </c>
      <c r="AG20" s="27">
        <v>1.29821898051075E-2</v>
      </c>
      <c r="AH20" s="27">
        <v>1.2955638774146599E-2</v>
      </c>
      <c r="AI20" s="27">
        <v>1.28494346503027E-2</v>
      </c>
      <c r="AJ20" s="27">
        <v>1.27647242181891E-2</v>
      </c>
      <c r="AK20" s="27">
        <v>1.24865705605027E-2</v>
      </c>
      <c r="AL20" s="27">
        <v>1.11400539903392E-2</v>
      </c>
      <c r="AM20" s="27">
        <v>1.07202948341943E-2</v>
      </c>
      <c r="AN20" s="27">
        <v>1.0653285089388001E-2</v>
      </c>
      <c r="AO20" s="27">
        <v>1.03346727178563E-2</v>
      </c>
      <c r="AP20">
        <v>6.9176498582898503E-3</v>
      </c>
      <c r="AQ20">
        <v>6.9176498582898503E-3</v>
      </c>
      <c r="AR20">
        <v>6.9176498582898503E-3</v>
      </c>
      <c r="AS20">
        <v>6.9176498582898503E-3</v>
      </c>
      <c r="AT20">
        <v>6.9176498582898503E-3</v>
      </c>
      <c r="AU20">
        <v>6.9176498582898503E-3</v>
      </c>
      <c r="AV20">
        <v>6.9176498582898503E-3</v>
      </c>
      <c r="AW20">
        <v>6.9176498582898503E-3</v>
      </c>
    </row>
    <row r="21" spans="2:49" x14ac:dyDescent="0.3">
      <c r="B21" s="26" t="s">
        <v>66</v>
      </c>
      <c r="C21" s="27">
        <v>13423</v>
      </c>
      <c r="D21" s="27">
        <f>SUM(C21:$C$40)</f>
        <v>166187</v>
      </c>
      <c r="E21" s="27">
        <v>0.13922324155849544</v>
      </c>
      <c r="F21" s="27">
        <f t="shared" si="0"/>
        <v>1.6729232394509142E-6</v>
      </c>
      <c r="L21" s="26" t="s">
        <v>66</v>
      </c>
      <c r="M21" s="17">
        <v>0.139223241558495</v>
      </c>
      <c r="N21" s="17">
        <v>0.139223241558495</v>
      </c>
      <c r="O21" s="27">
        <v>9.1684800508299302E-2</v>
      </c>
      <c r="P21" s="27">
        <v>6.8990735424160399E-2</v>
      </c>
      <c r="Q21" s="27">
        <v>4.0158583595725397E-2</v>
      </c>
      <c r="R21" s="27">
        <v>3.6941824917672901E-2</v>
      </c>
      <c r="S21" s="27">
        <v>3.4807069299189003E-2</v>
      </c>
      <c r="T21" s="27">
        <v>3.3690464177722299E-2</v>
      </c>
      <c r="U21" s="27">
        <v>3.2861784538827599E-2</v>
      </c>
      <c r="V21" s="27">
        <v>2.9059705975043201E-2</v>
      </c>
      <c r="W21" s="27">
        <v>2.8097453777779901E-2</v>
      </c>
      <c r="X21" s="27">
        <v>2.3793606934418898E-2</v>
      </c>
      <c r="Y21" s="27">
        <v>2.3780520307402801E-2</v>
      </c>
      <c r="Z21" s="27">
        <v>1.9636691270651499E-2</v>
      </c>
      <c r="AA21" s="27">
        <v>1.8937273980115198E-2</v>
      </c>
      <c r="AB21" s="27">
        <v>1.8803366371486701E-2</v>
      </c>
      <c r="AC21" s="27">
        <v>1.6971166123291598E-2</v>
      </c>
      <c r="AD21" s="27">
        <v>0.139223241558495</v>
      </c>
      <c r="AE21" s="27">
        <v>1.48922523738168E-2</v>
      </c>
      <c r="AF21" s="27">
        <v>1.35844638677333E-2</v>
      </c>
      <c r="AG21" s="27">
        <v>1.19575889407531E-2</v>
      </c>
      <c r="AH21" s="27">
        <v>1.19331334121443E-2</v>
      </c>
      <c r="AI21" s="27">
        <v>1.18353112977088E-2</v>
      </c>
      <c r="AJ21" s="27">
        <v>1.17572865159567E-2</v>
      </c>
      <c r="AK21" s="27">
        <v>1.15010857400543E-2</v>
      </c>
      <c r="AL21" s="27">
        <v>1.02608410748905E-2</v>
      </c>
      <c r="AM21" s="27">
        <v>9.8742108130741892E-3</v>
      </c>
      <c r="AN21" s="27">
        <v>9.8124897170613398E-3</v>
      </c>
      <c r="AO21" s="27">
        <v>9.5190233737549694E-3</v>
      </c>
      <c r="AP21">
        <v>6.3716841829677797E-3</v>
      </c>
      <c r="AQ21">
        <v>6.3716841829677797E-3</v>
      </c>
      <c r="AR21">
        <v>6.3716841829677797E-3</v>
      </c>
      <c r="AS21">
        <v>6.3716841829677797E-3</v>
      </c>
      <c r="AT21">
        <v>6.3716841829677797E-3</v>
      </c>
      <c r="AU21">
        <v>6.3716841829677797E-3</v>
      </c>
      <c r="AV21">
        <v>6.3716841829677797E-3</v>
      </c>
      <c r="AW21">
        <v>6.3716841829677797E-3</v>
      </c>
    </row>
    <row r="22" spans="2:49" x14ac:dyDescent="0.3">
      <c r="B22" s="26" t="s">
        <v>48</v>
      </c>
      <c r="C22" s="27">
        <v>12788</v>
      </c>
      <c r="D22" s="27">
        <f>SUM(C22:$C$40)</f>
        <v>152764</v>
      </c>
      <c r="E22" s="27">
        <v>0.13263702697236382</v>
      </c>
      <c r="F22" s="27">
        <f t="shared" si="0"/>
        <v>1.6653340366086319E-6</v>
      </c>
      <c r="L22" s="26" t="s">
        <v>48</v>
      </c>
      <c r="M22" s="17">
        <v>0.13263702697236401</v>
      </c>
      <c r="N22" s="17">
        <v>0.13263702697236401</v>
      </c>
      <c r="O22" s="27">
        <v>8.7347480362074903E-2</v>
      </c>
      <c r="P22" s="27">
        <v>6.5727000268506502E-2</v>
      </c>
      <c r="Q22" s="27">
        <v>3.8258807049254002E-2</v>
      </c>
      <c r="R22" s="27">
        <v>3.5194223128004201E-2</v>
      </c>
      <c r="S22" s="27">
        <v>3.3160456097595797E-2</v>
      </c>
      <c r="T22" s="27">
        <v>3.2096674059801301E-2</v>
      </c>
      <c r="U22" s="27">
        <v>3.13071966536934E-2</v>
      </c>
      <c r="V22" s="27">
        <v>2.7684982493395901E-2</v>
      </c>
      <c r="W22" s="27">
        <v>2.6768251427419301E-2</v>
      </c>
      <c r="X22" s="27">
        <v>2.2668006069980599E-2</v>
      </c>
      <c r="Y22" s="27">
        <v>2.2655538530214299E-2</v>
      </c>
      <c r="Z22" s="27">
        <v>1.8707741039193301E-2</v>
      </c>
      <c r="AA22" s="27">
        <v>1.8041410985451301E-2</v>
      </c>
      <c r="AB22" s="27">
        <v>1.7913838125498901E-2</v>
      </c>
      <c r="AC22" s="27">
        <v>1.61683135204241E-2</v>
      </c>
      <c r="AD22" s="27">
        <v>1.48922523738168E-2</v>
      </c>
      <c r="AE22" s="27">
        <v>0.13263702697236401</v>
      </c>
      <c r="AF22" s="27">
        <v>1.2883115031383801E-2</v>
      </c>
      <c r="AG22" s="27">
        <v>1.1340233616995101E-2</v>
      </c>
      <c r="AH22" s="27">
        <v>1.13170406966643E-2</v>
      </c>
      <c r="AI22" s="27">
        <v>1.1224269015341E-2</v>
      </c>
      <c r="AJ22" s="27">
        <v>1.11502725552379E-2</v>
      </c>
      <c r="AK22" s="27">
        <v>1.09072991041531E-2</v>
      </c>
      <c r="AL22" s="27">
        <v>9.7310867159470394E-3</v>
      </c>
      <c r="AM22" s="27">
        <v>9.3644176897645006E-3</v>
      </c>
      <c r="AN22" s="27">
        <v>9.30588317654861E-3</v>
      </c>
      <c r="AO22" s="27">
        <v>9.0275681325787203E-3</v>
      </c>
      <c r="AP22">
        <v>6.0427221178600303E-3</v>
      </c>
      <c r="AQ22">
        <v>6.0427221178600303E-3</v>
      </c>
      <c r="AR22">
        <v>6.0427221178600303E-3</v>
      </c>
      <c r="AS22">
        <v>6.0427221178600303E-3</v>
      </c>
      <c r="AT22">
        <v>6.0427221178600303E-3</v>
      </c>
      <c r="AU22">
        <v>6.0427221178600303E-3</v>
      </c>
      <c r="AV22">
        <v>6.0427221178600303E-3</v>
      </c>
      <c r="AW22">
        <v>6.0427221178600303E-3</v>
      </c>
    </row>
    <row r="23" spans="2:49" x14ac:dyDescent="0.3">
      <c r="B23" s="26" t="s">
        <v>34</v>
      </c>
      <c r="C23" s="27">
        <v>11665</v>
      </c>
      <c r="D23" s="27">
        <f>SUM(C23:$C$40)</f>
        <v>139976</v>
      </c>
      <c r="E23" s="27">
        <v>0.12098928054681139</v>
      </c>
      <c r="F23" s="27">
        <f t="shared" si="0"/>
        <v>1.65075874592341E-6</v>
      </c>
      <c r="L23" s="26" t="s">
        <v>34</v>
      </c>
      <c r="M23" s="17">
        <v>0.120989280546811</v>
      </c>
      <c r="N23" s="17">
        <v>0.120989280546811</v>
      </c>
      <c r="O23" s="27">
        <v>7.9676912607413497E-2</v>
      </c>
      <c r="P23" s="27">
        <v>5.9955071796381702E-2</v>
      </c>
      <c r="Q23" s="27">
        <v>3.4899044747384103E-2</v>
      </c>
      <c r="R23" s="27">
        <v>3.2103582482653201E-2</v>
      </c>
      <c r="S23" s="27">
        <v>3.0248414167849201E-2</v>
      </c>
      <c r="T23" s="27">
        <v>2.9278049961493701E-2</v>
      </c>
      <c r="U23" s="27">
        <v>2.8557901858409E-2</v>
      </c>
      <c r="V23" s="27">
        <v>2.5253778603805399E-2</v>
      </c>
      <c r="W23" s="27">
        <v>2.4417551837726498E-2</v>
      </c>
      <c r="X23" s="27">
        <v>2.0677376509721901E-2</v>
      </c>
      <c r="Y23" s="27">
        <v>2.0666003828194401E-2</v>
      </c>
      <c r="Z23" s="27">
        <v>1.7064888897575101E-2</v>
      </c>
      <c r="AA23" s="27">
        <v>1.6457073752368601E-2</v>
      </c>
      <c r="AB23" s="27">
        <v>1.6340703920389801E-2</v>
      </c>
      <c r="AC23" s="27">
        <v>1.4748465531416E-2</v>
      </c>
      <c r="AD23" s="27">
        <v>1.35844638677333E-2</v>
      </c>
      <c r="AE23" s="27">
        <v>1.2883115031383801E-2</v>
      </c>
      <c r="AF23" s="27">
        <v>0.120989280546811</v>
      </c>
      <c r="AG23" s="27">
        <v>1.02538359627358E-2</v>
      </c>
      <c r="AH23" s="27">
        <v>1.02328649308682E-2</v>
      </c>
      <c r="AI23" s="27">
        <v>1.0148980803397401E-2</v>
      </c>
      <c r="AJ23" s="27">
        <v>1.00820732255338E-2</v>
      </c>
      <c r="AK23" s="27">
        <v>9.86237670120561E-3</v>
      </c>
      <c r="AL23" s="27">
        <v>8.7988457993441304E-3</v>
      </c>
      <c r="AM23" s="27">
        <v>8.4673037717215797E-3</v>
      </c>
      <c r="AN23" s="27">
        <v>8.4143768817697903E-3</v>
      </c>
      <c r="AO23" s="27">
        <v>8.1627244993574995E-3</v>
      </c>
      <c r="AP23">
        <v>5.4638275945280302E-3</v>
      </c>
      <c r="AQ23">
        <v>5.4638275945280302E-3</v>
      </c>
      <c r="AR23">
        <v>5.4638275945280302E-3</v>
      </c>
      <c r="AS23">
        <v>5.4638275945280302E-3</v>
      </c>
      <c r="AT23">
        <v>5.4638275945280302E-3</v>
      </c>
      <c r="AU23">
        <v>5.4638275945280302E-3</v>
      </c>
      <c r="AV23">
        <v>5.4638275945280302E-3</v>
      </c>
      <c r="AW23">
        <v>5.4638275945280302E-3</v>
      </c>
    </row>
    <row r="24" spans="2:49" x14ac:dyDescent="0.3">
      <c r="B24" s="26" t="s">
        <v>46</v>
      </c>
      <c r="C24" s="27">
        <v>10268</v>
      </c>
      <c r="D24" s="27">
        <f>SUM(C24:$C$40)</f>
        <v>128311</v>
      </c>
      <c r="E24" s="27">
        <v>0.10649960845732184</v>
      </c>
      <c r="F24" s="27">
        <f t="shared" si="0"/>
        <v>1.6312225602279008E-6</v>
      </c>
      <c r="L24" s="26" t="s">
        <v>46</v>
      </c>
      <c r="M24" s="17">
        <v>0.106499608457322</v>
      </c>
      <c r="N24" s="17">
        <v>0.106499608457322</v>
      </c>
      <c r="O24" s="27">
        <v>7.0134808285719802E-2</v>
      </c>
      <c r="P24" s="27">
        <v>5.2774854453943101E-2</v>
      </c>
      <c r="Q24" s="27">
        <v>3.0719536345147101E-2</v>
      </c>
      <c r="R24" s="27">
        <v>2.8258858545382199E-2</v>
      </c>
      <c r="S24" s="27">
        <v>2.66258651243442E-2</v>
      </c>
      <c r="T24" s="27">
        <v>2.5771711702067501E-2</v>
      </c>
      <c r="U24" s="27">
        <v>2.5137808511113899E-2</v>
      </c>
      <c r="V24" s="27">
        <v>2.2229386944181199E-2</v>
      </c>
      <c r="W24" s="27">
        <v>2.14933066669332E-2</v>
      </c>
      <c r="X24" s="27">
        <v>1.8201054607957502E-2</v>
      </c>
      <c r="Y24" s="27">
        <v>1.81910439183798E-2</v>
      </c>
      <c r="Z24" s="27">
        <v>1.5021198388367E-2</v>
      </c>
      <c r="AA24" s="27">
        <v>1.4486175164108101E-2</v>
      </c>
      <c r="AB24" s="27">
        <v>1.43837417792167E-2</v>
      </c>
      <c r="AC24" s="27">
        <v>1.29821898051075E-2</v>
      </c>
      <c r="AD24" s="27">
        <v>1.19575889407531E-2</v>
      </c>
      <c r="AE24" s="27">
        <v>1.1340233616995101E-2</v>
      </c>
      <c r="AF24" s="27">
        <v>1.02538359627358E-2</v>
      </c>
      <c r="AG24" s="27">
        <v>0.106499608457322</v>
      </c>
      <c r="AH24" s="27">
        <v>8.9007780350552797E-3</v>
      </c>
      <c r="AI24" s="27">
        <v>8.8278137181874595E-3</v>
      </c>
      <c r="AJ24" s="27">
        <v>8.7696159892571603E-3</v>
      </c>
      <c r="AK24" s="27">
        <v>8.5785189688890404E-3</v>
      </c>
      <c r="AL24" s="27">
        <v>7.6534356657433503E-3</v>
      </c>
      <c r="AM24" s="27">
        <v>7.3650528895514598E-3</v>
      </c>
      <c r="AN24" s="27">
        <v>7.3190158800991298E-3</v>
      </c>
      <c r="AO24" s="27">
        <v>7.1001229294956501E-3</v>
      </c>
      <c r="AP24">
        <v>4.75256118098474E-3</v>
      </c>
      <c r="AQ24">
        <v>4.75256118098474E-3</v>
      </c>
      <c r="AR24">
        <v>4.75256118098474E-3</v>
      </c>
      <c r="AS24">
        <v>4.75256118098474E-3</v>
      </c>
      <c r="AT24">
        <v>4.75256118098474E-3</v>
      </c>
      <c r="AU24">
        <v>4.75256118098474E-3</v>
      </c>
      <c r="AV24">
        <v>4.75256118098474E-3</v>
      </c>
      <c r="AW24">
        <v>4.75256118098474E-3</v>
      </c>
    </row>
    <row r="25" spans="2:49" x14ac:dyDescent="0.3">
      <c r="B25" s="26" t="s">
        <v>54</v>
      </c>
      <c r="C25" s="27">
        <v>10247</v>
      </c>
      <c r="D25" s="27">
        <f>SUM(C25:$C$40)</f>
        <v>118043</v>
      </c>
      <c r="E25" s="27">
        <v>0.10628179663636317</v>
      </c>
      <c r="F25" s="27">
        <f t="shared" si="0"/>
        <v>1.6309047778077293E-6</v>
      </c>
      <c r="L25" s="26" t="s">
        <v>54</v>
      </c>
      <c r="M25" s="17">
        <v>0.106281796636363</v>
      </c>
      <c r="N25" s="17">
        <v>0.106281796636363</v>
      </c>
      <c r="O25" s="27">
        <v>6.9991369351750196E-2</v>
      </c>
      <c r="P25" s="27">
        <v>5.2666919905488503E-2</v>
      </c>
      <c r="Q25" s="27">
        <v>3.0656709089279501E-2</v>
      </c>
      <c r="R25" s="27">
        <v>2.8201063840527001E-2</v>
      </c>
      <c r="S25" s="27">
        <v>2.6571410199567099E-2</v>
      </c>
      <c r="T25" s="27">
        <v>2.5719003682419798E-2</v>
      </c>
      <c r="U25" s="27">
        <v>2.5086396943258999E-2</v>
      </c>
      <c r="V25" s="27">
        <v>2.2183923647937701E-2</v>
      </c>
      <c r="W25" s="27">
        <v>2.14493487939291E-2</v>
      </c>
      <c r="X25" s="27">
        <v>1.8163830012440599E-2</v>
      </c>
      <c r="Y25" s="27">
        <v>1.8153839796614502E-2</v>
      </c>
      <c r="Z25" s="27">
        <v>1.49904771996101E-2</v>
      </c>
      <c r="AA25" s="27">
        <v>1.44565481989302E-2</v>
      </c>
      <c r="AB25" s="27">
        <v>1.4354324309664299E-2</v>
      </c>
      <c r="AC25" s="27">
        <v>1.2955638774146599E-2</v>
      </c>
      <c r="AD25" s="27">
        <v>1.19331334121443E-2</v>
      </c>
      <c r="AE25" s="27">
        <v>1.13170406966643E-2</v>
      </c>
      <c r="AF25" s="27">
        <v>1.02328649308682E-2</v>
      </c>
      <c r="AG25" s="27">
        <v>8.9007780350552797E-3</v>
      </c>
      <c r="AH25" s="27">
        <v>0.106281796636363</v>
      </c>
      <c r="AI25" s="27">
        <v>8.8080429207032206E-3</v>
      </c>
      <c r="AJ25" s="27">
        <v>8.7499755315772598E-3</v>
      </c>
      <c r="AK25" s="27">
        <v>8.5593064926561997E-3</v>
      </c>
      <c r="AL25" s="27">
        <v>7.6362950087883498E-3</v>
      </c>
      <c r="AM25" s="27">
        <v>7.3485580955074898E-3</v>
      </c>
      <c r="AN25" s="27">
        <v>7.3026241906765004E-3</v>
      </c>
      <c r="AO25" s="27">
        <v>7.0842214733669298E-3</v>
      </c>
      <c r="AP25">
        <v>4.74191733103046E-3</v>
      </c>
      <c r="AQ25">
        <v>4.74191733103046E-3</v>
      </c>
      <c r="AR25">
        <v>4.74191733103046E-3</v>
      </c>
      <c r="AS25">
        <v>4.74191733103046E-3</v>
      </c>
      <c r="AT25">
        <v>4.74191733103046E-3</v>
      </c>
      <c r="AU25">
        <v>4.74191733103046E-3</v>
      </c>
      <c r="AV25">
        <v>4.74191733103046E-3</v>
      </c>
      <c r="AW25">
        <v>4.74191733103046E-3</v>
      </c>
    </row>
    <row r="26" spans="2:49" x14ac:dyDescent="0.3">
      <c r="B26" s="26" t="s">
        <v>58</v>
      </c>
      <c r="C26" s="27">
        <v>10163</v>
      </c>
      <c r="D26" s="27">
        <f>SUM(C26:$C$40)</f>
        <v>107796</v>
      </c>
      <c r="E26" s="27">
        <v>0.10541054935252843</v>
      </c>
      <c r="F26" s="27">
        <f t="shared" si="0"/>
        <v>1.6295016046865936E-6</v>
      </c>
      <c r="L26" s="26" t="s">
        <v>58</v>
      </c>
      <c r="M26" s="17">
        <v>0.105410549352528</v>
      </c>
      <c r="N26" s="17">
        <v>0.105410549352528</v>
      </c>
      <c r="O26" s="27">
        <v>6.9417613615871704E-2</v>
      </c>
      <c r="P26" s="27">
        <v>5.2235181711669701E-2</v>
      </c>
      <c r="Q26" s="27">
        <v>3.0405400065809302E-2</v>
      </c>
      <c r="R26" s="27">
        <v>2.7969885021106301E-2</v>
      </c>
      <c r="S26" s="27">
        <v>2.6353590500458698E-2</v>
      </c>
      <c r="T26" s="27">
        <v>2.5508171603828601E-2</v>
      </c>
      <c r="U26" s="27">
        <v>2.4880750671839699E-2</v>
      </c>
      <c r="V26" s="27">
        <v>2.2002070462963898E-2</v>
      </c>
      <c r="W26" s="27">
        <v>2.12735173019129E-2</v>
      </c>
      <c r="X26" s="27">
        <v>1.8014931630373199E-2</v>
      </c>
      <c r="Y26" s="27">
        <v>1.8005023309553399E-2</v>
      </c>
      <c r="Z26" s="27">
        <v>1.48675924445825E-2</v>
      </c>
      <c r="AA26" s="27">
        <v>1.43380403382188E-2</v>
      </c>
      <c r="AB26" s="27">
        <v>1.4236654431454899E-2</v>
      </c>
      <c r="AC26" s="27">
        <v>1.28494346503027E-2</v>
      </c>
      <c r="AD26" s="27">
        <v>1.18353112977088E-2</v>
      </c>
      <c r="AE26" s="27">
        <v>1.1224269015341E-2</v>
      </c>
      <c r="AF26" s="27">
        <v>1.0148980803397401E-2</v>
      </c>
      <c r="AG26" s="27">
        <v>8.8278137181874595E-3</v>
      </c>
      <c r="AH26" s="27">
        <v>8.8080429207032206E-3</v>
      </c>
      <c r="AI26" s="27">
        <v>0.105410549352528</v>
      </c>
      <c r="AJ26" s="27">
        <v>8.6707809625160195E-3</v>
      </c>
      <c r="AK26" s="27">
        <v>8.4818376372631007E-3</v>
      </c>
      <c r="AL26" s="27">
        <v>7.5671801763796303E-3</v>
      </c>
      <c r="AM26" s="27">
        <v>7.2820475219070296E-3</v>
      </c>
      <c r="AN26" s="27">
        <v>7.2365293571870102E-3</v>
      </c>
      <c r="AO26" s="27">
        <v>7.02010336644275E-3</v>
      </c>
      <c r="AP26">
        <v>4.6989990282078203E-3</v>
      </c>
      <c r="AQ26">
        <v>4.6989990282078203E-3</v>
      </c>
      <c r="AR26">
        <v>4.6989990282078203E-3</v>
      </c>
      <c r="AS26">
        <v>4.6989990282078203E-3</v>
      </c>
      <c r="AT26">
        <v>4.6989990282078203E-3</v>
      </c>
      <c r="AU26">
        <v>4.6989990282078203E-3</v>
      </c>
      <c r="AV26">
        <v>4.6989990282078203E-3</v>
      </c>
      <c r="AW26">
        <v>4.6989990282078203E-3</v>
      </c>
    </row>
    <row r="27" spans="2:49" x14ac:dyDescent="0.3">
      <c r="B27" s="26" t="s">
        <v>40</v>
      </c>
      <c r="C27" s="27">
        <v>10096</v>
      </c>
      <c r="D27" s="27">
        <f>SUM(C27:$C$40)</f>
        <v>97633</v>
      </c>
      <c r="E27" s="27">
        <v>0.1047156259237555</v>
      </c>
      <c r="F27" s="27">
        <f t="shared" si="0"/>
        <v>1.6282543994189467E-6</v>
      </c>
      <c r="L27" s="26" t="s">
        <v>40</v>
      </c>
      <c r="M27" s="17">
        <v>0.104715625923755</v>
      </c>
      <c r="N27" s="17">
        <v>0.104715625923755</v>
      </c>
      <c r="O27" s="27">
        <v>6.8959975112254296E-2</v>
      </c>
      <c r="P27" s="27">
        <v>5.1890819104695202E-2</v>
      </c>
      <c r="Q27" s="27">
        <v>3.0204951201850901E-2</v>
      </c>
      <c r="R27" s="27">
        <v>2.7785492391330199E-2</v>
      </c>
      <c r="S27" s="27">
        <v>2.6179853359503201E-2</v>
      </c>
      <c r="T27" s="27">
        <v>2.53400079220952E-2</v>
      </c>
      <c r="U27" s="27">
        <v>2.4716723288683799E-2</v>
      </c>
      <c r="V27" s="27">
        <v>2.18570208987586E-2</v>
      </c>
      <c r="W27" s="27">
        <v>2.1133270754709499E-2</v>
      </c>
      <c r="X27" s="27">
        <v>1.7896167444676599E-2</v>
      </c>
      <c r="Y27" s="27">
        <v>1.7886324444873598E-2</v>
      </c>
      <c r="Z27" s="27">
        <v>1.47695772233106E-2</v>
      </c>
      <c r="AA27" s="27">
        <v>1.42435162112227E-2</v>
      </c>
      <c r="AB27" s="27">
        <v>1.41427986952641E-2</v>
      </c>
      <c r="AC27" s="27">
        <v>1.27647242181891E-2</v>
      </c>
      <c r="AD27" s="27">
        <v>1.17572865159567E-2</v>
      </c>
      <c r="AE27" s="27">
        <v>1.11502725552379E-2</v>
      </c>
      <c r="AF27" s="27">
        <v>1.00820732255338E-2</v>
      </c>
      <c r="AG27" s="27">
        <v>8.7696159892571603E-3</v>
      </c>
      <c r="AH27" s="27">
        <v>8.7499755315772598E-3</v>
      </c>
      <c r="AI27" s="27">
        <v>8.6707809625160195E-3</v>
      </c>
      <c r="AJ27" s="27">
        <v>0.104715625923755</v>
      </c>
      <c r="AK27" s="27">
        <v>8.4194716491822492E-3</v>
      </c>
      <c r="AL27" s="27">
        <v>7.5115395606464999E-3</v>
      </c>
      <c r="AM27" s="27">
        <v>7.2285034541733802E-3</v>
      </c>
      <c r="AN27" s="27">
        <v>7.1833199793448401E-3</v>
      </c>
      <c r="AO27" s="27">
        <v>6.9684853443110302E-3</v>
      </c>
      <c r="AP27">
        <v>4.6644478224528701E-3</v>
      </c>
      <c r="AQ27">
        <v>4.6644478224528701E-3</v>
      </c>
      <c r="AR27">
        <v>4.6644478224528701E-3</v>
      </c>
      <c r="AS27">
        <v>4.6644478224528701E-3</v>
      </c>
      <c r="AT27">
        <v>4.6644478224528701E-3</v>
      </c>
      <c r="AU27">
        <v>4.6644478224528701E-3</v>
      </c>
      <c r="AV27">
        <v>4.6644478224528701E-3</v>
      </c>
      <c r="AW27">
        <v>4.6644478224528701E-3</v>
      </c>
    </row>
    <row r="28" spans="2:49" x14ac:dyDescent="0.3">
      <c r="B28" s="26" t="s">
        <v>30</v>
      </c>
      <c r="C28" s="27">
        <v>9876</v>
      </c>
      <c r="D28" s="27">
        <f>SUM(C28:$C$40)</f>
        <v>87537</v>
      </c>
      <c r="E28" s="27">
        <v>0.10243378779942643</v>
      </c>
      <c r="F28" s="27">
        <f t="shared" si="0"/>
        <v>1.6236418401179825E-6</v>
      </c>
      <c r="L28" s="26" t="s">
        <v>30</v>
      </c>
      <c r="M28" s="17">
        <v>0.102433787799426</v>
      </c>
      <c r="N28" s="17">
        <v>0.102433787799426</v>
      </c>
      <c r="O28" s="27">
        <v>6.7457281518286796E-2</v>
      </c>
      <c r="P28" s="27">
        <v>5.0760076216122198E-2</v>
      </c>
      <c r="Q28" s="27">
        <v>2.9546760902286001E-2</v>
      </c>
      <c r="R28" s="27">
        <v>2.7180024054752099E-2</v>
      </c>
      <c r="S28" s="27">
        <v>2.5609373195171699E-2</v>
      </c>
      <c r="T28" s="27">
        <v>2.4787828668642299E-2</v>
      </c>
      <c r="U28" s="27">
        <v>2.4178125911156999E-2</v>
      </c>
      <c r="V28" s="27">
        <v>2.1380738747636699E-2</v>
      </c>
      <c r="W28" s="27">
        <v>2.0672759704190899E-2</v>
      </c>
      <c r="X28" s="27">
        <v>1.7506195491642802E-2</v>
      </c>
      <c r="Y28" s="27">
        <v>1.7496566978761102E-2</v>
      </c>
      <c r="Z28" s="27">
        <v>1.4447736198238401E-2</v>
      </c>
      <c r="AA28" s="27">
        <v>1.3933138480788001E-2</v>
      </c>
      <c r="AB28" s="27">
        <v>1.38346156809061E-2</v>
      </c>
      <c r="AC28" s="27">
        <v>1.24865705605027E-2</v>
      </c>
      <c r="AD28" s="27">
        <v>1.15010857400543E-2</v>
      </c>
      <c r="AE28" s="27">
        <v>1.09072991041531E-2</v>
      </c>
      <c r="AF28" s="27">
        <v>9.86237670120561E-3</v>
      </c>
      <c r="AG28" s="27">
        <v>8.5785189688890404E-3</v>
      </c>
      <c r="AH28" s="27">
        <v>8.5593064926561997E-3</v>
      </c>
      <c r="AI28" s="27">
        <v>8.4818376372631007E-3</v>
      </c>
      <c r="AJ28" s="27">
        <v>8.4194716491822492E-3</v>
      </c>
      <c r="AK28" s="27">
        <v>0.102433787799426</v>
      </c>
      <c r="AL28" s="27">
        <v>7.3270418514725004E-3</v>
      </c>
      <c r="AM28" s="27">
        <v>7.0509576505090599E-3</v>
      </c>
      <c r="AN28" s="27">
        <v>7.0068839678251397E-3</v>
      </c>
      <c r="AO28" s="27">
        <v>6.7973260803468596E-3</v>
      </c>
      <c r="AP28">
        <v>4.5498801055612699E-3</v>
      </c>
      <c r="AQ28">
        <v>4.5498801055612699E-3</v>
      </c>
      <c r="AR28">
        <v>4.5498801055612699E-3</v>
      </c>
      <c r="AS28">
        <v>4.5498801055612699E-3</v>
      </c>
      <c r="AT28">
        <v>4.5498801055612699E-3</v>
      </c>
      <c r="AU28">
        <v>4.5498801055612699E-3</v>
      </c>
      <c r="AV28">
        <v>4.5498801055612699E-3</v>
      </c>
      <c r="AW28">
        <v>4.5498801055612699E-3</v>
      </c>
    </row>
    <row r="29" spans="2:49" x14ac:dyDescent="0.3">
      <c r="B29" s="26" t="s">
        <v>64</v>
      </c>
      <c r="C29" s="27">
        <v>8811</v>
      </c>
      <c r="D29" s="27">
        <f>SUM(C29:$C$40)</f>
        <v>77661</v>
      </c>
      <c r="E29" s="27">
        <v>9.1387616879378922E-2</v>
      </c>
      <c r="F29" s="27">
        <f t="shared" si="0"/>
        <v>1.598526683113979E-6</v>
      </c>
      <c r="L29" s="26" t="s">
        <v>64</v>
      </c>
      <c r="M29" s="17">
        <v>9.1387616879378894E-2</v>
      </c>
      <c r="N29" s="17">
        <v>9.1387616879378894E-2</v>
      </c>
      <c r="O29" s="27">
        <v>6.0182878438398597E-2</v>
      </c>
      <c r="P29" s="27">
        <v>4.5286252687348399E-2</v>
      </c>
      <c r="Q29" s="27">
        <v>2.6360521497574101E-2</v>
      </c>
      <c r="R29" s="27">
        <v>2.4249006879953499E-2</v>
      </c>
      <c r="S29" s="27">
        <v>2.28477305814761E-2</v>
      </c>
      <c r="T29" s="27">
        <v>2.2114779100790499E-2</v>
      </c>
      <c r="U29" s="27">
        <v>2.1570824969947801E-2</v>
      </c>
      <c r="V29" s="27">
        <v>1.90751001524328E-2</v>
      </c>
      <c r="W29" s="27">
        <v>1.8443467573271199E-2</v>
      </c>
      <c r="X29" s="27">
        <v>1.5618376719002101E-2</v>
      </c>
      <c r="Y29" s="27">
        <v>1.56097865178072E-2</v>
      </c>
      <c r="Z29" s="27">
        <v>1.2889733054139201E-2</v>
      </c>
      <c r="AA29" s="27">
        <v>1.2430628103910799E-2</v>
      </c>
      <c r="AB29" s="27">
        <v>1.23427297250368E-2</v>
      </c>
      <c r="AC29" s="27">
        <v>1.11400539903392E-2</v>
      </c>
      <c r="AD29" s="27">
        <v>1.02608410748905E-2</v>
      </c>
      <c r="AE29" s="27">
        <v>9.7310867159470394E-3</v>
      </c>
      <c r="AF29" s="27">
        <v>8.7988457993441304E-3</v>
      </c>
      <c r="AG29" s="27">
        <v>7.6534356657433503E-3</v>
      </c>
      <c r="AH29" s="27">
        <v>7.6362950087883498E-3</v>
      </c>
      <c r="AI29" s="27">
        <v>7.5671801763796303E-3</v>
      </c>
      <c r="AJ29" s="27">
        <v>7.5115395606464999E-3</v>
      </c>
      <c r="AK29" s="27">
        <v>7.3270418514725004E-3</v>
      </c>
      <c r="AL29" s="27">
        <v>9.1387616879378894E-2</v>
      </c>
      <c r="AM29" s="27">
        <v>6.19329664160587E-3</v>
      </c>
      <c r="AN29" s="27">
        <v>6.1545839724225799E-3</v>
      </c>
      <c r="AO29" s="27">
        <v>5.97051618687185E-3</v>
      </c>
      <c r="AP29">
        <v>3.9964439689192501E-3</v>
      </c>
      <c r="AQ29">
        <v>3.9964439689192501E-3</v>
      </c>
      <c r="AR29">
        <v>3.9964439689192501E-3</v>
      </c>
      <c r="AS29">
        <v>3.9964439689192501E-3</v>
      </c>
      <c r="AT29">
        <v>3.9964439689192501E-3</v>
      </c>
      <c r="AU29">
        <v>3.9964439689192501E-3</v>
      </c>
      <c r="AV29">
        <v>3.9964439689192501E-3</v>
      </c>
      <c r="AW29">
        <v>3.9964439689192501E-3</v>
      </c>
    </row>
    <row r="30" spans="2:49" x14ac:dyDescent="0.3">
      <c r="B30" s="26" t="s">
        <v>18</v>
      </c>
      <c r="C30" s="27">
        <v>8479</v>
      </c>
      <c r="D30" s="27">
        <f>SUM(C30:$C$40)</f>
        <v>68850</v>
      </c>
      <c r="E30" s="27">
        <v>8.794411570993689E-2</v>
      </c>
      <c r="F30" s="27">
        <f t="shared" si="0"/>
        <v>1.5897358587315134E-6</v>
      </c>
      <c r="L30" s="26" t="s">
        <v>18</v>
      </c>
      <c r="M30" s="17">
        <v>8.7944115709936904E-2</v>
      </c>
      <c r="N30" s="17">
        <v>8.7944115709936904E-2</v>
      </c>
      <c r="O30" s="27">
        <v>5.7915177196593101E-2</v>
      </c>
      <c r="P30" s="27">
        <v>4.3579858873683701E-2</v>
      </c>
      <c r="Q30" s="27">
        <v>2.5367252500048901E-2</v>
      </c>
      <c r="R30" s="27">
        <v>2.3335300117481101E-2</v>
      </c>
      <c r="S30" s="27">
        <v>2.1986824151666799E-2</v>
      </c>
      <c r="T30" s="27">
        <v>2.1281490409216099E-2</v>
      </c>
      <c r="U30" s="27">
        <v>2.0758032563861901E-2</v>
      </c>
      <c r="V30" s="27">
        <v>1.8356347088012499E-2</v>
      </c>
      <c r="W30" s="27">
        <v>1.77485145333976E-2</v>
      </c>
      <c r="X30" s="27">
        <v>1.50298735898784E-2</v>
      </c>
      <c r="Y30" s="27">
        <v>1.5021607068946501E-2</v>
      </c>
      <c r="Z30" s="27">
        <v>1.2404045689030301E-2</v>
      </c>
      <c r="AA30" s="27">
        <v>1.1962239892527499E-2</v>
      </c>
      <c r="AB30" s="27">
        <v>1.1877653539733E-2</v>
      </c>
      <c r="AC30" s="27">
        <v>1.07202948341943E-2</v>
      </c>
      <c r="AD30" s="27">
        <v>9.8742108130741892E-3</v>
      </c>
      <c r="AE30" s="27">
        <v>9.3644176897645006E-3</v>
      </c>
      <c r="AF30" s="27">
        <v>8.4673037717215797E-3</v>
      </c>
      <c r="AG30" s="27">
        <v>7.3650528895514598E-3</v>
      </c>
      <c r="AH30" s="27">
        <v>7.3485580955074898E-3</v>
      </c>
      <c r="AI30" s="27">
        <v>7.2820475219070296E-3</v>
      </c>
      <c r="AJ30" s="27">
        <v>7.2285034541733802E-3</v>
      </c>
      <c r="AK30" s="27">
        <v>7.0509576505090599E-3</v>
      </c>
      <c r="AL30" s="27">
        <v>6.19329664160587E-3</v>
      </c>
      <c r="AM30" s="27">
        <v>8.7944115709936904E-2</v>
      </c>
      <c r="AN30" s="27">
        <v>5.8901074298179498E-3</v>
      </c>
      <c r="AO30" s="27">
        <v>5.7139494577892096E-3</v>
      </c>
      <c r="AP30">
        <v>3.8247076357488898E-3</v>
      </c>
      <c r="AQ30">
        <v>3.8247076357488898E-3</v>
      </c>
      <c r="AR30">
        <v>3.8247076357488898E-3</v>
      </c>
      <c r="AS30">
        <v>3.8247076357488898E-3</v>
      </c>
      <c r="AT30">
        <v>3.8247076357488898E-3</v>
      </c>
      <c r="AU30">
        <v>3.8247076357488898E-3</v>
      </c>
      <c r="AV30">
        <v>3.8247076357488898E-3</v>
      </c>
      <c r="AW30">
        <v>3.8247076357488898E-3</v>
      </c>
    </row>
    <row r="31" spans="2:49" x14ac:dyDescent="0.3">
      <c r="B31" s="26" t="s">
        <v>6</v>
      </c>
      <c r="C31" s="27">
        <v>8426</v>
      </c>
      <c r="D31" s="27">
        <f>SUM(C31:$C$40)</f>
        <v>60371</v>
      </c>
      <c r="E31" s="27">
        <v>8.7394400161803068E-2</v>
      </c>
      <c r="F31" s="27">
        <f t="shared" si="0"/>
        <v>1.5881138354277734E-6</v>
      </c>
      <c r="L31" s="26" t="s">
        <v>6</v>
      </c>
      <c r="M31" s="17">
        <v>8.7394400161803096E-2</v>
      </c>
      <c r="N31" s="17">
        <v>8.7394400161803096E-2</v>
      </c>
      <c r="O31" s="27">
        <v>5.7553164648955497E-2</v>
      </c>
      <c r="P31" s="27">
        <v>4.3307452632345603E-2</v>
      </c>
      <c r="Q31" s="27">
        <v>2.5208688473335499E-2</v>
      </c>
      <c r="R31" s="27">
        <v>2.3189437290941799E-2</v>
      </c>
      <c r="S31" s="27">
        <v>2.1849390293896001E-2</v>
      </c>
      <c r="T31" s="27">
        <v>2.11484654072479E-2</v>
      </c>
      <c r="U31" s="27">
        <v>2.0628279559275899E-2</v>
      </c>
      <c r="V31" s="27">
        <v>1.8241606387969501E-2</v>
      </c>
      <c r="W31" s="27">
        <v>1.76375732348635E-2</v>
      </c>
      <c r="X31" s="27">
        <v>1.4935925801193E-2</v>
      </c>
      <c r="Y31" s="27">
        <v>1.4927710952110301E-2</v>
      </c>
      <c r="Z31" s="27">
        <v>1.2326511260263E-2</v>
      </c>
      <c r="AA31" s="27">
        <v>1.1887467075650001E-2</v>
      </c>
      <c r="AB31" s="27">
        <v>1.18034094499104E-2</v>
      </c>
      <c r="AC31" s="27">
        <v>1.0653285089388001E-2</v>
      </c>
      <c r="AD31" s="27">
        <v>9.8124897170613398E-3</v>
      </c>
      <c r="AE31" s="27">
        <v>9.30588317654861E-3</v>
      </c>
      <c r="AF31" s="27">
        <v>8.4143768817697903E-3</v>
      </c>
      <c r="AG31" s="27">
        <v>7.3190158800991298E-3</v>
      </c>
      <c r="AH31" s="27">
        <v>7.3026241906765004E-3</v>
      </c>
      <c r="AI31" s="27">
        <v>7.2365293571870102E-3</v>
      </c>
      <c r="AJ31" s="27">
        <v>7.1833199793448401E-3</v>
      </c>
      <c r="AK31" s="27">
        <v>7.0068839678251397E-3</v>
      </c>
      <c r="AL31" s="27">
        <v>6.1545839724225799E-3</v>
      </c>
      <c r="AM31" s="27">
        <v>5.8901074298179498E-3</v>
      </c>
      <c r="AN31" s="27">
        <v>8.7394400161803096E-2</v>
      </c>
      <c r="AO31" s="27">
        <v>5.6724395041860302E-3</v>
      </c>
      <c r="AP31">
        <v>3.7969223993413099E-3</v>
      </c>
      <c r="AQ31">
        <v>3.7969223993413099E-3</v>
      </c>
      <c r="AR31">
        <v>3.7969223993413099E-3</v>
      </c>
      <c r="AS31">
        <v>3.7969223993413099E-3</v>
      </c>
      <c r="AT31">
        <v>3.7969223993413099E-3</v>
      </c>
      <c r="AU31">
        <v>3.7969223993413099E-3</v>
      </c>
      <c r="AV31">
        <v>3.7969223993413099E-3</v>
      </c>
      <c r="AW31">
        <v>3.7969223993413099E-3</v>
      </c>
    </row>
    <row r="32" spans="2:49" x14ac:dyDescent="0.3">
      <c r="B32" s="26" t="s">
        <v>68</v>
      </c>
      <c r="C32" s="27">
        <v>8174</v>
      </c>
      <c r="D32" s="27">
        <f>SUM(C32:$C$40)</f>
        <v>51945</v>
      </c>
      <c r="E32" s="27">
        <v>8.4780658310298865E-2</v>
      </c>
      <c r="F32" s="27">
        <f t="shared" si="0"/>
        <v>1.5789706884462606E-6</v>
      </c>
      <c r="L32" s="26" t="s">
        <v>68</v>
      </c>
      <c r="M32" s="17">
        <v>8.4780658310298906E-2</v>
      </c>
      <c r="N32" s="17">
        <v>8.4780658310298906E-2</v>
      </c>
      <c r="O32" s="27">
        <v>5.583189744132E-2</v>
      </c>
      <c r="P32" s="27">
        <v>4.20122380508893E-2</v>
      </c>
      <c r="Q32" s="27">
        <v>2.44547614029248E-2</v>
      </c>
      <c r="R32" s="27">
        <v>2.2495900832679602E-2</v>
      </c>
      <c r="S32" s="27">
        <v>2.11959311965709E-2</v>
      </c>
      <c r="T32" s="27">
        <v>2.05159691714745E-2</v>
      </c>
      <c r="U32" s="27">
        <v>2.0011340745018001E-2</v>
      </c>
      <c r="V32" s="27">
        <v>1.7696046833047999E-2</v>
      </c>
      <c r="W32" s="27">
        <v>1.7110078758814901E-2</v>
      </c>
      <c r="X32" s="27">
        <v>1.4489230654990699E-2</v>
      </c>
      <c r="Y32" s="27">
        <v>1.44812614909268E-2</v>
      </c>
      <c r="Z32" s="27">
        <v>1.19578569951803E-2</v>
      </c>
      <c r="AA32" s="27">
        <v>1.15319434935157E-2</v>
      </c>
      <c r="AB32" s="27">
        <v>1.1450399815282101E-2</v>
      </c>
      <c r="AC32" s="27">
        <v>1.03346727178563E-2</v>
      </c>
      <c r="AD32" s="27">
        <v>9.5190233737549694E-3</v>
      </c>
      <c r="AE32" s="27">
        <v>9.0275681325787203E-3</v>
      </c>
      <c r="AF32" s="27">
        <v>8.1627244993574995E-3</v>
      </c>
      <c r="AG32" s="27">
        <v>7.1001229294956501E-3</v>
      </c>
      <c r="AH32" s="27">
        <v>7.0842214733669298E-3</v>
      </c>
      <c r="AI32" s="27">
        <v>7.02010336644275E-3</v>
      </c>
      <c r="AJ32" s="27">
        <v>6.9684853443110302E-3</v>
      </c>
      <c r="AK32" s="27">
        <v>6.7973260803468596E-3</v>
      </c>
      <c r="AL32" s="27">
        <v>5.97051618687185E-3</v>
      </c>
      <c r="AM32" s="27">
        <v>5.7139494577892096E-3</v>
      </c>
      <c r="AN32" s="27">
        <v>5.6724395041860302E-3</v>
      </c>
      <c r="AO32" s="27">
        <v>8.4780658310298906E-2</v>
      </c>
      <c r="AP32">
        <v>3.6621602003126001E-3</v>
      </c>
      <c r="AQ32">
        <v>3.6621602003126001E-3</v>
      </c>
      <c r="AR32">
        <v>3.6621602003126001E-3</v>
      </c>
      <c r="AS32">
        <v>3.6621602003126001E-3</v>
      </c>
      <c r="AT32">
        <v>3.6621602003126001E-3</v>
      </c>
      <c r="AU32">
        <v>3.6621602003126001E-3</v>
      </c>
      <c r="AV32">
        <v>3.6621602003126001E-3</v>
      </c>
      <c r="AW32">
        <v>3.6621602003126001E-3</v>
      </c>
    </row>
    <row r="33" spans="2:50" x14ac:dyDescent="0.3">
      <c r="B33" s="25" t="s">
        <v>74</v>
      </c>
      <c r="C33" s="24">
        <v>7798</v>
      </c>
      <c r="D33" s="24">
        <f>SUM(C33:$C$40)</f>
        <v>43771</v>
      </c>
      <c r="E33" s="24">
        <v>5.6749054852276992E-2</v>
      </c>
      <c r="F33" s="24"/>
      <c r="L33" s="25" t="s">
        <v>74</v>
      </c>
      <c r="M33" s="29">
        <v>5.6749054852276902E-2</v>
      </c>
      <c r="N33" s="29">
        <v>5.6749054852276902E-2</v>
      </c>
      <c r="O33">
        <v>3.7371818921336203E-2</v>
      </c>
      <c r="P33">
        <v>2.81214471453003E-2</v>
      </c>
      <c r="Q33">
        <v>1.6369117955826702E-2</v>
      </c>
      <c r="R33">
        <v>1.5057928727477601E-2</v>
      </c>
      <c r="S33">
        <v>1.4187776859632699E-2</v>
      </c>
      <c r="T33">
        <v>1.37326352857324E-2</v>
      </c>
      <c r="U33">
        <v>1.3394855574843699E-2</v>
      </c>
      <c r="V33">
        <v>1.1845082975430399E-2</v>
      </c>
      <c r="W33">
        <v>1.14528574955971E-2</v>
      </c>
      <c r="X33">
        <v>9.6985581569549503E-3</v>
      </c>
      <c r="Y33">
        <v>9.6932238915976993E-3</v>
      </c>
      <c r="Z33">
        <v>8.0041497207003695E-3</v>
      </c>
      <c r="AA33">
        <v>7.71905888571501E-3</v>
      </c>
      <c r="AB33">
        <v>7.6644765462856998E-3</v>
      </c>
      <c r="AC33">
        <v>6.9176498582898503E-3</v>
      </c>
      <c r="AD33">
        <v>6.3716841829677797E-3</v>
      </c>
      <c r="AE33">
        <v>6.0427221178600303E-3</v>
      </c>
      <c r="AF33">
        <v>5.4638275945280302E-3</v>
      </c>
      <c r="AG33">
        <v>4.75256118098474E-3</v>
      </c>
      <c r="AH33">
        <v>4.74191733103046E-3</v>
      </c>
      <c r="AI33">
        <v>4.6989990282078203E-3</v>
      </c>
      <c r="AJ33">
        <v>4.6644478224528701E-3</v>
      </c>
      <c r="AK33">
        <v>4.5498801055612699E-3</v>
      </c>
      <c r="AL33">
        <v>3.9964439689192501E-3</v>
      </c>
      <c r="AM33">
        <v>3.8247076357488898E-3</v>
      </c>
      <c r="AN33">
        <v>3.7969223993413099E-3</v>
      </c>
      <c r="AO33">
        <v>3.6621602003126001E-3</v>
      </c>
      <c r="AP33" s="24">
        <v>5.6749054852276902E-2</v>
      </c>
      <c r="AQ33" s="24">
        <v>2.2783375275355301E-3</v>
      </c>
      <c r="AR33" s="24">
        <v>2.2783375275355301E-3</v>
      </c>
      <c r="AS33" s="24">
        <v>2.2783375275355301E-3</v>
      </c>
      <c r="AT33" s="24">
        <v>2.2783375275355301E-3</v>
      </c>
      <c r="AU33" s="24">
        <v>2.2783375275355301E-3</v>
      </c>
      <c r="AV33" s="24">
        <v>2.2783375275355301E-3</v>
      </c>
      <c r="AW33" s="24">
        <v>2.2783375275355301E-3</v>
      </c>
    </row>
    <row r="34" spans="2:50" x14ac:dyDescent="0.3">
      <c r="B34" s="25" t="s">
        <v>72</v>
      </c>
      <c r="C34" s="24">
        <v>7308</v>
      </c>
      <c r="D34" s="24">
        <f>SUM(C34:$C$40)</f>
        <v>35973</v>
      </c>
      <c r="E34" s="24">
        <v>5.6749054852276992E-2</v>
      </c>
      <c r="F34" s="24"/>
      <c r="L34" s="25" t="s">
        <v>72</v>
      </c>
      <c r="M34" s="29">
        <v>5.6749054852276902E-2</v>
      </c>
      <c r="N34" s="29">
        <v>5.6749054852276902E-2</v>
      </c>
      <c r="O34">
        <v>3.7371818921336203E-2</v>
      </c>
      <c r="P34">
        <v>2.81214471453003E-2</v>
      </c>
      <c r="Q34">
        <v>1.6369117955826702E-2</v>
      </c>
      <c r="R34">
        <v>1.5057928727477601E-2</v>
      </c>
      <c r="S34">
        <v>1.4187776859632699E-2</v>
      </c>
      <c r="T34">
        <v>1.37326352857324E-2</v>
      </c>
      <c r="U34">
        <v>1.3394855574843699E-2</v>
      </c>
      <c r="V34">
        <v>1.1845082975430399E-2</v>
      </c>
      <c r="W34">
        <v>1.14528574955971E-2</v>
      </c>
      <c r="X34">
        <v>9.6985581569549503E-3</v>
      </c>
      <c r="Y34">
        <v>9.6932238915976993E-3</v>
      </c>
      <c r="Z34">
        <v>8.0041497207003695E-3</v>
      </c>
      <c r="AA34">
        <v>7.71905888571501E-3</v>
      </c>
      <c r="AB34">
        <v>7.6644765462856998E-3</v>
      </c>
      <c r="AC34">
        <v>6.9176498582898503E-3</v>
      </c>
      <c r="AD34">
        <v>6.3716841829677797E-3</v>
      </c>
      <c r="AE34">
        <v>6.0427221178600303E-3</v>
      </c>
      <c r="AF34">
        <v>5.4638275945280302E-3</v>
      </c>
      <c r="AG34">
        <v>4.75256118098474E-3</v>
      </c>
      <c r="AH34">
        <v>4.74191733103046E-3</v>
      </c>
      <c r="AI34">
        <v>4.6989990282078203E-3</v>
      </c>
      <c r="AJ34">
        <v>4.6644478224528701E-3</v>
      </c>
      <c r="AK34">
        <v>4.5498801055612699E-3</v>
      </c>
      <c r="AL34">
        <v>3.9964439689192501E-3</v>
      </c>
      <c r="AM34">
        <v>3.8247076357488898E-3</v>
      </c>
      <c r="AN34">
        <v>3.7969223993413099E-3</v>
      </c>
      <c r="AO34">
        <v>3.6621602003126001E-3</v>
      </c>
      <c r="AP34" s="24">
        <v>2.2783375275355301E-3</v>
      </c>
      <c r="AQ34" s="24">
        <v>5.6749054852276902E-2</v>
      </c>
      <c r="AR34" s="24">
        <v>2.2783375275355301E-3</v>
      </c>
      <c r="AS34" s="24">
        <v>2.2783375275355301E-3</v>
      </c>
      <c r="AT34" s="24">
        <v>2.2783375275355301E-3</v>
      </c>
      <c r="AU34" s="24">
        <v>2.2783375275355301E-3</v>
      </c>
      <c r="AV34" s="24">
        <v>2.2783375275355301E-3</v>
      </c>
      <c r="AW34" s="24">
        <v>2.2783375275355301E-3</v>
      </c>
    </row>
    <row r="35" spans="2:50" x14ac:dyDescent="0.3">
      <c r="B35" s="25" t="s">
        <v>28</v>
      </c>
      <c r="C35" s="24">
        <v>6468</v>
      </c>
      <c r="D35" s="24">
        <f>SUM(C35:$C$40)</f>
        <v>28665</v>
      </c>
      <c r="E35" s="24">
        <v>5.6749054852276992E-2</v>
      </c>
      <c r="F35" s="24"/>
      <c r="L35" s="25" t="s">
        <v>28</v>
      </c>
      <c r="M35" s="29">
        <v>5.6749054852276902E-2</v>
      </c>
      <c r="N35" s="29">
        <v>5.6749054852276902E-2</v>
      </c>
      <c r="O35">
        <v>3.7371818921336203E-2</v>
      </c>
      <c r="P35">
        <v>2.81214471453003E-2</v>
      </c>
      <c r="Q35">
        <v>1.6369117955826702E-2</v>
      </c>
      <c r="R35">
        <v>1.5057928727477601E-2</v>
      </c>
      <c r="S35">
        <v>1.4187776859632699E-2</v>
      </c>
      <c r="T35">
        <v>1.37326352857324E-2</v>
      </c>
      <c r="U35">
        <v>1.3394855574843699E-2</v>
      </c>
      <c r="V35">
        <v>1.1845082975430399E-2</v>
      </c>
      <c r="W35">
        <v>1.14528574955971E-2</v>
      </c>
      <c r="X35">
        <v>9.6985581569549503E-3</v>
      </c>
      <c r="Y35">
        <v>9.6932238915976993E-3</v>
      </c>
      <c r="Z35">
        <v>8.0041497207003695E-3</v>
      </c>
      <c r="AA35">
        <v>7.71905888571501E-3</v>
      </c>
      <c r="AB35">
        <v>7.6644765462856998E-3</v>
      </c>
      <c r="AC35">
        <v>6.9176498582898503E-3</v>
      </c>
      <c r="AD35">
        <v>6.3716841829677797E-3</v>
      </c>
      <c r="AE35">
        <v>6.0427221178600303E-3</v>
      </c>
      <c r="AF35">
        <v>5.4638275945280302E-3</v>
      </c>
      <c r="AG35">
        <v>4.75256118098474E-3</v>
      </c>
      <c r="AH35">
        <v>4.74191733103046E-3</v>
      </c>
      <c r="AI35">
        <v>4.6989990282078203E-3</v>
      </c>
      <c r="AJ35">
        <v>4.6644478224528701E-3</v>
      </c>
      <c r="AK35">
        <v>4.5498801055612699E-3</v>
      </c>
      <c r="AL35">
        <v>3.9964439689192501E-3</v>
      </c>
      <c r="AM35">
        <v>3.8247076357488898E-3</v>
      </c>
      <c r="AN35">
        <v>3.7969223993413099E-3</v>
      </c>
      <c r="AO35">
        <v>3.6621602003126001E-3</v>
      </c>
      <c r="AP35" s="24">
        <v>2.2783375275355301E-3</v>
      </c>
      <c r="AQ35" s="24">
        <v>2.2783375275355301E-3</v>
      </c>
      <c r="AR35" s="24">
        <v>5.6749054852276902E-2</v>
      </c>
      <c r="AS35" s="24">
        <v>2.2783375275355301E-3</v>
      </c>
      <c r="AT35" s="24">
        <v>2.2783375275355301E-3</v>
      </c>
      <c r="AU35" s="24">
        <v>2.2783375275355301E-3</v>
      </c>
      <c r="AV35" s="24">
        <v>2.2783375275355301E-3</v>
      </c>
      <c r="AW35" s="24">
        <v>2.2783375275355301E-3</v>
      </c>
    </row>
    <row r="36" spans="2:50" x14ac:dyDescent="0.3">
      <c r="B36" s="25" t="s">
        <v>38</v>
      </c>
      <c r="C36" s="24">
        <v>5781</v>
      </c>
      <c r="D36" s="24">
        <f>SUM(C36:$C$40)</f>
        <v>22197</v>
      </c>
      <c r="E36" s="24">
        <v>5.6749054852276992E-2</v>
      </c>
      <c r="F36" s="24"/>
      <c r="L36" s="25" t="s">
        <v>38</v>
      </c>
      <c r="M36" s="29">
        <v>5.6749054852276902E-2</v>
      </c>
      <c r="N36" s="29">
        <v>5.6749054852276902E-2</v>
      </c>
      <c r="O36">
        <v>3.7371818921336203E-2</v>
      </c>
      <c r="P36">
        <v>2.81214471453003E-2</v>
      </c>
      <c r="Q36">
        <v>1.6369117955826702E-2</v>
      </c>
      <c r="R36">
        <v>1.5057928727477601E-2</v>
      </c>
      <c r="S36">
        <v>1.4187776859632699E-2</v>
      </c>
      <c r="T36">
        <v>1.37326352857324E-2</v>
      </c>
      <c r="U36">
        <v>1.3394855574843699E-2</v>
      </c>
      <c r="V36">
        <v>1.1845082975430399E-2</v>
      </c>
      <c r="W36">
        <v>1.14528574955971E-2</v>
      </c>
      <c r="X36">
        <v>9.6985581569549503E-3</v>
      </c>
      <c r="Y36">
        <v>9.6932238915976993E-3</v>
      </c>
      <c r="Z36">
        <v>8.0041497207003695E-3</v>
      </c>
      <c r="AA36">
        <v>7.71905888571501E-3</v>
      </c>
      <c r="AB36">
        <v>7.6644765462856998E-3</v>
      </c>
      <c r="AC36">
        <v>6.9176498582898503E-3</v>
      </c>
      <c r="AD36">
        <v>6.3716841829677797E-3</v>
      </c>
      <c r="AE36">
        <v>6.0427221178600303E-3</v>
      </c>
      <c r="AF36">
        <v>5.4638275945280302E-3</v>
      </c>
      <c r="AG36">
        <v>4.75256118098474E-3</v>
      </c>
      <c r="AH36">
        <v>4.74191733103046E-3</v>
      </c>
      <c r="AI36">
        <v>4.6989990282078203E-3</v>
      </c>
      <c r="AJ36">
        <v>4.6644478224528701E-3</v>
      </c>
      <c r="AK36">
        <v>4.5498801055612699E-3</v>
      </c>
      <c r="AL36">
        <v>3.9964439689192501E-3</v>
      </c>
      <c r="AM36">
        <v>3.8247076357488898E-3</v>
      </c>
      <c r="AN36">
        <v>3.7969223993413099E-3</v>
      </c>
      <c r="AO36">
        <v>3.6621602003126001E-3</v>
      </c>
      <c r="AP36" s="24">
        <v>2.2783375275355301E-3</v>
      </c>
      <c r="AQ36" s="24">
        <v>2.2783375275355301E-3</v>
      </c>
      <c r="AR36" s="24">
        <v>2.2783375275355301E-3</v>
      </c>
      <c r="AS36" s="24">
        <v>5.6749054852276902E-2</v>
      </c>
      <c r="AT36" s="24">
        <v>2.2783375275355301E-3</v>
      </c>
      <c r="AU36" s="24">
        <v>2.2783375275355301E-3</v>
      </c>
      <c r="AV36" s="24">
        <v>2.2783375275355301E-3</v>
      </c>
      <c r="AW36" s="24">
        <v>2.2783375275355301E-3</v>
      </c>
    </row>
    <row r="37" spans="2:50" x14ac:dyDescent="0.3">
      <c r="B37" s="25" t="s">
        <v>42</v>
      </c>
      <c r="C37" s="24">
        <v>5169</v>
      </c>
      <c r="D37" s="24">
        <f>SUM(C37:$C$40)</f>
        <v>16416</v>
      </c>
      <c r="E37" s="24">
        <v>5.6749054852276992E-2</v>
      </c>
      <c r="F37" s="24"/>
      <c r="L37" s="25" t="s">
        <v>42</v>
      </c>
      <c r="M37" s="29">
        <v>5.6749054852276902E-2</v>
      </c>
      <c r="N37" s="29">
        <v>5.6749054852276902E-2</v>
      </c>
      <c r="O37">
        <v>3.7371818921336203E-2</v>
      </c>
      <c r="P37">
        <v>2.81214471453003E-2</v>
      </c>
      <c r="Q37">
        <v>1.6369117955826702E-2</v>
      </c>
      <c r="R37">
        <v>1.5057928727477601E-2</v>
      </c>
      <c r="S37">
        <v>1.4187776859632699E-2</v>
      </c>
      <c r="T37">
        <v>1.37326352857324E-2</v>
      </c>
      <c r="U37">
        <v>1.3394855574843699E-2</v>
      </c>
      <c r="V37">
        <v>1.1845082975430399E-2</v>
      </c>
      <c r="W37">
        <v>1.14528574955971E-2</v>
      </c>
      <c r="X37">
        <v>9.6985581569549503E-3</v>
      </c>
      <c r="Y37">
        <v>9.6932238915976993E-3</v>
      </c>
      <c r="Z37">
        <v>8.0041497207003695E-3</v>
      </c>
      <c r="AA37">
        <v>7.71905888571501E-3</v>
      </c>
      <c r="AB37">
        <v>7.6644765462856998E-3</v>
      </c>
      <c r="AC37">
        <v>6.9176498582898503E-3</v>
      </c>
      <c r="AD37">
        <v>6.3716841829677797E-3</v>
      </c>
      <c r="AE37">
        <v>6.0427221178600303E-3</v>
      </c>
      <c r="AF37">
        <v>5.4638275945280302E-3</v>
      </c>
      <c r="AG37">
        <v>4.75256118098474E-3</v>
      </c>
      <c r="AH37">
        <v>4.74191733103046E-3</v>
      </c>
      <c r="AI37">
        <v>4.6989990282078203E-3</v>
      </c>
      <c r="AJ37">
        <v>4.6644478224528701E-3</v>
      </c>
      <c r="AK37">
        <v>4.5498801055612699E-3</v>
      </c>
      <c r="AL37">
        <v>3.9964439689192501E-3</v>
      </c>
      <c r="AM37">
        <v>3.8247076357488898E-3</v>
      </c>
      <c r="AN37">
        <v>3.7969223993413099E-3</v>
      </c>
      <c r="AO37">
        <v>3.6621602003126001E-3</v>
      </c>
      <c r="AP37" s="24">
        <v>2.2783375275355301E-3</v>
      </c>
      <c r="AQ37" s="24">
        <v>2.2783375275355301E-3</v>
      </c>
      <c r="AR37" s="24">
        <v>2.2783375275355301E-3</v>
      </c>
      <c r="AS37" s="24">
        <v>2.2783375275355301E-3</v>
      </c>
      <c r="AT37" s="24">
        <v>5.6749054852276902E-2</v>
      </c>
      <c r="AU37" s="24">
        <v>2.2783375275355301E-3</v>
      </c>
      <c r="AV37" s="24">
        <v>2.2783375275355301E-3</v>
      </c>
      <c r="AW37" s="24">
        <v>2.2783375275355301E-3</v>
      </c>
    </row>
    <row r="38" spans="2:50" x14ac:dyDescent="0.3">
      <c r="B38" s="25" t="s">
        <v>14</v>
      </c>
      <c r="C38" s="24">
        <v>4330</v>
      </c>
      <c r="D38" s="24">
        <f>SUM(C38:$C$40)</f>
        <v>11247</v>
      </c>
      <c r="E38" s="24">
        <v>5.6749054852276992E-2</v>
      </c>
      <c r="F38" s="24"/>
      <c r="L38" s="25" t="s">
        <v>14</v>
      </c>
      <c r="M38" s="29">
        <v>5.6749054852276902E-2</v>
      </c>
      <c r="N38" s="29">
        <v>5.6749054852276902E-2</v>
      </c>
      <c r="O38">
        <v>3.7371818921336203E-2</v>
      </c>
      <c r="P38">
        <v>2.81214471453003E-2</v>
      </c>
      <c r="Q38">
        <v>1.6369117955826702E-2</v>
      </c>
      <c r="R38">
        <v>1.5057928727477601E-2</v>
      </c>
      <c r="S38">
        <v>1.4187776859632699E-2</v>
      </c>
      <c r="T38">
        <v>1.37326352857324E-2</v>
      </c>
      <c r="U38">
        <v>1.3394855574843699E-2</v>
      </c>
      <c r="V38">
        <v>1.1845082975430399E-2</v>
      </c>
      <c r="W38">
        <v>1.14528574955971E-2</v>
      </c>
      <c r="X38">
        <v>9.6985581569549503E-3</v>
      </c>
      <c r="Y38">
        <v>9.6932238915976993E-3</v>
      </c>
      <c r="Z38">
        <v>8.0041497207003695E-3</v>
      </c>
      <c r="AA38">
        <v>7.71905888571501E-3</v>
      </c>
      <c r="AB38">
        <v>7.6644765462856998E-3</v>
      </c>
      <c r="AC38">
        <v>6.9176498582898503E-3</v>
      </c>
      <c r="AD38">
        <v>6.3716841829677797E-3</v>
      </c>
      <c r="AE38">
        <v>6.0427221178600303E-3</v>
      </c>
      <c r="AF38">
        <v>5.4638275945280302E-3</v>
      </c>
      <c r="AG38">
        <v>4.75256118098474E-3</v>
      </c>
      <c r="AH38">
        <v>4.74191733103046E-3</v>
      </c>
      <c r="AI38">
        <v>4.6989990282078203E-3</v>
      </c>
      <c r="AJ38">
        <v>4.6644478224528701E-3</v>
      </c>
      <c r="AK38">
        <v>4.5498801055612699E-3</v>
      </c>
      <c r="AL38">
        <v>3.9964439689192501E-3</v>
      </c>
      <c r="AM38">
        <v>3.8247076357488898E-3</v>
      </c>
      <c r="AN38">
        <v>3.7969223993413099E-3</v>
      </c>
      <c r="AO38">
        <v>3.6621602003126001E-3</v>
      </c>
      <c r="AP38" s="24">
        <v>2.2783375275355301E-3</v>
      </c>
      <c r="AQ38" s="24">
        <v>2.2783375275355301E-3</v>
      </c>
      <c r="AR38" s="24">
        <v>2.2783375275355301E-3</v>
      </c>
      <c r="AS38" s="24">
        <v>2.2783375275355301E-3</v>
      </c>
      <c r="AT38" s="24">
        <v>2.2783375275355301E-3</v>
      </c>
      <c r="AU38" s="24">
        <v>5.6749054852276902E-2</v>
      </c>
      <c r="AV38" s="24">
        <v>2.2783375275355301E-3</v>
      </c>
      <c r="AW38" s="24">
        <v>2.2783375275355301E-3</v>
      </c>
    </row>
    <row r="39" spans="2:50" x14ac:dyDescent="0.3">
      <c r="B39" s="25" t="s">
        <v>12</v>
      </c>
      <c r="C39" s="24">
        <v>3596</v>
      </c>
      <c r="D39" s="24">
        <f>SUM(C39:$C$40)</f>
        <v>6917</v>
      </c>
      <c r="E39" s="24">
        <v>5.6749054852276992E-2</v>
      </c>
      <c r="F39" s="24"/>
      <c r="L39" s="25" t="s">
        <v>12</v>
      </c>
      <c r="M39" s="29">
        <v>5.6749054852276902E-2</v>
      </c>
      <c r="N39" s="29">
        <v>5.6749054852276902E-2</v>
      </c>
      <c r="O39">
        <v>3.7371818921336203E-2</v>
      </c>
      <c r="P39">
        <v>2.81214471453003E-2</v>
      </c>
      <c r="Q39">
        <v>1.6369117955826702E-2</v>
      </c>
      <c r="R39">
        <v>1.5057928727477601E-2</v>
      </c>
      <c r="S39">
        <v>1.4187776859632699E-2</v>
      </c>
      <c r="T39">
        <v>1.37326352857324E-2</v>
      </c>
      <c r="U39">
        <v>1.3394855574843699E-2</v>
      </c>
      <c r="V39">
        <v>1.1845082975430399E-2</v>
      </c>
      <c r="W39">
        <v>1.14528574955971E-2</v>
      </c>
      <c r="X39">
        <v>9.6985581569549503E-3</v>
      </c>
      <c r="Y39">
        <v>9.6932238915976993E-3</v>
      </c>
      <c r="Z39">
        <v>8.0041497207003695E-3</v>
      </c>
      <c r="AA39">
        <v>7.71905888571501E-3</v>
      </c>
      <c r="AB39">
        <v>7.6644765462856998E-3</v>
      </c>
      <c r="AC39">
        <v>6.9176498582898503E-3</v>
      </c>
      <c r="AD39">
        <v>6.3716841829677797E-3</v>
      </c>
      <c r="AE39">
        <v>6.0427221178600303E-3</v>
      </c>
      <c r="AF39">
        <v>5.4638275945280302E-3</v>
      </c>
      <c r="AG39">
        <v>4.75256118098474E-3</v>
      </c>
      <c r="AH39">
        <v>4.74191733103046E-3</v>
      </c>
      <c r="AI39">
        <v>4.6989990282078203E-3</v>
      </c>
      <c r="AJ39">
        <v>4.6644478224528701E-3</v>
      </c>
      <c r="AK39">
        <v>4.5498801055612699E-3</v>
      </c>
      <c r="AL39">
        <v>3.9964439689192501E-3</v>
      </c>
      <c r="AM39">
        <v>3.8247076357488898E-3</v>
      </c>
      <c r="AN39">
        <v>3.7969223993413099E-3</v>
      </c>
      <c r="AO39">
        <v>3.6621602003126001E-3</v>
      </c>
      <c r="AP39" s="24">
        <v>2.2783375275355301E-3</v>
      </c>
      <c r="AQ39" s="24">
        <v>2.2783375275355301E-3</v>
      </c>
      <c r="AR39" s="24">
        <v>2.2783375275355301E-3</v>
      </c>
      <c r="AS39" s="24">
        <v>2.2783375275355301E-3</v>
      </c>
      <c r="AT39" s="24">
        <v>2.2783375275355301E-3</v>
      </c>
      <c r="AU39" s="24">
        <v>2.2783375275355301E-3</v>
      </c>
      <c r="AV39" s="24">
        <v>5.6749054852276902E-2</v>
      </c>
      <c r="AW39" s="24">
        <v>2.2783375275355301E-3</v>
      </c>
    </row>
    <row r="40" spans="2:50" x14ac:dyDescent="0.3">
      <c r="B40" s="25" t="s">
        <v>20</v>
      </c>
      <c r="C40" s="24">
        <v>3321</v>
      </c>
      <c r="D40" s="24">
        <f>SUM(C40:$C$40)</f>
        <v>3321</v>
      </c>
      <c r="E40" s="24">
        <v>5.6749054852276992E-2</v>
      </c>
      <c r="F40" s="24"/>
      <c r="L40" s="25" t="s">
        <v>20</v>
      </c>
      <c r="M40" s="29">
        <v>5.6749054852276902E-2</v>
      </c>
      <c r="N40" s="29">
        <v>5.6749054852276902E-2</v>
      </c>
      <c r="O40">
        <v>3.7371818921336203E-2</v>
      </c>
      <c r="P40">
        <v>2.81214471453003E-2</v>
      </c>
      <c r="Q40">
        <v>1.6369117955826702E-2</v>
      </c>
      <c r="R40">
        <v>1.5057928727477601E-2</v>
      </c>
      <c r="S40">
        <v>1.4187776859632699E-2</v>
      </c>
      <c r="T40">
        <v>1.37326352857324E-2</v>
      </c>
      <c r="U40">
        <v>1.3394855574843699E-2</v>
      </c>
      <c r="V40">
        <v>1.1845082975430399E-2</v>
      </c>
      <c r="W40">
        <v>1.14528574955971E-2</v>
      </c>
      <c r="X40">
        <v>9.6985581569549503E-3</v>
      </c>
      <c r="Y40">
        <v>9.6932238915976993E-3</v>
      </c>
      <c r="Z40">
        <v>8.0041497207003695E-3</v>
      </c>
      <c r="AA40">
        <v>7.71905888571501E-3</v>
      </c>
      <c r="AB40">
        <v>7.6644765462856998E-3</v>
      </c>
      <c r="AC40">
        <v>6.9176498582898503E-3</v>
      </c>
      <c r="AD40">
        <v>6.3716841829677797E-3</v>
      </c>
      <c r="AE40">
        <v>6.0427221178600303E-3</v>
      </c>
      <c r="AF40">
        <v>5.4638275945280302E-3</v>
      </c>
      <c r="AG40">
        <v>4.75256118098474E-3</v>
      </c>
      <c r="AH40">
        <v>4.74191733103046E-3</v>
      </c>
      <c r="AI40">
        <v>4.6989990282078203E-3</v>
      </c>
      <c r="AJ40">
        <v>4.6644478224528701E-3</v>
      </c>
      <c r="AK40">
        <v>4.5498801055612699E-3</v>
      </c>
      <c r="AL40">
        <v>3.9964439689192501E-3</v>
      </c>
      <c r="AM40">
        <v>3.8247076357488898E-3</v>
      </c>
      <c r="AN40">
        <v>3.7969223993413099E-3</v>
      </c>
      <c r="AO40">
        <v>3.6621602003126001E-3</v>
      </c>
      <c r="AP40" s="24">
        <v>2.2783375275355301E-3</v>
      </c>
      <c r="AQ40" s="24">
        <v>2.2783375275355301E-3</v>
      </c>
      <c r="AR40" s="24">
        <v>2.2783375275355301E-3</v>
      </c>
      <c r="AS40" s="24">
        <v>2.2783375275355301E-3</v>
      </c>
      <c r="AT40" s="24">
        <v>2.2783375275355301E-3</v>
      </c>
      <c r="AU40" s="24">
        <v>2.2783375275355301E-3</v>
      </c>
      <c r="AV40" s="24">
        <v>2.2783375275355301E-3</v>
      </c>
      <c r="AW40" s="24">
        <v>5.6749054852276902E-2</v>
      </c>
    </row>
    <row r="42" spans="2:50" x14ac:dyDescent="0.3">
      <c r="E42" s="38">
        <f>SUM(E4:E40)</f>
        <v>8.0000000000000018</v>
      </c>
      <c r="L42" s="30" t="s">
        <v>124</v>
      </c>
      <c r="M42" s="31">
        <f>SUM(M4:M40)</f>
        <v>8.0000000000000018</v>
      </c>
      <c r="N42" s="31">
        <f>SUM(N4:N40)</f>
        <v>8.0000000000000018</v>
      </c>
      <c r="O42" s="31">
        <f t="shared" ref="O42:AW42" si="1">SUM(O4:O40)</f>
        <v>5.5862716320847197</v>
      </c>
      <c r="P42" s="31">
        <f t="shared" si="1"/>
        <v>4.3452006202450866</v>
      </c>
      <c r="Q42" s="31">
        <f t="shared" si="1"/>
        <v>2.655976600787231</v>
      </c>
      <c r="R42" s="31">
        <f t="shared" si="1"/>
        <v>2.457996027527265</v>
      </c>
      <c r="S42" s="31">
        <f t="shared" si="1"/>
        <v>2.325981320043355</v>
      </c>
      <c r="T42" s="31">
        <f t="shared" si="1"/>
        <v>2.2568623688591356</v>
      </c>
      <c r="U42" s="31">
        <f t="shared" si="1"/>
        <v>2.205666218942369</v>
      </c>
      <c r="V42" s="31">
        <f t="shared" si="1"/>
        <v>1.9696826689208473</v>
      </c>
      <c r="W42" s="31">
        <f t="shared" si="1"/>
        <v>1.9096080943021436</v>
      </c>
      <c r="X42" s="31">
        <f t="shared" si="1"/>
        <v>1.6386087010636474</v>
      </c>
      <c r="Y42" s="31">
        <f t="shared" si="1"/>
        <v>1.6377789417457111</v>
      </c>
      <c r="Z42" s="31">
        <f t="shared" si="1"/>
        <v>1.3730027433917449</v>
      </c>
      <c r="AA42" s="31">
        <f t="shared" si="1"/>
        <v>1.3277808605641339</v>
      </c>
      <c r="AB42" s="31">
        <f t="shared" si="1"/>
        <v>1.3191513636575778</v>
      </c>
      <c r="AC42" s="31">
        <f t="shared" si="1"/>
        <v>1.2009106608514384</v>
      </c>
      <c r="AD42" s="31">
        <f t="shared" si="1"/>
        <v>1.113785932467962</v>
      </c>
      <c r="AE42" s="31">
        <f t="shared" si="1"/>
        <v>1.0610962157789112</v>
      </c>
      <c r="AF42" s="31">
        <f t="shared" si="1"/>
        <v>0.96791424437449003</v>
      </c>
      <c r="AG42" s="31">
        <f t="shared" si="1"/>
        <v>0.85199686765857541</v>
      </c>
      <c r="AH42" s="31">
        <f t="shared" si="1"/>
        <v>0.85025437309090512</v>
      </c>
      <c r="AI42" s="31">
        <f t="shared" si="1"/>
        <v>0.84328439482022621</v>
      </c>
      <c r="AJ42" s="31">
        <f t="shared" si="1"/>
        <v>0.83772500739004263</v>
      </c>
      <c r="AK42" s="31">
        <f>SUM(AK4:AK40)</f>
        <v>0.81947030239540986</v>
      </c>
      <c r="AL42" s="31">
        <f t="shared" si="1"/>
        <v>0.73110093503503171</v>
      </c>
      <c r="AM42" s="31">
        <f t="shared" si="1"/>
        <v>0.70355292567949557</v>
      </c>
      <c r="AN42" s="31">
        <f t="shared" si="1"/>
        <v>0.69915520129442432</v>
      </c>
      <c r="AO42" s="31">
        <f t="shared" si="1"/>
        <v>0.67824526648239136</v>
      </c>
      <c r="AP42" s="31">
        <f t="shared" si="1"/>
        <v>0.45399243881821522</v>
      </c>
      <c r="AQ42" s="31">
        <f t="shared" si="1"/>
        <v>0.45399243881821522</v>
      </c>
      <c r="AR42" s="31">
        <f t="shared" si="1"/>
        <v>0.45399243881821522</v>
      </c>
      <c r="AS42" s="31">
        <f t="shared" si="1"/>
        <v>0.45399243881821522</v>
      </c>
      <c r="AT42" s="31">
        <f t="shared" si="1"/>
        <v>0.45399243881821522</v>
      </c>
      <c r="AU42" s="31">
        <f t="shared" si="1"/>
        <v>0.45399243881821522</v>
      </c>
      <c r="AV42" s="31">
        <f t="shared" si="1"/>
        <v>0.45399243881821522</v>
      </c>
      <c r="AW42" s="31">
        <f t="shared" si="1"/>
        <v>0.45399243881821522</v>
      </c>
      <c r="AX42" s="32">
        <f>SUM(M42:AW42)</f>
        <v>64.000000000000014</v>
      </c>
    </row>
    <row r="45" spans="2:50" ht="15.6" x14ac:dyDescent="0.3">
      <c r="L45" s="41" t="s">
        <v>129</v>
      </c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</row>
    <row r="46" spans="2:50" x14ac:dyDescent="0.3">
      <c r="M46" s="12" t="s">
        <v>2</v>
      </c>
      <c r="N46" s="12" t="s">
        <v>50</v>
      </c>
      <c r="O46" s="26" t="s">
        <v>22</v>
      </c>
      <c r="P46" s="26" t="s">
        <v>36</v>
      </c>
      <c r="Q46" s="26" t="s">
        <v>16</v>
      </c>
      <c r="R46" s="26" t="s">
        <v>56</v>
      </c>
      <c r="S46" s="26" t="s">
        <v>24</v>
      </c>
      <c r="T46" s="26" t="s">
        <v>44</v>
      </c>
      <c r="U46" s="26" t="s">
        <v>4</v>
      </c>
      <c r="V46" s="26" t="s">
        <v>32</v>
      </c>
      <c r="W46" s="26" t="s">
        <v>10</v>
      </c>
      <c r="X46" s="26" t="s">
        <v>8</v>
      </c>
      <c r="Y46" s="26" t="s">
        <v>70</v>
      </c>
      <c r="Z46" s="26" t="s">
        <v>52</v>
      </c>
      <c r="AA46" s="26" t="s">
        <v>26</v>
      </c>
      <c r="AB46" s="26" t="s">
        <v>62</v>
      </c>
      <c r="AC46" s="26" t="s">
        <v>60</v>
      </c>
      <c r="AD46" s="26" t="s">
        <v>66</v>
      </c>
      <c r="AE46" s="26" t="s">
        <v>48</v>
      </c>
      <c r="AF46" s="26" t="s">
        <v>34</v>
      </c>
      <c r="AG46" s="26" t="s">
        <v>46</v>
      </c>
      <c r="AH46" s="26" t="s">
        <v>54</v>
      </c>
      <c r="AI46" s="26" t="s">
        <v>58</v>
      </c>
      <c r="AJ46" s="26" t="s">
        <v>40</v>
      </c>
      <c r="AK46" s="26" t="s">
        <v>30</v>
      </c>
      <c r="AL46" s="26" t="s">
        <v>64</v>
      </c>
      <c r="AM46" s="26" t="s">
        <v>18</v>
      </c>
      <c r="AN46" s="26" t="s">
        <v>6</v>
      </c>
      <c r="AO46" s="26" t="s">
        <v>68</v>
      </c>
      <c r="AP46" s="25" t="s">
        <v>74</v>
      </c>
      <c r="AQ46" s="25" t="s">
        <v>72</v>
      </c>
      <c r="AR46" s="25" t="s">
        <v>28</v>
      </c>
      <c r="AS46" s="25" t="s">
        <v>38</v>
      </c>
      <c r="AT46" s="25" t="s">
        <v>42</v>
      </c>
      <c r="AU46" s="25" t="s">
        <v>14</v>
      </c>
      <c r="AV46" s="25" t="s">
        <v>12</v>
      </c>
      <c r="AW46" s="25" t="s">
        <v>20</v>
      </c>
    </row>
    <row r="47" spans="2:50" x14ac:dyDescent="0.3">
      <c r="L47" s="12" t="s">
        <v>2</v>
      </c>
      <c r="M47" s="13">
        <v>0</v>
      </c>
      <c r="N47" s="13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</row>
    <row r="48" spans="2:50" x14ac:dyDescent="0.3">
      <c r="L48" s="12" t="s">
        <v>50</v>
      </c>
      <c r="M48" s="13">
        <v>0</v>
      </c>
      <c r="N48" s="13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</row>
    <row r="49" spans="12:49" x14ac:dyDescent="0.3">
      <c r="L49" s="26" t="s">
        <v>22</v>
      </c>
      <c r="M49" s="17">
        <v>0</v>
      </c>
      <c r="N49" s="17">
        <v>0</v>
      </c>
      <c r="O49" s="27">
        <v>0.21068347358192599</v>
      </c>
      <c r="P49" s="27">
        <v>-2.15840954169946E-2</v>
      </c>
      <c r="Q49" s="27">
        <v>-1.3193142822819399E-2</v>
      </c>
      <c r="R49" s="27">
        <v>-1.2209705702782901E-2</v>
      </c>
      <c r="S49" s="27">
        <v>-1.15539435661618E-2</v>
      </c>
      <c r="T49" s="27">
        <v>-1.1210606130709001E-2</v>
      </c>
      <c r="U49" s="27">
        <v>-1.09562973699955E-2</v>
      </c>
      <c r="V49" s="27">
        <v>-9.7840864859285205E-3</v>
      </c>
      <c r="W49" s="27">
        <v>-9.4856755576358306E-3</v>
      </c>
      <c r="X49" s="27">
        <v>-8.1395290219949696E-3</v>
      </c>
      <c r="Y49" s="27">
        <v>-8.1354073240903803E-3</v>
      </c>
      <c r="Z49" s="27">
        <v>-6.8201735227339799E-3</v>
      </c>
      <c r="AA49" s="27">
        <v>-6.5955409869335301E-3</v>
      </c>
      <c r="AB49" s="27">
        <v>-6.5526753287257202E-3</v>
      </c>
      <c r="AC49" s="27">
        <v>-5.9653333773208904E-3</v>
      </c>
      <c r="AD49" s="27">
        <v>-5.5325550973383802E-3</v>
      </c>
      <c r="AE49" s="27">
        <v>-5.2708272803965702E-3</v>
      </c>
      <c r="AF49" s="27">
        <v>-4.8079606057105104E-3</v>
      </c>
      <c r="AG49" s="27">
        <v>-4.2321594084385296E-3</v>
      </c>
      <c r="AH49" s="27">
        <v>-4.2235038428389002E-3</v>
      </c>
      <c r="AI49" s="27">
        <v>-4.1888815804402802E-3</v>
      </c>
      <c r="AJ49" s="27">
        <v>-4.1612662044794996E-3</v>
      </c>
      <c r="AK49" s="27">
        <v>-4.0705888505784002E-3</v>
      </c>
      <c r="AL49" s="27">
        <v>-3.63162802373899E-3</v>
      </c>
      <c r="AM49" s="27">
        <v>-3.4947876533064299E-3</v>
      </c>
      <c r="AN49" s="27">
        <v>-3.4729426544120698E-3</v>
      </c>
      <c r="AO49" s="27">
        <v>-3.3690758672162602E-3</v>
      </c>
      <c r="AP49">
        <v>-2.2551354872755698E-3</v>
      </c>
      <c r="AQ49">
        <v>-2.2551354872755698E-3</v>
      </c>
      <c r="AR49">
        <v>-2.2551354872755698E-3</v>
      </c>
      <c r="AS49">
        <v>-2.2551354872755698E-3</v>
      </c>
      <c r="AT49">
        <v>-2.2551354872755698E-3</v>
      </c>
      <c r="AU49">
        <v>-2.2551354872755698E-3</v>
      </c>
      <c r="AV49">
        <v>-2.2551354872755698E-3</v>
      </c>
      <c r="AW49">
        <v>-2.2551354872755698E-3</v>
      </c>
    </row>
    <row r="50" spans="12:49" x14ac:dyDescent="0.3">
      <c r="L50" s="26" t="s">
        <v>36</v>
      </c>
      <c r="M50" s="17">
        <v>0</v>
      </c>
      <c r="N50" s="17">
        <v>0</v>
      </c>
      <c r="O50" s="27">
        <v>-2.15840954169946E-2</v>
      </c>
      <c r="P50" s="27">
        <v>0.2481380708091</v>
      </c>
      <c r="Q50" s="27">
        <v>-1.58062865326749E-2</v>
      </c>
      <c r="R50" s="27">
        <v>-1.46280616688252E-2</v>
      </c>
      <c r="S50" s="27">
        <v>-1.38424138237353E-2</v>
      </c>
      <c r="T50" s="27">
        <v>-1.34310721172865E-2</v>
      </c>
      <c r="U50" s="27">
        <v>-1.3126392846123399E-2</v>
      </c>
      <c r="V50" s="27">
        <v>-1.17220041148626E-2</v>
      </c>
      <c r="W50" s="27">
        <v>-1.1364487433627401E-2</v>
      </c>
      <c r="X50" s="27">
        <v>-9.7517119075029891E-3</v>
      </c>
      <c r="Y50" s="27">
        <v>-9.7467738317953308E-3</v>
      </c>
      <c r="Z50" s="27">
        <v>-8.1710338734784192E-3</v>
      </c>
      <c r="AA50" s="27">
        <v>-7.9019087474105094E-3</v>
      </c>
      <c r="AB50" s="27">
        <v>-7.8505527600507604E-3</v>
      </c>
      <c r="AC50" s="27">
        <v>-7.1468769717080603E-3</v>
      </c>
      <c r="AD50" s="27">
        <v>-6.62837902240292E-3</v>
      </c>
      <c r="AE50" s="27">
        <v>-6.3148112149659799E-3</v>
      </c>
      <c r="AF50" s="27">
        <v>-5.7602653129948502E-3</v>
      </c>
      <c r="AG50" s="27">
        <v>-5.0704161366336197E-3</v>
      </c>
      <c r="AH50" s="27">
        <v>-5.0600461776475203E-3</v>
      </c>
      <c r="AI50" s="27">
        <v>-5.0185663417031097E-3</v>
      </c>
      <c r="AJ50" s="27">
        <v>-4.9854812344617304E-3</v>
      </c>
      <c r="AK50" s="27">
        <v>-4.8768435688930304E-3</v>
      </c>
      <c r="AL50" s="27">
        <v>-4.35093850602638E-3</v>
      </c>
      <c r="AM50" s="27">
        <v>-4.1869943925317999E-3</v>
      </c>
      <c r="AN50" s="27">
        <v>-4.1608225912811601E-3</v>
      </c>
      <c r="AO50" s="27">
        <v>-4.0363830834479197E-3</v>
      </c>
      <c r="AP50">
        <v>-2.7018063975042601E-3</v>
      </c>
      <c r="AQ50">
        <v>-2.7018063975042601E-3</v>
      </c>
      <c r="AR50">
        <v>-2.7018063975042601E-3</v>
      </c>
      <c r="AS50">
        <v>-2.7018063975042601E-3</v>
      </c>
      <c r="AT50">
        <v>-2.7018063975042601E-3</v>
      </c>
      <c r="AU50">
        <v>-2.7018063975042601E-3</v>
      </c>
      <c r="AV50">
        <v>-2.7018063975042601E-3</v>
      </c>
      <c r="AW50">
        <v>-2.7018063975042601E-3</v>
      </c>
    </row>
    <row r="51" spans="12:49" x14ac:dyDescent="0.3">
      <c r="L51" s="26" t="s">
        <v>16</v>
      </c>
      <c r="M51" s="17">
        <v>0</v>
      </c>
      <c r="N51" s="17">
        <v>0</v>
      </c>
      <c r="O51" s="27">
        <v>-1.3193142822819399E-2</v>
      </c>
      <c r="P51" s="27">
        <v>-1.58062865326749E-2</v>
      </c>
      <c r="Q51" s="27">
        <v>0.22177501722450901</v>
      </c>
      <c r="R51" s="27">
        <v>-1.33806126314054E-2</v>
      </c>
      <c r="S51" s="27">
        <v>-1.26619631125665E-2</v>
      </c>
      <c r="T51" s="27">
        <v>-1.22856997252673E-2</v>
      </c>
      <c r="U51" s="27">
        <v>-1.20070028345548E-2</v>
      </c>
      <c r="V51" s="27">
        <v>-1.07223772961652E-2</v>
      </c>
      <c r="W51" s="27">
        <v>-1.03953488539028E-2</v>
      </c>
      <c r="X51" s="27">
        <v>-8.9201072897746106E-3</v>
      </c>
      <c r="Y51" s="27">
        <v>-8.9155903223400602E-3</v>
      </c>
      <c r="Z51" s="27">
        <v>-7.47422601397106E-3</v>
      </c>
      <c r="AA51" s="27">
        <v>-7.2280512887874003E-3</v>
      </c>
      <c r="AB51" s="27">
        <v>-7.1810748274679301E-3</v>
      </c>
      <c r="AC51" s="27">
        <v>-6.5374069680427301E-3</v>
      </c>
      <c r="AD51" s="27">
        <v>-6.0631253874136497E-3</v>
      </c>
      <c r="AE51" s="27">
        <v>-5.7762979553189096E-3</v>
      </c>
      <c r="AF51" s="27">
        <v>-5.2690425124175102E-3</v>
      </c>
      <c r="AG51" s="27">
        <v>-4.6380221618090803E-3</v>
      </c>
      <c r="AH51" s="27">
        <v>-4.6285365301965004E-3</v>
      </c>
      <c r="AI51" s="27">
        <v>-4.59059400374617E-3</v>
      </c>
      <c r="AJ51" s="27">
        <v>-4.5603303219346096E-3</v>
      </c>
      <c r="AK51" s="27">
        <v>-4.4609570383742202E-3</v>
      </c>
      <c r="AL51" s="27">
        <v>-3.9799000065932899E-3</v>
      </c>
      <c r="AM51" s="27">
        <v>-3.8299366877658E-3</v>
      </c>
      <c r="AN51" s="27">
        <v>-3.8059967603626199E-3</v>
      </c>
      <c r="AO51" s="27">
        <v>-3.6921691810116301E-3</v>
      </c>
      <c r="AP51">
        <v>-2.4714022697281098E-3</v>
      </c>
      <c r="AQ51">
        <v>-2.4714022697281098E-3</v>
      </c>
      <c r="AR51">
        <v>-2.4714022697281098E-3</v>
      </c>
      <c r="AS51">
        <v>-2.4714022697281098E-3</v>
      </c>
      <c r="AT51">
        <v>-2.4714022697281098E-3</v>
      </c>
      <c r="AU51">
        <v>-2.4714022697281098E-3</v>
      </c>
      <c r="AV51">
        <v>-2.4714022697281098E-3</v>
      </c>
      <c r="AW51">
        <v>-2.4714022697281098E-3</v>
      </c>
    </row>
    <row r="52" spans="12:49" x14ac:dyDescent="0.3">
      <c r="L52" s="26" t="s">
        <v>56</v>
      </c>
      <c r="M52" s="17">
        <v>0</v>
      </c>
      <c r="N52" s="17">
        <v>0</v>
      </c>
      <c r="O52" s="27">
        <v>-1.2209705702782901E-2</v>
      </c>
      <c r="P52" s="27">
        <v>-1.46280616688252E-2</v>
      </c>
      <c r="Q52" s="27">
        <v>-1.33806126314054E-2</v>
      </c>
      <c r="R52" s="27">
        <v>0.21284724607622399</v>
      </c>
      <c r="S52" s="27">
        <v>-1.2184401104256301E-2</v>
      </c>
      <c r="T52" s="27">
        <v>-1.18223289681317E-2</v>
      </c>
      <c r="U52" s="27">
        <v>-1.1554143484351499E-2</v>
      </c>
      <c r="V52" s="27">
        <v>-1.0317969228483E-2</v>
      </c>
      <c r="W52" s="27">
        <v>-1.0003275078958099E-2</v>
      </c>
      <c r="X52" s="27">
        <v>-8.5836741226759904E-3</v>
      </c>
      <c r="Y52" s="27">
        <v>-8.5793275184007905E-3</v>
      </c>
      <c r="Z52" s="27">
        <v>-7.1923260941826796E-3</v>
      </c>
      <c r="AA52" s="27">
        <v>-6.95543616118398E-3</v>
      </c>
      <c r="AB52" s="27">
        <v>-6.9102314767218401E-3</v>
      </c>
      <c r="AC52" s="27">
        <v>-6.2908403675050401E-3</v>
      </c>
      <c r="AD52" s="27">
        <v>-5.8344469186084602E-3</v>
      </c>
      <c r="AE52" s="27">
        <v>-5.5584375471329E-3</v>
      </c>
      <c r="AF52" s="27">
        <v>-5.0703138870273204E-3</v>
      </c>
      <c r="AG52" s="27">
        <v>-4.4630932697810998E-3</v>
      </c>
      <c r="AH52" s="27">
        <v>-4.45396540080317E-3</v>
      </c>
      <c r="AI52" s="27">
        <v>-4.4174539248914403E-3</v>
      </c>
      <c r="AJ52" s="27">
        <v>-4.3883316762475602E-3</v>
      </c>
      <c r="AK52" s="27">
        <v>-4.2927063821930397E-3</v>
      </c>
      <c r="AL52" s="27">
        <v>-3.82979302688365E-3</v>
      </c>
      <c r="AM52" s="27">
        <v>-3.6854857649468199E-3</v>
      </c>
      <c r="AN52" s="27">
        <v>-3.6624487622882299E-3</v>
      </c>
      <c r="AO52" s="27">
        <v>-3.5529143345530501E-3</v>
      </c>
      <c r="AP52">
        <v>-2.3781901966252999E-3</v>
      </c>
      <c r="AQ52">
        <v>-2.3781901966252999E-3</v>
      </c>
      <c r="AR52">
        <v>-2.3781901966252999E-3</v>
      </c>
      <c r="AS52">
        <v>-2.3781901966252999E-3</v>
      </c>
      <c r="AT52">
        <v>-2.3781901966252999E-3</v>
      </c>
      <c r="AU52">
        <v>-2.3781901966252999E-3</v>
      </c>
      <c r="AV52">
        <v>-2.3781901966252999E-3</v>
      </c>
      <c r="AW52">
        <v>-2.3781901966252999E-3</v>
      </c>
    </row>
    <row r="53" spans="12:49" x14ac:dyDescent="0.3">
      <c r="L53" s="26" t="s">
        <v>24</v>
      </c>
      <c r="M53" s="17">
        <v>0</v>
      </c>
      <c r="N53" s="17">
        <v>0</v>
      </c>
      <c r="O53" s="27">
        <v>-1.15539435661618E-2</v>
      </c>
      <c r="P53" s="27">
        <v>-1.38424138237353E-2</v>
      </c>
      <c r="Q53" s="27">
        <v>-1.26619631125665E-2</v>
      </c>
      <c r="R53" s="27">
        <v>-1.2184401104256301E-2</v>
      </c>
      <c r="S53" s="27">
        <v>0.206213460299316</v>
      </c>
      <c r="T53" s="27">
        <v>-1.1492683045084599E-2</v>
      </c>
      <c r="U53" s="27">
        <v>-1.1231975466172999E-2</v>
      </c>
      <c r="V53" s="27">
        <v>-1.0030269867429701E-2</v>
      </c>
      <c r="W53" s="27">
        <v>-9.7243504393388896E-3</v>
      </c>
      <c r="X53" s="27">
        <v>-8.3443326877580808E-3</v>
      </c>
      <c r="Y53" s="27">
        <v>-8.3401072812927298E-3</v>
      </c>
      <c r="Z53" s="27">
        <v>-6.991780078202E-3</v>
      </c>
      <c r="AA53" s="27">
        <v>-6.7614954258408298E-3</v>
      </c>
      <c r="AB53" s="27">
        <v>-6.7175511986012704E-3</v>
      </c>
      <c r="AC53" s="27">
        <v>-6.1154307772899796E-3</v>
      </c>
      <c r="AD53" s="27">
        <v>-5.6717630984290399E-3</v>
      </c>
      <c r="AE53" s="27">
        <v>-5.4034497878797999E-3</v>
      </c>
      <c r="AF53" s="27">
        <v>-4.9289366418218501E-3</v>
      </c>
      <c r="AG53" s="27">
        <v>-4.3386473586135297E-3</v>
      </c>
      <c r="AH53" s="27">
        <v>-4.3297740050363097E-3</v>
      </c>
      <c r="AI53" s="27">
        <v>-4.2942805907274298E-3</v>
      </c>
      <c r="AJ53" s="27">
        <v>-4.26597036740964E-3</v>
      </c>
      <c r="AK53" s="27">
        <v>-4.1730114251721101E-3</v>
      </c>
      <c r="AL53" s="27">
        <v>-3.7230056366131499E-3</v>
      </c>
      <c r="AM53" s="27">
        <v>-3.5827221419637801E-3</v>
      </c>
      <c r="AN53" s="27">
        <v>-3.5603274876974699E-3</v>
      </c>
      <c r="AO53" s="27">
        <v>-3.4538472447708398E-3</v>
      </c>
      <c r="AP53">
        <v>-2.3118783299312501E-3</v>
      </c>
      <c r="AQ53">
        <v>-2.3118783299312501E-3</v>
      </c>
      <c r="AR53">
        <v>-2.3118783299312501E-3</v>
      </c>
      <c r="AS53">
        <v>-2.3118783299312501E-3</v>
      </c>
      <c r="AT53">
        <v>-2.3118783299312501E-3</v>
      </c>
      <c r="AU53">
        <v>-2.3118783299312501E-3</v>
      </c>
      <c r="AV53">
        <v>-2.3118783299312501E-3</v>
      </c>
      <c r="AW53">
        <v>-2.3118783299312501E-3</v>
      </c>
    </row>
    <row r="54" spans="12:49" x14ac:dyDescent="0.3">
      <c r="L54" s="26" t="s">
        <v>44</v>
      </c>
      <c r="M54" s="17">
        <v>0</v>
      </c>
      <c r="N54" s="17">
        <v>0</v>
      </c>
      <c r="O54" s="27">
        <v>-1.1210606130709001E-2</v>
      </c>
      <c r="P54" s="27">
        <v>-1.34310721172865E-2</v>
      </c>
      <c r="Q54" s="27">
        <v>-1.22856997252673E-2</v>
      </c>
      <c r="R54" s="27">
        <v>-1.18223289681317E-2</v>
      </c>
      <c r="S54" s="27">
        <v>-1.1492683045084599E-2</v>
      </c>
      <c r="T54" s="27">
        <v>0.20252298748282199</v>
      </c>
      <c r="U54" s="27">
        <v>-1.1061141245493299E-2</v>
      </c>
      <c r="V54" s="27">
        <v>-9.8777131474501508E-3</v>
      </c>
      <c r="W54" s="27">
        <v>-9.5764466414785497E-3</v>
      </c>
      <c r="X54" s="27">
        <v>-8.2174184529381408E-3</v>
      </c>
      <c r="Y54" s="27">
        <v>-8.2132573133528904E-3</v>
      </c>
      <c r="Z54" s="27">
        <v>-6.88543767170181E-3</v>
      </c>
      <c r="AA54" s="27">
        <v>-6.6586555643060596E-3</v>
      </c>
      <c r="AB54" s="27">
        <v>-6.61537971261952E-3</v>
      </c>
      <c r="AC54" s="27">
        <v>-6.02241732172238E-3</v>
      </c>
      <c r="AD54" s="27">
        <v>-5.5854976652718602E-3</v>
      </c>
      <c r="AE54" s="27">
        <v>-5.3212653016089101E-3</v>
      </c>
      <c r="AF54" s="27">
        <v>-4.8539693261861203E-3</v>
      </c>
      <c r="AG54" s="27">
        <v>-4.2726581261276503E-3</v>
      </c>
      <c r="AH54" s="27">
        <v>-4.2639197329986398E-3</v>
      </c>
      <c r="AI54" s="27">
        <v>-4.2289661604825897E-3</v>
      </c>
      <c r="AJ54" s="27">
        <v>-4.2010865252614703E-3</v>
      </c>
      <c r="AK54" s="27">
        <v>-4.1095414543861099E-3</v>
      </c>
      <c r="AL54" s="27">
        <v>-3.6663800885577201E-3</v>
      </c>
      <c r="AM54" s="27">
        <v>-3.5282302543276499E-3</v>
      </c>
      <c r="AN54" s="27">
        <v>-3.5061762145258599E-3</v>
      </c>
      <c r="AO54" s="27">
        <v>-3.40131549697774E-3</v>
      </c>
      <c r="AP54">
        <v>-2.2767155098209701E-3</v>
      </c>
      <c r="AQ54">
        <v>-2.2767155098209701E-3</v>
      </c>
      <c r="AR54">
        <v>-2.2767155098209701E-3</v>
      </c>
      <c r="AS54">
        <v>-2.2767155098209701E-3</v>
      </c>
      <c r="AT54">
        <v>-2.2767155098209701E-3</v>
      </c>
      <c r="AU54">
        <v>-2.2767155098209701E-3</v>
      </c>
      <c r="AV54">
        <v>-2.2767155098209701E-3</v>
      </c>
      <c r="AW54">
        <v>-2.2767155098209701E-3</v>
      </c>
    </row>
    <row r="55" spans="12:49" x14ac:dyDescent="0.3">
      <c r="L55" s="26" t="s">
        <v>4</v>
      </c>
      <c r="M55" s="17">
        <v>0</v>
      </c>
      <c r="N55" s="17">
        <v>0</v>
      </c>
      <c r="O55" s="27">
        <v>-1.09562973699955E-2</v>
      </c>
      <c r="P55" s="27">
        <v>-1.3126392846123399E-2</v>
      </c>
      <c r="Q55" s="27">
        <v>-1.20070028345548E-2</v>
      </c>
      <c r="R55" s="27">
        <v>-1.1554143484351499E-2</v>
      </c>
      <c r="S55" s="27">
        <v>-1.1231975466172999E-2</v>
      </c>
      <c r="T55" s="27">
        <v>-1.1061141245493299E-2</v>
      </c>
      <c r="U55" s="27">
        <v>0.19969322315867799</v>
      </c>
      <c r="V55" s="27">
        <v>-9.7675699160308504E-3</v>
      </c>
      <c r="W55" s="27">
        <v>-9.4696627368579499E-3</v>
      </c>
      <c r="X55" s="27">
        <v>-8.12578863854483E-3</v>
      </c>
      <c r="Y55" s="27">
        <v>-8.1216738985010108E-3</v>
      </c>
      <c r="Z55" s="27">
        <v>-6.8086603505165804E-3</v>
      </c>
      <c r="AA55" s="27">
        <v>-6.5844070181281297E-3</v>
      </c>
      <c r="AB55" s="27">
        <v>-6.5416137216723598E-3</v>
      </c>
      <c r="AC55" s="27">
        <v>-5.9552632654273499E-3</v>
      </c>
      <c r="AD55" s="27">
        <v>-5.5232155608257701E-3</v>
      </c>
      <c r="AE55" s="27">
        <v>-5.2619295680429003E-3</v>
      </c>
      <c r="AF55" s="27">
        <v>-4.7998442611214102E-3</v>
      </c>
      <c r="AG55" s="27">
        <v>-4.2250150769991002E-3</v>
      </c>
      <c r="AH55" s="27">
        <v>-4.2163741229070796E-3</v>
      </c>
      <c r="AI55" s="27">
        <v>-4.1818103065389498E-3</v>
      </c>
      <c r="AJ55" s="27">
        <v>-4.1542415482453202E-3</v>
      </c>
      <c r="AK55" s="27">
        <v>-4.0637172672811804E-3</v>
      </c>
      <c r="AL55" s="27">
        <v>-3.6254974526138601E-3</v>
      </c>
      <c r="AM55" s="27">
        <v>-3.4888880831588898E-3</v>
      </c>
      <c r="AN55" s="27">
        <v>-3.4670799609266101E-3</v>
      </c>
      <c r="AO55" s="27">
        <v>-3.3633885118222301E-3</v>
      </c>
      <c r="AP55">
        <v>-2.2513285807280901E-3</v>
      </c>
      <c r="AQ55">
        <v>-2.2513285807280901E-3</v>
      </c>
      <c r="AR55">
        <v>-2.2513285807280901E-3</v>
      </c>
      <c r="AS55">
        <v>-2.2513285807280901E-3</v>
      </c>
      <c r="AT55">
        <v>-2.2513285807280901E-3</v>
      </c>
      <c r="AU55">
        <v>-2.2513285807280901E-3</v>
      </c>
      <c r="AV55">
        <v>-2.2513285807280901E-3</v>
      </c>
      <c r="AW55">
        <v>-2.2513285807280901E-3</v>
      </c>
    </row>
    <row r="56" spans="12:49" x14ac:dyDescent="0.3">
      <c r="L56" s="26" t="s">
        <v>32</v>
      </c>
      <c r="M56" s="17">
        <v>0</v>
      </c>
      <c r="N56" s="17">
        <v>0</v>
      </c>
      <c r="O56" s="27">
        <v>-9.7840864859285205E-3</v>
      </c>
      <c r="P56" s="27">
        <v>-1.17220041148626E-2</v>
      </c>
      <c r="Q56" s="27">
        <v>-1.07223772961652E-2</v>
      </c>
      <c r="R56" s="27">
        <v>-1.0317969228483E-2</v>
      </c>
      <c r="S56" s="27">
        <v>-1.0030269867429701E-2</v>
      </c>
      <c r="T56" s="27">
        <v>-9.8777131474501508E-3</v>
      </c>
      <c r="U56" s="27">
        <v>-9.7675699160308504E-3</v>
      </c>
      <c r="V56" s="27">
        <v>0.18559080523624399</v>
      </c>
      <c r="W56" s="27">
        <v>-8.9472129014395597E-3</v>
      </c>
      <c r="X56" s="27">
        <v>-7.6774815493885597E-3</v>
      </c>
      <c r="Y56" s="27">
        <v>-7.6735938232647101E-3</v>
      </c>
      <c r="Z56" s="27">
        <v>-6.4330204171426202E-3</v>
      </c>
      <c r="AA56" s="27">
        <v>-6.2211393433925302E-3</v>
      </c>
      <c r="AB56" s="27">
        <v>-6.1807069917044297E-3</v>
      </c>
      <c r="AC56" s="27">
        <v>-5.6267060190551199E-3</v>
      </c>
      <c r="AD56" s="27">
        <v>-5.2184947760503704E-3</v>
      </c>
      <c r="AE56" s="27">
        <v>-4.9716241671855796E-3</v>
      </c>
      <c r="AF56" s="27">
        <v>-4.5350325234766904E-3</v>
      </c>
      <c r="AG56" s="27">
        <v>-3.9919171839741599E-3</v>
      </c>
      <c r="AH56" s="27">
        <v>-3.9837529591140704E-3</v>
      </c>
      <c r="AI56" s="27">
        <v>-3.9510960596736804E-3</v>
      </c>
      <c r="AJ56" s="27">
        <v>-3.9250482946438601E-3</v>
      </c>
      <c r="AK56" s="27">
        <v>-3.8395183199190501E-3</v>
      </c>
      <c r="AL56" s="27">
        <v>-3.4254754877285098E-3</v>
      </c>
      <c r="AM56" s="27">
        <v>-3.29640298041653E-3</v>
      </c>
      <c r="AN56" s="27">
        <v>-3.2757980319600998E-3</v>
      </c>
      <c r="AO56" s="27">
        <v>-3.1778273336389501E-3</v>
      </c>
      <c r="AP56">
        <v>-2.1271207520906399E-3</v>
      </c>
      <c r="AQ56">
        <v>-2.1271207520906399E-3</v>
      </c>
      <c r="AR56">
        <v>-2.1271207520906399E-3</v>
      </c>
      <c r="AS56">
        <v>-2.1271207520906399E-3</v>
      </c>
      <c r="AT56">
        <v>-2.1271207520906399E-3</v>
      </c>
      <c r="AU56">
        <v>-2.1271207520906399E-3</v>
      </c>
      <c r="AV56">
        <v>-2.1271207520906399E-3</v>
      </c>
      <c r="AW56">
        <v>-2.1271207520906399E-3</v>
      </c>
    </row>
    <row r="57" spans="12:49" x14ac:dyDescent="0.3">
      <c r="L57" s="26" t="s">
        <v>10</v>
      </c>
      <c r="M57" s="17">
        <v>0</v>
      </c>
      <c r="N57" s="17">
        <v>0</v>
      </c>
      <c r="O57" s="27">
        <v>-9.4856755576358306E-3</v>
      </c>
      <c r="P57" s="27">
        <v>-1.1364487433627401E-2</v>
      </c>
      <c r="Q57" s="27">
        <v>-1.03953488539028E-2</v>
      </c>
      <c r="R57" s="27">
        <v>-1.0003275078958099E-2</v>
      </c>
      <c r="S57" s="27">
        <v>-9.7243504393388896E-3</v>
      </c>
      <c r="T57" s="27">
        <v>-9.5764466414785497E-3</v>
      </c>
      <c r="U57" s="27">
        <v>-9.4696627368579499E-3</v>
      </c>
      <c r="V57" s="27">
        <v>-8.9472129014395597E-3</v>
      </c>
      <c r="W57" s="27">
        <v>0.18172283875926401</v>
      </c>
      <c r="X57" s="27">
        <v>-7.5550478783261597E-3</v>
      </c>
      <c r="Y57" s="27">
        <v>-7.55122215021277E-3</v>
      </c>
      <c r="Z57" s="27">
        <v>-6.3304323092294402E-3</v>
      </c>
      <c r="AA57" s="27">
        <v>-6.1219301270495899E-3</v>
      </c>
      <c r="AB57" s="27">
        <v>-6.0821425546703101E-3</v>
      </c>
      <c r="AC57" s="27">
        <v>-5.5369762985119702E-3</v>
      </c>
      <c r="AD57" s="27">
        <v>-5.1352748466058397E-3</v>
      </c>
      <c r="AE57" s="27">
        <v>-4.8923411114054497E-3</v>
      </c>
      <c r="AF57" s="27">
        <v>-4.4627118442715601E-3</v>
      </c>
      <c r="AG57" s="27">
        <v>-3.9282576268307202E-3</v>
      </c>
      <c r="AH57" s="27">
        <v>-3.9202235977925997E-3</v>
      </c>
      <c r="AI57" s="27">
        <v>-3.8880874816400999E-3</v>
      </c>
      <c r="AJ57" s="27">
        <v>-3.8624551032803798E-3</v>
      </c>
      <c r="AK57" s="27">
        <v>-3.7782890847857598E-3</v>
      </c>
      <c r="AL57" s="27">
        <v>-3.3708490407095399E-3</v>
      </c>
      <c r="AM57" s="27">
        <v>-3.24383486734492E-3</v>
      </c>
      <c r="AN57" s="27">
        <v>-3.2235585083439399E-3</v>
      </c>
      <c r="AO57" s="27">
        <v>-3.1271501598864699E-3</v>
      </c>
      <c r="AP57">
        <v>-2.0931993156409201E-3</v>
      </c>
      <c r="AQ57">
        <v>-2.0931993156409201E-3</v>
      </c>
      <c r="AR57">
        <v>-2.0931993156409201E-3</v>
      </c>
      <c r="AS57">
        <v>-2.0931993156409201E-3</v>
      </c>
      <c r="AT57">
        <v>-2.0931993156409201E-3</v>
      </c>
      <c r="AU57">
        <v>-2.0931993156409201E-3</v>
      </c>
      <c r="AV57">
        <v>-2.0931993156409201E-3</v>
      </c>
      <c r="AW57">
        <v>-2.0931993156409201E-3</v>
      </c>
    </row>
    <row r="58" spans="12:49" x14ac:dyDescent="0.3">
      <c r="L58" s="26" t="s">
        <v>8</v>
      </c>
      <c r="M58" s="17">
        <v>0</v>
      </c>
      <c r="N58" s="17">
        <v>0</v>
      </c>
      <c r="O58" s="27">
        <v>-8.1395290219949696E-3</v>
      </c>
      <c r="P58" s="27">
        <v>-9.7517119075029891E-3</v>
      </c>
      <c r="Q58" s="27">
        <v>-8.9201072897746106E-3</v>
      </c>
      <c r="R58" s="27">
        <v>-8.5836741226759904E-3</v>
      </c>
      <c r="S58" s="27">
        <v>-8.3443326877580808E-3</v>
      </c>
      <c r="T58" s="27">
        <v>-8.2174184529381408E-3</v>
      </c>
      <c r="U58" s="27">
        <v>-8.12578863854483E-3</v>
      </c>
      <c r="V58" s="27">
        <v>-7.6774815493885597E-3</v>
      </c>
      <c r="W58" s="27">
        <v>-7.5550478783261597E-3</v>
      </c>
      <c r="X58" s="27">
        <v>0.16287236145793299</v>
      </c>
      <c r="Y58" s="27">
        <v>-6.9449070444027499E-3</v>
      </c>
      <c r="Z58" s="27">
        <v>-5.8221388622825103E-3</v>
      </c>
      <c r="AA58" s="27">
        <v>-5.6303780790623497E-3</v>
      </c>
      <c r="AB58" s="27">
        <v>-5.5937851956588602E-3</v>
      </c>
      <c r="AC58" s="27">
        <v>-5.0923923221015696E-3</v>
      </c>
      <c r="AD58" s="27">
        <v>-4.7229449415856703E-3</v>
      </c>
      <c r="AE58" s="27">
        <v>-4.4995172400355797E-3</v>
      </c>
      <c r="AF58" s="27">
        <v>-4.1043844702076202E-3</v>
      </c>
      <c r="AG58" s="27">
        <v>-3.6128435267974101E-3</v>
      </c>
      <c r="AH58" s="27">
        <v>-3.6054545791870999E-3</v>
      </c>
      <c r="AI58" s="27">
        <v>-3.5758987887458201E-3</v>
      </c>
      <c r="AJ58" s="27">
        <v>-3.55232452732243E-3</v>
      </c>
      <c r="AK58" s="27">
        <v>-3.4749165047381499E-3</v>
      </c>
      <c r="AL58" s="27">
        <v>-3.1001913045005901E-3</v>
      </c>
      <c r="AM58" s="27">
        <v>-2.9833755613279402E-3</v>
      </c>
      <c r="AN58" s="27">
        <v>-2.9647272649780902E-3</v>
      </c>
      <c r="AO58" s="27">
        <v>-2.8760598936542702E-3</v>
      </c>
      <c r="AP58">
        <v>-1.9251287253049499E-3</v>
      </c>
      <c r="AQ58">
        <v>-1.9251287253049499E-3</v>
      </c>
      <c r="AR58">
        <v>-1.9251287253049499E-3</v>
      </c>
      <c r="AS58">
        <v>-1.9251287253049499E-3</v>
      </c>
      <c r="AT58">
        <v>-1.9251287253049499E-3</v>
      </c>
      <c r="AU58">
        <v>-1.9251287253049499E-3</v>
      </c>
      <c r="AV58">
        <v>-1.9251287253049499E-3</v>
      </c>
      <c r="AW58">
        <v>-1.9251287253049499E-3</v>
      </c>
    </row>
    <row r="59" spans="12:49" x14ac:dyDescent="0.3">
      <c r="L59" s="26" t="s">
        <v>70</v>
      </c>
      <c r="M59" s="17">
        <v>0</v>
      </c>
      <c r="N59" s="17">
        <v>0</v>
      </c>
      <c r="O59" s="27">
        <v>-8.1354073240903803E-3</v>
      </c>
      <c r="P59" s="27">
        <v>-9.7467738317953308E-3</v>
      </c>
      <c r="Q59" s="27">
        <v>-8.9155903223400602E-3</v>
      </c>
      <c r="R59" s="27">
        <v>-8.5793275184007905E-3</v>
      </c>
      <c r="S59" s="27">
        <v>-8.3401072812927298E-3</v>
      </c>
      <c r="T59" s="27">
        <v>-8.2132573133528904E-3</v>
      </c>
      <c r="U59" s="27">
        <v>-8.1216738985010108E-3</v>
      </c>
      <c r="V59" s="27">
        <v>-7.6735938232647101E-3</v>
      </c>
      <c r="W59" s="27">
        <v>-7.55122215021277E-3</v>
      </c>
      <c r="X59" s="27">
        <v>-6.9449070444027499E-3</v>
      </c>
      <c r="Y59" s="27">
        <v>0.16281111987406199</v>
      </c>
      <c r="Z59" s="27">
        <v>-5.82047023764427E-3</v>
      </c>
      <c r="AA59" s="27">
        <v>-5.6287644130527401E-3</v>
      </c>
      <c r="AB59" s="27">
        <v>-5.5921820171673797E-3</v>
      </c>
      <c r="AC59" s="27">
        <v>-5.0909328427766699E-3</v>
      </c>
      <c r="AD59" s="27">
        <v>-4.7215913458572003E-3</v>
      </c>
      <c r="AE59" s="27">
        <v>-4.49822767867257E-3</v>
      </c>
      <c r="AF59" s="27">
        <v>-4.1032081538720303E-3</v>
      </c>
      <c r="AG59" s="27">
        <v>-3.61180808606584E-3</v>
      </c>
      <c r="AH59" s="27">
        <v>-3.60442125612745E-3</v>
      </c>
      <c r="AI59" s="27">
        <v>-3.57487393637389E-3</v>
      </c>
      <c r="AJ59" s="27">
        <v>-3.5513064313323602E-3</v>
      </c>
      <c r="AK59" s="27">
        <v>-3.47392059388257E-3</v>
      </c>
      <c r="AL59" s="27">
        <v>-3.0993027898642499E-3</v>
      </c>
      <c r="AM59" s="27">
        <v>-2.9825205260763802E-3</v>
      </c>
      <c r="AN59" s="27">
        <v>-2.9638775743271099E-3</v>
      </c>
      <c r="AO59" s="27">
        <v>-2.8752356150664399E-3</v>
      </c>
      <c r="AP59">
        <v>-1.9245769835312099E-3</v>
      </c>
      <c r="AQ59">
        <v>-1.9245769835312099E-3</v>
      </c>
      <c r="AR59">
        <v>-1.9245769835312099E-3</v>
      </c>
      <c r="AS59">
        <v>-1.9245769835312099E-3</v>
      </c>
      <c r="AT59">
        <v>-1.9245769835312099E-3</v>
      </c>
      <c r="AU59">
        <v>-1.9245769835312099E-3</v>
      </c>
      <c r="AV59">
        <v>-1.9245769835312099E-3</v>
      </c>
      <c r="AW59">
        <v>-1.9245769835312099E-3</v>
      </c>
    </row>
    <row r="60" spans="12:49" x14ac:dyDescent="0.3">
      <c r="L60" s="26" t="s">
        <v>52</v>
      </c>
      <c r="M60" s="17">
        <v>0</v>
      </c>
      <c r="N60" s="17">
        <v>0</v>
      </c>
      <c r="O60" s="27">
        <v>-6.8201735227339799E-3</v>
      </c>
      <c r="P60" s="27">
        <v>-8.1710338734784192E-3</v>
      </c>
      <c r="Q60" s="27">
        <v>-7.47422601397106E-3</v>
      </c>
      <c r="R60" s="27">
        <v>-7.1923260941826796E-3</v>
      </c>
      <c r="S60" s="27">
        <v>-6.991780078202E-3</v>
      </c>
      <c r="T60" s="27">
        <v>-6.88543767170181E-3</v>
      </c>
      <c r="U60" s="27">
        <v>-6.8086603505165804E-3</v>
      </c>
      <c r="V60" s="27">
        <v>-6.4330204171426202E-3</v>
      </c>
      <c r="W60" s="27">
        <v>-6.3304323092294402E-3</v>
      </c>
      <c r="X60" s="27">
        <v>-5.8221388622825103E-3</v>
      </c>
      <c r="Y60" s="27">
        <v>-5.82047023764427E-3</v>
      </c>
      <c r="Z60" s="27">
        <v>0.142170084590198</v>
      </c>
      <c r="AA60" s="27">
        <v>-5.0755598575278902E-3</v>
      </c>
      <c r="AB60" s="27">
        <v>-5.04257284183091E-3</v>
      </c>
      <c r="AC60" s="27">
        <v>-4.5905872902137898E-3</v>
      </c>
      <c r="AD60" s="27">
        <v>-4.2575453048116999E-3</v>
      </c>
      <c r="AE60" s="27">
        <v>-4.05613419935424E-3</v>
      </c>
      <c r="AF60" s="27">
        <v>-3.6999378663956301E-3</v>
      </c>
      <c r="AG60" s="27">
        <v>-3.2568334343892201E-3</v>
      </c>
      <c r="AH60" s="27">
        <v>-3.2501725946811801E-3</v>
      </c>
      <c r="AI60" s="27">
        <v>-3.2235292358490102E-3</v>
      </c>
      <c r="AJ60" s="27">
        <v>-3.2022779853519302E-3</v>
      </c>
      <c r="AK60" s="27">
        <v>-3.1324977598391102E-3</v>
      </c>
      <c r="AL60" s="27">
        <v>-2.79469803178841E-3</v>
      </c>
      <c r="AM60" s="27">
        <v>-2.6893933278327102E-3</v>
      </c>
      <c r="AN60" s="27">
        <v>-2.6725826371409799E-3</v>
      </c>
      <c r="AO60" s="27">
        <v>-2.59265256064448E-3</v>
      </c>
      <c r="AP60">
        <v>-1.73542627893274E-3</v>
      </c>
      <c r="AQ60">
        <v>-1.73542627893274E-3</v>
      </c>
      <c r="AR60">
        <v>-1.73542627893274E-3</v>
      </c>
      <c r="AS60">
        <v>-1.73542627893274E-3</v>
      </c>
      <c r="AT60">
        <v>-1.73542627893274E-3</v>
      </c>
      <c r="AU60">
        <v>-1.73542627893274E-3</v>
      </c>
      <c r="AV60">
        <v>-1.73542627893274E-3</v>
      </c>
      <c r="AW60">
        <v>-1.73542627893274E-3</v>
      </c>
    </row>
    <row r="61" spans="12:49" x14ac:dyDescent="0.3">
      <c r="L61" s="26" t="s">
        <v>26</v>
      </c>
      <c r="M61" s="17">
        <v>0</v>
      </c>
      <c r="N61" s="17">
        <v>0</v>
      </c>
      <c r="O61" s="27">
        <v>-6.5955409869335301E-3</v>
      </c>
      <c r="P61" s="27">
        <v>-7.9019087474105094E-3</v>
      </c>
      <c r="Q61" s="27">
        <v>-7.2280512887874003E-3</v>
      </c>
      <c r="R61" s="27">
        <v>-6.95543616118398E-3</v>
      </c>
      <c r="S61" s="27">
        <v>-6.7614954258408298E-3</v>
      </c>
      <c r="T61" s="27">
        <v>-6.6586555643060596E-3</v>
      </c>
      <c r="U61" s="27">
        <v>-6.5844070181281297E-3</v>
      </c>
      <c r="V61" s="27">
        <v>-6.2211393433925302E-3</v>
      </c>
      <c r="W61" s="27">
        <v>-6.1219301270495899E-3</v>
      </c>
      <c r="X61" s="27">
        <v>-5.6303780790623497E-3</v>
      </c>
      <c r="Y61" s="27">
        <v>-5.6287644130527401E-3</v>
      </c>
      <c r="Z61" s="27">
        <v>-5.0755598575278902E-3</v>
      </c>
      <c r="AA61" s="27">
        <v>0.13842570110676</v>
      </c>
      <c r="AB61" s="27">
        <v>-4.9388505033005599E-3</v>
      </c>
      <c r="AC61" s="27">
        <v>-4.49616199108498E-3</v>
      </c>
      <c r="AD61" s="27">
        <v>-4.1699704557682403E-3</v>
      </c>
      <c r="AE61" s="27">
        <v>-3.97270224155288E-3</v>
      </c>
      <c r="AF61" s="27">
        <v>-3.6238326280664899E-3</v>
      </c>
      <c r="AG61" s="27">
        <v>-3.1898425567926901E-3</v>
      </c>
      <c r="AH61" s="27">
        <v>-3.18331872608636E-3</v>
      </c>
      <c r="AI61" s="27">
        <v>-3.1572234032610199E-3</v>
      </c>
      <c r="AJ61" s="27">
        <v>-3.1364092767217598E-3</v>
      </c>
      <c r="AK61" s="27">
        <v>-3.0680643836077698E-3</v>
      </c>
      <c r="AL61" s="27">
        <v>-2.7372129692150799E-3</v>
      </c>
      <c r="AM61" s="27">
        <v>-2.63407431233397E-3</v>
      </c>
      <c r="AN61" s="27">
        <v>-2.6176094062656001E-3</v>
      </c>
      <c r="AO61" s="27">
        <v>-2.5393234377895902E-3</v>
      </c>
      <c r="AP61">
        <v>-1.69972972527967E-3</v>
      </c>
      <c r="AQ61">
        <v>-1.69972972527967E-3</v>
      </c>
      <c r="AR61">
        <v>-1.69972972527967E-3</v>
      </c>
      <c r="AS61">
        <v>-1.69972972527967E-3</v>
      </c>
      <c r="AT61">
        <v>-1.69972972527967E-3</v>
      </c>
      <c r="AU61">
        <v>-1.69972972527967E-3</v>
      </c>
      <c r="AV61">
        <v>-1.69972972527967E-3</v>
      </c>
      <c r="AW61">
        <v>-1.69972972527967E-3</v>
      </c>
    </row>
    <row r="62" spans="12:49" x14ac:dyDescent="0.3">
      <c r="L62" s="26" t="s">
        <v>62</v>
      </c>
      <c r="M62" s="17">
        <v>0</v>
      </c>
      <c r="N62" s="17">
        <v>0</v>
      </c>
      <c r="O62" s="27">
        <v>-6.5526753287257202E-3</v>
      </c>
      <c r="P62" s="27">
        <v>-7.8505527600507604E-3</v>
      </c>
      <c r="Q62" s="27">
        <v>-7.1810748274679301E-3</v>
      </c>
      <c r="R62" s="27">
        <v>-6.9102314767218401E-3</v>
      </c>
      <c r="S62" s="27">
        <v>-6.7175511986012704E-3</v>
      </c>
      <c r="T62" s="27">
        <v>-6.61537971261952E-3</v>
      </c>
      <c r="U62" s="27">
        <v>-6.5416137216723598E-3</v>
      </c>
      <c r="V62" s="27">
        <v>-6.1807069917044297E-3</v>
      </c>
      <c r="W62" s="27">
        <v>-6.0821425546703101E-3</v>
      </c>
      <c r="X62" s="27">
        <v>-5.5937851956588602E-3</v>
      </c>
      <c r="Y62" s="27">
        <v>-5.5921820171673797E-3</v>
      </c>
      <c r="Z62" s="27">
        <v>-5.04257284183091E-3</v>
      </c>
      <c r="AA62" s="27">
        <v>-4.9388505033005599E-3</v>
      </c>
      <c r="AB62" s="27">
        <v>0.13770391545345301</v>
      </c>
      <c r="AC62" s="27">
        <v>-4.4786185242253604E-3</v>
      </c>
      <c r="AD62" s="27">
        <v>-4.1536997478530402E-3</v>
      </c>
      <c r="AE62" s="27">
        <v>-3.9572012497612096E-3</v>
      </c>
      <c r="AF62" s="27">
        <v>-3.6096928822696699E-3</v>
      </c>
      <c r="AG62" s="27">
        <v>-3.1773961864676298E-3</v>
      </c>
      <c r="AH62" s="27">
        <v>-3.1708978109401902E-3</v>
      </c>
      <c r="AI62" s="27">
        <v>-3.1449043088304001E-3</v>
      </c>
      <c r="AJ62" s="27">
        <v>-3.12417139643331E-3</v>
      </c>
      <c r="AK62" s="27">
        <v>-3.0560931766219698E-3</v>
      </c>
      <c r="AL62" s="27">
        <v>-2.72653270344433E-3</v>
      </c>
      <c r="AM62" s="27">
        <v>-2.6237964808199302E-3</v>
      </c>
      <c r="AN62" s="27">
        <v>-2.6073958187744699E-3</v>
      </c>
      <c r="AO62" s="27">
        <v>-2.5294153124451099E-3</v>
      </c>
      <c r="AP62">
        <v>-1.6930975905467801E-3</v>
      </c>
      <c r="AQ62">
        <v>-1.6930975905467801E-3</v>
      </c>
      <c r="AR62">
        <v>-1.6930975905467801E-3</v>
      </c>
      <c r="AS62">
        <v>-1.6930975905467801E-3</v>
      </c>
      <c r="AT62">
        <v>-1.6930975905467801E-3</v>
      </c>
      <c r="AU62">
        <v>-1.6930975905467801E-3</v>
      </c>
      <c r="AV62">
        <v>-1.6930975905467801E-3</v>
      </c>
      <c r="AW62">
        <v>-1.6930975905467801E-3</v>
      </c>
    </row>
    <row r="63" spans="12:49" x14ac:dyDescent="0.3">
      <c r="L63" s="26" t="s">
        <v>60</v>
      </c>
      <c r="M63" s="17">
        <v>0</v>
      </c>
      <c r="N63" s="17">
        <v>0</v>
      </c>
      <c r="O63" s="27">
        <v>-5.9653333773208904E-3</v>
      </c>
      <c r="P63" s="27">
        <v>-7.1468769717080603E-3</v>
      </c>
      <c r="Q63" s="27">
        <v>-6.5374069680427301E-3</v>
      </c>
      <c r="R63" s="27">
        <v>-6.2908403675050401E-3</v>
      </c>
      <c r="S63" s="27">
        <v>-6.1154307772899796E-3</v>
      </c>
      <c r="T63" s="27">
        <v>-6.02241732172238E-3</v>
      </c>
      <c r="U63" s="27">
        <v>-5.9552632654273499E-3</v>
      </c>
      <c r="V63" s="27">
        <v>-5.6267060190551199E-3</v>
      </c>
      <c r="W63" s="27">
        <v>-5.5369762985119702E-3</v>
      </c>
      <c r="X63" s="27">
        <v>-5.0923923221015696E-3</v>
      </c>
      <c r="Y63" s="27">
        <v>-5.0909328427766699E-3</v>
      </c>
      <c r="Z63" s="27">
        <v>-4.5905872902137898E-3</v>
      </c>
      <c r="AA63" s="27">
        <v>-4.49616199108498E-3</v>
      </c>
      <c r="AB63" s="27">
        <v>-4.4786185242253604E-3</v>
      </c>
      <c r="AC63" s="27">
        <v>0.12757966986663799</v>
      </c>
      <c r="AD63" s="27">
        <v>-3.9281682549448804E-3</v>
      </c>
      <c r="AE63" s="27">
        <v>-3.74233894391977E-3</v>
      </c>
      <c r="AF63" s="27">
        <v>-3.4136990757604102E-3</v>
      </c>
      <c r="AG63" s="27">
        <v>-3.0048745915051802E-3</v>
      </c>
      <c r="AH63" s="27">
        <v>-2.9987290552350499E-3</v>
      </c>
      <c r="AI63" s="27">
        <v>-2.9741469101545702E-3</v>
      </c>
      <c r="AJ63" s="27">
        <v>-2.95453972300704E-3</v>
      </c>
      <c r="AK63" s="27">
        <v>-2.8901579144629099E-3</v>
      </c>
      <c r="AL63" s="27">
        <v>-2.5784914321924598E-3</v>
      </c>
      <c r="AM63" s="27">
        <v>-2.4813334302076699E-3</v>
      </c>
      <c r="AN63" s="27">
        <v>-2.4658232672402302E-3</v>
      </c>
      <c r="AO63" s="27">
        <v>-2.3920768319987602E-3</v>
      </c>
      <c r="AP63">
        <v>-1.6011682623779399E-3</v>
      </c>
      <c r="AQ63">
        <v>-1.6011682623779399E-3</v>
      </c>
      <c r="AR63">
        <v>-1.6011682623779399E-3</v>
      </c>
      <c r="AS63">
        <v>-1.6011682623779399E-3</v>
      </c>
      <c r="AT63">
        <v>-1.6011682623779399E-3</v>
      </c>
      <c r="AU63">
        <v>-1.6011682623779399E-3</v>
      </c>
      <c r="AV63">
        <v>-1.6011682623779399E-3</v>
      </c>
      <c r="AW63">
        <v>-1.6011682623779399E-3</v>
      </c>
    </row>
    <row r="64" spans="12:49" x14ac:dyDescent="0.3">
      <c r="L64" s="26" t="s">
        <v>66</v>
      </c>
      <c r="M64" s="17">
        <v>0</v>
      </c>
      <c r="N64" s="17">
        <v>0</v>
      </c>
      <c r="O64" s="27">
        <v>-5.5325550973383802E-3</v>
      </c>
      <c r="P64" s="27">
        <v>-6.62837902240292E-3</v>
      </c>
      <c r="Q64" s="27">
        <v>-6.0631253874136497E-3</v>
      </c>
      <c r="R64" s="27">
        <v>-5.8344469186084602E-3</v>
      </c>
      <c r="S64" s="27">
        <v>-5.6717630984290399E-3</v>
      </c>
      <c r="T64" s="27">
        <v>-5.5854976652718602E-3</v>
      </c>
      <c r="U64" s="27">
        <v>-5.5232155608257701E-3</v>
      </c>
      <c r="V64" s="27">
        <v>-5.2184947760503704E-3</v>
      </c>
      <c r="W64" s="27">
        <v>-5.1352748466058397E-3</v>
      </c>
      <c r="X64" s="27">
        <v>-4.7229449415856703E-3</v>
      </c>
      <c r="Y64" s="27">
        <v>-4.7215913458572003E-3</v>
      </c>
      <c r="Z64" s="27">
        <v>-4.2575453048116999E-3</v>
      </c>
      <c r="AA64" s="27">
        <v>-4.1699704557682403E-3</v>
      </c>
      <c r="AB64" s="27">
        <v>-4.1536997478530402E-3</v>
      </c>
      <c r="AC64" s="27">
        <v>-3.9281682549448804E-3</v>
      </c>
      <c r="AD64" s="27">
        <v>0.11984013056844001</v>
      </c>
      <c r="AE64" s="27">
        <v>-3.5739044719572798E-3</v>
      </c>
      <c r="AF64" s="27">
        <v>-3.2600559638240301E-3</v>
      </c>
      <c r="AG64" s="27">
        <v>-2.86963177338578E-3</v>
      </c>
      <c r="AH64" s="27">
        <v>-2.8637628342310199E-3</v>
      </c>
      <c r="AI64" s="27">
        <v>-2.8402870776119702E-3</v>
      </c>
      <c r="AJ64" s="27">
        <v>-2.82156236697535E-3</v>
      </c>
      <c r="AK64" s="27">
        <v>-2.7600782424968798E-3</v>
      </c>
      <c r="AL64" s="27">
        <v>-2.4624391853624999E-3</v>
      </c>
      <c r="AM64" s="27">
        <v>-2.3696540520586301E-3</v>
      </c>
      <c r="AN64" s="27">
        <v>-2.3548419675251801E-3</v>
      </c>
      <c r="AO64" s="27">
        <v>-2.2844146976680299E-3</v>
      </c>
      <c r="AP64">
        <v>-1.52910318894708E-3</v>
      </c>
      <c r="AQ64">
        <v>-1.52910318894708E-3</v>
      </c>
      <c r="AR64">
        <v>-1.52910318894708E-3</v>
      </c>
      <c r="AS64">
        <v>-1.52910318894708E-3</v>
      </c>
      <c r="AT64">
        <v>-1.52910318894708E-3</v>
      </c>
      <c r="AU64">
        <v>-1.52910318894708E-3</v>
      </c>
      <c r="AV64">
        <v>-1.52910318894708E-3</v>
      </c>
      <c r="AW64">
        <v>-1.52910318894708E-3</v>
      </c>
    </row>
    <row r="65" spans="12:49" x14ac:dyDescent="0.3">
      <c r="L65" s="26" t="s">
        <v>48</v>
      </c>
      <c r="M65" s="17">
        <v>0</v>
      </c>
      <c r="N65" s="17">
        <v>0</v>
      </c>
      <c r="O65" s="27">
        <v>-5.2708272803965702E-3</v>
      </c>
      <c r="P65" s="27">
        <v>-6.3148112149659799E-3</v>
      </c>
      <c r="Q65" s="27">
        <v>-5.7762979553189096E-3</v>
      </c>
      <c r="R65" s="27">
        <v>-5.5584375471329E-3</v>
      </c>
      <c r="S65" s="27">
        <v>-5.4034497878797999E-3</v>
      </c>
      <c r="T65" s="27">
        <v>-5.3212653016089101E-3</v>
      </c>
      <c r="U65" s="27">
        <v>-5.2619295680429003E-3</v>
      </c>
      <c r="V65" s="27">
        <v>-4.9716241671855796E-3</v>
      </c>
      <c r="W65" s="27">
        <v>-4.8923411114054497E-3</v>
      </c>
      <c r="X65" s="27">
        <v>-4.4995172400355797E-3</v>
      </c>
      <c r="Y65" s="27">
        <v>-4.49822767867257E-3</v>
      </c>
      <c r="Z65" s="27">
        <v>-4.05613419935424E-3</v>
      </c>
      <c r="AA65" s="27">
        <v>-3.97270224155288E-3</v>
      </c>
      <c r="AB65" s="27">
        <v>-3.9572012497612096E-3</v>
      </c>
      <c r="AC65" s="27">
        <v>-3.74233894391977E-3</v>
      </c>
      <c r="AD65" s="27">
        <v>-3.5739044719572798E-3</v>
      </c>
      <c r="AE65" s="27">
        <v>0.115044446048296</v>
      </c>
      <c r="AF65" s="27">
        <v>-3.1645434358705598E-3</v>
      </c>
      <c r="AG65" s="27">
        <v>-2.78555782250484E-3</v>
      </c>
      <c r="AH65" s="27">
        <v>-2.7798608304642702E-3</v>
      </c>
      <c r="AI65" s="27">
        <v>-2.75707286230197E-3</v>
      </c>
      <c r="AJ65" s="27">
        <v>-2.7388967448391901E-3</v>
      </c>
      <c r="AK65" s="27">
        <v>-2.6792139710808101E-3</v>
      </c>
      <c r="AL65" s="27">
        <v>-2.39029508902319E-3</v>
      </c>
      <c r="AM65" s="27">
        <v>-2.3002283577150898E-3</v>
      </c>
      <c r="AN65" s="27">
        <v>-2.28585023494602E-3</v>
      </c>
      <c r="AO65" s="27">
        <v>-2.2174863304591499E-3</v>
      </c>
      <c r="AP65">
        <v>-1.48430380123757E-3</v>
      </c>
      <c r="AQ65">
        <v>-1.48430380123757E-3</v>
      </c>
      <c r="AR65">
        <v>-1.48430380123757E-3</v>
      </c>
      <c r="AS65">
        <v>-1.48430380123757E-3</v>
      </c>
      <c r="AT65">
        <v>-1.48430380123757E-3</v>
      </c>
      <c r="AU65">
        <v>-1.48430380123757E-3</v>
      </c>
      <c r="AV65">
        <v>-1.48430380123757E-3</v>
      </c>
      <c r="AW65">
        <v>-1.48430380123757E-3</v>
      </c>
    </row>
    <row r="66" spans="12:49" x14ac:dyDescent="0.3">
      <c r="L66" s="26" t="s">
        <v>34</v>
      </c>
      <c r="M66" s="17">
        <v>0</v>
      </c>
      <c r="N66" s="17">
        <v>0</v>
      </c>
      <c r="O66" s="27">
        <v>-4.8079606057105104E-3</v>
      </c>
      <c r="P66" s="27">
        <v>-5.7602653129948502E-3</v>
      </c>
      <c r="Q66" s="27">
        <v>-5.2690425124175102E-3</v>
      </c>
      <c r="R66" s="27">
        <v>-5.0703138870273204E-3</v>
      </c>
      <c r="S66" s="27">
        <v>-4.9289366418218501E-3</v>
      </c>
      <c r="T66" s="27">
        <v>-4.8539693261861203E-3</v>
      </c>
      <c r="U66" s="27">
        <v>-4.7998442611214102E-3</v>
      </c>
      <c r="V66" s="27">
        <v>-4.5350325234766904E-3</v>
      </c>
      <c r="W66" s="27">
        <v>-4.4627118442715601E-3</v>
      </c>
      <c r="X66" s="27">
        <v>-4.1043844702076202E-3</v>
      </c>
      <c r="Y66" s="27">
        <v>-4.1032081538720303E-3</v>
      </c>
      <c r="Z66" s="27">
        <v>-3.6999378663956301E-3</v>
      </c>
      <c r="AA66" s="27">
        <v>-3.6238326280664899E-3</v>
      </c>
      <c r="AB66" s="27">
        <v>-3.6096928822696699E-3</v>
      </c>
      <c r="AC66" s="27">
        <v>-3.4136990757604102E-3</v>
      </c>
      <c r="AD66" s="27">
        <v>-3.2600559638240301E-3</v>
      </c>
      <c r="AE66" s="27">
        <v>-3.1645434358705598E-3</v>
      </c>
      <c r="AF66" s="27">
        <v>0.10635087453957601</v>
      </c>
      <c r="AG66" s="27">
        <v>-2.6314750430326398E-3</v>
      </c>
      <c r="AH66" s="27">
        <v>-2.6260931793879502E-3</v>
      </c>
      <c r="AI66" s="27">
        <v>-2.6045657248091802E-3</v>
      </c>
      <c r="AJ66" s="27">
        <v>-2.5873950169904101E-3</v>
      </c>
      <c r="AK66" s="27">
        <v>-2.53101358833174E-3</v>
      </c>
      <c r="AL66" s="27">
        <v>-2.2580762177795699E-3</v>
      </c>
      <c r="AM66" s="27">
        <v>-2.1729915163492199E-3</v>
      </c>
      <c r="AN66" s="27">
        <v>-2.1594087176269E-3</v>
      </c>
      <c r="AO66" s="27">
        <v>-2.0948263538906101E-3</v>
      </c>
      <c r="AP66">
        <v>-1.4021997237604899E-3</v>
      </c>
      <c r="AQ66">
        <v>-1.4021997237604899E-3</v>
      </c>
      <c r="AR66">
        <v>-1.4021997237604899E-3</v>
      </c>
      <c r="AS66">
        <v>-1.4021997237604899E-3</v>
      </c>
      <c r="AT66">
        <v>-1.4021997237604899E-3</v>
      </c>
      <c r="AU66">
        <v>-1.4021997237604899E-3</v>
      </c>
      <c r="AV66">
        <v>-1.4021997237604899E-3</v>
      </c>
      <c r="AW66">
        <v>-1.4021997237604899E-3</v>
      </c>
    </row>
    <row r="67" spans="12:49" x14ac:dyDescent="0.3">
      <c r="L67" s="26" t="s">
        <v>46</v>
      </c>
      <c r="M67" s="17">
        <v>0</v>
      </c>
      <c r="N67" s="17">
        <v>0</v>
      </c>
      <c r="O67" s="27">
        <v>-4.2321594084385296E-3</v>
      </c>
      <c r="P67" s="27">
        <v>-5.0704161366336197E-3</v>
      </c>
      <c r="Q67" s="27">
        <v>-4.6380221618090803E-3</v>
      </c>
      <c r="R67" s="27">
        <v>-4.4630932697810998E-3</v>
      </c>
      <c r="S67" s="27">
        <v>-4.3386473586135297E-3</v>
      </c>
      <c r="T67" s="27">
        <v>-4.2726581261276503E-3</v>
      </c>
      <c r="U67" s="27">
        <v>-4.2250150769991002E-3</v>
      </c>
      <c r="V67" s="27">
        <v>-3.9919171839741599E-3</v>
      </c>
      <c r="W67" s="27">
        <v>-3.9282576268307202E-3</v>
      </c>
      <c r="X67" s="27">
        <v>-3.6128435267974101E-3</v>
      </c>
      <c r="Y67" s="27">
        <v>-3.61180808606584E-3</v>
      </c>
      <c r="Z67" s="27">
        <v>-3.2568334343892201E-3</v>
      </c>
      <c r="AA67" s="27">
        <v>-3.1898425567926901E-3</v>
      </c>
      <c r="AB67" s="27">
        <v>-3.1773961864676298E-3</v>
      </c>
      <c r="AC67" s="27">
        <v>-3.0048745915051802E-3</v>
      </c>
      <c r="AD67" s="27">
        <v>-2.86963177338578E-3</v>
      </c>
      <c r="AE67" s="27">
        <v>-2.78555782250484E-3</v>
      </c>
      <c r="AF67" s="27">
        <v>-2.6314750430326398E-3</v>
      </c>
      <c r="AG67" s="27">
        <v>9.5157441855759001E-2</v>
      </c>
      <c r="AH67" s="27">
        <v>-2.4181916928581E-3</v>
      </c>
      <c r="AI67" s="27">
        <v>-2.3983685151280202E-3</v>
      </c>
      <c r="AJ67" s="27">
        <v>-2.3825571709861801E-3</v>
      </c>
      <c r="AK67" s="27">
        <v>-2.3306393245502701E-3</v>
      </c>
      <c r="AL67" s="27">
        <v>-2.07930974975824E-3</v>
      </c>
      <c r="AM67" s="27">
        <v>-2.0009609996822302E-3</v>
      </c>
      <c r="AN67" s="27">
        <v>-1.9884535184954001E-3</v>
      </c>
      <c r="AO67" s="27">
        <v>-1.9289839853051699E-3</v>
      </c>
      <c r="AP67">
        <v>-1.29119094110583E-3</v>
      </c>
      <c r="AQ67">
        <v>-1.29119094110583E-3</v>
      </c>
      <c r="AR67">
        <v>-1.29119094110583E-3</v>
      </c>
      <c r="AS67">
        <v>-1.29119094110583E-3</v>
      </c>
      <c r="AT67">
        <v>-1.29119094110583E-3</v>
      </c>
      <c r="AU67">
        <v>-1.29119094110583E-3</v>
      </c>
      <c r="AV67">
        <v>-1.29119094110583E-3</v>
      </c>
      <c r="AW67">
        <v>-1.29119094110583E-3</v>
      </c>
    </row>
    <row r="68" spans="12:49" x14ac:dyDescent="0.3">
      <c r="L68" s="26" t="s">
        <v>54</v>
      </c>
      <c r="M68" s="17">
        <v>0</v>
      </c>
      <c r="N68" s="17">
        <v>0</v>
      </c>
      <c r="O68" s="27">
        <v>-4.2235038428389002E-3</v>
      </c>
      <c r="P68" s="27">
        <v>-5.0600461776475203E-3</v>
      </c>
      <c r="Q68" s="27">
        <v>-4.6285365301965004E-3</v>
      </c>
      <c r="R68" s="27">
        <v>-4.45396540080317E-3</v>
      </c>
      <c r="S68" s="27">
        <v>-4.3297740050363097E-3</v>
      </c>
      <c r="T68" s="27">
        <v>-4.2639197329986398E-3</v>
      </c>
      <c r="U68" s="27">
        <v>-4.2163741229070796E-3</v>
      </c>
      <c r="V68" s="27">
        <v>-3.9837529591140704E-3</v>
      </c>
      <c r="W68" s="27">
        <v>-3.9202235977925997E-3</v>
      </c>
      <c r="X68" s="27">
        <v>-3.6054545791870999E-3</v>
      </c>
      <c r="Y68" s="27">
        <v>-3.60442125612745E-3</v>
      </c>
      <c r="Z68" s="27">
        <v>-3.2501725946811801E-3</v>
      </c>
      <c r="AA68" s="27">
        <v>-3.18331872608636E-3</v>
      </c>
      <c r="AB68" s="27">
        <v>-3.1708978109401902E-3</v>
      </c>
      <c r="AC68" s="27">
        <v>-2.9987290552350499E-3</v>
      </c>
      <c r="AD68" s="27">
        <v>-2.8637628342310199E-3</v>
      </c>
      <c r="AE68" s="27">
        <v>-2.7798608304642702E-3</v>
      </c>
      <c r="AF68" s="27">
        <v>-2.6260931793879502E-3</v>
      </c>
      <c r="AG68" s="27">
        <v>-2.4181916928581E-3</v>
      </c>
      <c r="AH68" s="27">
        <v>9.4985976340109898E-2</v>
      </c>
      <c r="AI68" s="27">
        <v>-2.3951796489095302E-3</v>
      </c>
      <c r="AJ68" s="27">
        <v>-2.3793893275007999E-3</v>
      </c>
      <c r="AK68" s="27">
        <v>-2.32754051093482E-3</v>
      </c>
      <c r="AL68" s="27">
        <v>-2.0765451034676701E-3</v>
      </c>
      <c r="AM68" s="27">
        <v>-1.99830052574082E-3</v>
      </c>
      <c r="AN68" s="27">
        <v>-1.9858096744771901E-3</v>
      </c>
      <c r="AO68" s="27">
        <v>-1.9264192118652499E-3</v>
      </c>
      <c r="AP68">
        <v>-1.2894741760850501E-3</v>
      </c>
      <c r="AQ68">
        <v>-1.2894741760850501E-3</v>
      </c>
      <c r="AR68">
        <v>-1.2894741760850501E-3</v>
      </c>
      <c r="AS68">
        <v>-1.2894741760850501E-3</v>
      </c>
      <c r="AT68">
        <v>-1.2894741760850501E-3</v>
      </c>
      <c r="AU68">
        <v>-1.2894741760850501E-3</v>
      </c>
      <c r="AV68">
        <v>-1.2894741760850501E-3</v>
      </c>
      <c r="AW68">
        <v>-1.2894741760850501E-3</v>
      </c>
    </row>
    <row r="69" spans="12:49" x14ac:dyDescent="0.3">
      <c r="L69" s="26" t="s">
        <v>58</v>
      </c>
      <c r="M69" s="17">
        <v>0</v>
      </c>
      <c r="N69" s="17">
        <v>0</v>
      </c>
      <c r="O69" s="27">
        <v>-4.1888815804402802E-3</v>
      </c>
      <c r="P69" s="27">
        <v>-5.0185663417031097E-3</v>
      </c>
      <c r="Q69" s="27">
        <v>-4.59059400374617E-3</v>
      </c>
      <c r="R69" s="27">
        <v>-4.4174539248914403E-3</v>
      </c>
      <c r="S69" s="27">
        <v>-4.2942805907274298E-3</v>
      </c>
      <c r="T69" s="27">
        <v>-4.2289661604825897E-3</v>
      </c>
      <c r="U69" s="27">
        <v>-4.1818103065389498E-3</v>
      </c>
      <c r="V69" s="27">
        <v>-3.9510960596736804E-3</v>
      </c>
      <c r="W69" s="27">
        <v>-3.8880874816400999E-3</v>
      </c>
      <c r="X69" s="27">
        <v>-3.5758987887458201E-3</v>
      </c>
      <c r="Y69" s="27">
        <v>-3.57487393637389E-3</v>
      </c>
      <c r="Z69" s="27">
        <v>-3.2235292358490102E-3</v>
      </c>
      <c r="AA69" s="27">
        <v>-3.1572234032610199E-3</v>
      </c>
      <c r="AB69" s="27">
        <v>-3.1449043088304001E-3</v>
      </c>
      <c r="AC69" s="27">
        <v>-2.9741469101545702E-3</v>
      </c>
      <c r="AD69" s="27">
        <v>-2.8402870776119702E-3</v>
      </c>
      <c r="AE69" s="27">
        <v>-2.75707286230197E-3</v>
      </c>
      <c r="AF69" s="27">
        <v>-2.6045657248091802E-3</v>
      </c>
      <c r="AG69" s="27">
        <v>-2.3983685151280202E-3</v>
      </c>
      <c r="AH69" s="27">
        <v>-2.3951796489095302E-3</v>
      </c>
      <c r="AI69" s="27">
        <v>9.4299165437726595E-2</v>
      </c>
      <c r="AJ69" s="27">
        <v>-2.3673506919009101E-3</v>
      </c>
      <c r="AK69" s="27">
        <v>-2.3157642069347598E-3</v>
      </c>
      <c r="AL69" s="27">
        <v>-2.0660387228941101E-3</v>
      </c>
      <c r="AM69" s="27">
        <v>-1.98819002739974E-3</v>
      </c>
      <c r="AN69" s="27">
        <v>-1.97576237420335E-3</v>
      </c>
      <c r="AO69" s="27">
        <v>-1.9166724005148599E-3</v>
      </c>
      <c r="AP69">
        <v>-1.28295001900746E-3</v>
      </c>
      <c r="AQ69">
        <v>-1.28295001900746E-3</v>
      </c>
      <c r="AR69">
        <v>-1.28295001900746E-3</v>
      </c>
      <c r="AS69">
        <v>-1.28295001900746E-3</v>
      </c>
      <c r="AT69">
        <v>-1.28295001900746E-3</v>
      </c>
      <c r="AU69">
        <v>-1.28295001900746E-3</v>
      </c>
      <c r="AV69">
        <v>-1.28295001900746E-3</v>
      </c>
      <c r="AW69">
        <v>-1.28295001900746E-3</v>
      </c>
    </row>
    <row r="70" spans="12:49" x14ac:dyDescent="0.3">
      <c r="L70" s="26" t="s">
        <v>40</v>
      </c>
      <c r="M70" s="17">
        <v>0</v>
      </c>
      <c r="N70" s="17">
        <v>0</v>
      </c>
      <c r="O70" s="27">
        <v>-4.1612662044794996E-3</v>
      </c>
      <c r="P70" s="27">
        <v>-4.9854812344617304E-3</v>
      </c>
      <c r="Q70" s="27">
        <v>-4.5603303219346096E-3</v>
      </c>
      <c r="R70" s="27">
        <v>-4.3883316762475602E-3</v>
      </c>
      <c r="S70" s="27">
        <v>-4.26597036740964E-3</v>
      </c>
      <c r="T70" s="27">
        <v>-4.2010865252614703E-3</v>
      </c>
      <c r="U70" s="27">
        <v>-4.1542415482453202E-3</v>
      </c>
      <c r="V70" s="27">
        <v>-3.9250482946438601E-3</v>
      </c>
      <c r="W70" s="27">
        <v>-3.8624551032803798E-3</v>
      </c>
      <c r="X70" s="27">
        <v>-3.55232452732243E-3</v>
      </c>
      <c r="Y70" s="27">
        <v>-3.5513064313323602E-3</v>
      </c>
      <c r="Z70" s="27">
        <v>-3.2022779853519302E-3</v>
      </c>
      <c r="AA70" s="27">
        <v>-3.1364092767217598E-3</v>
      </c>
      <c r="AB70" s="27">
        <v>-3.12417139643331E-3</v>
      </c>
      <c r="AC70" s="27">
        <v>-2.95453972300704E-3</v>
      </c>
      <c r="AD70" s="27">
        <v>-2.82156236697535E-3</v>
      </c>
      <c r="AE70" s="27">
        <v>-2.7388967448391901E-3</v>
      </c>
      <c r="AF70" s="27">
        <v>-2.5873950169904101E-3</v>
      </c>
      <c r="AG70" s="27">
        <v>-2.3825571709861801E-3</v>
      </c>
      <c r="AH70" s="27">
        <v>-2.3793893275007999E-3</v>
      </c>
      <c r="AI70" s="27">
        <v>-2.3673506919009101E-3</v>
      </c>
      <c r="AJ70" s="27">
        <v>9.3750263611151602E-2</v>
      </c>
      <c r="AK70" s="27">
        <v>-2.3069465559758299E-3</v>
      </c>
      <c r="AL70" s="27">
        <v>-2.05817194255803E-3</v>
      </c>
      <c r="AM70" s="27">
        <v>-1.98061966870384E-3</v>
      </c>
      <c r="AN70" s="27">
        <v>-1.9682393358295201E-3</v>
      </c>
      <c r="AO70" s="27">
        <v>-1.90937435687996E-3</v>
      </c>
      <c r="AP70">
        <v>-1.27806497698484E-3</v>
      </c>
      <c r="AQ70">
        <v>-1.27806497698484E-3</v>
      </c>
      <c r="AR70">
        <v>-1.27806497698484E-3</v>
      </c>
      <c r="AS70">
        <v>-1.27806497698484E-3</v>
      </c>
      <c r="AT70">
        <v>-1.27806497698484E-3</v>
      </c>
      <c r="AU70">
        <v>-1.27806497698484E-3</v>
      </c>
      <c r="AV70">
        <v>-1.27806497698484E-3</v>
      </c>
      <c r="AW70">
        <v>-1.27806497698484E-3</v>
      </c>
    </row>
    <row r="71" spans="12:49" x14ac:dyDescent="0.3">
      <c r="L71" s="26" t="s">
        <v>30</v>
      </c>
      <c r="M71" s="17">
        <v>0</v>
      </c>
      <c r="N71" s="17">
        <v>0</v>
      </c>
      <c r="O71" s="27">
        <v>-4.0705888505784002E-3</v>
      </c>
      <c r="P71" s="27">
        <v>-4.8768435688930304E-3</v>
      </c>
      <c r="Q71" s="27">
        <v>-4.4609570383742202E-3</v>
      </c>
      <c r="R71" s="27">
        <v>-4.2927063821930397E-3</v>
      </c>
      <c r="S71" s="27">
        <v>-4.1730114251721101E-3</v>
      </c>
      <c r="T71" s="27">
        <v>-4.1095414543861099E-3</v>
      </c>
      <c r="U71" s="27">
        <v>-4.0637172672811804E-3</v>
      </c>
      <c r="V71" s="27">
        <v>-3.8395183199190501E-3</v>
      </c>
      <c r="W71" s="27">
        <v>-3.7782890847857598E-3</v>
      </c>
      <c r="X71" s="27">
        <v>-3.4749165047381499E-3</v>
      </c>
      <c r="Y71" s="27">
        <v>-3.47392059388257E-3</v>
      </c>
      <c r="Z71" s="27">
        <v>-3.1324977598391102E-3</v>
      </c>
      <c r="AA71" s="27">
        <v>-3.0680643836077698E-3</v>
      </c>
      <c r="AB71" s="27">
        <v>-3.0560931766219698E-3</v>
      </c>
      <c r="AC71" s="27">
        <v>-2.8901579144629099E-3</v>
      </c>
      <c r="AD71" s="27">
        <v>-2.7600782424968798E-3</v>
      </c>
      <c r="AE71" s="27">
        <v>-2.6792139710808101E-3</v>
      </c>
      <c r="AF71" s="27">
        <v>-2.53101358833174E-3</v>
      </c>
      <c r="AG71" s="27">
        <v>-2.3306393245502701E-3</v>
      </c>
      <c r="AH71" s="27">
        <v>-2.32754051093482E-3</v>
      </c>
      <c r="AI71" s="27">
        <v>-2.3157642069347598E-3</v>
      </c>
      <c r="AJ71" s="27">
        <v>-2.3069465559758299E-3</v>
      </c>
      <c r="AK71" s="27">
        <v>9.1941106916488505E-2</v>
      </c>
      <c r="AL71" s="27">
        <v>-2.0341379034450801E-3</v>
      </c>
      <c r="AM71" s="27">
        <v>-1.9574912363308199E-3</v>
      </c>
      <c r="AN71" s="27">
        <v>-1.94525547320716E-3</v>
      </c>
      <c r="AO71" s="27">
        <v>-1.88707788250597E-3</v>
      </c>
      <c r="AP71">
        <v>-1.2631405369948701E-3</v>
      </c>
      <c r="AQ71">
        <v>-1.2631405369948701E-3</v>
      </c>
      <c r="AR71">
        <v>-1.2631405369948701E-3</v>
      </c>
      <c r="AS71">
        <v>-1.2631405369948701E-3</v>
      </c>
      <c r="AT71">
        <v>-1.2631405369948701E-3</v>
      </c>
      <c r="AU71">
        <v>-1.2631405369948701E-3</v>
      </c>
      <c r="AV71">
        <v>-1.2631405369948701E-3</v>
      </c>
      <c r="AW71">
        <v>-1.2631405369948701E-3</v>
      </c>
    </row>
    <row r="72" spans="12:49" x14ac:dyDescent="0.3">
      <c r="L72" s="26" t="s">
        <v>64</v>
      </c>
      <c r="M72" s="17">
        <v>0</v>
      </c>
      <c r="N72" s="17">
        <v>0</v>
      </c>
      <c r="O72" s="27">
        <v>-3.63162802373899E-3</v>
      </c>
      <c r="P72" s="27">
        <v>-4.35093850602638E-3</v>
      </c>
      <c r="Q72" s="27">
        <v>-3.9799000065932899E-3</v>
      </c>
      <c r="R72" s="27">
        <v>-3.82979302688365E-3</v>
      </c>
      <c r="S72" s="27">
        <v>-3.7230056366131499E-3</v>
      </c>
      <c r="T72" s="27">
        <v>-3.6663800885577201E-3</v>
      </c>
      <c r="U72" s="27">
        <v>-3.6254974526138601E-3</v>
      </c>
      <c r="V72" s="27">
        <v>-3.4254754877285098E-3</v>
      </c>
      <c r="W72" s="27">
        <v>-3.3708490407095399E-3</v>
      </c>
      <c r="X72" s="27">
        <v>-3.1001913045005901E-3</v>
      </c>
      <c r="Y72" s="27">
        <v>-3.0993027898642499E-3</v>
      </c>
      <c r="Z72" s="27">
        <v>-2.79469803178841E-3</v>
      </c>
      <c r="AA72" s="27">
        <v>-2.7372129692150799E-3</v>
      </c>
      <c r="AB72" s="27">
        <v>-2.72653270344433E-3</v>
      </c>
      <c r="AC72" s="27">
        <v>-2.5784914321924598E-3</v>
      </c>
      <c r="AD72" s="27">
        <v>-2.4624391853624999E-3</v>
      </c>
      <c r="AE72" s="27">
        <v>-2.39029508902319E-3</v>
      </c>
      <c r="AF72" s="27">
        <v>-2.2580762177795699E-3</v>
      </c>
      <c r="AG72" s="27">
        <v>-2.07930974975824E-3</v>
      </c>
      <c r="AH72" s="27">
        <v>-2.0765451034676701E-3</v>
      </c>
      <c r="AI72" s="27">
        <v>-2.0660387228941101E-3</v>
      </c>
      <c r="AJ72" s="27">
        <v>-2.05817194255803E-3</v>
      </c>
      <c r="AK72" s="27">
        <v>-2.0341379034450801E-3</v>
      </c>
      <c r="AL72" s="27">
        <v>8.3035920360486806E-2</v>
      </c>
      <c r="AM72" s="27">
        <v>-1.84370651168961E-3</v>
      </c>
      <c r="AN72" s="27">
        <v>-1.8321819869674099E-3</v>
      </c>
      <c r="AO72" s="27">
        <v>-1.7773861335712801E-3</v>
      </c>
      <c r="AP72">
        <v>-1.18971691418749E-3</v>
      </c>
      <c r="AQ72">
        <v>-1.18971691418749E-3</v>
      </c>
      <c r="AR72">
        <v>-1.18971691418749E-3</v>
      </c>
      <c r="AS72">
        <v>-1.18971691418749E-3</v>
      </c>
      <c r="AT72">
        <v>-1.18971691418749E-3</v>
      </c>
      <c r="AU72">
        <v>-1.18971691418749E-3</v>
      </c>
      <c r="AV72">
        <v>-1.18971691418749E-3</v>
      </c>
      <c r="AW72">
        <v>-1.18971691418749E-3</v>
      </c>
    </row>
    <row r="73" spans="12:49" x14ac:dyDescent="0.3">
      <c r="L73" s="26" t="s">
        <v>18</v>
      </c>
      <c r="M73" s="17">
        <v>0</v>
      </c>
      <c r="N73" s="17">
        <v>0</v>
      </c>
      <c r="O73" s="27">
        <v>-3.4947876533064299E-3</v>
      </c>
      <c r="P73" s="27">
        <v>-4.1869943925317999E-3</v>
      </c>
      <c r="Q73" s="27">
        <v>-3.8299366877658E-3</v>
      </c>
      <c r="R73" s="27">
        <v>-3.6854857649468199E-3</v>
      </c>
      <c r="S73" s="27">
        <v>-3.5827221419637801E-3</v>
      </c>
      <c r="T73" s="27">
        <v>-3.5282302543276499E-3</v>
      </c>
      <c r="U73" s="27">
        <v>-3.4888880831588898E-3</v>
      </c>
      <c r="V73" s="27">
        <v>-3.29640298041653E-3</v>
      </c>
      <c r="W73" s="27">
        <v>-3.24383486734492E-3</v>
      </c>
      <c r="X73" s="27">
        <v>-2.9833755613279402E-3</v>
      </c>
      <c r="Y73" s="27">
        <v>-2.9825205260763802E-3</v>
      </c>
      <c r="Z73" s="27">
        <v>-2.6893933278327102E-3</v>
      </c>
      <c r="AA73" s="27">
        <v>-2.63407431233397E-3</v>
      </c>
      <c r="AB73" s="27">
        <v>-2.6237964808199302E-3</v>
      </c>
      <c r="AC73" s="27">
        <v>-2.4813334302076699E-3</v>
      </c>
      <c r="AD73" s="27">
        <v>-2.3696540520586301E-3</v>
      </c>
      <c r="AE73" s="27">
        <v>-2.3002283577150898E-3</v>
      </c>
      <c r="AF73" s="27">
        <v>-2.1729915163492199E-3</v>
      </c>
      <c r="AG73" s="27">
        <v>-2.0009609996822302E-3</v>
      </c>
      <c r="AH73" s="27">
        <v>-1.99830052574082E-3</v>
      </c>
      <c r="AI73" s="27">
        <v>-1.98819002739974E-3</v>
      </c>
      <c r="AJ73" s="27">
        <v>-1.98061966870384E-3</v>
      </c>
      <c r="AK73" s="27">
        <v>-1.9574912363308199E-3</v>
      </c>
      <c r="AL73" s="27">
        <v>-1.84370651168961E-3</v>
      </c>
      <c r="AM73" s="27">
        <v>8.0209948221934099E-2</v>
      </c>
      <c r="AN73" s="27">
        <v>-1.7957158104121901E-3</v>
      </c>
      <c r="AO73" s="27">
        <v>-1.74201056661633E-3</v>
      </c>
      <c r="AP73">
        <v>-1.1660378106092999E-3</v>
      </c>
      <c r="AQ73">
        <v>-1.1660378106092999E-3</v>
      </c>
      <c r="AR73">
        <v>-1.1660378106092999E-3</v>
      </c>
      <c r="AS73">
        <v>-1.1660378106092999E-3</v>
      </c>
      <c r="AT73">
        <v>-1.1660378106092999E-3</v>
      </c>
      <c r="AU73">
        <v>-1.1660378106092999E-3</v>
      </c>
      <c r="AV73">
        <v>-1.1660378106092999E-3</v>
      </c>
      <c r="AW73">
        <v>-1.1660378106092999E-3</v>
      </c>
    </row>
    <row r="74" spans="12:49" x14ac:dyDescent="0.3">
      <c r="L74" s="26" t="s">
        <v>6</v>
      </c>
      <c r="M74" s="17">
        <v>0</v>
      </c>
      <c r="N74" s="17">
        <v>0</v>
      </c>
      <c r="O74" s="27">
        <v>-3.4729426544120698E-3</v>
      </c>
      <c r="P74" s="27">
        <v>-4.1608225912811601E-3</v>
      </c>
      <c r="Q74" s="27">
        <v>-3.8059967603626199E-3</v>
      </c>
      <c r="R74" s="27">
        <v>-3.6624487622882299E-3</v>
      </c>
      <c r="S74" s="27">
        <v>-3.5603274876974699E-3</v>
      </c>
      <c r="T74" s="27">
        <v>-3.5061762145258599E-3</v>
      </c>
      <c r="U74" s="27">
        <v>-3.4670799609266101E-3</v>
      </c>
      <c r="V74" s="27">
        <v>-3.2757980319600998E-3</v>
      </c>
      <c r="W74" s="27">
        <v>-3.2235585083439399E-3</v>
      </c>
      <c r="X74" s="27">
        <v>-2.9647272649780902E-3</v>
      </c>
      <c r="Y74" s="27">
        <v>-2.9638775743271099E-3</v>
      </c>
      <c r="Z74" s="27">
        <v>-2.6725826371409799E-3</v>
      </c>
      <c r="AA74" s="27">
        <v>-2.6176094062656001E-3</v>
      </c>
      <c r="AB74" s="27">
        <v>-2.6073958187744699E-3</v>
      </c>
      <c r="AC74" s="27">
        <v>-2.4658232672402302E-3</v>
      </c>
      <c r="AD74" s="27">
        <v>-2.3548419675251801E-3</v>
      </c>
      <c r="AE74" s="27">
        <v>-2.28585023494602E-3</v>
      </c>
      <c r="AF74" s="27">
        <v>-2.1594087176269E-3</v>
      </c>
      <c r="AG74" s="27">
        <v>-1.9884535184954001E-3</v>
      </c>
      <c r="AH74" s="27">
        <v>-1.9858096744771901E-3</v>
      </c>
      <c r="AI74" s="27">
        <v>-1.97576237420335E-3</v>
      </c>
      <c r="AJ74" s="27">
        <v>-1.9682393358295201E-3</v>
      </c>
      <c r="AK74" s="27">
        <v>-1.94525547320716E-3</v>
      </c>
      <c r="AL74" s="27">
        <v>-1.8321819869674099E-3</v>
      </c>
      <c r="AM74" s="27">
        <v>-1.7957158104121901E-3</v>
      </c>
      <c r="AN74" s="27">
        <v>7.9756618982161701E-2</v>
      </c>
      <c r="AO74" s="27">
        <v>-1.7369152741653199E-3</v>
      </c>
      <c r="AP74">
        <v>-1.16262720922269E-3</v>
      </c>
      <c r="AQ74">
        <v>-1.16262720922269E-3</v>
      </c>
      <c r="AR74">
        <v>-1.16262720922269E-3</v>
      </c>
      <c r="AS74">
        <v>-1.16262720922269E-3</v>
      </c>
      <c r="AT74">
        <v>-1.16262720922269E-3</v>
      </c>
      <c r="AU74">
        <v>-1.16262720922269E-3</v>
      </c>
      <c r="AV74">
        <v>-1.16262720922269E-3</v>
      </c>
      <c r="AW74">
        <v>-1.16262720922269E-3</v>
      </c>
    </row>
    <row r="75" spans="12:49" x14ac:dyDescent="0.3">
      <c r="L75" s="26" t="s">
        <v>68</v>
      </c>
      <c r="M75" s="17">
        <v>0</v>
      </c>
      <c r="N75" s="17">
        <v>0</v>
      </c>
      <c r="O75" s="27">
        <v>-3.3690758672162602E-3</v>
      </c>
      <c r="P75" s="27">
        <v>-4.0363830834479197E-3</v>
      </c>
      <c r="Q75" s="27">
        <v>-3.6921691810116301E-3</v>
      </c>
      <c r="R75" s="27">
        <v>-3.5529143345530501E-3</v>
      </c>
      <c r="S75" s="27">
        <v>-3.4538472447708398E-3</v>
      </c>
      <c r="T75" s="27">
        <v>-3.40131549697774E-3</v>
      </c>
      <c r="U75" s="27">
        <v>-3.3633885118222301E-3</v>
      </c>
      <c r="V75" s="27">
        <v>-3.1778273336389501E-3</v>
      </c>
      <c r="W75" s="27">
        <v>-3.1271501598864699E-3</v>
      </c>
      <c r="X75" s="27">
        <v>-2.8760598936542702E-3</v>
      </c>
      <c r="Y75" s="27">
        <v>-2.8752356150664399E-3</v>
      </c>
      <c r="Z75" s="27">
        <v>-2.59265256064448E-3</v>
      </c>
      <c r="AA75" s="27">
        <v>-2.5393234377895902E-3</v>
      </c>
      <c r="AB75" s="27">
        <v>-2.5294153124451099E-3</v>
      </c>
      <c r="AC75" s="27">
        <v>-2.3920768319987602E-3</v>
      </c>
      <c r="AD75" s="27">
        <v>-2.2844146976680299E-3</v>
      </c>
      <c r="AE75" s="27">
        <v>-2.2174863304591499E-3</v>
      </c>
      <c r="AF75" s="27">
        <v>-2.0948263538906101E-3</v>
      </c>
      <c r="AG75" s="27">
        <v>-1.9289839853051699E-3</v>
      </c>
      <c r="AH75" s="27">
        <v>-1.9264192118652499E-3</v>
      </c>
      <c r="AI75" s="27">
        <v>-1.9166724005148599E-3</v>
      </c>
      <c r="AJ75" s="27">
        <v>-1.90937435687996E-3</v>
      </c>
      <c r="AK75" s="27">
        <v>-1.88707788250597E-3</v>
      </c>
      <c r="AL75" s="27">
        <v>-1.7773861335712801E-3</v>
      </c>
      <c r="AM75" s="27">
        <v>-1.74201056661633E-3</v>
      </c>
      <c r="AN75" s="27">
        <v>-1.7369152741653199E-3</v>
      </c>
      <c r="AO75" s="27">
        <v>7.7592898286771197E-2</v>
      </c>
      <c r="AP75">
        <v>-1.14906202855069E-3</v>
      </c>
      <c r="AQ75">
        <v>-1.14906202855069E-3</v>
      </c>
      <c r="AR75">
        <v>-1.14906202855069E-3</v>
      </c>
      <c r="AS75">
        <v>-1.14906202855069E-3</v>
      </c>
      <c r="AT75">
        <v>-1.14906202855069E-3</v>
      </c>
      <c r="AU75">
        <v>-1.14906202855069E-3</v>
      </c>
      <c r="AV75">
        <v>-1.14906202855069E-3</v>
      </c>
      <c r="AW75">
        <v>-1.14906202855069E-3</v>
      </c>
    </row>
    <row r="76" spans="12:49" x14ac:dyDescent="0.3">
      <c r="L76" s="25" t="s">
        <v>74</v>
      </c>
      <c r="M76" s="29">
        <v>0</v>
      </c>
      <c r="N76" s="29">
        <v>0</v>
      </c>
      <c r="O76">
        <v>-2.2551354872755698E-3</v>
      </c>
      <c r="P76">
        <v>-2.7018063975042601E-3</v>
      </c>
      <c r="Q76">
        <v>-2.4714022697281098E-3</v>
      </c>
      <c r="R76">
        <v>-2.3781901966252999E-3</v>
      </c>
      <c r="S76">
        <v>-2.3118783299312501E-3</v>
      </c>
      <c r="T76">
        <v>-2.2767155098209701E-3</v>
      </c>
      <c r="U76">
        <v>-2.2513285807280901E-3</v>
      </c>
      <c r="V76">
        <v>-2.1271207520906399E-3</v>
      </c>
      <c r="W76">
        <v>-2.0931993156409201E-3</v>
      </c>
      <c r="X76">
        <v>-1.9251287253049499E-3</v>
      </c>
      <c r="Y76">
        <v>-1.9245769835312099E-3</v>
      </c>
      <c r="Z76">
        <v>-1.73542627893274E-3</v>
      </c>
      <c r="AA76">
        <v>-1.69972972527967E-3</v>
      </c>
      <c r="AB76">
        <v>-1.6930975905467801E-3</v>
      </c>
      <c r="AC76">
        <v>-1.6011682623779399E-3</v>
      </c>
      <c r="AD76">
        <v>-1.52910318894708E-3</v>
      </c>
      <c r="AE76">
        <v>-1.48430380123757E-3</v>
      </c>
      <c r="AF76">
        <v>-1.4021997237604899E-3</v>
      </c>
      <c r="AG76">
        <v>-1.29119094110583E-3</v>
      </c>
      <c r="AH76">
        <v>-1.2894741760850501E-3</v>
      </c>
      <c r="AI76">
        <v>-1.28295001900746E-3</v>
      </c>
      <c r="AJ76">
        <v>-1.27806497698484E-3</v>
      </c>
      <c r="AK76">
        <v>-1.2631405369948701E-3</v>
      </c>
      <c r="AL76">
        <v>-1.18971691418749E-3</v>
      </c>
      <c r="AM76">
        <v>-1.1660378106092999E-3</v>
      </c>
      <c r="AN76">
        <v>-1.16262720922269E-3</v>
      </c>
      <c r="AO76">
        <v>-1.14906202855069E-3</v>
      </c>
      <c r="AP76" s="24">
        <v>5.3528599625650201E-2</v>
      </c>
      <c r="AQ76" s="24">
        <v>-9.4211769909120704E-4</v>
      </c>
      <c r="AR76" s="24">
        <v>-9.4211769909120704E-4</v>
      </c>
      <c r="AS76" s="24">
        <v>-9.4211769909120704E-4</v>
      </c>
      <c r="AT76" s="24">
        <v>-9.4211769909120704E-4</v>
      </c>
      <c r="AU76" s="24">
        <v>-9.4211769909120704E-4</v>
      </c>
      <c r="AV76" s="24">
        <v>-9.4211769909120704E-4</v>
      </c>
      <c r="AW76" s="24">
        <v>-9.4211769909120704E-4</v>
      </c>
    </row>
    <row r="77" spans="12:49" x14ac:dyDescent="0.3">
      <c r="L77" s="25" t="s">
        <v>72</v>
      </c>
      <c r="M77" s="29">
        <v>0</v>
      </c>
      <c r="N77" s="29">
        <v>0</v>
      </c>
      <c r="O77">
        <v>-2.2551354872755698E-3</v>
      </c>
      <c r="P77">
        <v>-2.7018063975042601E-3</v>
      </c>
      <c r="Q77">
        <v>-2.4714022697281098E-3</v>
      </c>
      <c r="R77">
        <v>-2.3781901966252999E-3</v>
      </c>
      <c r="S77">
        <v>-2.3118783299312501E-3</v>
      </c>
      <c r="T77">
        <v>-2.2767155098209701E-3</v>
      </c>
      <c r="U77">
        <v>-2.2513285807280901E-3</v>
      </c>
      <c r="V77">
        <v>-2.1271207520906399E-3</v>
      </c>
      <c r="W77">
        <v>-2.0931993156409201E-3</v>
      </c>
      <c r="X77">
        <v>-1.9251287253049499E-3</v>
      </c>
      <c r="Y77">
        <v>-1.9245769835312099E-3</v>
      </c>
      <c r="Z77">
        <v>-1.73542627893274E-3</v>
      </c>
      <c r="AA77">
        <v>-1.69972972527967E-3</v>
      </c>
      <c r="AB77">
        <v>-1.6930975905467801E-3</v>
      </c>
      <c r="AC77">
        <v>-1.6011682623779399E-3</v>
      </c>
      <c r="AD77">
        <v>-1.52910318894708E-3</v>
      </c>
      <c r="AE77">
        <v>-1.48430380123757E-3</v>
      </c>
      <c r="AF77">
        <v>-1.4021997237604899E-3</v>
      </c>
      <c r="AG77">
        <v>-1.29119094110583E-3</v>
      </c>
      <c r="AH77">
        <v>-1.2894741760850501E-3</v>
      </c>
      <c r="AI77">
        <v>-1.28295001900746E-3</v>
      </c>
      <c r="AJ77">
        <v>-1.27806497698484E-3</v>
      </c>
      <c r="AK77">
        <v>-1.2631405369948701E-3</v>
      </c>
      <c r="AL77">
        <v>-1.18971691418749E-3</v>
      </c>
      <c r="AM77">
        <v>-1.1660378106092999E-3</v>
      </c>
      <c r="AN77">
        <v>-1.16262720922269E-3</v>
      </c>
      <c r="AO77">
        <v>-1.14906202855069E-3</v>
      </c>
      <c r="AP77" s="24">
        <v>-9.4211769909120704E-4</v>
      </c>
      <c r="AQ77" s="24">
        <v>5.3528599625650201E-2</v>
      </c>
      <c r="AR77" s="24">
        <v>-9.4211769909120704E-4</v>
      </c>
      <c r="AS77" s="24">
        <v>-9.4211769909120704E-4</v>
      </c>
      <c r="AT77" s="24">
        <v>-9.4211769909120704E-4</v>
      </c>
      <c r="AU77" s="24">
        <v>-9.4211769909120704E-4</v>
      </c>
      <c r="AV77" s="24">
        <v>-9.4211769909120704E-4</v>
      </c>
      <c r="AW77" s="24">
        <v>-9.4211769909120704E-4</v>
      </c>
    </row>
    <row r="78" spans="12:49" x14ac:dyDescent="0.3">
      <c r="L78" s="25" t="s">
        <v>28</v>
      </c>
      <c r="M78" s="29">
        <v>0</v>
      </c>
      <c r="N78" s="29">
        <v>0</v>
      </c>
      <c r="O78">
        <v>-2.2551354872755698E-3</v>
      </c>
      <c r="P78">
        <v>-2.7018063975042601E-3</v>
      </c>
      <c r="Q78">
        <v>-2.4714022697281098E-3</v>
      </c>
      <c r="R78">
        <v>-2.3781901966252999E-3</v>
      </c>
      <c r="S78">
        <v>-2.3118783299312501E-3</v>
      </c>
      <c r="T78">
        <v>-2.2767155098209701E-3</v>
      </c>
      <c r="U78">
        <v>-2.2513285807280901E-3</v>
      </c>
      <c r="V78">
        <v>-2.1271207520906399E-3</v>
      </c>
      <c r="W78">
        <v>-2.0931993156409201E-3</v>
      </c>
      <c r="X78">
        <v>-1.9251287253049499E-3</v>
      </c>
      <c r="Y78">
        <v>-1.9245769835312099E-3</v>
      </c>
      <c r="Z78">
        <v>-1.73542627893274E-3</v>
      </c>
      <c r="AA78">
        <v>-1.69972972527967E-3</v>
      </c>
      <c r="AB78">
        <v>-1.6930975905467801E-3</v>
      </c>
      <c r="AC78">
        <v>-1.6011682623779399E-3</v>
      </c>
      <c r="AD78">
        <v>-1.52910318894708E-3</v>
      </c>
      <c r="AE78">
        <v>-1.48430380123757E-3</v>
      </c>
      <c r="AF78">
        <v>-1.4021997237604899E-3</v>
      </c>
      <c r="AG78">
        <v>-1.29119094110583E-3</v>
      </c>
      <c r="AH78">
        <v>-1.2894741760850501E-3</v>
      </c>
      <c r="AI78">
        <v>-1.28295001900746E-3</v>
      </c>
      <c r="AJ78">
        <v>-1.27806497698484E-3</v>
      </c>
      <c r="AK78">
        <v>-1.2631405369948701E-3</v>
      </c>
      <c r="AL78">
        <v>-1.18971691418749E-3</v>
      </c>
      <c r="AM78">
        <v>-1.1660378106092999E-3</v>
      </c>
      <c r="AN78">
        <v>-1.16262720922269E-3</v>
      </c>
      <c r="AO78">
        <v>-1.14906202855069E-3</v>
      </c>
      <c r="AP78" s="24">
        <v>-9.4211769909120704E-4</v>
      </c>
      <c r="AQ78" s="24">
        <v>-9.4211769909120704E-4</v>
      </c>
      <c r="AR78" s="24">
        <v>5.3528599625650201E-2</v>
      </c>
      <c r="AS78" s="24">
        <v>-9.4211769909120704E-4</v>
      </c>
      <c r="AT78" s="24">
        <v>-9.4211769909120704E-4</v>
      </c>
      <c r="AU78" s="24">
        <v>-9.4211769909120704E-4</v>
      </c>
      <c r="AV78" s="24">
        <v>-9.4211769909120704E-4</v>
      </c>
      <c r="AW78" s="24">
        <v>-9.4211769909120704E-4</v>
      </c>
    </row>
    <row r="79" spans="12:49" x14ac:dyDescent="0.3">
      <c r="L79" s="25" t="s">
        <v>38</v>
      </c>
      <c r="M79" s="29">
        <v>0</v>
      </c>
      <c r="N79" s="29">
        <v>0</v>
      </c>
      <c r="O79">
        <v>-2.2551354872755698E-3</v>
      </c>
      <c r="P79">
        <v>-2.7018063975042601E-3</v>
      </c>
      <c r="Q79">
        <v>-2.4714022697281098E-3</v>
      </c>
      <c r="R79">
        <v>-2.3781901966252999E-3</v>
      </c>
      <c r="S79">
        <v>-2.3118783299312501E-3</v>
      </c>
      <c r="T79">
        <v>-2.2767155098209701E-3</v>
      </c>
      <c r="U79">
        <v>-2.2513285807280901E-3</v>
      </c>
      <c r="V79">
        <v>-2.1271207520906399E-3</v>
      </c>
      <c r="W79">
        <v>-2.0931993156409201E-3</v>
      </c>
      <c r="X79">
        <v>-1.9251287253049499E-3</v>
      </c>
      <c r="Y79">
        <v>-1.9245769835312099E-3</v>
      </c>
      <c r="Z79">
        <v>-1.73542627893274E-3</v>
      </c>
      <c r="AA79">
        <v>-1.69972972527967E-3</v>
      </c>
      <c r="AB79">
        <v>-1.6930975905467801E-3</v>
      </c>
      <c r="AC79">
        <v>-1.6011682623779399E-3</v>
      </c>
      <c r="AD79">
        <v>-1.52910318894708E-3</v>
      </c>
      <c r="AE79">
        <v>-1.48430380123757E-3</v>
      </c>
      <c r="AF79">
        <v>-1.4021997237604899E-3</v>
      </c>
      <c r="AG79">
        <v>-1.29119094110583E-3</v>
      </c>
      <c r="AH79">
        <v>-1.2894741760850501E-3</v>
      </c>
      <c r="AI79">
        <v>-1.28295001900746E-3</v>
      </c>
      <c r="AJ79">
        <v>-1.27806497698484E-3</v>
      </c>
      <c r="AK79">
        <v>-1.2631405369948701E-3</v>
      </c>
      <c r="AL79">
        <v>-1.18971691418749E-3</v>
      </c>
      <c r="AM79">
        <v>-1.1660378106092999E-3</v>
      </c>
      <c r="AN79">
        <v>-1.16262720922269E-3</v>
      </c>
      <c r="AO79">
        <v>-1.14906202855069E-3</v>
      </c>
      <c r="AP79" s="24">
        <v>-9.4211769909120704E-4</v>
      </c>
      <c r="AQ79" s="24">
        <v>-9.4211769909120704E-4</v>
      </c>
      <c r="AR79" s="24">
        <v>-9.4211769909120704E-4</v>
      </c>
      <c r="AS79" s="24">
        <v>5.3528599625650201E-2</v>
      </c>
      <c r="AT79" s="24">
        <v>-9.4211769909120704E-4</v>
      </c>
      <c r="AU79" s="24">
        <v>-9.4211769909120704E-4</v>
      </c>
      <c r="AV79" s="24">
        <v>-9.4211769909120704E-4</v>
      </c>
      <c r="AW79" s="24">
        <v>-9.4211769909120704E-4</v>
      </c>
    </row>
    <row r="80" spans="12:49" x14ac:dyDescent="0.3">
      <c r="L80" s="25" t="s">
        <v>42</v>
      </c>
      <c r="M80" s="29">
        <v>0</v>
      </c>
      <c r="N80" s="29">
        <v>0</v>
      </c>
      <c r="O80">
        <v>-2.2551354872755698E-3</v>
      </c>
      <c r="P80">
        <v>-2.7018063975042601E-3</v>
      </c>
      <c r="Q80">
        <v>-2.4714022697281098E-3</v>
      </c>
      <c r="R80">
        <v>-2.3781901966252999E-3</v>
      </c>
      <c r="S80">
        <v>-2.3118783299312501E-3</v>
      </c>
      <c r="T80">
        <v>-2.2767155098209701E-3</v>
      </c>
      <c r="U80">
        <v>-2.2513285807280901E-3</v>
      </c>
      <c r="V80">
        <v>-2.1271207520906399E-3</v>
      </c>
      <c r="W80">
        <v>-2.0931993156409201E-3</v>
      </c>
      <c r="X80">
        <v>-1.9251287253049499E-3</v>
      </c>
      <c r="Y80">
        <v>-1.9245769835312099E-3</v>
      </c>
      <c r="Z80">
        <v>-1.73542627893274E-3</v>
      </c>
      <c r="AA80">
        <v>-1.69972972527967E-3</v>
      </c>
      <c r="AB80">
        <v>-1.6930975905467801E-3</v>
      </c>
      <c r="AC80">
        <v>-1.6011682623779399E-3</v>
      </c>
      <c r="AD80">
        <v>-1.52910318894708E-3</v>
      </c>
      <c r="AE80">
        <v>-1.48430380123757E-3</v>
      </c>
      <c r="AF80">
        <v>-1.4021997237604899E-3</v>
      </c>
      <c r="AG80">
        <v>-1.29119094110583E-3</v>
      </c>
      <c r="AH80">
        <v>-1.2894741760850501E-3</v>
      </c>
      <c r="AI80">
        <v>-1.28295001900746E-3</v>
      </c>
      <c r="AJ80">
        <v>-1.27806497698484E-3</v>
      </c>
      <c r="AK80">
        <v>-1.2631405369948701E-3</v>
      </c>
      <c r="AL80">
        <v>-1.18971691418749E-3</v>
      </c>
      <c r="AM80">
        <v>-1.1660378106092999E-3</v>
      </c>
      <c r="AN80">
        <v>-1.16262720922269E-3</v>
      </c>
      <c r="AO80">
        <v>-1.14906202855069E-3</v>
      </c>
      <c r="AP80" s="24">
        <v>-9.4211769909120704E-4</v>
      </c>
      <c r="AQ80" s="24">
        <v>-9.4211769909120704E-4</v>
      </c>
      <c r="AR80" s="24">
        <v>-9.4211769909120704E-4</v>
      </c>
      <c r="AS80" s="24">
        <v>-9.4211769909120704E-4</v>
      </c>
      <c r="AT80" s="24">
        <v>5.3528599625650201E-2</v>
      </c>
      <c r="AU80" s="24">
        <v>-9.4211769909120704E-4</v>
      </c>
      <c r="AV80" s="24">
        <v>-9.4211769909120704E-4</v>
      </c>
      <c r="AW80" s="24">
        <v>-9.4211769909120704E-4</v>
      </c>
    </row>
    <row r="81" spans="12:50" x14ac:dyDescent="0.3">
      <c r="L81" s="25" t="s">
        <v>14</v>
      </c>
      <c r="M81" s="29">
        <v>0</v>
      </c>
      <c r="N81" s="29">
        <v>0</v>
      </c>
      <c r="O81">
        <v>-2.2551354872755698E-3</v>
      </c>
      <c r="P81">
        <v>-2.7018063975042601E-3</v>
      </c>
      <c r="Q81">
        <v>-2.4714022697281098E-3</v>
      </c>
      <c r="R81">
        <v>-2.3781901966252999E-3</v>
      </c>
      <c r="S81">
        <v>-2.3118783299312501E-3</v>
      </c>
      <c r="T81">
        <v>-2.2767155098209701E-3</v>
      </c>
      <c r="U81">
        <v>-2.2513285807280901E-3</v>
      </c>
      <c r="V81">
        <v>-2.1271207520906399E-3</v>
      </c>
      <c r="W81">
        <v>-2.0931993156409201E-3</v>
      </c>
      <c r="X81">
        <v>-1.9251287253049499E-3</v>
      </c>
      <c r="Y81">
        <v>-1.9245769835312099E-3</v>
      </c>
      <c r="Z81">
        <v>-1.73542627893274E-3</v>
      </c>
      <c r="AA81">
        <v>-1.69972972527967E-3</v>
      </c>
      <c r="AB81">
        <v>-1.6930975905467801E-3</v>
      </c>
      <c r="AC81">
        <v>-1.6011682623779399E-3</v>
      </c>
      <c r="AD81">
        <v>-1.52910318894708E-3</v>
      </c>
      <c r="AE81">
        <v>-1.48430380123757E-3</v>
      </c>
      <c r="AF81">
        <v>-1.4021997237604899E-3</v>
      </c>
      <c r="AG81">
        <v>-1.29119094110583E-3</v>
      </c>
      <c r="AH81">
        <v>-1.2894741760850501E-3</v>
      </c>
      <c r="AI81">
        <v>-1.28295001900746E-3</v>
      </c>
      <c r="AJ81">
        <v>-1.27806497698484E-3</v>
      </c>
      <c r="AK81">
        <v>-1.2631405369948701E-3</v>
      </c>
      <c r="AL81">
        <v>-1.18971691418749E-3</v>
      </c>
      <c r="AM81">
        <v>-1.1660378106092999E-3</v>
      </c>
      <c r="AN81">
        <v>-1.16262720922269E-3</v>
      </c>
      <c r="AO81">
        <v>-1.14906202855069E-3</v>
      </c>
      <c r="AP81" s="24">
        <v>-9.4211769909120704E-4</v>
      </c>
      <c r="AQ81" s="24">
        <v>-9.4211769909120704E-4</v>
      </c>
      <c r="AR81" s="24">
        <v>-9.4211769909120704E-4</v>
      </c>
      <c r="AS81" s="24">
        <v>-9.4211769909120704E-4</v>
      </c>
      <c r="AT81" s="24">
        <v>-9.4211769909120704E-4</v>
      </c>
      <c r="AU81" s="24">
        <v>5.3528599625650201E-2</v>
      </c>
      <c r="AV81" s="24">
        <v>-9.4211769909120704E-4</v>
      </c>
      <c r="AW81" s="24">
        <v>-9.4211769909120704E-4</v>
      </c>
    </row>
    <row r="82" spans="12:50" x14ac:dyDescent="0.3">
      <c r="L82" s="25" t="s">
        <v>12</v>
      </c>
      <c r="M82" s="29">
        <v>0</v>
      </c>
      <c r="N82" s="29">
        <v>0</v>
      </c>
      <c r="O82">
        <v>-2.2551354872755698E-3</v>
      </c>
      <c r="P82">
        <v>-2.7018063975042601E-3</v>
      </c>
      <c r="Q82">
        <v>-2.4714022697281098E-3</v>
      </c>
      <c r="R82">
        <v>-2.3781901966252999E-3</v>
      </c>
      <c r="S82">
        <v>-2.3118783299312501E-3</v>
      </c>
      <c r="T82">
        <v>-2.2767155098209701E-3</v>
      </c>
      <c r="U82">
        <v>-2.2513285807280901E-3</v>
      </c>
      <c r="V82">
        <v>-2.1271207520906399E-3</v>
      </c>
      <c r="W82">
        <v>-2.0931993156409201E-3</v>
      </c>
      <c r="X82">
        <v>-1.9251287253049499E-3</v>
      </c>
      <c r="Y82">
        <v>-1.9245769835312099E-3</v>
      </c>
      <c r="Z82">
        <v>-1.73542627893274E-3</v>
      </c>
      <c r="AA82">
        <v>-1.69972972527967E-3</v>
      </c>
      <c r="AB82">
        <v>-1.6930975905467801E-3</v>
      </c>
      <c r="AC82">
        <v>-1.6011682623779399E-3</v>
      </c>
      <c r="AD82">
        <v>-1.52910318894708E-3</v>
      </c>
      <c r="AE82">
        <v>-1.48430380123757E-3</v>
      </c>
      <c r="AF82">
        <v>-1.4021997237604899E-3</v>
      </c>
      <c r="AG82">
        <v>-1.29119094110583E-3</v>
      </c>
      <c r="AH82">
        <v>-1.2894741760850501E-3</v>
      </c>
      <c r="AI82">
        <v>-1.28295001900746E-3</v>
      </c>
      <c r="AJ82">
        <v>-1.27806497698484E-3</v>
      </c>
      <c r="AK82">
        <v>-1.2631405369948701E-3</v>
      </c>
      <c r="AL82">
        <v>-1.18971691418749E-3</v>
      </c>
      <c r="AM82">
        <v>-1.1660378106092999E-3</v>
      </c>
      <c r="AN82">
        <v>-1.16262720922269E-3</v>
      </c>
      <c r="AO82">
        <v>-1.14906202855069E-3</v>
      </c>
      <c r="AP82" s="24">
        <v>-9.4211769909120704E-4</v>
      </c>
      <c r="AQ82" s="24">
        <v>-9.4211769909120704E-4</v>
      </c>
      <c r="AR82" s="24">
        <v>-9.4211769909120704E-4</v>
      </c>
      <c r="AS82" s="24">
        <v>-9.4211769909120704E-4</v>
      </c>
      <c r="AT82" s="24">
        <v>-9.4211769909120704E-4</v>
      </c>
      <c r="AU82" s="24">
        <v>-9.4211769909120704E-4</v>
      </c>
      <c r="AV82" s="24">
        <v>5.3528599625650201E-2</v>
      </c>
      <c r="AW82" s="24">
        <v>-9.4211769909120704E-4</v>
      </c>
    </row>
    <row r="83" spans="12:50" x14ac:dyDescent="0.3">
      <c r="L83" s="25" t="s">
        <v>20</v>
      </c>
      <c r="M83" s="29">
        <v>0</v>
      </c>
      <c r="N83" s="29">
        <v>0</v>
      </c>
      <c r="O83">
        <v>-2.2551354872755698E-3</v>
      </c>
      <c r="P83">
        <v>-2.7018063975042601E-3</v>
      </c>
      <c r="Q83">
        <v>-2.4714022697281098E-3</v>
      </c>
      <c r="R83">
        <v>-2.3781901966252999E-3</v>
      </c>
      <c r="S83">
        <v>-2.3118783299312501E-3</v>
      </c>
      <c r="T83">
        <v>-2.2767155098209701E-3</v>
      </c>
      <c r="U83">
        <v>-2.2513285807280901E-3</v>
      </c>
      <c r="V83">
        <v>-2.1271207520906399E-3</v>
      </c>
      <c r="W83">
        <v>-2.0931993156409201E-3</v>
      </c>
      <c r="X83">
        <v>-1.9251287253049499E-3</v>
      </c>
      <c r="Y83">
        <v>-1.9245769835312099E-3</v>
      </c>
      <c r="Z83">
        <v>-1.73542627893274E-3</v>
      </c>
      <c r="AA83">
        <v>-1.69972972527967E-3</v>
      </c>
      <c r="AB83">
        <v>-1.6930975905467801E-3</v>
      </c>
      <c r="AC83">
        <v>-1.6011682623779399E-3</v>
      </c>
      <c r="AD83">
        <v>-1.52910318894708E-3</v>
      </c>
      <c r="AE83">
        <v>-1.48430380123757E-3</v>
      </c>
      <c r="AF83">
        <v>-1.4021997237604899E-3</v>
      </c>
      <c r="AG83">
        <v>-1.29119094110583E-3</v>
      </c>
      <c r="AH83">
        <v>-1.2894741760850501E-3</v>
      </c>
      <c r="AI83">
        <v>-1.28295001900746E-3</v>
      </c>
      <c r="AJ83">
        <v>-1.27806497698484E-3</v>
      </c>
      <c r="AK83">
        <v>-1.2631405369948701E-3</v>
      </c>
      <c r="AL83">
        <v>-1.18971691418749E-3</v>
      </c>
      <c r="AM83">
        <v>-1.1660378106092999E-3</v>
      </c>
      <c r="AN83">
        <v>-1.16262720922269E-3</v>
      </c>
      <c r="AO83">
        <v>-1.14906202855069E-3</v>
      </c>
      <c r="AP83" s="24">
        <v>-9.4211769909120704E-4</v>
      </c>
      <c r="AQ83" s="24">
        <v>-9.4211769909120704E-4</v>
      </c>
      <c r="AR83" s="24">
        <v>-9.4211769909120704E-4</v>
      </c>
      <c r="AS83" s="24">
        <v>-9.4211769909120704E-4</v>
      </c>
      <c r="AT83" s="24">
        <v>-9.4211769909120704E-4</v>
      </c>
      <c r="AU83" s="24">
        <v>-9.4211769909120704E-4</v>
      </c>
      <c r="AV83" s="24">
        <v>-9.4211769909120704E-4</v>
      </c>
      <c r="AW83" s="24">
        <v>5.3528599625650201E-2</v>
      </c>
    </row>
    <row r="85" spans="12:50" x14ac:dyDescent="0.3">
      <c r="L85" s="30" t="s">
        <v>124</v>
      </c>
      <c r="M85" s="31">
        <f>SUM(M47:M83)</f>
        <v>0</v>
      </c>
      <c r="N85" s="31">
        <f>SUM(N47:N83)</f>
        <v>0</v>
      </c>
      <c r="O85" s="31">
        <f t="shared" ref="O85:AW85" si="2">SUM(O47:O83)</f>
        <v>-4.0245584642661925E-16</v>
      </c>
      <c r="P85" s="31">
        <f t="shared" si="2"/>
        <v>-5.2909066017292616E-17</v>
      </c>
      <c r="Q85" s="31">
        <f t="shared" si="2"/>
        <v>5.8980598183211441E-17</v>
      </c>
      <c r="R85" s="31">
        <f t="shared" si="2"/>
        <v>4.0766001685454967E-16</v>
      </c>
      <c r="S85" s="31">
        <f t="shared" si="2"/>
        <v>5.4643789493269423E-17</v>
      </c>
      <c r="T85" s="31">
        <f t="shared" si="2"/>
        <v>3.3827107781547738E-17</v>
      </c>
      <c r="U85" s="31">
        <f t="shared" si="2"/>
        <v>-6.0368376963992887E-16</v>
      </c>
      <c r="V85" s="31">
        <f t="shared" si="2"/>
        <v>-2.2985086056692694E-16</v>
      </c>
      <c r="W85" s="31">
        <f t="shared" si="2"/>
        <v>5.2041704279304213E-17</v>
      </c>
      <c r="X85" s="31">
        <f t="shared" si="2"/>
        <v>3.5865407865820487E-16</v>
      </c>
      <c r="Y85" s="31">
        <f t="shared" si="2"/>
        <v>-2.4849913793367762E-16</v>
      </c>
      <c r="Z85" s="31">
        <f t="shared" si="2"/>
        <v>-4.9309514804640742E-16</v>
      </c>
      <c r="AA85" s="31">
        <f t="shared" si="2"/>
        <v>1.1319070680748666E-16</v>
      </c>
      <c r="AB85" s="31">
        <f t="shared" si="2"/>
        <v>2.9056618222611519E-16</v>
      </c>
      <c r="AC85" s="31">
        <f t="shared" si="2"/>
        <v>-3.5691935518222806E-16</v>
      </c>
      <c r="AD85" s="31">
        <f t="shared" si="2"/>
        <v>-3.0921445959286586E-16</v>
      </c>
      <c r="AE85" s="31">
        <f t="shared" si="2"/>
        <v>-1.7911019889460533E-16</v>
      </c>
      <c r="AF85" s="31">
        <f t="shared" si="2"/>
        <v>-3.8207284558389176E-16</v>
      </c>
      <c r="AG85" s="31">
        <f t="shared" si="2"/>
        <v>3.2526065174565133E-17</v>
      </c>
      <c r="AH85" s="31">
        <f t="shared" si="2"/>
        <v>-4.90059381963448E-17</v>
      </c>
      <c r="AI85" s="31">
        <f t="shared" si="2"/>
        <v>5.5944832100252029E-17</v>
      </c>
      <c r="AJ85" s="31">
        <f t="shared" si="2"/>
        <v>-5.1174342541315809E-17</v>
      </c>
      <c r="AK85" s="31">
        <f>SUM(AK47:AK83)</f>
        <v>1.1709383462843448E-17</v>
      </c>
      <c r="AL85" s="31">
        <f t="shared" si="2"/>
        <v>-6.9388939039072284E-18</v>
      </c>
      <c r="AM85" s="31">
        <f t="shared" si="2"/>
        <v>-3.7730235602495554E-17</v>
      </c>
      <c r="AN85" s="31">
        <f t="shared" si="2"/>
        <v>2.1250362580715887E-17</v>
      </c>
      <c r="AO85" s="31">
        <f t="shared" si="2"/>
        <v>-8.2399365108898337E-18</v>
      </c>
      <c r="AP85" s="31">
        <f t="shared" si="2"/>
        <v>5.8546917314217239E-18</v>
      </c>
      <c r="AQ85" s="31">
        <f t="shared" si="2"/>
        <v>4.9873299934333204E-18</v>
      </c>
      <c r="AR85" s="31">
        <f t="shared" si="2"/>
        <v>4.1199682554449168E-18</v>
      </c>
      <c r="AS85" s="31">
        <f t="shared" si="2"/>
        <v>3.2526065174565133E-18</v>
      </c>
      <c r="AT85" s="31">
        <f t="shared" si="2"/>
        <v>2.3852447794681098E-18</v>
      </c>
      <c r="AU85" s="31">
        <f t="shared" si="2"/>
        <v>1.5178830414797062E-18</v>
      </c>
      <c r="AV85" s="31">
        <f t="shared" si="2"/>
        <v>0</v>
      </c>
      <c r="AW85" s="31">
        <f t="shared" si="2"/>
        <v>0</v>
      </c>
      <c r="AX85" s="32">
        <f>SUM(M85:AW85)</f>
        <v>-1.897787482718627E-15</v>
      </c>
    </row>
    <row r="88" spans="12:50" x14ac:dyDescent="0.3">
      <c r="L88" s="42" t="s">
        <v>130</v>
      </c>
      <c r="M88" s="42"/>
      <c r="N88" s="42"/>
      <c r="O88" s="42"/>
      <c r="P88" s="42"/>
      <c r="Q88" s="42"/>
      <c r="R88" s="42"/>
      <c r="S88" s="42"/>
      <c r="T88" s="42"/>
      <c r="V88" s="42" t="s">
        <v>131</v>
      </c>
      <c r="W88" s="42"/>
      <c r="X88" s="42"/>
      <c r="Y88" s="42"/>
      <c r="Z88" s="42"/>
      <c r="AA88" s="42"/>
      <c r="AB88" s="42"/>
      <c r="AC88" s="42"/>
      <c r="AD88" s="42"/>
      <c r="AF88" s="42" t="s">
        <v>132</v>
      </c>
      <c r="AG88" s="42"/>
      <c r="AH88" s="42"/>
      <c r="AI88" s="42"/>
      <c r="AJ88" s="42"/>
      <c r="AK88" s="42"/>
      <c r="AL88" s="42"/>
      <c r="AM88" s="42"/>
      <c r="AN88" s="42"/>
      <c r="AQ88" s="4" t="s">
        <v>77</v>
      </c>
      <c r="AR88" s="4" t="s">
        <v>119</v>
      </c>
      <c r="AS88" s="4" t="s">
        <v>121</v>
      </c>
    </row>
    <row r="89" spans="12:50" x14ac:dyDescent="0.3">
      <c r="M89" s="12" t="s">
        <v>2</v>
      </c>
      <c r="N89" s="12" t="s">
        <v>50</v>
      </c>
      <c r="O89" s="26" t="s">
        <v>22</v>
      </c>
      <c r="P89" s="26" t="s">
        <v>56</v>
      </c>
      <c r="Q89" s="26" t="s">
        <v>4</v>
      </c>
      <c r="R89" s="26" t="s">
        <v>32</v>
      </c>
      <c r="S89" s="26" t="s">
        <v>26</v>
      </c>
      <c r="T89" s="26" t="s">
        <v>34</v>
      </c>
      <c r="W89" s="12" t="s">
        <v>2</v>
      </c>
      <c r="X89" s="12" t="s">
        <v>50</v>
      </c>
      <c r="Y89" s="26" t="s">
        <v>22</v>
      </c>
      <c r="Z89" s="26" t="s">
        <v>56</v>
      </c>
      <c r="AA89" s="26" t="s">
        <v>4</v>
      </c>
      <c r="AB89" s="26" t="s">
        <v>32</v>
      </c>
      <c r="AC89" s="26" t="s">
        <v>26</v>
      </c>
      <c r="AD89" s="26" t="s">
        <v>34</v>
      </c>
      <c r="AG89" s="12" t="s">
        <v>2</v>
      </c>
      <c r="AH89" s="12" t="s">
        <v>50</v>
      </c>
      <c r="AI89" s="26" t="s">
        <v>22</v>
      </c>
      <c r="AJ89" s="26" t="s">
        <v>56</v>
      </c>
      <c r="AK89" s="26" t="s">
        <v>4</v>
      </c>
      <c r="AL89" s="26" t="s">
        <v>32</v>
      </c>
      <c r="AM89" s="26" t="s">
        <v>26</v>
      </c>
      <c r="AN89" s="26" t="s">
        <v>34</v>
      </c>
      <c r="AP89" s="12" t="s">
        <v>2</v>
      </c>
      <c r="AQ89">
        <v>313310</v>
      </c>
      <c r="AR89">
        <v>1</v>
      </c>
      <c r="AS89">
        <v>313310</v>
      </c>
    </row>
    <row r="90" spans="12:50" x14ac:dyDescent="0.3">
      <c r="L90" s="12" t="s">
        <v>2</v>
      </c>
      <c r="M90" s="12">
        <f>INDEX($M$4:$AW$40,
        MATCH($L90, $L$4:$L$40, 0),
        MATCH(M$89, $M$3:$AW$3, 0)
)</f>
        <v>1</v>
      </c>
      <c r="N90" s="12">
        <f t="shared" ref="N90:T90" si="3">INDEX($M$4:$AW$40,
        MATCH($L90, $L$4:$L$40, 0),
        MATCH(N$89, $M$3:$AW$3, 0)
)</f>
        <v>1</v>
      </c>
      <c r="O90" s="16">
        <f t="shared" si="3"/>
        <v>0.69828395401058996</v>
      </c>
      <c r="P90" s="16">
        <f t="shared" si="3"/>
        <v>0.30724950344090801</v>
      </c>
      <c r="Q90" s="16">
        <f t="shared" si="3"/>
        <v>0.27570827736779602</v>
      </c>
      <c r="R90" s="16">
        <f t="shared" si="3"/>
        <v>0.246210333615106</v>
      </c>
      <c r="S90" s="16">
        <f t="shared" si="3"/>
        <v>0.16597260757051699</v>
      </c>
      <c r="T90" s="16">
        <f t="shared" si="3"/>
        <v>0.120989280546811</v>
      </c>
      <c r="V90" s="12" t="s">
        <v>2</v>
      </c>
      <c r="W90" s="12">
        <f>INDEX($M$47:$AW$83,
        MATCH($L90, $L$47:$L$83, 0),
        MATCH(W$89, $M$46:$AW$46, 0)
)</f>
        <v>0</v>
      </c>
      <c r="X90" s="12">
        <f>INDEX($M$47:$AW$83,
        MATCH($L90, $L$47:$L$83, 0),
        MATCH(X$89, $M$46:$AW$46, 0)
)</f>
        <v>0</v>
      </c>
      <c r="Y90" s="16">
        <f t="shared" ref="Y90:AD91" si="4">INDEX($M$47:$AW$83,
        MATCH($L90, $L$47:$L$83, 0),
        MATCH(Y$89, $M$46:$AW$46, 0)
)</f>
        <v>0</v>
      </c>
      <c r="Z90" s="16">
        <f t="shared" si="4"/>
        <v>0</v>
      </c>
      <c r="AA90" s="16">
        <f t="shared" si="4"/>
        <v>0</v>
      </c>
      <c r="AB90" s="16">
        <f t="shared" si="4"/>
        <v>0</v>
      </c>
      <c r="AC90" s="16">
        <f t="shared" si="4"/>
        <v>0</v>
      </c>
      <c r="AD90" s="16">
        <f t="shared" si="4"/>
        <v>0</v>
      </c>
      <c r="AF90" s="12" t="s">
        <v>2</v>
      </c>
      <c r="AG90" s="12">
        <f>INDEX($M$47:$AW$83,
        MATCH($L90, $L$47:$L$83, 0),
        MATCH(AG$89, $M$46:$AW$46, 0)
)</f>
        <v>0</v>
      </c>
      <c r="AH90" s="12">
        <f>INDEX($M$47:$AW$83,
        MATCH($L90, $L$47:$L$83, 0),
        MATCH(AH$89, $M$46:$AW$46, 0)
)</f>
        <v>0</v>
      </c>
      <c r="AI90" s="16">
        <f t="shared" ref="AI90:AN91" si="5">INDEX($M$47:$AW$83,
        MATCH($L90, $L$47:$L$83, 0),
        MATCH(AI$89, $M$46:$AW$46, 0)
)</f>
        <v>0</v>
      </c>
      <c r="AJ90" s="16">
        <f t="shared" si="5"/>
        <v>0</v>
      </c>
      <c r="AK90" s="16">
        <f t="shared" si="5"/>
        <v>0</v>
      </c>
      <c r="AL90" s="16">
        <f t="shared" si="5"/>
        <v>0</v>
      </c>
      <c r="AM90" s="16">
        <f t="shared" si="5"/>
        <v>0</v>
      </c>
      <c r="AN90" s="16">
        <f t="shared" si="5"/>
        <v>0</v>
      </c>
      <c r="AP90" s="12" t="s">
        <v>50</v>
      </c>
      <c r="AQ90">
        <v>118991</v>
      </c>
      <c r="AR90">
        <v>1</v>
      </c>
      <c r="AS90">
        <v>118991</v>
      </c>
    </row>
    <row r="91" spans="12:50" x14ac:dyDescent="0.3">
      <c r="L91" s="12" t="s">
        <v>50</v>
      </c>
      <c r="M91" s="12">
        <f t="shared" ref="M91:T97" si="6">INDEX($M$4:$AW$40,
        MATCH($L91, $L$4:$L$40, 0),
        MATCH(M$89, $M$3:$AW$3, 0)
)</f>
        <v>1</v>
      </c>
      <c r="N91" s="12">
        <f t="shared" si="6"/>
        <v>1</v>
      </c>
      <c r="O91" s="16">
        <f t="shared" si="6"/>
        <v>0.69828395401058996</v>
      </c>
      <c r="P91" s="16">
        <f t="shared" si="6"/>
        <v>0.30724950344090801</v>
      </c>
      <c r="Q91" s="16">
        <f t="shared" si="6"/>
        <v>0.27570827736779602</v>
      </c>
      <c r="R91" s="16">
        <f t="shared" si="6"/>
        <v>0.246210333615106</v>
      </c>
      <c r="S91" s="16">
        <f t="shared" si="6"/>
        <v>0.16597260757051699</v>
      </c>
      <c r="T91" s="16">
        <f t="shared" si="6"/>
        <v>0.120989280546811</v>
      </c>
      <c r="V91" s="12" t="s">
        <v>50</v>
      </c>
      <c r="W91" s="12">
        <f>INDEX($M$47:$AW$83,
        MATCH($L91, $L$47:$L$83, 0),
        MATCH(W$89, $M$46:$AW$46, 0)
)</f>
        <v>0</v>
      </c>
      <c r="X91" s="12">
        <f>INDEX($M$47:$AW$83,
        MATCH($L91, $L$47:$L$83, 0),
        MATCH(X$89, $M$46:$AW$46, 0)
)</f>
        <v>0</v>
      </c>
      <c r="Y91" s="16">
        <f t="shared" si="4"/>
        <v>0</v>
      </c>
      <c r="Z91" s="16">
        <f t="shared" si="4"/>
        <v>0</v>
      </c>
      <c r="AA91" s="16">
        <f t="shared" si="4"/>
        <v>0</v>
      </c>
      <c r="AB91" s="16">
        <f t="shared" si="4"/>
        <v>0</v>
      </c>
      <c r="AC91" s="16">
        <f t="shared" si="4"/>
        <v>0</v>
      </c>
      <c r="AD91" s="16">
        <f t="shared" si="4"/>
        <v>0</v>
      </c>
      <c r="AF91" s="12" t="s">
        <v>50</v>
      </c>
      <c r="AG91" s="12">
        <f>INDEX($M$47:$AW$83,
        MATCH($L91, $L$47:$L$83, 0),
        MATCH(AG$89, $M$46:$AW$46, 0)
)</f>
        <v>0</v>
      </c>
      <c r="AH91" s="12">
        <f>INDEX($M$47:$AW$83,
        MATCH($L91, $L$47:$L$83, 0),
        MATCH(AH$89, $M$46:$AW$46, 0)
)</f>
        <v>0</v>
      </c>
      <c r="AI91" s="16">
        <f t="shared" si="5"/>
        <v>0</v>
      </c>
      <c r="AJ91" s="16">
        <f t="shared" si="5"/>
        <v>0</v>
      </c>
      <c r="AK91" s="16">
        <f t="shared" si="5"/>
        <v>0</v>
      </c>
      <c r="AL91" s="16">
        <f t="shared" si="5"/>
        <v>0</v>
      </c>
      <c r="AM91" s="16">
        <f t="shared" si="5"/>
        <v>0</v>
      </c>
      <c r="AN91" s="16">
        <f t="shared" si="5"/>
        <v>0</v>
      </c>
      <c r="AP91" s="26" t="s">
        <v>22</v>
      </c>
      <c r="AQ91">
        <v>65319</v>
      </c>
      <c r="AR91">
        <v>0.69828395401058985</v>
      </c>
      <c r="AS91">
        <v>93542.175249539534</v>
      </c>
    </row>
    <row r="92" spans="12:50" x14ac:dyDescent="0.3">
      <c r="L92" s="26" t="s">
        <v>22</v>
      </c>
      <c r="M92" s="16">
        <f t="shared" si="6"/>
        <v>0.69828395401058996</v>
      </c>
      <c r="N92" s="16">
        <f t="shared" si="6"/>
        <v>0.69828395401058996</v>
      </c>
      <c r="O92" s="26">
        <f t="shared" si="6"/>
        <v>0.69828395401058996</v>
      </c>
      <c r="P92" s="26">
        <f t="shared" si="6"/>
        <v>0.20233769242772501</v>
      </c>
      <c r="Q92" s="26">
        <f t="shared" si="6"/>
        <v>0.18156636870383799</v>
      </c>
      <c r="R92" s="26">
        <f t="shared" si="6"/>
        <v>0.16214063878909399</v>
      </c>
      <c r="S92" s="26">
        <f t="shared" si="6"/>
        <v>0.109300467684855</v>
      </c>
      <c r="T92" s="26">
        <f t="shared" si="6"/>
        <v>7.9676912607413497E-2</v>
      </c>
      <c r="V92" s="26" t="s">
        <v>22</v>
      </c>
      <c r="W92" s="16">
        <f t="shared" ref="W92:AD97" si="7">INDEX($M$47:$AW$83,
        MATCH($L92, $L$47:$L$83, 0),
        MATCH(W$89, $M$46:$AW$46, 0)
)</f>
        <v>0</v>
      </c>
      <c r="X92" s="16">
        <f t="shared" si="7"/>
        <v>0</v>
      </c>
      <c r="Y92" s="26">
        <f t="shared" si="7"/>
        <v>0.21068347358192599</v>
      </c>
      <c r="Z92" s="26">
        <f t="shared" si="7"/>
        <v>-1.2209705702782901E-2</v>
      </c>
      <c r="AA92" s="26">
        <f t="shared" si="7"/>
        <v>-1.09562973699955E-2</v>
      </c>
      <c r="AB92" s="26">
        <f t="shared" si="7"/>
        <v>-9.7840864859285205E-3</v>
      </c>
      <c r="AC92" s="26">
        <f t="shared" si="7"/>
        <v>-6.5955409869335301E-3</v>
      </c>
      <c r="AD92" s="26">
        <f t="shared" si="7"/>
        <v>-4.8079606057105104E-3</v>
      </c>
      <c r="AF92" s="26" t="s">
        <v>22</v>
      </c>
      <c r="AG92" s="16">
        <f t="shared" ref="AG92:AH97" si="8">INDEX($M$47:$AW$83,
        MATCH($L92, $L$47:$L$83, 0),
        MATCH(AG$89, $M$46:$AW$46, 0)
)</f>
        <v>0</v>
      </c>
      <c r="AH92" s="16">
        <f t="shared" si="8"/>
        <v>0</v>
      </c>
      <c r="AI92" s="26">
        <f>Y92/O92*VLOOKUP(AI$89,$AP$88:$AS$97,4,)*VLOOKUP($AF92,$AP$88:$AS$97,4,)</f>
        <v>2640057205.2908893</v>
      </c>
      <c r="AJ92" s="26">
        <f t="shared" ref="AJ92:AN92" si="9">Z92/P92*VLOOKUP(AJ$89,$AP$88:$AS$97,4,)*VLOOKUP($AF92,$AP$88:$AS$97,4,)</f>
        <v>-594869254.03988361</v>
      </c>
      <c r="AK92" s="26">
        <f t="shared" si="9"/>
        <v>-502863125.5451473</v>
      </c>
      <c r="AL92" s="26">
        <f t="shared" si="9"/>
        <v>-563316436.7020613</v>
      </c>
      <c r="AM92" s="26">
        <f t="shared" si="9"/>
        <v>-539899822.80187929</v>
      </c>
      <c r="AN92" s="26">
        <f t="shared" si="9"/>
        <v>-582008769.11865258</v>
      </c>
      <c r="AP92" s="26" t="s">
        <v>56</v>
      </c>
      <c r="AQ92">
        <v>32380</v>
      </c>
      <c r="AR92">
        <v>0.30724950344090818</v>
      </c>
      <c r="AS92">
        <v>105386.66340343651</v>
      </c>
    </row>
    <row r="93" spans="12:50" x14ac:dyDescent="0.3">
      <c r="L93" s="26" t="s">
        <v>56</v>
      </c>
      <c r="M93" s="16">
        <f t="shared" si="6"/>
        <v>0.30724950344090801</v>
      </c>
      <c r="N93" s="16">
        <f t="shared" si="6"/>
        <v>0.30724950344090801</v>
      </c>
      <c r="O93" s="26">
        <f t="shared" si="6"/>
        <v>0.20233769242772501</v>
      </c>
      <c r="P93" s="26">
        <f t="shared" si="6"/>
        <v>0.30724950344090801</v>
      </c>
      <c r="Q93" s="26">
        <f t="shared" si="6"/>
        <v>7.3157087831452E-2</v>
      </c>
      <c r="R93" s="26">
        <f t="shared" si="6"/>
        <v>6.5330033516778602E-2</v>
      </c>
      <c r="S93" s="26">
        <f t="shared" si="6"/>
        <v>4.4039565099649999E-2</v>
      </c>
      <c r="T93" s="26">
        <f t="shared" si="6"/>
        <v>3.2103582482653201E-2</v>
      </c>
      <c r="V93" s="26" t="s">
        <v>56</v>
      </c>
      <c r="W93" s="16">
        <f t="shared" si="7"/>
        <v>0</v>
      </c>
      <c r="X93" s="16">
        <f t="shared" si="7"/>
        <v>0</v>
      </c>
      <c r="Y93" s="26">
        <f t="shared" si="7"/>
        <v>-1.2209705702782901E-2</v>
      </c>
      <c r="Z93" s="26">
        <f t="shared" si="7"/>
        <v>0.21284724607622399</v>
      </c>
      <c r="AA93" s="26">
        <f t="shared" si="7"/>
        <v>-1.1554143484351499E-2</v>
      </c>
      <c r="AB93" s="26">
        <f t="shared" si="7"/>
        <v>-1.0317969228483E-2</v>
      </c>
      <c r="AC93" s="26">
        <f t="shared" si="7"/>
        <v>-6.95543616118398E-3</v>
      </c>
      <c r="AD93" s="26">
        <f t="shared" si="7"/>
        <v>-5.0703138870273204E-3</v>
      </c>
      <c r="AF93" s="26" t="s">
        <v>56</v>
      </c>
      <c r="AG93" s="16">
        <f t="shared" si="8"/>
        <v>0</v>
      </c>
      <c r="AH93" s="16">
        <f t="shared" si="8"/>
        <v>0</v>
      </c>
      <c r="AI93" s="26">
        <f t="shared" ref="AI93:AI97" si="10">Y93/O93*VLOOKUP(AI$89,$AP$88:$AS$97,4,)*VLOOKUP($AF93,$AP$88:$AS$97,4,)</f>
        <v>-594869254.03988361</v>
      </c>
      <c r="AJ93" s="26">
        <f t="shared" ref="AJ93:AJ97" si="11">Z93/P93*VLOOKUP(AJ$89,$AP$88:$AS$97,4,)*VLOOKUP($AF93,$AP$88:$AS$97,4,)</f>
        <v>7693928662.3059721</v>
      </c>
      <c r="AK93" s="26">
        <f t="shared" ref="AK93:AK97" si="12">AA93/Q93*VLOOKUP(AK$89,$AP$88:$AS$97,4,)*VLOOKUP($AF93,$AP$88:$AS$97,4,)</f>
        <v>-1482794356.115365</v>
      </c>
      <c r="AL93" s="26">
        <f t="shared" ref="AL93:AL97" si="13">AB93/R93*VLOOKUP(AL$89,$AP$88:$AS$97,4,)*VLOOKUP($AF93,$AP$88:$AS$97,4,)</f>
        <v>-1661053258.0676208</v>
      </c>
      <c r="AM93" s="26">
        <f t="shared" ref="AM93:AM97" si="14">AC93/S93*VLOOKUP(AM$89,$AP$88:$AS$97,4,)*VLOOKUP($AF93,$AP$88:$AS$97,4,)</f>
        <v>-1592004602.1478269</v>
      </c>
      <c r="AN93" s="26">
        <f t="shared" ref="AN93:AN97" si="15">AD93/T93*VLOOKUP(AN$89,$AP$88:$AS$97,4,)*VLOOKUP($AF93,$AP$88:$AS$97,4,)</f>
        <v>-1716171407.7229776</v>
      </c>
      <c r="AP93" s="26" t="s">
        <v>4</v>
      </c>
      <c r="AQ93">
        <v>24562</v>
      </c>
      <c r="AR93">
        <v>0.27570827736779602</v>
      </c>
      <c r="AS93">
        <v>89086.915469114436</v>
      </c>
    </row>
    <row r="94" spans="12:50" x14ac:dyDescent="0.3">
      <c r="L94" s="26" t="s">
        <v>4</v>
      </c>
      <c r="M94" s="16">
        <f t="shared" si="6"/>
        <v>0.27570827736779602</v>
      </c>
      <c r="N94" s="16">
        <f t="shared" si="6"/>
        <v>0.27570827736779602</v>
      </c>
      <c r="O94" s="26">
        <f t="shared" si="6"/>
        <v>0.18156636870383799</v>
      </c>
      <c r="P94" s="26">
        <f t="shared" si="6"/>
        <v>7.3157087831452E-2</v>
      </c>
      <c r="Q94" s="26">
        <f t="shared" si="6"/>
        <v>0.27570827736779602</v>
      </c>
      <c r="R94" s="26">
        <f t="shared" si="6"/>
        <v>5.8114657035140301E-2</v>
      </c>
      <c r="S94" s="26">
        <f t="shared" si="6"/>
        <v>3.9175614705380203E-2</v>
      </c>
      <c r="T94" s="26">
        <f t="shared" si="6"/>
        <v>2.8557901858409E-2</v>
      </c>
      <c r="V94" s="26" t="s">
        <v>4</v>
      </c>
      <c r="W94" s="16">
        <f t="shared" si="7"/>
        <v>0</v>
      </c>
      <c r="X94" s="16">
        <f t="shared" si="7"/>
        <v>0</v>
      </c>
      <c r="Y94" s="26">
        <f t="shared" si="7"/>
        <v>-1.09562973699955E-2</v>
      </c>
      <c r="Z94" s="26">
        <f t="shared" si="7"/>
        <v>-1.1554143484351499E-2</v>
      </c>
      <c r="AA94" s="26">
        <f t="shared" si="7"/>
        <v>0.19969322315867799</v>
      </c>
      <c r="AB94" s="26">
        <f t="shared" si="7"/>
        <v>-9.7675699160308504E-3</v>
      </c>
      <c r="AC94" s="26">
        <f t="shared" si="7"/>
        <v>-6.5844070181281297E-3</v>
      </c>
      <c r="AD94" s="26">
        <f t="shared" si="7"/>
        <v>-4.7998442611214102E-3</v>
      </c>
      <c r="AF94" s="26" t="s">
        <v>4</v>
      </c>
      <c r="AG94" s="16">
        <f t="shared" si="8"/>
        <v>0</v>
      </c>
      <c r="AH94" s="16">
        <f t="shared" si="8"/>
        <v>0</v>
      </c>
      <c r="AI94" s="26">
        <f t="shared" si="10"/>
        <v>-502863125.5451473</v>
      </c>
      <c r="AJ94" s="26">
        <f t="shared" si="11"/>
        <v>-1482794356.1153653</v>
      </c>
      <c r="AK94" s="26">
        <f t="shared" si="12"/>
        <v>5748325690.0487375</v>
      </c>
      <c r="AL94" s="26">
        <f t="shared" si="13"/>
        <v>-1494277740.3559723</v>
      </c>
      <c r="AM94" s="26">
        <f t="shared" si="14"/>
        <v>-1432161809.3698192</v>
      </c>
      <c r="AN94" s="26">
        <f t="shared" si="15"/>
        <v>-1543861836.302067</v>
      </c>
      <c r="AP94" s="26" t="s">
        <v>32</v>
      </c>
      <c r="AQ94">
        <v>24571</v>
      </c>
      <c r="AR94">
        <v>0.24621033361510578</v>
      </c>
      <c r="AS94">
        <v>99796.786102451762</v>
      </c>
    </row>
    <row r="95" spans="12:50" x14ac:dyDescent="0.3">
      <c r="L95" s="26" t="s">
        <v>32</v>
      </c>
      <c r="M95" s="16">
        <f t="shared" si="6"/>
        <v>0.246210333615106</v>
      </c>
      <c r="N95" s="16">
        <f t="shared" si="6"/>
        <v>0.246210333615106</v>
      </c>
      <c r="O95" s="26">
        <f t="shared" si="6"/>
        <v>0.16214063878909399</v>
      </c>
      <c r="P95" s="26">
        <f t="shared" si="6"/>
        <v>6.5330033516778602E-2</v>
      </c>
      <c r="Q95" s="26">
        <f t="shared" si="6"/>
        <v>5.8114657035140301E-2</v>
      </c>
      <c r="R95" s="26">
        <f t="shared" si="6"/>
        <v>0.246210333615106</v>
      </c>
      <c r="S95" s="26">
        <f t="shared" si="6"/>
        <v>3.4643031737513402E-2</v>
      </c>
      <c r="T95" s="26">
        <f t="shared" si="6"/>
        <v>2.5253778603805399E-2</v>
      </c>
      <c r="V95" s="26" t="s">
        <v>32</v>
      </c>
      <c r="W95" s="16">
        <f t="shared" si="7"/>
        <v>0</v>
      </c>
      <c r="X95" s="16">
        <f t="shared" si="7"/>
        <v>0</v>
      </c>
      <c r="Y95" s="26">
        <f t="shared" si="7"/>
        <v>-9.7840864859285205E-3</v>
      </c>
      <c r="Z95" s="26">
        <f t="shared" si="7"/>
        <v>-1.0317969228483E-2</v>
      </c>
      <c r="AA95" s="26">
        <f t="shared" si="7"/>
        <v>-9.7675699160308504E-3</v>
      </c>
      <c r="AB95" s="26">
        <f t="shared" si="7"/>
        <v>0.18559080523624399</v>
      </c>
      <c r="AC95" s="26">
        <f t="shared" si="7"/>
        <v>-6.2211393433925302E-3</v>
      </c>
      <c r="AD95" s="26">
        <f t="shared" si="7"/>
        <v>-4.5350325234766904E-3</v>
      </c>
      <c r="AF95" s="26" t="s">
        <v>32</v>
      </c>
      <c r="AG95" s="16">
        <f t="shared" si="8"/>
        <v>0</v>
      </c>
      <c r="AH95" s="16">
        <f t="shared" si="8"/>
        <v>0</v>
      </c>
      <c r="AI95" s="26">
        <f t="shared" si="10"/>
        <v>-563316436.7020613</v>
      </c>
      <c r="AJ95" s="26">
        <f t="shared" si="11"/>
        <v>-1661053258.0676208</v>
      </c>
      <c r="AK95" s="26">
        <f t="shared" si="12"/>
        <v>-1494277740.3559721</v>
      </c>
      <c r="AL95" s="26">
        <f t="shared" si="13"/>
        <v>7507291685.0551567</v>
      </c>
      <c r="AM95" s="26">
        <f t="shared" si="14"/>
        <v>-1714146393.7045071</v>
      </c>
      <c r="AN95" s="26">
        <f t="shared" si="15"/>
        <v>-1847839526.0656204</v>
      </c>
      <c r="AP95" s="26" t="s">
        <v>26</v>
      </c>
      <c r="AQ95">
        <v>15875</v>
      </c>
      <c r="AR95">
        <v>0.16597260757051657</v>
      </c>
      <c r="AS95">
        <v>95648.313492063506</v>
      </c>
    </row>
    <row r="96" spans="12:50" x14ac:dyDescent="0.3">
      <c r="L96" s="26" t="s">
        <v>26</v>
      </c>
      <c r="M96" s="16">
        <f t="shared" si="6"/>
        <v>0.16597260757051699</v>
      </c>
      <c r="N96" s="16">
        <f t="shared" si="6"/>
        <v>0.16597260757051699</v>
      </c>
      <c r="O96" s="26">
        <f t="shared" si="6"/>
        <v>0.109300467684855</v>
      </c>
      <c r="P96" s="26">
        <f t="shared" si="6"/>
        <v>4.4039565099649999E-2</v>
      </c>
      <c r="Q96" s="26">
        <f t="shared" si="6"/>
        <v>3.9175614705380203E-2</v>
      </c>
      <c r="R96" s="26">
        <f t="shared" si="6"/>
        <v>3.4643031737513402E-2</v>
      </c>
      <c r="S96" s="26">
        <f t="shared" si="6"/>
        <v>0.16597260757051699</v>
      </c>
      <c r="T96" s="26">
        <f t="shared" si="6"/>
        <v>1.6457073752368601E-2</v>
      </c>
      <c r="V96" s="26" t="s">
        <v>26</v>
      </c>
      <c r="W96" s="16">
        <f t="shared" si="7"/>
        <v>0</v>
      </c>
      <c r="X96" s="16">
        <f t="shared" si="7"/>
        <v>0</v>
      </c>
      <c r="Y96" s="26">
        <f t="shared" si="7"/>
        <v>-6.5955409869335301E-3</v>
      </c>
      <c r="Z96" s="26">
        <f t="shared" si="7"/>
        <v>-6.95543616118398E-3</v>
      </c>
      <c r="AA96" s="26">
        <f t="shared" si="7"/>
        <v>-6.5844070181281297E-3</v>
      </c>
      <c r="AB96" s="26">
        <f t="shared" si="7"/>
        <v>-6.2211393433925302E-3</v>
      </c>
      <c r="AC96" s="26">
        <f t="shared" si="7"/>
        <v>0.13842570110676</v>
      </c>
      <c r="AD96" s="26">
        <f t="shared" si="7"/>
        <v>-3.6238326280664899E-3</v>
      </c>
      <c r="AF96" s="26" t="s">
        <v>26</v>
      </c>
      <c r="AG96" s="16">
        <f t="shared" si="8"/>
        <v>0</v>
      </c>
      <c r="AH96" s="16">
        <f t="shared" si="8"/>
        <v>0</v>
      </c>
      <c r="AI96" s="26">
        <f t="shared" si="10"/>
        <v>-539899822.80187941</v>
      </c>
      <c r="AJ96" s="26">
        <f t="shared" si="11"/>
        <v>-1592004602.1478269</v>
      </c>
      <c r="AK96" s="26">
        <f t="shared" si="12"/>
        <v>-1432161809.3698192</v>
      </c>
      <c r="AL96" s="26">
        <f t="shared" si="13"/>
        <v>-1714146393.7045069</v>
      </c>
      <c r="AM96" s="26">
        <f t="shared" si="14"/>
        <v>7630182897.189537</v>
      </c>
      <c r="AN96" s="26">
        <f t="shared" si="15"/>
        <v>-2171633299.086482</v>
      </c>
      <c r="AP96" s="26" t="s">
        <v>34</v>
      </c>
      <c r="AQ96">
        <v>12475</v>
      </c>
      <c r="AR96">
        <v>0.12098928054681139</v>
      </c>
      <c r="AS96">
        <v>103108.30797256751</v>
      </c>
    </row>
    <row r="97" spans="12:44" x14ac:dyDescent="0.3">
      <c r="L97" s="26" t="s">
        <v>34</v>
      </c>
      <c r="M97" s="16">
        <f t="shared" si="6"/>
        <v>0.120989280546811</v>
      </c>
      <c r="N97" s="16">
        <f t="shared" si="6"/>
        <v>0.120989280546811</v>
      </c>
      <c r="O97" s="26">
        <f t="shared" si="6"/>
        <v>7.9676912607413497E-2</v>
      </c>
      <c r="P97" s="26">
        <f t="shared" si="6"/>
        <v>3.2103582482653201E-2</v>
      </c>
      <c r="Q97" s="26">
        <f t="shared" si="6"/>
        <v>2.8557901858409E-2</v>
      </c>
      <c r="R97" s="26">
        <f t="shared" si="6"/>
        <v>2.5253778603805399E-2</v>
      </c>
      <c r="S97" s="26">
        <f t="shared" si="6"/>
        <v>1.6457073752368601E-2</v>
      </c>
      <c r="T97" s="26">
        <f t="shared" si="6"/>
        <v>0.120989280546811</v>
      </c>
      <c r="V97" s="26" t="s">
        <v>34</v>
      </c>
      <c r="W97" s="16">
        <f t="shared" si="7"/>
        <v>0</v>
      </c>
      <c r="X97" s="16">
        <f t="shared" si="7"/>
        <v>0</v>
      </c>
      <c r="Y97" s="26">
        <f t="shared" si="7"/>
        <v>-4.8079606057105104E-3</v>
      </c>
      <c r="Z97" s="26">
        <f t="shared" si="7"/>
        <v>-5.0703138870273204E-3</v>
      </c>
      <c r="AA97" s="26">
        <f t="shared" si="7"/>
        <v>-4.7998442611214102E-3</v>
      </c>
      <c r="AB97" s="26">
        <f t="shared" si="7"/>
        <v>-4.5350325234766904E-3</v>
      </c>
      <c r="AC97" s="26">
        <f t="shared" si="7"/>
        <v>-3.6238326280664899E-3</v>
      </c>
      <c r="AD97" s="26">
        <f t="shared" si="7"/>
        <v>0.10635087453957601</v>
      </c>
      <c r="AF97" s="26" t="s">
        <v>34</v>
      </c>
      <c r="AG97" s="16">
        <f t="shared" si="8"/>
        <v>0</v>
      </c>
      <c r="AH97" s="16">
        <f t="shared" si="8"/>
        <v>0</v>
      </c>
      <c r="AI97" s="26">
        <f t="shared" si="10"/>
        <v>-582008769.11865258</v>
      </c>
      <c r="AJ97" s="26">
        <f t="shared" si="11"/>
        <v>-1716171407.7229774</v>
      </c>
      <c r="AK97" s="26">
        <f t="shared" si="12"/>
        <v>-1543861836.302067</v>
      </c>
      <c r="AL97" s="26">
        <f t="shared" si="13"/>
        <v>-1847839526.0656202</v>
      </c>
      <c r="AM97" s="26">
        <f t="shared" si="14"/>
        <v>-2171633299.086482</v>
      </c>
      <c r="AN97" s="26">
        <f t="shared" si="15"/>
        <v>9345047031.008049</v>
      </c>
    </row>
    <row r="104" spans="12:44" x14ac:dyDescent="0.3">
      <c r="AR104" s="7"/>
    </row>
    <row r="105" spans="12:44" x14ac:dyDescent="0.3">
      <c r="AR105" s="7"/>
    </row>
    <row r="106" spans="12:44" x14ac:dyDescent="0.3">
      <c r="AR106" s="7"/>
    </row>
    <row r="107" spans="12:44" x14ac:dyDescent="0.3">
      <c r="AR107" s="7"/>
    </row>
    <row r="108" spans="12:44" x14ac:dyDescent="0.3">
      <c r="AR108" s="7"/>
    </row>
    <row r="109" spans="12:44" x14ac:dyDescent="0.3">
      <c r="AR109" s="7"/>
    </row>
    <row r="110" spans="12:44" x14ac:dyDescent="0.3">
      <c r="AR110" s="7"/>
    </row>
    <row r="111" spans="12:44" x14ac:dyDescent="0.3">
      <c r="AR111" s="7"/>
    </row>
    <row r="112" spans="12:44" x14ac:dyDescent="0.3">
      <c r="AR112" s="7"/>
    </row>
    <row r="113" spans="44:44" x14ac:dyDescent="0.3">
      <c r="AR113" s="7"/>
    </row>
    <row r="114" spans="44:44" x14ac:dyDescent="0.3">
      <c r="AR114" s="7"/>
    </row>
    <row r="115" spans="44:44" x14ac:dyDescent="0.3">
      <c r="AR115" s="7"/>
    </row>
    <row r="116" spans="44:44" x14ac:dyDescent="0.3">
      <c r="AR116" s="7"/>
    </row>
    <row r="117" spans="44:44" x14ac:dyDescent="0.3">
      <c r="AR117" s="7"/>
    </row>
    <row r="118" spans="44:44" x14ac:dyDescent="0.3">
      <c r="AR118" s="7"/>
    </row>
    <row r="119" spans="44:44" x14ac:dyDescent="0.3">
      <c r="AR119" s="7"/>
    </row>
    <row r="120" spans="44:44" x14ac:dyDescent="0.3">
      <c r="AR120" s="7"/>
    </row>
    <row r="121" spans="44:44" x14ac:dyDescent="0.3">
      <c r="AR121" s="7"/>
    </row>
    <row r="122" spans="44:44" x14ac:dyDescent="0.3">
      <c r="AR122" s="7"/>
    </row>
    <row r="123" spans="44:44" x14ac:dyDescent="0.3">
      <c r="AR123" s="7"/>
    </row>
    <row r="124" spans="44:44" x14ac:dyDescent="0.3">
      <c r="AR124" s="7"/>
    </row>
    <row r="125" spans="44:44" x14ac:dyDescent="0.3">
      <c r="AR125" s="7"/>
    </row>
    <row r="126" spans="44:44" x14ac:dyDescent="0.3">
      <c r="AR126" s="7"/>
    </row>
    <row r="127" spans="44:44" x14ac:dyDescent="0.3">
      <c r="AR127" s="7"/>
    </row>
    <row r="128" spans="44:44" x14ac:dyDescent="0.3">
      <c r="AR128" s="7"/>
    </row>
    <row r="129" spans="44:44" x14ac:dyDescent="0.3">
      <c r="AR129" s="7"/>
    </row>
    <row r="130" spans="44:44" x14ac:dyDescent="0.3">
      <c r="AR130" s="7"/>
    </row>
    <row r="131" spans="44:44" x14ac:dyDescent="0.3">
      <c r="AR131" s="7"/>
    </row>
    <row r="132" spans="44:44" x14ac:dyDescent="0.3">
      <c r="AR132" s="7"/>
    </row>
    <row r="133" spans="44:44" x14ac:dyDescent="0.3">
      <c r="AR133" s="7"/>
    </row>
    <row r="134" spans="44:44" x14ac:dyDescent="0.3">
      <c r="AR134" s="7"/>
    </row>
    <row r="135" spans="44:44" x14ac:dyDescent="0.3">
      <c r="AR135" s="7"/>
    </row>
    <row r="136" spans="44:44" x14ac:dyDescent="0.3">
      <c r="AR136" s="7"/>
    </row>
    <row r="137" spans="44:44" x14ac:dyDescent="0.3">
      <c r="AR137" s="7"/>
    </row>
    <row r="138" spans="44:44" x14ac:dyDescent="0.3">
      <c r="AR138" s="7"/>
    </row>
    <row r="139" spans="44:44" x14ac:dyDescent="0.3">
      <c r="AR139" s="7"/>
    </row>
    <row r="140" spans="44:44" x14ac:dyDescent="0.3">
      <c r="AR140" s="7"/>
    </row>
  </sheetData>
  <mergeCells count="5">
    <mergeCell ref="L2:AW2"/>
    <mergeCell ref="L45:AW45"/>
    <mergeCell ref="L88:T88"/>
    <mergeCell ref="V88:AD88"/>
    <mergeCell ref="AF88:AN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BASE</vt:lpstr>
      <vt:lpstr>Muestreo_PPTCR</vt:lpstr>
      <vt:lpstr>Muestreo_PiPT_RHC</vt:lpstr>
      <vt:lpstr>Muestreo_PiPT_Sunter</vt:lpstr>
      <vt:lpstr>Matrices-sunter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Leal Mesa</dc:creator>
  <cp:lastModifiedBy>Pedro Jose Leal Mesa</cp:lastModifiedBy>
  <dcterms:created xsi:type="dcterms:W3CDTF">2025-06-05T19:03:18Z</dcterms:created>
  <dcterms:modified xsi:type="dcterms:W3CDTF">2025-06-17T15:54:21Z</dcterms:modified>
</cp:coreProperties>
</file>