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leal\Documents\Unal\3_semestre\Materias\Muestreo\Tareas\6) Pipt\"/>
    </mc:Choice>
  </mc:AlternateContent>
  <xr:revisionPtr revIDLastSave="0" documentId="13_ncr:1_{B1AD24B3-E25B-4C78-A998-96877D9D9A21}" xr6:coauthVersionLast="47" xr6:coauthVersionMax="47" xr10:uidLastSave="{00000000-0000-0000-0000-000000000000}"/>
  <bookViews>
    <workbookView xWindow="-108" yWindow="-108" windowWidth="23256" windowHeight="13176" activeTab="3" xr2:uid="{6A477C2D-1460-4CC2-86DF-9076F6A1F431}"/>
  </bookViews>
  <sheets>
    <sheet name="Resultados" sheetId="3" r:id="rId1"/>
    <sheet name="BASE" sheetId="1" r:id="rId2"/>
    <sheet name="RHC" sheetId="2" r:id="rId3"/>
    <sheet name="Sunter" sheetId="4" r:id="rId4"/>
  </sheets>
  <definedNames>
    <definedName name="_xlnm._FilterDatabase" localSheetId="2" hidden="1">RHC!$B$3:$G$3</definedName>
    <definedName name="_xlnm._FilterDatabase" localSheetId="3" hidden="1">Sunter!$B$2:$D$13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" i="4" l="1"/>
  <c r="M48" i="4"/>
  <c r="L48" i="4"/>
  <c r="K48" i="4"/>
  <c r="J48" i="4"/>
  <c r="I48" i="4"/>
  <c r="H48" i="4"/>
  <c r="G48" i="4"/>
  <c r="F48" i="4"/>
  <c r="E48" i="4"/>
  <c r="D48" i="4"/>
  <c r="P48" i="4" s="1"/>
  <c r="Q20" i="4"/>
  <c r="R9" i="4"/>
  <c r="F31" i="4"/>
  <c r="G31" i="4"/>
  <c r="H31" i="4"/>
  <c r="I31" i="4"/>
  <c r="J31" i="4"/>
  <c r="K31" i="4"/>
  <c r="L31" i="4"/>
  <c r="M31" i="4"/>
  <c r="N31" i="4"/>
  <c r="D31" i="4"/>
  <c r="O6" i="4"/>
  <c r="O7" i="4"/>
  <c r="O8" i="4" s="1"/>
  <c r="O9" i="4" s="1"/>
  <c r="O10" i="4" s="1"/>
  <c r="O11" i="4" s="1"/>
  <c r="O5" i="4"/>
  <c r="O4" i="4"/>
  <c r="D14" i="1"/>
  <c r="R7" i="4"/>
  <c r="N8" i="4"/>
  <c r="N5" i="4"/>
  <c r="N3" i="4"/>
  <c r="M13" i="4"/>
  <c r="M4" i="4"/>
  <c r="M5" i="4"/>
  <c r="M6" i="4"/>
  <c r="M7" i="4"/>
  <c r="M8" i="4"/>
  <c r="M9" i="4"/>
  <c r="M10" i="4"/>
  <c r="M11" i="4"/>
  <c r="M12" i="4"/>
  <c r="M3" i="4"/>
  <c r="L13" i="4"/>
  <c r="L12" i="4"/>
  <c r="R5" i="4"/>
  <c r="L5" i="4"/>
  <c r="L6" i="4"/>
  <c r="L7" i="4"/>
  <c r="L8" i="4"/>
  <c r="L9" i="4"/>
  <c r="L10" i="4"/>
  <c r="L11" i="4"/>
  <c r="L4" i="4"/>
  <c r="E31" i="4" l="1"/>
  <c r="P31" i="4" s="1"/>
  <c r="J4" i="4" l="1"/>
  <c r="K3" i="4"/>
  <c r="K4" i="4" s="1"/>
  <c r="H5" i="4" s="1"/>
  <c r="J5" i="4" s="1"/>
  <c r="K5" i="4" s="1"/>
  <c r="H6" i="4" s="1"/>
  <c r="J6" i="4" s="1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E4" i="4"/>
  <c r="E5" i="4"/>
  <c r="E6" i="4"/>
  <c r="E7" i="4"/>
  <c r="E8" i="4"/>
  <c r="E9" i="4"/>
  <c r="E10" i="4"/>
  <c r="E11" i="4"/>
  <c r="E12" i="4"/>
  <c r="E13" i="4"/>
  <c r="E3" i="4"/>
  <c r="X8" i="2"/>
  <c r="X14" i="2" s="1"/>
  <c r="X9" i="2"/>
  <c r="U14" i="2"/>
  <c r="U11" i="2"/>
  <c r="U4" i="2"/>
  <c r="T14" i="2"/>
  <c r="T11" i="2"/>
  <c r="T4" i="2"/>
  <c r="K6" i="4" l="1"/>
  <c r="X11" i="2"/>
  <c r="X12" i="2" s="1"/>
  <c r="X13" i="2"/>
  <c r="H7" i="4" l="1"/>
  <c r="J7" i="4" s="1"/>
  <c r="K7" i="4" s="1"/>
  <c r="H8" i="4" l="1"/>
  <c r="J8" i="4" s="1"/>
  <c r="K8" i="4" s="1"/>
  <c r="H9" i="4" l="1"/>
  <c r="J9" i="4" s="1"/>
  <c r="K9" i="4" s="1"/>
  <c r="H10" i="4" l="1"/>
  <c r="J10" i="4" s="1"/>
  <c r="K10" i="4" s="1"/>
  <c r="H11" i="4" l="1"/>
  <c r="J11" i="4" s="1"/>
  <c r="K11" i="4" s="1"/>
  <c r="H12" i="4" l="1"/>
  <c r="J12" i="4" s="1"/>
  <c r="K12" i="4" s="1"/>
  <c r="H13" i="4" l="1"/>
  <c r="J13" i="4" s="1"/>
  <c r="K13" i="4" s="1"/>
  <c r="O15" i="2" l="1"/>
  <c r="N15" i="2"/>
  <c r="X6" i="2"/>
  <c r="S14" i="2"/>
  <c r="S11" i="2"/>
  <c r="S4" i="2"/>
  <c r="R14" i="2"/>
  <c r="R11" i="2"/>
  <c r="R4" i="2"/>
  <c r="Q14" i="2"/>
  <c r="Q11" i="2"/>
  <c r="Q4" i="2"/>
  <c r="O11" i="2"/>
  <c r="O14" i="2"/>
  <c r="O4" i="2"/>
  <c r="M5" i="2"/>
  <c r="M6" i="2"/>
  <c r="M7" i="2"/>
  <c r="M8" i="2"/>
  <c r="M9" i="2"/>
  <c r="M10" i="2"/>
  <c r="M11" i="2"/>
  <c r="M12" i="2"/>
  <c r="M13" i="2"/>
  <c r="M14" i="2"/>
  <c r="P14" i="2" s="1"/>
  <c r="M4" i="2"/>
  <c r="P4" i="2" s="1"/>
  <c r="H11" i="2"/>
  <c r="H12" i="2"/>
  <c r="H13" i="2"/>
  <c r="H10" i="2"/>
  <c r="J10" i="2" s="1"/>
  <c r="I11" i="2" s="1"/>
  <c r="H5" i="2"/>
  <c r="H6" i="2"/>
  <c r="H7" i="2"/>
  <c r="H8" i="2"/>
  <c r="H9" i="2"/>
  <c r="H4" i="2"/>
  <c r="J4" i="2" s="1"/>
  <c r="I5" i="2" s="1"/>
  <c r="F11" i="2"/>
  <c r="F12" i="2"/>
  <c r="F5" i="2"/>
  <c r="F6" i="2"/>
  <c r="F7" i="2"/>
  <c r="F8" i="2"/>
  <c r="F13" i="2"/>
  <c r="F9" i="2"/>
  <c r="F10" i="2"/>
  <c r="F4" i="2"/>
  <c r="E4" i="2"/>
  <c r="E11" i="2"/>
  <c r="E12" i="2"/>
  <c r="E5" i="2"/>
  <c r="E6" i="2"/>
  <c r="E7" i="2"/>
  <c r="E8" i="2"/>
  <c r="E13" i="2"/>
  <c r="E9" i="2"/>
  <c r="E10" i="2"/>
  <c r="E14" i="2"/>
  <c r="J11" i="2" l="1"/>
  <c r="I12" i="2" s="1"/>
  <c r="J5" i="2"/>
  <c r="L4" i="2"/>
  <c r="L10" i="2"/>
  <c r="L11" i="2" l="1"/>
  <c r="I6" i="2"/>
  <c r="L5" i="2"/>
  <c r="J12" i="2"/>
  <c r="I13" i="2" s="1"/>
  <c r="L12" i="2" l="1"/>
  <c r="J13" i="2"/>
  <c r="L13" i="2" s="1"/>
  <c r="J6" i="2"/>
  <c r="I7" i="2" s="1"/>
  <c r="L6" i="2"/>
  <c r="J7" i="2" l="1"/>
  <c r="I8" i="2" s="1"/>
  <c r="L7" i="2" l="1"/>
  <c r="J8" i="2"/>
  <c r="I9" i="2" s="1"/>
  <c r="L8" i="2"/>
  <c r="J9" i="2" l="1"/>
  <c r="L9" i="2" s="1"/>
  <c r="G2" i="1" l="1"/>
</calcChain>
</file>

<file path=xl/sharedStrings.xml><?xml version="1.0" encoding="utf-8"?>
<sst xmlns="http://schemas.openxmlformats.org/spreadsheetml/2006/main" count="133" uniqueCount="58">
  <si>
    <t>COUNTRY</t>
  </si>
  <si>
    <t>P83</t>
  </si>
  <si>
    <t>P80</t>
  </si>
  <si>
    <t>ARG</t>
  </si>
  <si>
    <t>BOL</t>
  </si>
  <si>
    <t>BRA</t>
  </si>
  <si>
    <t>CHI</t>
  </si>
  <si>
    <t>COL</t>
  </si>
  <si>
    <t>ECU</t>
  </si>
  <si>
    <t>GUY</t>
  </si>
  <si>
    <t>PAR</t>
  </si>
  <si>
    <t>PER</t>
  </si>
  <si>
    <t>URU</t>
  </si>
  <si>
    <t>VEN</t>
  </si>
  <si>
    <t>ID</t>
  </si>
  <si>
    <t>Correlación</t>
  </si>
  <si>
    <t>Dada la correlación tan alta no se considera la necesidad de una transformación</t>
  </si>
  <si>
    <t>Probabilidad1</t>
  </si>
  <si>
    <t>Probabilidad2</t>
  </si>
  <si>
    <t>n1</t>
  </si>
  <si>
    <t>n2</t>
  </si>
  <si>
    <t>epsilon grupos</t>
  </si>
  <si>
    <t>Inclusión forzosa</t>
  </si>
  <si>
    <t>probabilidades_dentro</t>
  </si>
  <si>
    <t>Intervalos</t>
  </si>
  <si>
    <t>Epsilon</t>
  </si>
  <si>
    <t>Decisión</t>
  </si>
  <si>
    <t>N_grupo</t>
  </si>
  <si>
    <t>N_grupo^2</t>
  </si>
  <si>
    <t xml:space="preserve">estimación por grupo </t>
  </si>
  <si>
    <t>txi/tx</t>
  </si>
  <si>
    <t>x_k/t_x</t>
  </si>
  <si>
    <t>y_k/(x_k/t_x)</t>
  </si>
  <si>
    <t>(y_k/(x_k/t_x)-t_est)^2</t>
  </si>
  <si>
    <t>sumatoria2</t>
  </si>
  <si>
    <t>Total muestral</t>
  </si>
  <si>
    <t>1parte var</t>
  </si>
  <si>
    <t>2partevar</t>
  </si>
  <si>
    <t>var_estimada</t>
  </si>
  <si>
    <t>CVE</t>
  </si>
  <si>
    <t>Intervalo Inf</t>
  </si>
  <si>
    <t>Intervalo Sup</t>
  </si>
  <si>
    <t>k</t>
  </si>
  <si>
    <t>Prob 1</t>
  </si>
  <si>
    <t>Prob 2</t>
  </si>
  <si>
    <t>Prob MAS</t>
  </si>
  <si>
    <t>pi_ppt</t>
  </si>
  <si>
    <t>epsilon</t>
  </si>
  <si>
    <t>decision</t>
  </si>
  <si>
    <t>acumulado</t>
  </si>
  <si>
    <t>pi_k</t>
  </si>
  <si>
    <t>prom X*_k</t>
  </si>
  <si>
    <t>yk/pi_k</t>
  </si>
  <si>
    <t>Total poblacional</t>
  </si>
  <si>
    <t>gk</t>
  </si>
  <si>
    <t>Matriz de los Pi_kl</t>
  </si>
  <si>
    <t>(n*(n-1))/T_N</t>
  </si>
  <si>
    <t>Matriz de covarianza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</si>
</sst>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 Unicode MS"/>
    </font>
    <font>
      <b/>
      <sz val="12"/>
      <color theme="1"/>
      <name val="Aptos Narrow"/>
      <family val="2"/>
      <scheme val="minor"/>
    </font>
    <font>
      <b/>
      <sz val="10"/>
      <color rgb="FF000000"/>
      <name val="Arial Unicode MS"/>
    </font>
    <font>
      <b/>
      <sz val="11"/>
      <color theme="1"/>
      <name val="Aptos"/>
      <family val="2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vertical="center"/>
    </xf>
    <xf numFmtId="0" fontId="0" fillId="2" borderId="0" xfId="0" applyFill="1"/>
    <xf numFmtId="2" fontId="0" fillId="0" borderId="0" xfId="0" applyNumberForma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vertical="center"/>
    </xf>
    <xf numFmtId="0" fontId="0" fillId="4" borderId="0" xfId="0" applyFill="1"/>
    <xf numFmtId="2" fontId="0" fillId="4" borderId="0" xfId="0" applyNumberFormat="1" applyFill="1"/>
    <xf numFmtId="0" fontId="3" fillId="5" borderId="0" xfId="0" applyFont="1" applyFill="1" applyAlignment="1">
      <alignment vertical="center"/>
    </xf>
    <xf numFmtId="0" fontId="0" fillId="5" borderId="0" xfId="0" applyFill="1"/>
    <xf numFmtId="2" fontId="0" fillId="5" borderId="0" xfId="0" applyNumberFormat="1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2" fontId="0" fillId="6" borderId="0" xfId="0" applyNumberFormat="1" applyFill="1"/>
    <xf numFmtId="1" fontId="0" fillId="0" borderId="0" xfId="0" applyNumberFormat="1"/>
    <xf numFmtId="0" fontId="6" fillId="0" borderId="0" xfId="0" applyFont="1" applyAlignment="1">
      <alignment horizontal="center" vertical="center"/>
    </xf>
    <xf numFmtId="4" fontId="0" fillId="0" borderId="0" xfId="0" applyNumberFormat="1"/>
    <xf numFmtId="10" fontId="0" fillId="0" borderId="0" xfId="2" applyNumberFormat="1" applyFont="1"/>
    <xf numFmtId="3" fontId="0" fillId="0" borderId="0" xfId="0" applyNumberFormat="1"/>
    <xf numFmtId="0" fontId="4" fillId="0" borderId="0" xfId="0" applyFont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0" fillId="3" borderId="0" xfId="0" applyFill="1"/>
    <xf numFmtId="2" fontId="0" fillId="3" borderId="0" xfId="0" applyNumberFormat="1" applyFill="1"/>
    <xf numFmtId="0" fontId="3" fillId="7" borderId="0" xfId="0" applyFont="1" applyFill="1" applyAlignment="1">
      <alignment vertical="center"/>
    </xf>
    <xf numFmtId="0" fontId="0" fillId="7" borderId="0" xfId="0" applyFill="1"/>
    <xf numFmtId="2" fontId="0" fillId="7" borderId="0" xfId="0" applyNumberFormat="1" applyFill="1"/>
    <xf numFmtId="0" fontId="7" fillId="0" borderId="0" xfId="0" applyFont="1"/>
    <xf numFmtId="164" fontId="0" fillId="0" borderId="0" xfId="0" applyNumberFormat="1"/>
    <xf numFmtId="0" fontId="0" fillId="8" borderId="0" xfId="0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9" borderId="0" xfId="0" applyFill="1"/>
    <xf numFmtId="0" fontId="7" fillId="10" borderId="0" xfId="0" applyFont="1" applyFill="1"/>
  </cellXfs>
  <cellStyles count="3">
    <cellStyle name="Millares 2" xfId="1" xr:uid="{C2C30928-ED3D-4D30-B5DF-B04677F117D5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BASE!$D$1</c:f>
              <c:strCache>
                <c:ptCount val="1"/>
                <c:pt idx="0">
                  <c:v>P83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BASE!$C$2:$C$12</c:f>
              <c:numCache>
                <c:formatCode>0.00</c:formatCode>
                <c:ptCount val="11"/>
                <c:pt idx="0">
                  <c:v>28.2</c:v>
                </c:pt>
                <c:pt idx="1">
                  <c:v>5.6</c:v>
                </c:pt>
                <c:pt idx="2">
                  <c:v>121.3</c:v>
                </c:pt>
                <c:pt idx="3">
                  <c:v>11.1</c:v>
                </c:pt>
                <c:pt idx="4">
                  <c:v>27.1</c:v>
                </c:pt>
                <c:pt idx="5">
                  <c:v>8.1</c:v>
                </c:pt>
                <c:pt idx="6">
                  <c:v>0.9</c:v>
                </c:pt>
                <c:pt idx="7">
                  <c:v>3.2</c:v>
                </c:pt>
                <c:pt idx="8">
                  <c:v>17.3</c:v>
                </c:pt>
                <c:pt idx="9">
                  <c:v>2.9</c:v>
                </c:pt>
                <c:pt idx="10">
                  <c:v>15</c:v>
                </c:pt>
              </c:numCache>
            </c:numRef>
          </c:xVal>
          <c:yVal>
            <c:numRef>
              <c:f>BASE!$D$2:$D$12</c:f>
              <c:numCache>
                <c:formatCode>0.00</c:formatCode>
                <c:ptCount val="11"/>
                <c:pt idx="0">
                  <c:v>29.6</c:v>
                </c:pt>
                <c:pt idx="1">
                  <c:v>6</c:v>
                </c:pt>
                <c:pt idx="2">
                  <c:v>129.6</c:v>
                </c:pt>
                <c:pt idx="3">
                  <c:v>11.6</c:v>
                </c:pt>
                <c:pt idx="4">
                  <c:v>27.5</c:v>
                </c:pt>
                <c:pt idx="5">
                  <c:v>9.1999999999999993</c:v>
                </c:pt>
                <c:pt idx="6">
                  <c:v>0.9</c:v>
                </c:pt>
                <c:pt idx="7">
                  <c:v>3.4</c:v>
                </c:pt>
                <c:pt idx="8">
                  <c:v>18.7</c:v>
                </c:pt>
                <c:pt idx="9">
                  <c:v>2.9</c:v>
                </c:pt>
                <c:pt idx="10">
                  <c:v>15.1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48-487B-871D-710863402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632111"/>
        <c:axId val="1867633071"/>
      </c:scatterChart>
      <c:valAx>
        <c:axId val="18676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7633071"/>
        <c:crosses val="autoZero"/>
        <c:crossBetween val="midCat"/>
      </c:valAx>
      <c:valAx>
        <c:axId val="186763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763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0</xdr:row>
      <xdr:rowOff>152400</xdr:rowOff>
    </xdr:from>
    <xdr:to>
      <xdr:col>12</xdr:col>
      <xdr:colOff>662940</xdr:colOff>
      <xdr:row>15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1D45B4-7499-8B34-0F46-3F02F844F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EE61-28DD-4200-94C9-D9882FB00646}">
  <dimension ref="A1"/>
  <sheetViews>
    <sheetView workbookViewId="0">
      <selection activeCell="D17" sqref="D17"/>
    </sheetView>
  </sheetViews>
  <sheetFormatPr baseColWidth="10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6E80-335C-493E-B6A9-937653830BB7}">
  <dimension ref="A1:M125"/>
  <sheetViews>
    <sheetView workbookViewId="0">
      <selection activeCell="D15" sqref="D15"/>
    </sheetView>
  </sheetViews>
  <sheetFormatPr baseColWidth="10" defaultRowHeight="14.4"/>
  <cols>
    <col min="13" max="13" width="24.33203125" customWidth="1"/>
  </cols>
  <sheetData>
    <row r="1" spans="1:7">
      <c r="A1" s="1" t="s">
        <v>14</v>
      </c>
      <c r="B1" t="s">
        <v>0</v>
      </c>
      <c r="C1" t="s">
        <v>2</v>
      </c>
      <c r="D1" s="2" t="s">
        <v>1</v>
      </c>
    </row>
    <row r="2" spans="1:7">
      <c r="A2" s="1">
        <v>53</v>
      </c>
      <c r="B2" t="s">
        <v>3</v>
      </c>
      <c r="C2" s="3">
        <v>28.2</v>
      </c>
      <c r="D2" s="3">
        <v>29.6</v>
      </c>
      <c r="F2" t="s">
        <v>15</v>
      </c>
      <c r="G2">
        <f>CORREL(C2:C12,D2:D12)</f>
        <v>0.99988579458761218</v>
      </c>
    </row>
    <row r="3" spans="1:7">
      <c r="A3" s="1">
        <v>54</v>
      </c>
      <c r="B3" t="s">
        <v>4</v>
      </c>
      <c r="C3" s="3">
        <v>5.6</v>
      </c>
      <c r="D3" s="3">
        <v>6</v>
      </c>
    </row>
    <row r="4" spans="1:7">
      <c r="A4" s="1">
        <v>55</v>
      </c>
      <c r="B4" t="s">
        <v>5</v>
      </c>
      <c r="C4" s="3">
        <v>121.3</v>
      </c>
      <c r="D4" s="3">
        <v>129.6</v>
      </c>
    </row>
    <row r="5" spans="1:7">
      <c r="A5" s="1">
        <v>56</v>
      </c>
      <c r="B5" t="s">
        <v>6</v>
      </c>
      <c r="C5" s="3">
        <v>11.1</v>
      </c>
      <c r="D5" s="3">
        <v>11.6</v>
      </c>
    </row>
    <row r="6" spans="1:7">
      <c r="A6" s="1">
        <v>57</v>
      </c>
      <c r="B6" t="s">
        <v>7</v>
      </c>
      <c r="C6" s="3">
        <v>27.1</v>
      </c>
      <c r="D6" s="3">
        <v>27.5</v>
      </c>
    </row>
    <row r="7" spans="1:7">
      <c r="A7" s="1">
        <v>58</v>
      </c>
      <c r="B7" t="s">
        <v>8</v>
      </c>
      <c r="C7" s="3">
        <v>8.1</v>
      </c>
      <c r="D7" s="3">
        <v>9.1999999999999993</v>
      </c>
    </row>
    <row r="8" spans="1:7">
      <c r="A8" s="1">
        <v>59</v>
      </c>
      <c r="B8" t="s">
        <v>9</v>
      </c>
      <c r="C8" s="3">
        <v>0.9</v>
      </c>
      <c r="D8" s="3">
        <v>0.9</v>
      </c>
    </row>
    <row r="9" spans="1:7">
      <c r="A9" s="1">
        <v>60</v>
      </c>
      <c r="B9" t="s">
        <v>10</v>
      </c>
      <c r="C9" s="3">
        <v>3.2</v>
      </c>
      <c r="D9" s="3">
        <v>3.4</v>
      </c>
    </row>
    <row r="10" spans="1:7">
      <c r="A10" s="1">
        <v>61</v>
      </c>
      <c r="B10" t="s">
        <v>11</v>
      </c>
      <c r="C10" s="3">
        <v>17.3</v>
      </c>
      <c r="D10" s="3">
        <v>18.7</v>
      </c>
    </row>
    <row r="11" spans="1:7">
      <c r="A11" s="1">
        <v>62</v>
      </c>
      <c r="B11" t="s">
        <v>12</v>
      </c>
      <c r="C11" s="3">
        <v>2.9</v>
      </c>
      <c r="D11" s="3">
        <v>2.9</v>
      </c>
    </row>
    <row r="12" spans="1:7">
      <c r="A12" s="1">
        <v>63</v>
      </c>
      <c r="B12" t="s">
        <v>13</v>
      </c>
      <c r="C12" s="3">
        <v>15</v>
      </c>
      <c r="D12" s="3">
        <v>15.1</v>
      </c>
    </row>
    <row r="13" spans="1:7">
      <c r="A13" s="1"/>
      <c r="D13" s="3"/>
      <c r="E13" s="3"/>
    </row>
    <row r="14" spans="1:7">
      <c r="A14" s="1"/>
      <c r="D14" s="3">
        <f>SUM(D2:D12)</f>
        <v>254.49999999999997</v>
      </c>
      <c r="E14" s="3"/>
    </row>
    <row r="15" spans="1:7">
      <c r="A15" s="1"/>
      <c r="D15" s="3"/>
      <c r="E15" s="3"/>
    </row>
    <row r="16" spans="1:7">
      <c r="A16" s="1"/>
      <c r="D16" s="3"/>
      <c r="E16" s="3"/>
    </row>
    <row r="17" spans="1:13">
      <c r="A17" s="1"/>
      <c r="D17" s="3"/>
      <c r="E17" s="3"/>
    </row>
    <row r="18" spans="1:13" ht="15.6">
      <c r="A18" s="1"/>
      <c r="D18" s="3"/>
      <c r="E18" s="3"/>
      <c r="H18" s="31" t="s">
        <v>16</v>
      </c>
      <c r="I18" s="31"/>
      <c r="J18" s="31"/>
      <c r="K18" s="31"/>
      <c r="L18" s="31"/>
      <c r="M18" s="31"/>
    </row>
    <row r="19" spans="1:13">
      <c r="A19" s="1"/>
      <c r="D19" s="3"/>
      <c r="E19" s="3"/>
    </row>
    <row r="20" spans="1:13">
      <c r="A20" s="1"/>
      <c r="D20" s="3"/>
      <c r="E20" s="3"/>
    </row>
    <row r="21" spans="1:13">
      <c r="A21" s="1"/>
      <c r="D21" s="3"/>
      <c r="E21" s="3"/>
    </row>
    <row r="22" spans="1:13">
      <c r="A22" s="1"/>
      <c r="D22" s="3"/>
      <c r="E22" s="3"/>
    </row>
    <row r="23" spans="1:13">
      <c r="A23" s="1"/>
      <c r="D23" s="3"/>
      <c r="E23" s="3"/>
    </row>
    <row r="24" spans="1:13">
      <c r="A24" s="1"/>
      <c r="D24" s="3"/>
      <c r="E24" s="3"/>
    </row>
    <row r="25" spans="1:13">
      <c r="A25" s="1"/>
      <c r="D25" s="3"/>
      <c r="E25" s="3"/>
    </row>
    <row r="26" spans="1:13">
      <c r="A26" s="1"/>
      <c r="D26" s="3"/>
      <c r="E26" s="3"/>
    </row>
    <row r="27" spans="1:13">
      <c r="A27" s="1"/>
      <c r="D27" s="3"/>
      <c r="E27" s="3"/>
    </row>
    <row r="28" spans="1:13">
      <c r="A28" s="1"/>
      <c r="D28" s="3"/>
      <c r="E28" s="3"/>
    </row>
    <row r="29" spans="1:13">
      <c r="A29" s="1"/>
      <c r="D29" s="3"/>
      <c r="E29" s="3"/>
    </row>
    <row r="30" spans="1:13">
      <c r="A30" s="1"/>
      <c r="D30" s="3"/>
      <c r="E30" s="3"/>
    </row>
    <row r="31" spans="1:13">
      <c r="A31" s="1"/>
      <c r="D31" s="3"/>
      <c r="E31" s="3"/>
    </row>
    <row r="32" spans="1:13">
      <c r="A32" s="1"/>
      <c r="D32" s="3"/>
      <c r="E32" s="3"/>
    </row>
    <row r="33" spans="1:5">
      <c r="A33" s="1"/>
      <c r="D33" s="3"/>
      <c r="E33" s="3"/>
    </row>
    <row r="34" spans="1:5">
      <c r="A34" s="1"/>
      <c r="D34" s="3"/>
      <c r="E34" s="3"/>
    </row>
    <row r="35" spans="1:5">
      <c r="A35" s="1"/>
      <c r="D35" s="3"/>
      <c r="E35" s="3"/>
    </row>
    <row r="36" spans="1:5">
      <c r="A36" s="1"/>
      <c r="D36" s="3"/>
      <c r="E36" s="3"/>
    </row>
    <row r="37" spans="1:5">
      <c r="A37" s="1"/>
      <c r="D37" s="3"/>
      <c r="E37" s="3"/>
    </row>
    <row r="38" spans="1:5">
      <c r="A38" s="1"/>
      <c r="D38" s="3"/>
      <c r="E38" s="3"/>
    </row>
    <row r="39" spans="1:5">
      <c r="A39" s="1"/>
      <c r="D39" s="3"/>
      <c r="E39" s="3"/>
    </row>
    <row r="40" spans="1:5">
      <c r="A40" s="1"/>
      <c r="D40" s="3"/>
      <c r="E40" s="3"/>
    </row>
    <row r="41" spans="1:5">
      <c r="A41" s="1"/>
      <c r="D41" s="3"/>
      <c r="E41" s="3"/>
    </row>
    <row r="42" spans="1:5">
      <c r="A42" s="1"/>
      <c r="D42" s="3"/>
      <c r="E42" s="3"/>
    </row>
    <row r="43" spans="1:5">
      <c r="A43" s="1"/>
      <c r="D43" s="3"/>
      <c r="E43" s="3"/>
    </row>
    <row r="44" spans="1:5">
      <c r="A44" s="1"/>
      <c r="D44" s="3"/>
      <c r="E44" s="3"/>
    </row>
    <row r="45" spans="1:5">
      <c r="A45" s="1"/>
      <c r="D45" s="3"/>
      <c r="E45" s="3"/>
    </row>
    <row r="46" spans="1:5">
      <c r="A46" s="1"/>
      <c r="D46" s="3"/>
      <c r="E46" s="3"/>
    </row>
    <row r="47" spans="1:5">
      <c r="A47" s="1"/>
      <c r="D47" s="3"/>
      <c r="E47" s="3"/>
    </row>
    <row r="48" spans="1:5">
      <c r="A48" s="1"/>
      <c r="D48" s="3"/>
      <c r="E48" s="3"/>
    </row>
    <row r="49" spans="1:5">
      <c r="A49" s="1"/>
      <c r="D49" s="3"/>
      <c r="E49" s="3"/>
    </row>
    <row r="50" spans="1:5">
      <c r="A50" s="1"/>
      <c r="D50" s="3"/>
      <c r="E50" s="3"/>
    </row>
    <row r="51" spans="1:5">
      <c r="A51" s="1"/>
      <c r="D51" s="3"/>
      <c r="E51" s="3"/>
    </row>
    <row r="52" spans="1:5">
      <c r="A52" s="1"/>
      <c r="D52" s="3"/>
      <c r="E52" s="3"/>
    </row>
    <row r="53" spans="1:5">
      <c r="A53" s="1"/>
      <c r="D53" s="3"/>
      <c r="E53" s="3"/>
    </row>
    <row r="54" spans="1:5">
      <c r="A54" s="1"/>
      <c r="D54" s="3"/>
      <c r="E54" s="3"/>
    </row>
    <row r="55" spans="1:5">
      <c r="A55" s="1"/>
      <c r="D55" s="3"/>
      <c r="E55" s="3"/>
    </row>
    <row r="56" spans="1:5">
      <c r="A56" s="1"/>
      <c r="D56" s="3"/>
      <c r="E56" s="3"/>
    </row>
    <row r="57" spans="1:5">
      <c r="A57" s="1"/>
      <c r="D57" s="3"/>
      <c r="E57" s="3"/>
    </row>
    <row r="58" spans="1:5">
      <c r="A58" s="1"/>
      <c r="D58" s="3"/>
      <c r="E58" s="3"/>
    </row>
    <row r="59" spans="1:5">
      <c r="A59" s="1"/>
      <c r="D59" s="3"/>
      <c r="E59" s="3"/>
    </row>
    <row r="60" spans="1:5">
      <c r="A60" s="1"/>
      <c r="D60" s="3"/>
      <c r="E60" s="3"/>
    </row>
    <row r="61" spans="1:5">
      <c r="A61" s="1"/>
      <c r="D61" s="3"/>
      <c r="E61" s="3"/>
    </row>
    <row r="62" spans="1:5">
      <c r="A62" s="1"/>
      <c r="D62" s="3"/>
      <c r="E62" s="3"/>
    </row>
    <row r="63" spans="1:5">
      <c r="A63" s="1"/>
      <c r="D63" s="3"/>
      <c r="E63" s="3"/>
    </row>
    <row r="64" spans="1:5">
      <c r="A64" s="1"/>
      <c r="D64" s="3"/>
      <c r="E64" s="3"/>
    </row>
    <row r="65" spans="1:5">
      <c r="A65" s="1"/>
      <c r="D65" s="3"/>
      <c r="E65" s="3"/>
    </row>
    <row r="66" spans="1:5">
      <c r="A66" s="1"/>
      <c r="D66" s="3"/>
      <c r="E66" s="3"/>
    </row>
    <row r="67" spans="1:5">
      <c r="A67" s="1"/>
      <c r="D67" s="3"/>
      <c r="E67" s="3"/>
    </row>
    <row r="68" spans="1:5">
      <c r="A68" s="1"/>
      <c r="D68" s="3"/>
      <c r="E68" s="3"/>
    </row>
    <row r="69" spans="1:5">
      <c r="A69" s="1"/>
      <c r="D69" s="3"/>
      <c r="E69" s="3"/>
    </row>
    <row r="70" spans="1:5">
      <c r="A70" s="1"/>
      <c r="D70" s="3"/>
      <c r="E70" s="3"/>
    </row>
    <row r="71" spans="1:5">
      <c r="A71" s="1"/>
      <c r="D71" s="3"/>
      <c r="E71" s="3"/>
    </row>
    <row r="72" spans="1:5">
      <c r="A72" s="1"/>
      <c r="D72" s="3"/>
      <c r="E72" s="3"/>
    </row>
    <row r="73" spans="1:5">
      <c r="A73" s="1"/>
      <c r="D73" s="3"/>
      <c r="E73" s="3"/>
    </row>
    <row r="74" spans="1:5">
      <c r="A74" s="1"/>
      <c r="D74" s="3"/>
      <c r="E74" s="3"/>
    </row>
    <row r="75" spans="1:5">
      <c r="A75" s="1"/>
      <c r="D75" s="3"/>
      <c r="E75" s="3"/>
    </row>
    <row r="76" spans="1:5">
      <c r="A76" s="1"/>
      <c r="D76" s="3"/>
      <c r="E76" s="3"/>
    </row>
    <row r="77" spans="1:5">
      <c r="A77" s="1"/>
      <c r="D77" s="3"/>
      <c r="E77" s="3"/>
    </row>
    <row r="78" spans="1:5">
      <c r="A78" s="1"/>
      <c r="D78" s="3"/>
      <c r="E78" s="3"/>
    </row>
    <row r="79" spans="1:5">
      <c r="A79" s="1"/>
      <c r="D79" s="3"/>
      <c r="E79" s="3"/>
    </row>
    <row r="80" spans="1:5">
      <c r="A80" s="1"/>
      <c r="D80" s="3"/>
      <c r="E80" s="3"/>
    </row>
    <row r="81" spans="1:5">
      <c r="A81" s="1"/>
      <c r="D81" s="3"/>
      <c r="E81" s="3"/>
    </row>
    <row r="82" spans="1:5">
      <c r="A82" s="1"/>
      <c r="D82" s="3"/>
      <c r="E82" s="3"/>
    </row>
    <row r="83" spans="1:5">
      <c r="A83" s="1"/>
      <c r="D83" s="3"/>
      <c r="E83" s="3"/>
    </row>
    <row r="84" spans="1:5">
      <c r="A84" s="1"/>
      <c r="D84" s="3"/>
      <c r="E84" s="3"/>
    </row>
    <row r="85" spans="1:5">
      <c r="A85" s="1"/>
      <c r="D85" s="3"/>
      <c r="E85" s="3"/>
    </row>
    <row r="86" spans="1:5">
      <c r="A86" s="1"/>
      <c r="D86" s="3"/>
      <c r="E86" s="3"/>
    </row>
    <row r="87" spans="1:5">
      <c r="A87" s="1"/>
      <c r="D87" s="3"/>
      <c r="E87" s="3"/>
    </row>
    <row r="88" spans="1:5">
      <c r="A88" s="1"/>
      <c r="D88" s="3"/>
      <c r="E88" s="3"/>
    </row>
    <row r="89" spans="1:5">
      <c r="A89" s="1"/>
      <c r="D89" s="3"/>
      <c r="E89" s="3"/>
    </row>
    <row r="90" spans="1:5">
      <c r="A90" s="1"/>
      <c r="D90" s="3"/>
      <c r="E90" s="3"/>
    </row>
    <row r="91" spans="1:5">
      <c r="A91" s="1"/>
      <c r="D91" s="3"/>
      <c r="E91" s="3"/>
    </row>
    <row r="92" spans="1:5">
      <c r="A92" s="1"/>
      <c r="D92" s="3"/>
      <c r="E92" s="3"/>
    </row>
    <row r="93" spans="1:5">
      <c r="A93" s="1"/>
      <c r="D93" s="3"/>
      <c r="E93" s="3"/>
    </row>
    <row r="94" spans="1:5">
      <c r="A94" s="1"/>
      <c r="D94" s="3"/>
      <c r="E94" s="3"/>
    </row>
    <row r="95" spans="1:5">
      <c r="A95" s="1"/>
      <c r="D95" s="3"/>
      <c r="E95" s="3"/>
    </row>
    <row r="96" spans="1:5">
      <c r="A96" s="1"/>
      <c r="D96" s="3"/>
      <c r="E96" s="3"/>
    </row>
    <row r="97" spans="1:5">
      <c r="A97" s="1"/>
      <c r="D97" s="3"/>
      <c r="E97" s="3"/>
    </row>
    <row r="98" spans="1:5">
      <c r="A98" s="1"/>
      <c r="D98" s="3"/>
      <c r="E98" s="3"/>
    </row>
    <row r="99" spans="1:5">
      <c r="A99" s="1"/>
      <c r="D99" s="3"/>
      <c r="E99" s="3"/>
    </row>
    <row r="100" spans="1:5">
      <c r="A100" s="1"/>
      <c r="D100" s="3"/>
      <c r="E100" s="3"/>
    </row>
    <row r="101" spans="1:5">
      <c r="A101" s="1"/>
      <c r="D101" s="3"/>
      <c r="E101" s="3"/>
    </row>
    <row r="102" spans="1:5">
      <c r="A102" s="1"/>
      <c r="D102" s="3"/>
      <c r="E102" s="3"/>
    </row>
    <row r="103" spans="1:5">
      <c r="A103" s="1"/>
      <c r="D103" s="3"/>
      <c r="E103" s="3"/>
    </row>
    <row r="104" spans="1:5">
      <c r="A104" s="1"/>
      <c r="D104" s="3"/>
      <c r="E104" s="3"/>
    </row>
    <row r="105" spans="1:5">
      <c r="A105" s="1"/>
      <c r="D105" s="3"/>
      <c r="E105" s="3"/>
    </row>
    <row r="106" spans="1:5">
      <c r="A106" s="1"/>
      <c r="D106" s="3"/>
      <c r="E106" s="3"/>
    </row>
    <row r="107" spans="1:5">
      <c r="A107" s="1"/>
      <c r="D107" s="3"/>
      <c r="E107" s="3"/>
    </row>
    <row r="108" spans="1:5">
      <c r="A108" s="1"/>
      <c r="D108" s="3"/>
      <c r="E108" s="3"/>
    </row>
    <row r="109" spans="1:5">
      <c r="A109" s="1"/>
      <c r="D109" s="3"/>
      <c r="E109" s="3"/>
    </row>
    <row r="110" spans="1:5">
      <c r="A110" s="1"/>
      <c r="D110" s="3"/>
      <c r="E110" s="3"/>
    </row>
    <row r="111" spans="1:5">
      <c r="A111" s="1"/>
      <c r="D111" s="3"/>
      <c r="E111" s="3"/>
    </row>
    <row r="112" spans="1:5">
      <c r="A112" s="1"/>
      <c r="D112" s="3"/>
      <c r="E112" s="3"/>
    </row>
    <row r="113" spans="1:5">
      <c r="A113" s="1"/>
      <c r="D113" s="3"/>
      <c r="E113" s="3"/>
    </row>
    <row r="114" spans="1:5">
      <c r="A114" s="1"/>
      <c r="D114" s="3"/>
      <c r="E114" s="3"/>
    </row>
    <row r="115" spans="1:5">
      <c r="A115" s="1"/>
      <c r="D115" s="3"/>
      <c r="E115" s="3"/>
    </row>
    <row r="116" spans="1:5">
      <c r="A116" s="1"/>
      <c r="D116" s="3"/>
      <c r="E116" s="3"/>
    </row>
    <row r="117" spans="1:5">
      <c r="A117" s="1"/>
      <c r="D117" s="3"/>
      <c r="E117" s="3"/>
    </row>
    <row r="118" spans="1:5">
      <c r="A118" s="1"/>
      <c r="D118" s="3"/>
      <c r="E118" s="3"/>
    </row>
    <row r="119" spans="1:5">
      <c r="A119" s="1"/>
      <c r="D119" s="3"/>
      <c r="E119" s="3"/>
    </row>
    <row r="120" spans="1:5">
      <c r="A120" s="1"/>
      <c r="D120" s="3"/>
      <c r="E120" s="3"/>
    </row>
    <row r="121" spans="1:5">
      <c r="A121" s="1"/>
      <c r="D121" s="3"/>
      <c r="E121" s="3"/>
    </row>
    <row r="122" spans="1:5">
      <c r="A122" s="1"/>
      <c r="D122" s="3"/>
      <c r="E122" s="3"/>
    </row>
    <row r="123" spans="1:5">
      <c r="A123" s="1"/>
      <c r="D123" s="3"/>
      <c r="E123" s="3"/>
    </row>
    <row r="124" spans="1:5">
      <c r="A124" s="1"/>
      <c r="D124" s="3"/>
      <c r="E124" s="3"/>
    </row>
    <row r="125" spans="1:5">
      <c r="A125" s="1"/>
      <c r="D125" s="3"/>
      <c r="E125" s="3"/>
    </row>
  </sheetData>
  <mergeCells count="1">
    <mergeCell ref="H18:M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41C0-21B9-4622-925C-9A089CB05238}">
  <dimension ref="B3:X15"/>
  <sheetViews>
    <sheetView topLeftCell="L1" workbookViewId="0">
      <selection activeCell="W3" sqref="W3:X4"/>
    </sheetView>
  </sheetViews>
  <sheetFormatPr baseColWidth="10" defaultRowHeight="14.4"/>
  <cols>
    <col min="2" max="2" width="7.21875" bestFit="1" customWidth="1"/>
    <col min="3" max="3" width="13.5546875" bestFit="1" customWidth="1"/>
    <col min="4" max="4" width="8.5546875" bestFit="1" customWidth="1"/>
    <col min="5" max="6" width="17.33203125" bestFit="1" customWidth="1"/>
    <col min="7" max="7" width="17.44140625" bestFit="1" customWidth="1"/>
    <col min="8" max="8" width="20.109375" bestFit="1" customWidth="1"/>
    <col min="16" max="16" width="18.88671875" bestFit="1" customWidth="1"/>
    <col min="17" max="19" width="18.88671875" customWidth="1"/>
    <col min="20" max="20" width="20.6640625" bestFit="1" customWidth="1"/>
    <col min="21" max="21" width="18.88671875" customWidth="1"/>
    <col min="23" max="23" width="12.33203125" bestFit="1" customWidth="1"/>
    <col min="24" max="24" width="12.5546875" customWidth="1"/>
  </cols>
  <sheetData>
    <row r="3" spans="2:24">
      <c r="B3" s="5" t="s">
        <v>14</v>
      </c>
      <c r="C3" s="4" t="s">
        <v>0</v>
      </c>
      <c r="D3" s="4" t="s">
        <v>2</v>
      </c>
      <c r="E3" s="4" t="s">
        <v>17</v>
      </c>
      <c r="F3" s="4" t="s">
        <v>18</v>
      </c>
      <c r="G3" s="4" t="s">
        <v>21</v>
      </c>
      <c r="H3" s="13" t="s">
        <v>23</v>
      </c>
      <c r="I3" s="32" t="s">
        <v>24</v>
      </c>
      <c r="J3" s="32"/>
      <c r="K3" s="4" t="s">
        <v>25</v>
      </c>
      <c r="L3" s="14" t="s">
        <v>26</v>
      </c>
      <c r="M3" s="14" t="s">
        <v>1</v>
      </c>
      <c r="N3" s="14" t="s">
        <v>27</v>
      </c>
      <c r="O3" s="14" t="s">
        <v>28</v>
      </c>
      <c r="P3" s="14" t="s">
        <v>29</v>
      </c>
      <c r="Q3" s="14" t="s">
        <v>30</v>
      </c>
      <c r="R3" s="17" t="s">
        <v>31</v>
      </c>
      <c r="S3" s="17" t="s">
        <v>32</v>
      </c>
      <c r="T3" s="17" t="s">
        <v>33</v>
      </c>
      <c r="U3" s="17" t="s">
        <v>34</v>
      </c>
      <c r="V3" s="14"/>
      <c r="W3" s="14" t="s">
        <v>19</v>
      </c>
      <c r="X3">
        <v>3</v>
      </c>
    </row>
    <row r="4" spans="2:24">
      <c r="B4" s="7">
        <v>53</v>
      </c>
      <c r="C4" s="8" t="s">
        <v>3</v>
      </c>
      <c r="D4" s="9">
        <v>28.2</v>
      </c>
      <c r="E4" s="8">
        <f t="shared" ref="E4:E14" si="0">((D4*$X$3)/SUM($D$4:$D$14))</f>
        <v>0.35147486497714997</v>
      </c>
      <c r="F4" s="8">
        <f t="shared" ref="F4:F13" si="1">((D4*$X$4)/SUM($D$5:$D$14))</f>
        <v>0.26541176470588235</v>
      </c>
      <c r="G4" s="8">
        <v>1</v>
      </c>
      <c r="H4" s="8">
        <f>D4/SUM($D$4:$D$9)</f>
        <v>0.39774330042313111</v>
      </c>
      <c r="I4" s="8">
        <v>0</v>
      </c>
      <c r="J4" s="8">
        <f>H4</f>
        <v>0.39774330042313111</v>
      </c>
      <c r="K4" s="8">
        <v>0.15957755669454965</v>
      </c>
      <c r="L4" s="2">
        <f>(SUMPRODUCT(($K$4&gt;=I4)*($K$4&lt;=J4)))</f>
        <v>1</v>
      </c>
      <c r="M4" s="9">
        <f>VLOOKUP(C4,BASE!$B$2:$D$12,3,)</f>
        <v>29.6</v>
      </c>
      <c r="N4" s="16">
        <v>6</v>
      </c>
      <c r="O4" s="16">
        <f>N4^2</f>
        <v>36</v>
      </c>
      <c r="P4" s="3">
        <f>SUM(D4:D9)*(M4/D4)</f>
        <v>74.419858156028383</v>
      </c>
      <c r="Q4" s="3">
        <f>P4/SUM($D$4:$D$14)</f>
        <v>0.30918096450364929</v>
      </c>
      <c r="R4" s="3">
        <f>D4/SUM($D$4:$D$14)</f>
        <v>0.11715828832571666</v>
      </c>
      <c r="S4" s="3">
        <f>M4/R4</f>
        <v>252.64964539007093</v>
      </c>
      <c r="T4" s="3">
        <f>($X$6-S4)^2</f>
        <v>0.343489678053156</v>
      </c>
      <c r="U4" s="3">
        <f>T4*Q4</f>
        <v>0.10620046995752275</v>
      </c>
      <c r="V4" s="3"/>
      <c r="W4" s="14" t="s">
        <v>20</v>
      </c>
      <c r="X4">
        <v>2</v>
      </c>
    </row>
    <row r="5" spans="2:24">
      <c r="B5" s="7">
        <v>63</v>
      </c>
      <c r="C5" s="8" t="s">
        <v>13</v>
      </c>
      <c r="D5" s="9">
        <v>15</v>
      </c>
      <c r="E5" s="8">
        <f t="shared" si="0"/>
        <v>0.18695471541337766</v>
      </c>
      <c r="F5" s="8">
        <f t="shared" si="1"/>
        <v>0.14117647058823529</v>
      </c>
      <c r="G5" s="8">
        <v>1</v>
      </c>
      <c r="H5" s="8">
        <f t="shared" ref="H5:H9" si="2">D5/SUM($D$4:$D$9)</f>
        <v>0.21156558533145273</v>
      </c>
      <c r="I5" s="8">
        <f>J4</f>
        <v>0.39774330042313111</v>
      </c>
      <c r="J5" s="8">
        <f>I5+H5</f>
        <v>0.60930888575458386</v>
      </c>
      <c r="K5" s="8"/>
      <c r="L5" s="8">
        <f t="shared" ref="L5:L13" si="3">(SUMPRODUCT(($K$4&gt;=I5)*($K$4&lt;=J5)))</f>
        <v>0</v>
      </c>
      <c r="M5" s="9">
        <f>VLOOKUP(C5,BASE!$B$2:$D$12,3,)</f>
        <v>15.1</v>
      </c>
      <c r="N5" s="16"/>
      <c r="O5" s="16"/>
      <c r="P5" s="3"/>
      <c r="Q5" s="3"/>
      <c r="R5" s="3"/>
      <c r="S5" s="3"/>
      <c r="T5" s="3"/>
      <c r="U5" s="3"/>
      <c r="V5" s="3"/>
    </row>
    <row r="6" spans="2:24">
      <c r="B6" s="7">
        <v>56</v>
      </c>
      <c r="C6" s="8" t="s">
        <v>6</v>
      </c>
      <c r="D6" s="9">
        <v>11.1</v>
      </c>
      <c r="E6" s="8">
        <f t="shared" si="0"/>
        <v>0.13834648940589944</v>
      </c>
      <c r="F6" s="8">
        <f t="shared" si="1"/>
        <v>0.10447058823529412</v>
      </c>
      <c r="G6" s="8">
        <v>1</v>
      </c>
      <c r="H6" s="8">
        <f t="shared" si="2"/>
        <v>0.15655853314527501</v>
      </c>
      <c r="I6" s="8">
        <f t="shared" ref="I6:I9" si="4">J5</f>
        <v>0.60930888575458386</v>
      </c>
      <c r="J6" s="8">
        <f t="shared" ref="J6:J9" si="5">I6+H6</f>
        <v>0.76586741889985888</v>
      </c>
      <c r="K6" s="8"/>
      <c r="L6" s="8">
        <f t="shared" si="3"/>
        <v>0</v>
      </c>
      <c r="M6" s="9">
        <f>VLOOKUP(C6,BASE!$B$2:$D$12,3,)</f>
        <v>11.6</v>
      </c>
      <c r="N6" s="16"/>
      <c r="O6" s="16"/>
      <c r="P6" s="3"/>
      <c r="Q6" s="3"/>
      <c r="R6" s="3"/>
      <c r="S6" s="3"/>
      <c r="T6" s="3"/>
      <c r="U6" s="3"/>
      <c r="V6" s="3"/>
      <c r="W6" s="13" t="s">
        <v>35</v>
      </c>
      <c r="X6" s="3">
        <f>SUM(P4,P11,P14)</f>
        <v>253.23572531469995</v>
      </c>
    </row>
    <row r="7" spans="2:24">
      <c r="B7" s="7">
        <v>58</v>
      </c>
      <c r="C7" s="8" t="s">
        <v>8</v>
      </c>
      <c r="D7" s="9">
        <v>8.1</v>
      </c>
      <c r="E7" s="8">
        <f t="shared" si="0"/>
        <v>0.10095554632322393</v>
      </c>
      <c r="F7" s="8">
        <f t="shared" si="1"/>
        <v>7.6235294117647054E-2</v>
      </c>
      <c r="G7" s="8">
        <v>1</v>
      </c>
      <c r="H7" s="8">
        <f t="shared" si="2"/>
        <v>0.11424541607898447</v>
      </c>
      <c r="I7" s="8">
        <f t="shared" si="4"/>
        <v>0.76586741889985888</v>
      </c>
      <c r="J7" s="8">
        <f t="shared" si="5"/>
        <v>0.88011283497884341</v>
      </c>
      <c r="K7" s="8"/>
      <c r="L7" s="8">
        <f t="shared" si="3"/>
        <v>0</v>
      </c>
      <c r="M7" s="9">
        <f>VLOOKUP(C7,BASE!$B$2:$D$12,3,)</f>
        <v>9.1999999999999993</v>
      </c>
      <c r="N7" s="16"/>
      <c r="O7" s="16"/>
      <c r="P7" s="3"/>
      <c r="Q7" s="3"/>
      <c r="R7" s="3"/>
      <c r="S7" s="3"/>
      <c r="T7" s="3"/>
      <c r="U7" s="3"/>
      <c r="V7" s="3"/>
    </row>
    <row r="8" spans="2:24">
      <c r="B8" s="7">
        <v>54</v>
      </c>
      <c r="C8" s="8" t="s">
        <v>4</v>
      </c>
      <c r="D8" s="9">
        <v>5.6</v>
      </c>
      <c r="E8" s="8">
        <f t="shared" si="0"/>
        <v>6.9796427087660984E-2</v>
      </c>
      <c r="F8" s="8">
        <f t="shared" si="1"/>
        <v>5.2705882352941172E-2</v>
      </c>
      <c r="G8" s="8">
        <v>1</v>
      </c>
      <c r="H8" s="8">
        <f t="shared" si="2"/>
        <v>7.8984485190409015E-2</v>
      </c>
      <c r="I8" s="8">
        <f t="shared" si="4"/>
        <v>0.88011283497884341</v>
      </c>
      <c r="J8" s="8">
        <f t="shared" si="5"/>
        <v>0.95909732016925242</v>
      </c>
      <c r="K8" s="8"/>
      <c r="L8" s="8">
        <f t="shared" si="3"/>
        <v>0</v>
      </c>
      <c r="M8" s="9">
        <f>VLOOKUP(C8,BASE!$B$2:$D$12,3,)</f>
        <v>6</v>
      </c>
      <c r="N8" s="16"/>
      <c r="O8" s="16"/>
      <c r="P8" s="3"/>
      <c r="Q8" s="3"/>
      <c r="R8" s="3"/>
      <c r="S8" s="3"/>
      <c r="T8" s="3"/>
      <c r="U8" s="3"/>
      <c r="V8" s="3"/>
      <c r="W8" s="13" t="s">
        <v>36</v>
      </c>
      <c r="X8">
        <f>((O15-N415)/(N15^2 -O15))^2</f>
        <v>0.60748269896193774</v>
      </c>
    </row>
    <row r="9" spans="2:24">
      <c r="B9" s="7">
        <v>62</v>
      </c>
      <c r="C9" s="8" t="s">
        <v>12</v>
      </c>
      <c r="D9" s="9">
        <v>2.9</v>
      </c>
      <c r="E9" s="8">
        <f t="shared" si="0"/>
        <v>3.614457831325301E-2</v>
      </c>
      <c r="F9" s="8">
        <f t="shared" si="1"/>
        <v>2.7294117647058823E-2</v>
      </c>
      <c r="G9" s="8">
        <v>1</v>
      </c>
      <c r="H9" s="8">
        <f t="shared" si="2"/>
        <v>4.0902679830747531E-2</v>
      </c>
      <c r="I9" s="8">
        <f t="shared" si="4"/>
        <v>0.95909732016925242</v>
      </c>
      <c r="J9" s="8">
        <f t="shared" si="5"/>
        <v>1</v>
      </c>
      <c r="K9" s="8"/>
      <c r="L9" s="8">
        <f t="shared" si="3"/>
        <v>0</v>
      </c>
      <c r="M9" s="9">
        <f>VLOOKUP(C9,BASE!$B$2:$D$12,3,)</f>
        <v>2.9</v>
      </c>
      <c r="N9" s="16"/>
      <c r="O9" s="16"/>
      <c r="P9" s="3"/>
      <c r="Q9" s="3"/>
      <c r="R9" s="3"/>
      <c r="S9" s="3"/>
      <c r="T9" s="3"/>
      <c r="U9" s="3"/>
      <c r="V9" s="3"/>
      <c r="W9" s="13" t="s">
        <v>37</v>
      </c>
      <c r="X9" s="18">
        <f>SUM(U4:U14)</f>
        <v>24.939642587932802</v>
      </c>
    </row>
    <row r="10" spans="2:24">
      <c r="B10" s="10">
        <v>59</v>
      </c>
      <c r="C10" s="11" t="s">
        <v>9</v>
      </c>
      <c r="D10" s="12">
        <v>0.9</v>
      </c>
      <c r="E10" s="11">
        <f t="shared" si="0"/>
        <v>1.121728292480266E-2</v>
      </c>
      <c r="F10" s="11">
        <f t="shared" si="1"/>
        <v>8.4705882352941186E-3</v>
      </c>
      <c r="G10" s="11">
        <v>2</v>
      </c>
      <c r="H10" s="11">
        <f>D10/SUM($D$10:$D$13)</f>
        <v>1.8556701030927835E-2</v>
      </c>
      <c r="I10" s="11">
        <v>0</v>
      </c>
      <c r="J10" s="11">
        <f>H10</f>
        <v>1.8556701030927835E-2</v>
      </c>
      <c r="K10" s="11">
        <v>0.63065502197814649</v>
      </c>
      <c r="L10" s="11">
        <f t="shared" si="3"/>
        <v>0</v>
      </c>
      <c r="M10" s="12">
        <f>VLOOKUP(C10,BASE!$B$2:$D$12,3,)</f>
        <v>0.9</v>
      </c>
      <c r="P10" s="3"/>
      <c r="Q10" s="3"/>
      <c r="R10" s="3"/>
      <c r="S10" s="3"/>
      <c r="T10" s="3"/>
      <c r="U10" s="3"/>
      <c r="V10" s="3"/>
    </row>
    <row r="11" spans="2:24">
      <c r="B11" s="10">
        <v>57</v>
      </c>
      <c r="C11" s="11" t="s">
        <v>7</v>
      </c>
      <c r="D11" s="12">
        <v>27.1</v>
      </c>
      <c r="E11" s="11">
        <f t="shared" si="0"/>
        <v>0.33776485251350236</v>
      </c>
      <c r="F11" s="11">
        <f t="shared" si="1"/>
        <v>0.25505882352941178</v>
      </c>
      <c r="G11" s="11">
        <v>2</v>
      </c>
      <c r="H11" s="11">
        <f t="shared" ref="H11:H13" si="6">D11/SUM($D$10:$D$13)</f>
        <v>0.55876288659793816</v>
      </c>
      <c r="I11" s="11">
        <f>J10</f>
        <v>1.8556701030927835E-2</v>
      </c>
      <c r="J11" s="11">
        <f>I11+H11</f>
        <v>0.57731958762886604</v>
      </c>
      <c r="K11" s="11"/>
      <c r="L11" s="2">
        <f t="shared" si="3"/>
        <v>1</v>
      </c>
      <c r="M11" s="12">
        <f>VLOOKUP(C11,BASE!$B$2:$D$12,3,)</f>
        <v>27.5</v>
      </c>
      <c r="N11" s="16">
        <v>4</v>
      </c>
      <c r="O11" s="16">
        <f>N11^2</f>
        <v>16</v>
      </c>
      <c r="P11" s="3">
        <v>49.215867158671585</v>
      </c>
      <c r="Q11" s="3">
        <f>P11/SUM($D$4:$D$14)</f>
        <v>0.20446974307715657</v>
      </c>
      <c r="R11" s="3">
        <f>D11/SUM($D$4:$D$14)</f>
        <v>0.11258828417116744</v>
      </c>
      <c r="S11" s="3">
        <f>M11/R11</f>
        <v>244.25276752767525</v>
      </c>
      <c r="T11" s="3">
        <f>($X$6-S11)^2</f>
        <v>80.693530603467735</v>
      </c>
      <c r="U11" s="3">
        <f>T11*Q11</f>
        <v>16.499385470479719</v>
      </c>
      <c r="V11" s="3"/>
      <c r="W11" s="14" t="s">
        <v>38</v>
      </c>
      <c r="X11" s="18">
        <f>X8*X9</f>
        <v>15.150401390463504</v>
      </c>
    </row>
    <row r="12" spans="2:24">
      <c r="B12" s="10">
        <v>61</v>
      </c>
      <c r="C12" s="11" t="s">
        <v>11</v>
      </c>
      <c r="D12" s="12">
        <v>17.3</v>
      </c>
      <c r="E12" s="11">
        <f t="shared" si="0"/>
        <v>0.21562110511009558</v>
      </c>
      <c r="F12" s="11">
        <f t="shared" si="1"/>
        <v>0.1628235294117647</v>
      </c>
      <c r="G12" s="11">
        <v>2</v>
      </c>
      <c r="H12" s="11">
        <f t="shared" si="6"/>
        <v>0.35670103092783506</v>
      </c>
      <c r="I12" s="11">
        <f t="shared" ref="I12:I13" si="7">J11</f>
        <v>0.57731958762886604</v>
      </c>
      <c r="J12" s="11">
        <f t="shared" ref="J12:J13" si="8">I12+H12</f>
        <v>0.93402061855670104</v>
      </c>
      <c r="K12" s="11"/>
      <c r="L12" s="11">
        <f t="shared" si="3"/>
        <v>0</v>
      </c>
      <c r="M12" s="12">
        <f>VLOOKUP(C12,BASE!$B$2:$D$12,3,)</f>
        <v>18.7</v>
      </c>
      <c r="N12" s="16"/>
      <c r="O12" s="16"/>
      <c r="P12" s="3"/>
      <c r="Q12" s="3"/>
      <c r="R12" s="3"/>
      <c r="S12" s="3"/>
      <c r="T12" s="3"/>
      <c r="U12" s="3"/>
      <c r="V12" s="3"/>
      <c r="W12" s="14" t="s">
        <v>39</v>
      </c>
      <c r="X12" s="19">
        <f>SQRT(X11)/X6</f>
        <v>1.5370468160224474E-2</v>
      </c>
    </row>
    <row r="13" spans="2:24">
      <c r="B13" s="10">
        <v>60</v>
      </c>
      <c r="C13" s="11" t="s">
        <v>10</v>
      </c>
      <c r="D13" s="12">
        <v>3.2</v>
      </c>
      <c r="E13" s="11">
        <f t="shared" si="0"/>
        <v>3.9883672621520573E-2</v>
      </c>
      <c r="F13" s="11">
        <f t="shared" si="1"/>
        <v>3.011764705882353E-2</v>
      </c>
      <c r="G13" s="11">
        <v>2</v>
      </c>
      <c r="H13" s="11">
        <f t="shared" si="6"/>
        <v>6.5979381443298971E-2</v>
      </c>
      <c r="I13" s="11">
        <f t="shared" si="7"/>
        <v>0.93402061855670104</v>
      </c>
      <c r="J13" s="11">
        <f t="shared" si="8"/>
        <v>1</v>
      </c>
      <c r="K13" s="11"/>
      <c r="L13" s="11">
        <f t="shared" si="3"/>
        <v>0</v>
      </c>
      <c r="M13" s="12">
        <f>VLOOKUP(C13,BASE!$B$2:$D$12,3,)</f>
        <v>3.4</v>
      </c>
      <c r="N13" s="16"/>
      <c r="O13" s="16"/>
      <c r="P13" s="3"/>
      <c r="Q13" s="3"/>
      <c r="R13" s="3"/>
      <c r="S13" s="3"/>
      <c r="T13" s="3"/>
      <c r="U13" s="3"/>
      <c r="V13" s="3"/>
      <c r="W13" s="14" t="s">
        <v>40</v>
      </c>
      <c r="X13" s="20">
        <f>$X$3-1.96*SQRT($X$8)</f>
        <v>1.4723529411764706</v>
      </c>
    </row>
    <row r="14" spans="2:24">
      <c r="B14" s="1">
        <v>55</v>
      </c>
      <c r="C14" t="s">
        <v>5</v>
      </c>
      <c r="D14" s="3">
        <v>121.3</v>
      </c>
      <c r="E14">
        <f t="shared" si="0"/>
        <v>1.5118404653095139</v>
      </c>
      <c r="F14">
        <v>1</v>
      </c>
      <c r="G14" s="6" t="s">
        <v>22</v>
      </c>
      <c r="M14" s="15">
        <f>VLOOKUP(C14,BASE!$B$2:$D$12,3,)</f>
        <v>129.6</v>
      </c>
      <c r="N14" s="16">
        <v>1</v>
      </c>
      <c r="O14" s="16">
        <f t="shared" ref="O14" si="9">N14^2</f>
        <v>1</v>
      </c>
      <c r="P14" s="3">
        <f>(M14/D14)*D14</f>
        <v>129.6</v>
      </c>
      <c r="Q14" s="3">
        <f>P14/SUM($D$4:$D$14)</f>
        <v>0.53842958039052768</v>
      </c>
      <c r="R14" s="3">
        <f>D14/SUM($D$4:$D$14)</f>
        <v>0.50394682176983796</v>
      </c>
      <c r="S14" s="3">
        <f>M14/R14</f>
        <v>257.16999175597692</v>
      </c>
      <c r="T14" s="3">
        <f>($X$6-S14)^2</f>
        <v>15.478452430958193</v>
      </c>
      <c r="U14" s="3">
        <f>T14*Q14</f>
        <v>8.3340566474955633</v>
      </c>
      <c r="V14" s="3"/>
      <c r="W14" s="14" t="s">
        <v>41</v>
      </c>
      <c r="X14" s="20">
        <f>$X$3+1.96*SQRT($X$8)</f>
        <v>4.5276470588235291</v>
      </c>
    </row>
    <row r="15" spans="2:24">
      <c r="N15" s="16">
        <f>SUM(N4:N14)</f>
        <v>11</v>
      </c>
      <c r="O15" s="16">
        <f>SUM(O4:O14)</f>
        <v>53</v>
      </c>
    </row>
  </sheetData>
  <autoFilter ref="B3:G3" xr:uid="{14CB41C0-21B9-4622-925C-9A089CB05238}">
    <sortState xmlns:xlrd2="http://schemas.microsoft.com/office/spreadsheetml/2017/richdata2" ref="B4:G14">
      <sortCondition ref="G3"/>
    </sortState>
  </autoFilter>
  <mergeCells count="1">
    <mergeCell ref="I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D146-BD12-42C5-8356-49EC33A86DC8}">
  <dimension ref="B2:R48"/>
  <sheetViews>
    <sheetView tabSelected="1" topLeftCell="B30" workbookViewId="0">
      <selection activeCell="P27" sqref="P27"/>
    </sheetView>
  </sheetViews>
  <sheetFormatPr baseColWidth="10" defaultRowHeight="14.4"/>
  <cols>
    <col min="4" max="4" width="14" bestFit="1" customWidth="1"/>
    <col min="17" max="17" width="15.33203125" bestFit="1" customWidth="1"/>
  </cols>
  <sheetData>
    <row r="2" spans="2:18" ht="15.6">
      <c r="B2" s="21" t="s">
        <v>42</v>
      </c>
      <c r="C2" s="21" t="s">
        <v>0</v>
      </c>
      <c r="D2" s="21" t="s">
        <v>2</v>
      </c>
      <c r="E2" s="21" t="s">
        <v>43</v>
      </c>
      <c r="F2" s="21" t="s">
        <v>44</v>
      </c>
      <c r="G2" s="21" t="s">
        <v>45</v>
      </c>
      <c r="H2" s="14" t="s">
        <v>46</v>
      </c>
      <c r="I2" s="14" t="s">
        <v>47</v>
      </c>
      <c r="J2" s="14" t="s">
        <v>48</v>
      </c>
      <c r="K2" s="14" t="s">
        <v>49</v>
      </c>
      <c r="L2" s="14" t="s">
        <v>50</v>
      </c>
      <c r="M2" s="21" t="s">
        <v>1</v>
      </c>
      <c r="N2" s="14" t="s">
        <v>52</v>
      </c>
      <c r="O2" s="14" t="s">
        <v>54</v>
      </c>
      <c r="Q2" s="14" t="s">
        <v>19</v>
      </c>
      <c r="R2">
        <v>3</v>
      </c>
    </row>
    <row r="3" spans="2:18">
      <c r="B3" s="22">
        <v>55</v>
      </c>
      <c r="C3" s="23" t="s">
        <v>5</v>
      </c>
      <c r="D3" s="24">
        <v>121.3</v>
      </c>
      <c r="E3" s="23">
        <f t="shared" ref="E3:E13" si="0">$R$2*D3/(SUM($D$3:$D$13))</f>
        <v>1.5118404653095139</v>
      </c>
      <c r="F3" s="23">
        <v>1</v>
      </c>
      <c r="J3">
        <v>1</v>
      </c>
      <c r="K3">
        <f>J3</f>
        <v>1</v>
      </c>
      <c r="L3">
        <v>1</v>
      </c>
      <c r="M3" s="3">
        <f>VLOOKUP(C3,BASE!$B$2:$D$12, 3,)</f>
        <v>129.6</v>
      </c>
      <c r="N3" s="29">
        <f>M3*J3/L3</f>
        <v>129.6</v>
      </c>
      <c r="Q3" s="14" t="s">
        <v>20</v>
      </c>
      <c r="R3">
        <v>2</v>
      </c>
    </row>
    <row r="4" spans="2:18">
      <c r="B4" s="7">
        <v>53</v>
      </c>
      <c r="C4" s="8" t="s">
        <v>3</v>
      </c>
      <c r="D4" s="9">
        <v>28.2</v>
      </c>
      <c r="E4" s="8">
        <f t="shared" si="0"/>
        <v>0.35147486497714997</v>
      </c>
      <c r="F4" s="8">
        <f t="shared" ref="F4:F13" si="1">$R$3*D4/(SUM($D$4:$D$13))</f>
        <v>0.47236180904522618</v>
      </c>
      <c r="G4" s="8">
        <f>$R$3*D4/(SUM(D4:$D$13))</f>
        <v>0.47236180904522618</v>
      </c>
      <c r="H4" s="8">
        <v>0.47236180904522618</v>
      </c>
      <c r="I4" s="8">
        <v>0.62369761207200813</v>
      </c>
      <c r="J4" s="8">
        <f>IF(I4&lt;H4,1,0)</f>
        <v>0</v>
      </c>
      <c r="K4" s="8">
        <f>K3+J4</f>
        <v>1</v>
      </c>
      <c r="L4">
        <f t="shared" ref="L4:L11" si="2">($R$3*D4)/SUM($D$4:$D$13)</f>
        <v>0.47236180904522618</v>
      </c>
      <c r="M4" s="3">
        <f>VLOOKUP(C4,BASE!$B$2:$D$12, 3,)</f>
        <v>29.6</v>
      </c>
      <c r="N4" s="29"/>
      <c r="O4">
        <f>1/SUM($D$5:$D$13)</f>
        <v>1.0964912280701754E-2</v>
      </c>
    </row>
    <row r="5" spans="2:18">
      <c r="B5" s="7">
        <v>57</v>
      </c>
      <c r="C5" s="8" t="s">
        <v>7</v>
      </c>
      <c r="D5" s="9">
        <v>27.1</v>
      </c>
      <c r="E5" s="8">
        <f t="shared" si="0"/>
        <v>0.33776485251350236</v>
      </c>
      <c r="F5" s="8">
        <f t="shared" si="1"/>
        <v>0.45393634840871028</v>
      </c>
      <c r="G5" s="8">
        <f>$R$3*D5/(SUM(D5:$D$13))</f>
        <v>0.5942982456140351</v>
      </c>
      <c r="H5" s="8">
        <f>(($R$2-K4)*D5)/SUM(D4:$D$13)</f>
        <v>0.45393634840871028</v>
      </c>
      <c r="I5" s="8">
        <v>0.25181014823173531</v>
      </c>
      <c r="J5" s="8">
        <f t="shared" ref="J5:J13" si="3">IF(I5&lt;H5,1,0)</f>
        <v>1</v>
      </c>
      <c r="K5" s="8">
        <f t="shared" ref="K5:K13" si="4">K4+J5</f>
        <v>2</v>
      </c>
      <c r="L5">
        <f t="shared" si="2"/>
        <v>0.45393634840871028</v>
      </c>
      <c r="M5" s="3">
        <f>VLOOKUP(C5,BASE!$B$2:$D$12, 3,)</f>
        <v>27.5</v>
      </c>
      <c r="N5" s="29">
        <f t="shared" ref="N5:N8" si="5">M5*J5/L5</f>
        <v>60.58118081180811</v>
      </c>
      <c r="O5">
        <f>O4*((SUM(D5:$D$13)-D4)/SUM(D6:$D$13))</f>
        <v>1.0776746859348055E-2</v>
      </c>
      <c r="Q5" s="14" t="s">
        <v>51</v>
      </c>
      <c r="R5">
        <f>SUM(D12:D13)/(11-9+1)</f>
        <v>1.2666666666666666</v>
      </c>
    </row>
    <row r="6" spans="2:18">
      <c r="B6" s="7">
        <v>61</v>
      </c>
      <c r="C6" s="8" t="s">
        <v>11</v>
      </c>
      <c r="D6" s="9">
        <v>17.3</v>
      </c>
      <c r="E6" s="8">
        <f t="shared" si="0"/>
        <v>0.21562110511009558</v>
      </c>
      <c r="F6" s="8">
        <f t="shared" si="1"/>
        <v>0.28978224455611395</v>
      </c>
      <c r="G6" s="8">
        <f>$R$3*D6/(SUM(D6:$D$13))</f>
        <v>0.53978159126365055</v>
      </c>
      <c r="H6" s="8">
        <f>(($R$2-K5)*D6)/SUM(D5:$D$13)</f>
        <v>0.18969298245614036</v>
      </c>
      <c r="I6" s="8">
        <v>0.61227379349082212</v>
      </c>
      <c r="J6" s="8">
        <f t="shared" si="3"/>
        <v>0</v>
      </c>
      <c r="K6" s="8">
        <f t="shared" si="4"/>
        <v>2</v>
      </c>
      <c r="L6">
        <f t="shared" si="2"/>
        <v>0.28978224455611395</v>
      </c>
      <c r="M6" s="3">
        <f>VLOOKUP(C6,BASE!$B$2:$D$12, 3,)</f>
        <v>18.7</v>
      </c>
      <c r="N6" s="29"/>
      <c r="O6">
        <f>O5*((SUM(D6:$D$13)-D5)/SUM(D7:$D$13))</f>
        <v>8.5200776452110695E-3</v>
      </c>
    </row>
    <row r="7" spans="2:18">
      <c r="B7" s="7">
        <v>63</v>
      </c>
      <c r="C7" s="8" t="s">
        <v>13</v>
      </c>
      <c r="D7" s="9">
        <v>15</v>
      </c>
      <c r="E7" s="8">
        <f t="shared" si="0"/>
        <v>0.18695471541337766</v>
      </c>
      <c r="F7" s="8">
        <f t="shared" si="1"/>
        <v>0.25125628140703521</v>
      </c>
      <c r="G7" s="8">
        <f>$R$3*D7/(SUM(D7:$D$13))</f>
        <v>0.64102564102564097</v>
      </c>
      <c r="H7" s="8">
        <f>(($R$2-K6)*D7)/SUM(D6:$D$13)</f>
        <v>0.23400936037441494</v>
      </c>
      <c r="I7" s="8">
        <v>0.62625856853871897</v>
      </c>
      <c r="J7" s="8">
        <f t="shared" si="3"/>
        <v>0</v>
      </c>
      <c r="K7" s="8">
        <f t="shared" si="4"/>
        <v>2</v>
      </c>
      <c r="L7">
        <f t="shared" si="2"/>
        <v>0.25125628140703521</v>
      </c>
      <c r="M7" s="3">
        <f>VLOOKUP(C7,BASE!$B$2:$D$12, 3,)</f>
        <v>15.1</v>
      </c>
      <c r="N7" s="29"/>
      <c r="O7">
        <f>O6*((SUM(D7:$D$13)-D6)/SUM(D8:$D$13))</f>
        <v>7.9038456142681342E-3</v>
      </c>
      <c r="Q7" s="14" t="s">
        <v>53</v>
      </c>
      <c r="R7" s="29">
        <f>SUM(N3:N8)</f>
        <v>252.57037000099729</v>
      </c>
    </row>
    <row r="8" spans="2:18">
      <c r="B8" s="7">
        <v>56</v>
      </c>
      <c r="C8" s="8" t="s">
        <v>6</v>
      </c>
      <c r="D8" s="9">
        <v>11.1</v>
      </c>
      <c r="E8" s="8">
        <f t="shared" si="0"/>
        <v>0.13834648940589944</v>
      </c>
      <c r="F8" s="8">
        <f t="shared" si="1"/>
        <v>0.18592964824120603</v>
      </c>
      <c r="G8" s="8">
        <f>$R$3*D8/(SUM(D8:$D$13))</f>
        <v>0.69811320754716988</v>
      </c>
      <c r="H8" s="8">
        <f>(($R$2-K7)*D8)/SUM(D7:$D$13)</f>
        <v>0.23717948717948714</v>
      </c>
      <c r="I8" s="8">
        <v>0.1880930145485088</v>
      </c>
      <c r="J8" s="8">
        <f t="shared" si="3"/>
        <v>1</v>
      </c>
      <c r="K8" s="8">
        <f t="shared" si="4"/>
        <v>3</v>
      </c>
      <c r="L8">
        <f t="shared" si="2"/>
        <v>0.18592964824120603</v>
      </c>
      <c r="M8" s="3">
        <f>VLOOKUP(C8,BASE!$B$2:$D$12, 3,)</f>
        <v>11.6</v>
      </c>
      <c r="N8" s="29">
        <f t="shared" si="5"/>
        <v>62.389189189189189</v>
      </c>
      <c r="O8">
        <f>O7*((SUM(D8:$D$13)-D7)/SUM(D9:$D$13))</f>
        <v>6.4147152811451511E-3</v>
      </c>
    </row>
    <row r="9" spans="2:18">
      <c r="B9" s="7">
        <v>58</v>
      </c>
      <c r="C9" s="8" t="s">
        <v>8</v>
      </c>
      <c r="D9" s="9">
        <v>8.1</v>
      </c>
      <c r="E9" s="8">
        <f t="shared" si="0"/>
        <v>0.10095554632322393</v>
      </c>
      <c r="F9" s="8">
        <f t="shared" si="1"/>
        <v>0.135678391959799</v>
      </c>
      <c r="G9" s="8">
        <f>$R$3*D9/(SUM(D9:$D$13))</f>
        <v>0.78260869565217406</v>
      </c>
      <c r="H9" s="8">
        <f>(($R$2-K8)*D9)/SUM(D8:$D$13)</f>
        <v>0</v>
      </c>
      <c r="I9" s="8">
        <v>0.26050649858015584</v>
      </c>
      <c r="J9" s="8">
        <f t="shared" si="3"/>
        <v>0</v>
      </c>
      <c r="K9" s="8">
        <f t="shared" si="4"/>
        <v>3</v>
      </c>
      <c r="L9">
        <f t="shared" si="2"/>
        <v>0.135678391959799</v>
      </c>
      <c r="M9" s="3">
        <f>VLOOKUP(C9,BASE!$B$2:$D$12, 3,)</f>
        <v>9.1999999999999993</v>
      </c>
      <c r="N9" s="29"/>
      <c r="O9">
        <f>O8*((SUM(D9:$D$13)-D8)/SUM(D10:$D$13))</f>
        <v>4.8874021189677314E-3</v>
      </c>
      <c r="Q9" s="14" t="s">
        <v>56</v>
      </c>
      <c r="R9">
        <f>2/SUM(D4:D13)</f>
        <v>1.6750418760469014E-2</v>
      </c>
    </row>
    <row r="10" spans="2:18">
      <c r="B10" s="7">
        <v>54</v>
      </c>
      <c r="C10" s="8" t="s">
        <v>4</v>
      </c>
      <c r="D10" s="9">
        <v>5.6</v>
      </c>
      <c r="E10" s="8">
        <f t="shared" si="0"/>
        <v>6.9796427087660984E-2</v>
      </c>
      <c r="F10" s="8">
        <f t="shared" si="1"/>
        <v>9.380234505862646E-2</v>
      </c>
      <c r="G10" s="8">
        <f>$R$3*D10/(SUM(D10:$D$13))</f>
        <v>0.88888888888888873</v>
      </c>
      <c r="H10" s="8">
        <f>(($R$2-K9)*D10)/SUM(D9:$D$13)</f>
        <v>0</v>
      </c>
      <c r="I10" s="8">
        <v>0.10189715151469592</v>
      </c>
      <c r="J10" s="8">
        <f t="shared" si="3"/>
        <v>0</v>
      </c>
      <c r="K10" s="8">
        <f t="shared" si="4"/>
        <v>3</v>
      </c>
      <c r="L10">
        <f t="shared" si="2"/>
        <v>9.380234505862646E-2</v>
      </c>
      <c r="M10" s="3">
        <f>VLOOKUP(C10,BASE!$B$2:$D$12, 3,)</f>
        <v>6</v>
      </c>
      <c r="N10" s="29"/>
      <c r="O10">
        <f>O9*((SUM(D10:$D$13)-D9)/SUM(D11:$D$13))</f>
        <v>3.1419013621935428E-3</v>
      </c>
    </row>
    <row r="11" spans="2:18">
      <c r="B11" s="7">
        <v>60</v>
      </c>
      <c r="C11" s="8" t="s">
        <v>10</v>
      </c>
      <c r="D11" s="9">
        <v>3.2</v>
      </c>
      <c r="E11" s="8">
        <f t="shared" si="0"/>
        <v>3.9883672621520573E-2</v>
      </c>
      <c r="F11" s="8">
        <f t="shared" si="1"/>
        <v>5.3601340033500845E-2</v>
      </c>
      <c r="G11" s="8">
        <f>$R$3*D11/(SUM(D11:$D$13))</f>
        <v>0.91428571428571437</v>
      </c>
      <c r="H11" s="8">
        <f>(($R$2-K10)*D11)/SUM(D10:$D$13)</f>
        <v>0</v>
      </c>
      <c r="I11" s="8">
        <v>0.76997839253760936</v>
      </c>
      <c r="J11" s="8">
        <f t="shared" si="3"/>
        <v>0</v>
      </c>
      <c r="K11" s="8">
        <f t="shared" si="4"/>
        <v>3</v>
      </c>
      <c r="L11">
        <f t="shared" si="2"/>
        <v>5.3601340033500845E-2</v>
      </c>
      <c r="M11" s="3">
        <f>VLOOKUP(C11,BASE!$B$2:$D$12, 3,)</f>
        <v>3.4</v>
      </c>
      <c r="N11" s="29"/>
      <c r="O11">
        <f>O10*((SUM(D11:$D$13)-D10)/SUM(D12:$D$13))</f>
        <v>1.1575426071239372E-3</v>
      </c>
    </row>
    <row r="12" spans="2:18">
      <c r="B12" s="25">
        <v>62</v>
      </c>
      <c r="C12" s="26" t="s">
        <v>12</v>
      </c>
      <c r="D12" s="27">
        <v>2.9</v>
      </c>
      <c r="E12" s="26">
        <f t="shared" si="0"/>
        <v>3.614457831325301E-2</v>
      </c>
      <c r="F12" s="26">
        <f t="shared" si="1"/>
        <v>4.8576214405360134E-2</v>
      </c>
      <c r="G12" s="26">
        <f>$R$3*D12/(SUM(D12:$D$13))</f>
        <v>1.5263157894736843</v>
      </c>
      <c r="H12" s="26">
        <f>(($R$2-K11)*D12)/SUM(D11:$D$13)</f>
        <v>0</v>
      </c>
      <c r="I12" s="26">
        <v>0.44801350035579601</v>
      </c>
      <c r="J12" s="26">
        <f t="shared" si="3"/>
        <v>0</v>
      </c>
      <c r="K12" s="26">
        <f t="shared" si="4"/>
        <v>3</v>
      </c>
      <c r="L12">
        <f>(3-SUM($L$3:$L$11))/2</f>
        <v>3.1825795644891297E-2</v>
      </c>
      <c r="M12" s="3">
        <f>VLOOKUP(C12,BASE!$B$2:$D$12, 3,)</f>
        <v>2.9</v>
      </c>
      <c r="N12" s="29"/>
    </row>
    <row r="13" spans="2:18">
      <c r="B13" s="25">
        <v>59</v>
      </c>
      <c r="C13" s="26" t="s">
        <v>9</v>
      </c>
      <c r="D13" s="27">
        <v>0.9</v>
      </c>
      <c r="E13" s="26">
        <f t="shared" si="0"/>
        <v>1.121728292480266E-2</v>
      </c>
      <c r="F13" s="26">
        <f t="shared" si="1"/>
        <v>1.5075376884422112E-2</v>
      </c>
      <c r="G13" s="26">
        <f>$R$3*D13/(SUM(D13:$D$13))</f>
        <v>2</v>
      </c>
      <c r="H13" s="26">
        <f>(($R$2-K12)*D13)/SUM(D12:$D$13)</f>
        <v>0</v>
      </c>
      <c r="I13" s="26">
        <v>0.53005583297618042</v>
      </c>
      <c r="J13" s="26">
        <f t="shared" si="3"/>
        <v>0</v>
      </c>
      <c r="K13" s="26">
        <f t="shared" si="4"/>
        <v>3</v>
      </c>
      <c r="L13">
        <f>(3-SUM($L$3:$L$11))/2</f>
        <v>3.1825795644891297E-2</v>
      </c>
      <c r="M13" s="3">
        <f>VLOOKUP(C13,BASE!$B$2:$D$12, 3,)</f>
        <v>0.9</v>
      </c>
      <c r="N13" s="29"/>
    </row>
    <row r="14" spans="2:18">
      <c r="H14" s="28"/>
    </row>
    <row r="17" spans="3:17" ht="18">
      <c r="C17" s="33" t="s">
        <v>55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</row>
    <row r="18" spans="3:17">
      <c r="D18" s="23" t="s">
        <v>5</v>
      </c>
      <c r="E18" s="8" t="s">
        <v>3</v>
      </c>
      <c r="F18" s="8" t="s">
        <v>7</v>
      </c>
      <c r="G18" s="8" t="s">
        <v>11</v>
      </c>
      <c r="H18" s="8" t="s">
        <v>13</v>
      </c>
      <c r="I18" s="8" t="s">
        <v>6</v>
      </c>
      <c r="J18" s="8" t="s">
        <v>8</v>
      </c>
      <c r="K18" s="8" t="s">
        <v>4</v>
      </c>
      <c r="L18" s="8" t="s">
        <v>10</v>
      </c>
      <c r="M18" s="26" t="s">
        <v>12</v>
      </c>
      <c r="N18" s="26" t="s">
        <v>9</v>
      </c>
    </row>
    <row r="19" spans="3:17">
      <c r="C19" s="23" t="s">
        <v>5</v>
      </c>
      <c r="D19">
        <v>1</v>
      </c>
      <c r="E19" s="30">
        <v>0.47236180904522601</v>
      </c>
      <c r="F19" s="30">
        <v>0.45393634840871</v>
      </c>
      <c r="G19" s="30">
        <v>0.28978224455611401</v>
      </c>
      <c r="H19" s="30">
        <v>0.25125628140703499</v>
      </c>
      <c r="I19" s="30">
        <v>0.185929648241206</v>
      </c>
      <c r="J19" s="30">
        <v>0.135678391959799</v>
      </c>
      <c r="K19" s="30">
        <v>9.3802345058626405E-2</v>
      </c>
      <c r="L19" s="30">
        <v>5.3601340033500797E-2</v>
      </c>
      <c r="M19" s="34">
        <v>3.1825795644891103E-2</v>
      </c>
      <c r="N19" s="34">
        <v>3.1825795644891103E-2</v>
      </c>
    </row>
    <row r="20" spans="3:17">
      <c r="C20" s="8" t="s">
        <v>3</v>
      </c>
      <c r="D20" s="30">
        <v>0.47236180904522601</v>
      </c>
      <c r="E20" s="8">
        <v>0.47236180904522601</v>
      </c>
      <c r="F20" s="8">
        <v>0.14036189720532499</v>
      </c>
      <c r="G20" s="8">
        <v>8.9603720356166802E-2</v>
      </c>
      <c r="H20" s="8">
        <v>7.7691087014017404E-2</v>
      </c>
      <c r="I20" s="8">
        <v>5.7491404390372897E-2</v>
      </c>
      <c r="J20" s="8">
        <v>4.1953186987569398E-2</v>
      </c>
      <c r="K20" s="8">
        <v>2.90046724852332E-2</v>
      </c>
      <c r="L20" s="8">
        <v>1.65740985629904E-2</v>
      </c>
      <c r="M20">
        <v>9.8408710217755407E-3</v>
      </c>
      <c r="N20">
        <v>9.8408710217755407E-3</v>
      </c>
      <c r="Q20">
        <f>VLOOKUP(E18,$C$3:$D$13,2,)</f>
        <v>28.2</v>
      </c>
    </row>
    <row r="21" spans="3:17">
      <c r="C21" s="8" t="s">
        <v>7</v>
      </c>
      <c r="D21" s="30">
        <v>0.45393634840871</v>
      </c>
      <c r="E21" s="8">
        <v>0.14036189720532499</v>
      </c>
      <c r="F21" s="8">
        <v>0.45393634840871</v>
      </c>
      <c r="G21" s="8">
        <v>8.4630858125094702E-2</v>
      </c>
      <c r="H21" s="8">
        <v>7.3379356755862393E-2</v>
      </c>
      <c r="I21" s="8">
        <v>5.4300723999338198E-2</v>
      </c>
      <c r="J21" s="8">
        <v>3.9624852648165697E-2</v>
      </c>
      <c r="K21" s="8">
        <v>2.7394959855522E-2</v>
      </c>
      <c r="L21" s="8">
        <v>1.5654262774584E-2</v>
      </c>
      <c r="M21">
        <v>9.2947185224092396E-3</v>
      </c>
      <c r="N21">
        <v>9.2947185224092396E-3</v>
      </c>
    </row>
    <row r="22" spans="3:17">
      <c r="C22" s="8" t="s">
        <v>11</v>
      </c>
      <c r="D22" s="30">
        <v>0.28978224455611401</v>
      </c>
      <c r="E22" s="8">
        <v>8.9603720356166802E-2</v>
      </c>
      <c r="F22" s="8">
        <v>8.4630858125094702E-2</v>
      </c>
      <c r="G22" s="8">
        <v>0.28978224455611401</v>
      </c>
      <c r="H22" s="8">
        <v>3.7034508357324497E-2</v>
      </c>
      <c r="I22" s="8">
        <v>2.7405536184420098E-2</v>
      </c>
      <c r="J22" s="8">
        <v>1.99986345129552E-2</v>
      </c>
      <c r="K22" s="8">
        <v>1.3826216453401201E-2</v>
      </c>
      <c r="L22" s="8">
        <v>7.9006951162292303E-3</v>
      </c>
      <c r="M22">
        <v>4.6910377252610998E-3</v>
      </c>
      <c r="N22">
        <v>4.6910377252610998E-3</v>
      </c>
    </row>
    <row r="23" spans="3:17">
      <c r="C23" s="8" t="s">
        <v>13</v>
      </c>
      <c r="D23" s="30">
        <v>0.25125628140703499</v>
      </c>
      <c r="E23" s="8">
        <v>7.7691087014017404E-2</v>
      </c>
      <c r="F23" s="8">
        <v>7.3379356755862393E-2</v>
      </c>
      <c r="G23" s="8">
        <v>3.7034508357324497E-2</v>
      </c>
      <c r="H23" s="8">
        <v>0.25125628140703499</v>
      </c>
      <c r="I23" s="8">
        <v>2.2043388522205099E-2</v>
      </c>
      <c r="J23" s="8">
        <v>1.6085715948636101E-2</v>
      </c>
      <c r="K23" s="8">
        <v>1.11209888039954E-2</v>
      </c>
      <c r="L23" s="8">
        <v>6.3548507451402104E-3</v>
      </c>
      <c r="M23">
        <v>3.7731926299270002E-3</v>
      </c>
      <c r="N23">
        <v>3.7731926299270002E-3</v>
      </c>
    </row>
    <row r="24" spans="3:17">
      <c r="C24" s="8" t="s">
        <v>6</v>
      </c>
      <c r="D24" s="30">
        <v>0.185929648241206</v>
      </c>
      <c r="E24" s="8">
        <v>5.7491404390372897E-2</v>
      </c>
      <c r="F24" s="8">
        <v>5.4300723999338198E-2</v>
      </c>
      <c r="G24" s="8">
        <v>2.7405536184420098E-2</v>
      </c>
      <c r="H24" s="8">
        <v>2.2043388522205099E-2</v>
      </c>
      <c r="I24" s="8">
        <v>0.185929648241206</v>
      </c>
      <c r="J24" s="8">
        <v>9.6607546219055294E-3</v>
      </c>
      <c r="K24" s="8">
        <v>6.6790402324285198E-3</v>
      </c>
      <c r="L24" s="8">
        <v>3.81659441853058E-3</v>
      </c>
      <c r="M24">
        <v>2.2661029360025301E-3</v>
      </c>
      <c r="N24">
        <v>2.2661029360025301E-3</v>
      </c>
    </row>
    <row r="25" spans="3:17">
      <c r="C25" s="8" t="s">
        <v>8</v>
      </c>
      <c r="D25" s="30">
        <v>0.135678391959799</v>
      </c>
      <c r="E25" s="8">
        <v>4.1953186987569398E-2</v>
      </c>
      <c r="F25" s="8">
        <v>3.9624852648165697E-2</v>
      </c>
      <c r="G25" s="8">
        <v>1.99986345129552E-2</v>
      </c>
      <c r="H25" s="8">
        <v>1.6085715948636101E-2</v>
      </c>
      <c r="I25" s="8">
        <v>9.6607546219055294E-3</v>
      </c>
      <c r="J25" s="8">
        <v>0.135678391959799</v>
      </c>
      <c r="K25" s="8">
        <v>3.7134432180297599E-3</v>
      </c>
      <c r="L25" s="8">
        <v>2.1219675531598601E-3</v>
      </c>
      <c r="M25">
        <v>1.25991823468867E-3</v>
      </c>
      <c r="N25">
        <v>1.25991823468867E-3</v>
      </c>
    </row>
    <row r="26" spans="3:17">
      <c r="C26" s="8" t="s">
        <v>4</v>
      </c>
      <c r="D26" s="30">
        <v>9.3802345058626405E-2</v>
      </c>
      <c r="E26" s="8">
        <v>2.90046724852332E-2</v>
      </c>
      <c r="F26" s="8">
        <v>2.7394959855522E-2</v>
      </c>
      <c r="G26" s="8">
        <v>1.3826216453401201E-2</v>
      </c>
      <c r="H26" s="8">
        <v>1.11209888039954E-2</v>
      </c>
      <c r="I26" s="8">
        <v>6.6790402324285198E-3</v>
      </c>
      <c r="J26" s="8">
        <v>3.7134432180297599E-3</v>
      </c>
      <c r="K26" s="8">
        <v>9.3802345058626405E-2</v>
      </c>
      <c r="L26" s="8">
        <v>9.4309669029327104E-4</v>
      </c>
      <c r="M26">
        <v>5.5996365986162998E-4</v>
      </c>
      <c r="N26">
        <v>5.5996365986162998E-4</v>
      </c>
    </row>
    <row r="27" spans="3:17">
      <c r="C27" s="8" t="s">
        <v>10</v>
      </c>
      <c r="D27" s="30">
        <v>5.3601340033500797E-2</v>
      </c>
      <c r="E27" s="8">
        <v>1.65740985629904E-2</v>
      </c>
      <c r="F27" s="8">
        <v>1.5654262774584E-2</v>
      </c>
      <c r="G27" s="8">
        <v>7.9006951162292303E-3</v>
      </c>
      <c r="H27" s="8">
        <v>6.3548507451402104E-3</v>
      </c>
      <c r="I27" s="8">
        <v>3.81659441853058E-3</v>
      </c>
      <c r="J27" s="8">
        <v>2.1219675531598601E-3</v>
      </c>
      <c r="K27" s="8">
        <v>9.4309669029327104E-4</v>
      </c>
      <c r="L27" s="8">
        <v>5.3601340033500797E-2</v>
      </c>
      <c r="M27">
        <v>1.17887086286659E-4</v>
      </c>
      <c r="N27">
        <v>1.17887086286659E-4</v>
      </c>
    </row>
    <row r="28" spans="3:17">
      <c r="C28" s="26" t="s">
        <v>12</v>
      </c>
      <c r="D28" s="34">
        <v>3.1825795644891103E-2</v>
      </c>
      <c r="E28">
        <v>9.8408710217755407E-3</v>
      </c>
      <c r="F28">
        <v>9.2947185224092396E-3</v>
      </c>
      <c r="G28">
        <v>4.6910377252610998E-3</v>
      </c>
      <c r="H28">
        <v>3.7731926299270002E-3</v>
      </c>
      <c r="I28">
        <v>2.2661029360025301E-3</v>
      </c>
      <c r="J28">
        <v>1.25991823468867E-3</v>
      </c>
      <c r="K28">
        <v>5.5996365986162998E-4</v>
      </c>
      <c r="L28">
        <v>1.17887086286659E-4</v>
      </c>
      <c r="M28" s="11">
        <v>3.1825795644891103E-2</v>
      </c>
      <c r="N28" s="11">
        <v>2.21038286787485E-5</v>
      </c>
    </row>
    <row r="29" spans="3:17">
      <c r="C29" s="26" t="s">
        <v>9</v>
      </c>
      <c r="D29" s="34">
        <v>3.1825795644891103E-2</v>
      </c>
      <c r="E29">
        <v>9.8408710217755407E-3</v>
      </c>
      <c r="F29">
        <v>9.2947185224092396E-3</v>
      </c>
      <c r="G29">
        <v>4.6910377252610998E-3</v>
      </c>
      <c r="H29">
        <v>3.7731926299270002E-3</v>
      </c>
      <c r="I29">
        <v>2.2661029360025301E-3</v>
      </c>
      <c r="J29">
        <v>1.25991823468867E-3</v>
      </c>
      <c r="K29">
        <v>5.5996365986162998E-4</v>
      </c>
      <c r="L29">
        <v>1.17887086286659E-4</v>
      </c>
      <c r="M29" s="11">
        <v>2.21038286787485E-5</v>
      </c>
      <c r="N29" s="11">
        <v>3.1825795644891103E-2</v>
      </c>
    </row>
    <row r="31" spans="3:17">
      <c r="D31">
        <f>SUM(D19:D29)</f>
        <v>2.9999999999999996</v>
      </c>
      <c r="E31">
        <f t="shared" ref="E31:N31" si="6">SUM(E19:E29)</f>
        <v>1.4170854271356781</v>
      </c>
      <c r="F31">
        <f t="shared" si="6"/>
        <v>1.3618090452261309</v>
      </c>
      <c r="G31">
        <f t="shared" si="6"/>
        <v>0.86934673366834214</v>
      </c>
      <c r="H31">
        <f t="shared" si="6"/>
        <v>0.75376884422110513</v>
      </c>
      <c r="I31">
        <f t="shared" si="6"/>
        <v>0.55778894472361784</v>
      </c>
      <c r="J31">
        <f t="shared" si="6"/>
        <v>0.40703517587939692</v>
      </c>
      <c r="K31">
        <f t="shared" si="6"/>
        <v>0.28140703517587934</v>
      </c>
      <c r="L31">
        <f t="shared" si="6"/>
        <v>0.16080402010050243</v>
      </c>
      <c r="M31">
        <f t="shared" si="6"/>
        <v>9.5477386934673322E-2</v>
      </c>
      <c r="N31">
        <f t="shared" si="6"/>
        <v>9.5477386934673322E-2</v>
      </c>
      <c r="P31" s="35">
        <f>SUM(D31:N31)</f>
        <v>9.0000000000000018</v>
      </c>
    </row>
    <row r="34" spans="3:16" ht="18">
      <c r="C34" s="33" t="s">
        <v>57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</row>
    <row r="35" spans="3:16">
      <c r="D35" s="23" t="s">
        <v>5</v>
      </c>
      <c r="E35" s="8" t="s">
        <v>3</v>
      </c>
      <c r="F35" s="8" t="s">
        <v>7</v>
      </c>
      <c r="G35" s="8" t="s">
        <v>11</v>
      </c>
      <c r="H35" s="8" t="s">
        <v>13</v>
      </c>
      <c r="I35" s="8" t="s">
        <v>6</v>
      </c>
      <c r="J35" s="8" t="s">
        <v>8</v>
      </c>
      <c r="K35" s="8" t="s">
        <v>4</v>
      </c>
      <c r="L35" s="8" t="s">
        <v>10</v>
      </c>
      <c r="M35" s="26" t="s">
        <v>12</v>
      </c>
      <c r="N35" s="26" t="s">
        <v>9</v>
      </c>
    </row>
    <row r="36" spans="3:16">
      <c r="C36" s="23" t="s">
        <v>5</v>
      </c>
      <c r="D36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4">
        <v>0</v>
      </c>
      <c r="N36" s="34">
        <v>0</v>
      </c>
    </row>
    <row r="37" spans="3:16">
      <c r="C37" s="8" t="s">
        <v>3</v>
      </c>
      <c r="D37" s="30">
        <v>0</v>
      </c>
      <c r="E37" s="8">
        <v>0.24923613040074699</v>
      </c>
      <c r="F37" s="8">
        <v>-7.40602975203975E-2</v>
      </c>
      <c r="G37" s="8">
        <v>-4.7278344911545298E-2</v>
      </c>
      <c r="H37" s="8">
        <v>-4.09927846053861E-2</v>
      </c>
      <c r="I37" s="8">
        <v>-3.0334660607985699E-2</v>
      </c>
      <c r="J37" s="8">
        <v>-2.21361036869085E-2</v>
      </c>
      <c r="K37" s="8">
        <v>-1.53039729193441E-2</v>
      </c>
      <c r="L37" s="8">
        <v>-8.7451273824823601E-3</v>
      </c>
      <c r="M37">
        <v>-5.1924193833488997E-3</v>
      </c>
      <c r="N37">
        <v>-5.1924193833488997E-3</v>
      </c>
    </row>
    <row r="38" spans="3:16">
      <c r="C38" s="8" t="s">
        <v>7</v>
      </c>
      <c r="D38" s="30">
        <v>0</v>
      </c>
      <c r="E38" s="8">
        <v>-7.40602975203975E-2</v>
      </c>
      <c r="F38" s="8">
        <v>0.247878140002076</v>
      </c>
      <c r="G38" s="8">
        <v>-4.6911835802387503E-2</v>
      </c>
      <c r="H38" s="8">
        <v>-4.0675002140798402E-2</v>
      </c>
      <c r="I38" s="8">
        <v>-3.0099501584190801E-2</v>
      </c>
      <c r="J38" s="8">
        <v>-2.1964501156031199E-2</v>
      </c>
      <c r="K38" s="8">
        <v>-1.5185334132564701E-2</v>
      </c>
      <c r="L38" s="8">
        <v>-8.677333790037E-3</v>
      </c>
      <c r="M38">
        <v>-5.1521669378344704E-3</v>
      </c>
      <c r="N38">
        <v>-5.1521669378344704E-3</v>
      </c>
    </row>
    <row r="39" spans="3:16">
      <c r="C39" s="8" t="s">
        <v>11</v>
      </c>
      <c r="D39" s="30">
        <v>0</v>
      </c>
      <c r="E39" s="8">
        <v>-4.7278344911545298E-2</v>
      </c>
      <c r="F39" s="8">
        <v>-4.6911835802387503E-2</v>
      </c>
      <c r="G39" s="8">
        <v>0.20580849529613399</v>
      </c>
      <c r="H39" s="8">
        <v>-3.5775100827628699E-2</v>
      </c>
      <c r="I39" s="8">
        <v>-2.6473574612445198E-2</v>
      </c>
      <c r="J39" s="8">
        <v>-1.93185544469195E-2</v>
      </c>
      <c r="K39" s="8">
        <v>-1.3356037642314701E-2</v>
      </c>
      <c r="L39" s="8">
        <v>-7.6320215098941296E-3</v>
      </c>
      <c r="M39">
        <v>-4.5315127714996399E-3</v>
      </c>
      <c r="N39">
        <v>-4.5315127714996399E-3</v>
      </c>
    </row>
    <row r="40" spans="3:16">
      <c r="C40" s="8" t="s">
        <v>13</v>
      </c>
      <c r="D40" s="30">
        <v>0</v>
      </c>
      <c r="E40" s="8">
        <v>-4.09927846053861E-2</v>
      </c>
      <c r="F40" s="8">
        <v>-4.0675002140798402E-2</v>
      </c>
      <c r="G40" s="8">
        <v>-3.5775100827628699E-2</v>
      </c>
      <c r="H40" s="8">
        <v>0.18812656246054399</v>
      </c>
      <c r="I40" s="8">
        <v>-2.46726034981984E-2</v>
      </c>
      <c r="J40" s="8">
        <v>-1.8004332282469102E-2</v>
      </c>
      <c r="K40" s="8">
        <v>-1.2447439602694701E-2</v>
      </c>
      <c r="L40" s="8">
        <v>-7.1128226301112596E-3</v>
      </c>
      <c r="M40">
        <v>-4.2232384366285604E-3</v>
      </c>
      <c r="N40">
        <v>-4.2232384366285604E-3</v>
      </c>
    </row>
    <row r="41" spans="3:16">
      <c r="C41" s="8" t="s">
        <v>6</v>
      </c>
      <c r="D41" s="30">
        <v>0</v>
      </c>
      <c r="E41" s="8">
        <v>-3.0334660607985699E-2</v>
      </c>
      <c r="F41" s="8">
        <v>-3.0099501584190801E-2</v>
      </c>
      <c r="G41" s="8">
        <v>-2.6473574612445198E-2</v>
      </c>
      <c r="H41" s="8">
        <v>-2.46726034981984E-2</v>
      </c>
      <c r="I41" s="8">
        <v>0.151359814146107</v>
      </c>
      <c r="J41" s="8">
        <v>-1.55658810691124E-2</v>
      </c>
      <c r="K41" s="8">
        <v>-1.07615967885221E-2</v>
      </c>
      <c r="L41" s="8">
        <v>-6.1494838791555E-3</v>
      </c>
      <c r="M41">
        <v>-3.6512560532485799E-3</v>
      </c>
      <c r="N41">
        <v>-3.6512560532485799E-3</v>
      </c>
    </row>
    <row r="42" spans="3:16">
      <c r="C42" s="8" t="s">
        <v>8</v>
      </c>
      <c r="D42" s="30">
        <v>0</v>
      </c>
      <c r="E42" s="8">
        <v>-2.21361036869085E-2</v>
      </c>
      <c r="F42" s="8">
        <v>-2.1964501156031199E-2</v>
      </c>
      <c r="G42" s="8">
        <v>-1.93185544469195E-2</v>
      </c>
      <c r="H42" s="8">
        <v>-1.8004332282469102E-2</v>
      </c>
      <c r="I42" s="8">
        <v>-1.55658810691124E-2</v>
      </c>
      <c r="J42" s="8">
        <v>0.117269765915002</v>
      </c>
      <c r="K42" s="8">
        <v>-9.0135081215828809E-3</v>
      </c>
      <c r="L42" s="8">
        <v>-5.1505760694759298E-3</v>
      </c>
      <c r="M42">
        <v>-3.0581545412513302E-3</v>
      </c>
      <c r="N42">
        <v>-3.0581545412513302E-3</v>
      </c>
    </row>
    <row r="43" spans="3:16">
      <c r="C43" s="8" t="s">
        <v>4</v>
      </c>
      <c r="D43" s="30">
        <v>0</v>
      </c>
      <c r="E43" s="8">
        <v>-1.53039729193441E-2</v>
      </c>
      <c r="F43" s="8">
        <v>-1.5185334132564701E-2</v>
      </c>
      <c r="G43" s="8">
        <v>-1.3356037642314701E-2</v>
      </c>
      <c r="H43" s="8">
        <v>-1.2447439602694701E-2</v>
      </c>
      <c r="I43" s="8">
        <v>-1.07615967885221E-2</v>
      </c>
      <c r="J43" s="8">
        <v>-9.0135081215828809E-3</v>
      </c>
      <c r="K43" s="8">
        <v>8.5003465120128796E-2</v>
      </c>
      <c r="L43" s="8">
        <v>-4.0848347031339398E-3</v>
      </c>
      <c r="M43">
        <v>-2.4253706049857798E-3</v>
      </c>
      <c r="N43">
        <v>-2.4253706049857798E-3</v>
      </c>
    </row>
    <row r="44" spans="3:16">
      <c r="C44" s="8" t="s">
        <v>10</v>
      </c>
      <c r="D44" s="30">
        <v>0</v>
      </c>
      <c r="E44" s="8">
        <v>-8.7451273824823601E-3</v>
      </c>
      <c r="F44" s="8">
        <v>-8.677333790037E-3</v>
      </c>
      <c r="G44" s="8">
        <v>-7.6320215098941296E-3</v>
      </c>
      <c r="H44" s="8">
        <v>-7.1128226301112596E-3</v>
      </c>
      <c r="I44" s="8">
        <v>-6.1494838791555E-3</v>
      </c>
      <c r="J44" s="8">
        <v>-5.1505760694759298E-3</v>
      </c>
      <c r="K44" s="8">
        <v>-4.0848347031339398E-3</v>
      </c>
      <c r="L44" s="8">
        <v>5.0728236380113902E-2</v>
      </c>
      <c r="M44">
        <v>-1.5880182079118601E-3</v>
      </c>
      <c r="N44">
        <v>-1.5880182079118601E-3</v>
      </c>
    </row>
    <row r="45" spans="3:16">
      <c r="C45" s="26" t="s">
        <v>12</v>
      </c>
      <c r="D45" s="34">
        <v>0</v>
      </c>
      <c r="E45">
        <v>-5.1924193833488997E-3</v>
      </c>
      <c r="F45">
        <v>-5.1521669378344704E-3</v>
      </c>
      <c r="G45">
        <v>-4.5315127714996399E-3</v>
      </c>
      <c r="H45">
        <v>-4.2232384366285604E-3</v>
      </c>
      <c r="I45">
        <v>-3.6512560532485799E-3</v>
      </c>
      <c r="J45">
        <v>-3.0581545412513302E-3</v>
      </c>
      <c r="K45">
        <v>-2.4253706049857798E-3</v>
      </c>
      <c r="L45">
        <v>-1.5880182079118601E-3</v>
      </c>
      <c r="M45" s="11">
        <v>3.08129143764607E-2</v>
      </c>
      <c r="N45" s="11">
        <v>-9.9077743975162203E-4</v>
      </c>
    </row>
    <row r="46" spans="3:16">
      <c r="C46" s="26" t="s">
        <v>9</v>
      </c>
      <c r="D46" s="34">
        <v>0</v>
      </c>
      <c r="E46">
        <v>-5.1924193833488997E-3</v>
      </c>
      <c r="F46">
        <v>-5.1521669378344704E-3</v>
      </c>
      <c r="G46">
        <v>-4.5315127714996399E-3</v>
      </c>
      <c r="H46">
        <v>-4.2232384366285604E-3</v>
      </c>
      <c r="I46">
        <v>-3.6512560532485799E-3</v>
      </c>
      <c r="J46">
        <v>-3.0581545412513302E-3</v>
      </c>
      <c r="K46">
        <v>-2.4253706049857798E-3</v>
      </c>
      <c r="L46">
        <v>-1.5880182079118601E-3</v>
      </c>
      <c r="M46" s="11">
        <v>-9.9077743975162203E-4</v>
      </c>
      <c r="N46" s="11">
        <v>3.08129143764607E-2</v>
      </c>
    </row>
    <row r="48" spans="3:16">
      <c r="D48">
        <f>SUM(D36:D46)</f>
        <v>0</v>
      </c>
      <c r="E48">
        <f t="shared" ref="E48:N48" si="7">SUM(E36:E46)</f>
        <v>-3.8857805861880479E-16</v>
      </c>
      <c r="F48">
        <f t="shared" si="7"/>
        <v>-4.3368086899420177E-17</v>
      </c>
      <c r="G48">
        <f t="shared" si="7"/>
        <v>-3.2612801348363973E-16</v>
      </c>
      <c r="H48">
        <f t="shared" si="7"/>
        <v>2.1857515797307769E-16</v>
      </c>
      <c r="I48">
        <f t="shared" si="7"/>
        <v>-2.5153490401663703E-16</v>
      </c>
      <c r="J48">
        <f t="shared" si="7"/>
        <v>-1.6479873021779667E-16</v>
      </c>
      <c r="K48">
        <f t="shared" si="7"/>
        <v>1.2056328158038809E-16</v>
      </c>
      <c r="L48">
        <f t="shared" si="7"/>
        <v>5.8113236445223038E-17</v>
      </c>
      <c r="M48">
        <f t="shared" si="7"/>
        <v>-4.4885969940899884E-17</v>
      </c>
      <c r="N48">
        <f t="shared" si="7"/>
        <v>-4.5102810375396984E-17</v>
      </c>
      <c r="P48" s="35">
        <f>SUM(D48:N48)</f>
        <v>-8.6714489755390645E-16</v>
      </c>
    </row>
  </sheetData>
  <autoFilter ref="B2:D13" xr:uid="{EA25D146-BD12-42C5-8356-49EC33A86DC8}">
    <sortState xmlns:xlrd2="http://schemas.microsoft.com/office/spreadsheetml/2017/richdata2" ref="B3:D13">
      <sortCondition descending="1" ref="D2:D13"/>
    </sortState>
  </autoFilter>
  <mergeCells count="2">
    <mergeCell ref="C17:N17"/>
    <mergeCell ref="C34:N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Resultados</vt:lpstr>
      <vt:lpstr>BASE</vt:lpstr>
      <vt:lpstr>RHC</vt:lpstr>
      <vt:lpstr>Sunter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Jose Leal Mesa</dc:creator>
  <cp:lastModifiedBy>Pedro Jose Leal Mesa</cp:lastModifiedBy>
  <dcterms:created xsi:type="dcterms:W3CDTF">2025-06-17T15:24:13Z</dcterms:created>
  <dcterms:modified xsi:type="dcterms:W3CDTF">2025-06-18T01:25:42Z</dcterms:modified>
</cp:coreProperties>
</file>