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atrick\Desktop\"/>
    </mc:Choice>
  </mc:AlternateContent>
  <xr:revisionPtr revIDLastSave="0" documentId="13_ncr:1_{46F4776B-DE3E-4BAB-959E-EAEB4C7BAC7C}" xr6:coauthVersionLast="47" xr6:coauthVersionMax="47" xr10:uidLastSave="{00000000-0000-0000-0000-000000000000}"/>
  <bookViews>
    <workbookView xWindow="-120" yWindow="-120" windowWidth="29040" windowHeight="16440" tabRatio="726" xr2:uid="{FDDD166C-DEBA-495A-80EC-E8009224E064}"/>
  </bookViews>
  <sheets>
    <sheet name="Help" sheetId="37" r:id="rId1"/>
    <sheet name="January" sheetId="3" r:id="rId2"/>
    <sheet name="February" sheetId="22" r:id="rId3"/>
    <sheet name="March" sheetId="23" r:id="rId4"/>
    <sheet name="April" sheetId="25" r:id="rId5"/>
    <sheet name="May" sheetId="26" r:id="rId6"/>
    <sheet name="June" sheetId="27" r:id="rId7"/>
    <sheet name="July" sheetId="28" r:id="rId8"/>
    <sheet name="August" sheetId="29" r:id="rId9"/>
    <sheet name="September" sheetId="30" r:id="rId10"/>
    <sheet name="October" sheetId="31" r:id="rId11"/>
    <sheet name="November" sheetId="32" r:id="rId12"/>
    <sheet name="December" sheetId="33" r:id="rId13"/>
    <sheet name="Running Total" sheetId="3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 i="34" l="1"/>
  <c r="M32" i="34"/>
  <c r="M31" i="34"/>
  <c r="L33" i="34"/>
  <c r="L32" i="34"/>
  <c r="L31" i="34"/>
  <c r="N33" i="34"/>
  <c r="N32" i="34"/>
  <c r="M34" i="34"/>
  <c r="L34" i="34"/>
  <c r="M25" i="34"/>
  <c r="M24" i="34"/>
  <c r="M23" i="34"/>
  <c r="L25" i="34"/>
  <c r="L24" i="34"/>
  <c r="L23" i="34"/>
  <c r="N25" i="34"/>
  <c r="N24" i="34"/>
  <c r="M26" i="34"/>
  <c r="N23" i="34"/>
  <c r="N26" i="34" s="1"/>
  <c r="D8" i="31"/>
  <c r="H40" i="33"/>
  <c r="G40" i="33"/>
  <c r="C40" i="33"/>
  <c r="B40" i="33"/>
  <c r="I39" i="33"/>
  <c r="D39" i="33"/>
  <c r="I38" i="33"/>
  <c r="D38" i="33"/>
  <c r="I37" i="33"/>
  <c r="D37" i="33"/>
  <c r="I36" i="33"/>
  <c r="D36" i="33"/>
  <c r="I35" i="33"/>
  <c r="D35" i="33"/>
  <c r="I34" i="33"/>
  <c r="D34" i="33"/>
  <c r="I33" i="33"/>
  <c r="D33" i="33"/>
  <c r="I32" i="33"/>
  <c r="D32" i="33"/>
  <c r="I31" i="33"/>
  <c r="D31" i="33"/>
  <c r="I30" i="33"/>
  <c r="D30" i="33"/>
  <c r="I29" i="33"/>
  <c r="D29" i="33"/>
  <c r="I28" i="33"/>
  <c r="D28" i="33"/>
  <c r="I27" i="33"/>
  <c r="D27" i="33"/>
  <c r="I26" i="33"/>
  <c r="D26" i="33"/>
  <c r="I25" i="33"/>
  <c r="D25" i="33"/>
  <c r="I24" i="33"/>
  <c r="D24" i="33"/>
  <c r="I23" i="33"/>
  <c r="D23" i="33"/>
  <c r="I22" i="33"/>
  <c r="D22" i="33"/>
  <c r="I21" i="33"/>
  <c r="D21" i="33"/>
  <c r="I20" i="33"/>
  <c r="D20" i="33"/>
  <c r="I19" i="33"/>
  <c r="D19" i="33"/>
  <c r="I18" i="33"/>
  <c r="D18" i="33"/>
  <c r="I17" i="33"/>
  <c r="D17" i="33"/>
  <c r="I16" i="33"/>
  <c r="I40" i="33" s="1"/>
  <c r="D16" i="33"/>
  <c r="D40" i="33" s="1"/>
  <c r="D11" i="33"/>
  <c r="C11" i="33"/>
  <c r="H8" i="33" s="1"/>
  <c r="H11" i="33" s="1"/>
  <c r="B11" i="33"/>
  <c r="G8" i="33" s="1"/>
  <c r="H10" i="33"/>
  <c r="G10" i="33"/>
  <c r="I10" i="33" s="1"/>
  <c r="D10" i="33"/>
  <c r="H9" i="33"/>
  <c r="G9" i="33"/>
  <c r="I9" i="33" s="1"/>
  <c r="D9" i="33"/>
  <c r="D8" i="33"/>
  <c r="H40" i="32"/>
  <c r="G40" i="32"/>
  <c r="G10" i="32" s="1"/>
  <c r="I10" i="32" s="1"/>
  <c r="C40" i="32"/>
  <c r="B40" i="32"/>
  <c r="I39" i="32"/>
  <c r="D39" i="32"/>
  <c r="I38" i="32"/>
  <c r="D38" i="32"/>
  <c r="I37" i="32"/>
  <c r="D37" i="32"/>
  <c r="I36" i="32"/>
  <c r="D36" i="32"/>
  <c r="I35" i="32"/>
  <c r="D35" i="32"/>
  <c r="I34" i="32"/>
  <c r="D34" i="32"/>
  <c r="I33" i="32"/>
  <c r="D33" i="32"/>
  <c r="I32" i="32"/>
  <c r="D32" i="32"/>
  <c r="I31" i="32"/>
  <c r="D31" i="32"/>
  <c r="I30" i="32"/>
  <c r="D30" i="32"/>
  <c r="I29" i="32"/>
  <c r="D29" i="32"/>
  <c r="I28" i="32"/>
  <c r="D28" i="32"/>
  <c r="I27" i="32"/>
  <c r="D27" i="32"/>
  <c r="I26" i="32"/>
  <c r="D26" i="32"/>
  <c r="I25" i="32"/>
  <c r="D25" i="32"/>
  <c r="I24" i="32"/>
  <c r="D24" i="32"/>
  <c r="I23" i="32"/>
  <c r="D23" i="32"/>
  <c r="I22" i="32"/>
  <c r="D22" i="32"/>
  <c r="I21" i="32"/>
  <c r="D21" i="32"/>
  <c r="I20" i="32"/>
  <c r="D20" i="32"/>
  <c r="I19" i="32"/>
  <c r="D19" i="32"/>
  <c r="I18" i="32"/>
  <c r="D18" i="32"/>
  <c r="I17" i="32"/>
  <c r="D17" i="32"/>
  <c r="I16" i="32"/>
  <c r="I40" i="32" s="1"/>
  <c r="D16" i="32"/>
  <c r="D40" i="32" s="1"/>
  <c r="D11" i="32"/>
  <c r="C11" i="32"/>
  <c r="H8" i="32" s="1"/>
  <c r="H11" i="32" s="1"/>
  <c r="B11" i="32"/>
  <c r="G8" i="32" s="1"/>
  <c r="H10" i="32"/>
  <c r="D10" i="32"/>
  <c r="H9" i="32"/>
  <c r="G9" i="32"/>
  <c r="I9" i="32" s="1"/>
  <c r="D9" i="32"/>
  <c r="D8" i="32"/>
  <c r="H40" i="31"/>
  <c r="H10" i="31" s="1"/>
  <c r="M17" i="34" s="1"/>
  <c r="G40" i="31"/>
  <c r="G10" i="31" s="1"/>
  <c r="C40" i="31"/>
  <c r="H9" i="31" s="1"/>
  <c r="M16" i="34" s="1"/>
  <c r="B40" i="31"/>
  <c r="G9" i="31" s="1"/>
  <c r="I39" i="31"/>
  <c r="D39" i="31"/>
  <c r="I38" i="31"/>
  <c r="D38" i="31"/>
  <c r="I37" i="31"/>
  <c r="D37" i="31"/>
  <c r="I36" i="31"/>
  <c r="D36" i="31"/>
  <c r="I35" i="31"/>
  <c r="D35" i="31"/>
  <c r="I34" i="31"/>
  <c r="D34" i="31"/>
  <c r="I33" i="31"/>
  <c r="D33" i="31"/>
  <c r="I32" i="31"/>
  <c r="D32" i="31"/>
  <c r="I31" i="31"/>
  <c r="D31" i="31"/>
  <c r="I30" i="31"/>
  <c r="D30" i="31"/>
  <c r="I29" i="31"/>
  <c r="D29" i="31"/>
  <c r="I28" i="31"/>
  <c r="D28" i="31"/>
  <c r="I27" i="31"/>
  <c r="D27" i="31"/>
  <c r="I26" i="31"/>
  <c r="D26" i="31"/>
  <c r="I25" i="31"/>
  <c r="D25" i="31"/>
  <c r="I24" i="31"/>
  <c r="D24" i="31"/>
  <c r="I23" i="31"/>
  <c r="D23" i="31"/>
  <c r="I22" i="31"/>
  <c r="D22" i="31"/>
  <c r="I21" i="31"/>
  <c r="D21" i="31"/>
  <c r="I20" i="31"/>
  <c r="D20" i="31"/>
  <c r="I19" i="31"/>
  <c r="D19" i="31"/>
  <c r="I18" i="31"/>
  <c r="D18" i="31"/>
  <c r="I17" i="31"/>
  <c r="D17" i="31"/>
  <c r="I16" i="31"/>
  <c r="I40" i="31" s="1"/>
  <c r="D16" i="31"/>
  <c r="D40" i="31" s="1"/>
  <c r="C11" i="31"/>
  <c r="H8" i="31" s="1"/>
  <c r="B11" i="31"/>
  <c r="G8" i="31" s="1"/>
  <c r="L15" i="34" s="1"/>
  <c r="D10" i="31"/>
  <c r="D9" i="31"/>
  <c r="D11" i="31"/>
  <c r="H40" i="30"/>
  <c r="H10" i="30" s="1"/>
  <c r="M9" i="34" s="1"/>
  <c r="G40" i="30"/>
  <c r="G10" i="30" s="1"/>
  <c r="C40" i="30"/>
  <c r="H9" i="30" s="1"/>
  <c r="M8" i="34" s="1"/>
  <c r="B40" i="30"/>
  <c r="G9" i="30" s="1"/>
  <c r="I39" i="30"/>
  <c r="D39" i="30"/>
  <c r="I38" i="30"/>
  <c r="D38" i="30"/>
  <c r="I37" i="30"/>
  <c r="D37" i="30"/>
  <c r="I36" i="30"/>
  <c r="D36" i="30"/>
  <c r="I35" i="30"/>
  <c r="D35" i="30"/>
  <c r="I34" i="30"/>
  <c r="D34" i="30"/>
  <c r="I33" i="30"/>
  <c r="D33" i="30"/>
  <c r="I32" i="30"/>
  <c r="D32" i="30"/>
  <c r="I31" i="30"/>
  <c r="D31" i="30"/>
  <c r="I30" i="30"/>
  <c r="D30" i="30"/>
  <c r="I29" i="30"/>
  <c r="D29" i="30"/>
  <c r="I28" i="30"/>
  <c r="D28" i="30"/>
  <c r="I27" i="30"/>
  <c r="D27" i="30"/>
  <c r="I26" i="30"/>
  <c r="D26" i="30"/>
  <c r="I25" i="30"/>
  <c r="D25" i="30"/>
  <c r="I24" i="30"/>
  <c r="D24" i="30"/>
  <c r="I23" i="30"/>
  <c r="D23" i="30"/>
  <c r="I22" i="30"/>
  <c r="D22" i="30"/>
  <c r="I21" i="30"/>
  <c r="D21" i="30"/>
  <c r="I20" i="30"/>
  <c r="D20" i="30"/>
  <c r="I19" i="30"/>
  <c r="D19" i="30"/>
  <c r="I18" i="30"/>
  <c r="D18" i="30"/>
  <c r="I17" i="30"/>
  <c r="D17" i="30"/>
  <c r="I16" i="30"/>
  <c r="I40" i="30" s="1"/>
  <c r="D16" i="30"/>
  <c r="D40" i="30" s="1"/>
  <c r="C11" i="30"/>
  <c r="H8" i="30" s="1"/>
  <c r="B11" i="30"/>
  <c r="G8" i="30" s="1"/>
  <c r="L7" i="34" s="1"/>
  <c r="D10" i="30"/>
  <c r="D9" i="30"/>
  <c r="D8" i="30"/>
  <c r="D11" i="30" s="1"/>
  <c r="H40" i="29"/>
  <c r="H10" i="29" s="1"/>
  <c r="H33" i="34" s="1"/>
  <c r="G40" i="29"/>
  <c r="G10" i="29" s="1"/>
  <c r="C40" i="29"/>
  <c r="H9" i="29" s="1"/>
  <c r="H32" i="34" s="1"/>
  <c r="B40" i="29"/>
  <c r="G9" i="29" s="1"/>
  <c r="I39" i="29"/>
  <c r="D39" i="29"/>
  <c r="I38" i="29"/>
  <c r="D38" i="29"/>
  <c r="I37" i="29"/>
  <c r="D37" i="29"/>
  <c r="I36" i="29"/>
  <c r="D36" i="29"/>
  <c r="I35" i="29"/>
  <c r="D35" i="29"/>
  <c r="I34" i="29"/>
  <c r="D34" i="29"/>
  <c r="I33" i="29"/>
  <c r="D33" i="29"/>
  <c r="I32" i="29"/>
  <c r="D32" i="29"/>
  <c r="I31" i="29"/>
  <c r="D31" i="29"/>
  <c r="I30" i="29"/>
  <c r="D30" i="29"/>
  <c r="I29" i="29"/>
  <c r="D29" i="29"/>
  <c r="I28" i="29"/>
  <c r="D28" i="29"/>
  <c r="I27" i="29"/>
  <c r="D27" i="29"/>
  <c r="I26" i="29"/>
  <c r="D26" i="29"/>
  <c r="I25" i="29"/>
  <c r="D25" i="29"/>
  <c r="I24" i="29"/>
  <c r="D24" i="29"/>
  <c r="I23" i="29"/>
  <c r="D23" i="29"/>
  <c r="I22" i="29"/>
  <c r="D22" i="29"/>
  <c r="I21" i="29"/>
  <c r="D21" i="29"/>
  <c r="I20" i="29"/>
  <c r="D20" i="29"/>
  <c r="I19" i="29"/>
  <c r="D19" i="29"/>
  <c r="I18" i="29"/>
  <c r="D18" i="29"/>
  <c r="I17" i="29"/>
  <c r="D17" i="29"/>
  <c r="I16" i="29"/>
  <c r="I40" i="29" s="1"/>
  <c r="D16" i="29"/>
  <c r="D40" i="29" s="1"/>
  <c r="C11" i="29"/>
  <c r="H8" i="29" s="1"/>
  <c r="B11" i="29"/>
  <c r="G8" i="29" s="1"/>
  <c r="G31" i="34" s="1"/>
  <c r="D10" i="29"/>
  <c r="D9" i="29"/>
  <c r="D8" i="29"/>
  <c r="D11" i="29" s="1"/>
  <c r="H40" i="28"/>
  <c r="H10" i="28" s="1"/>
  <c r="H25" i="34" s="1"/>
  <c r="G40" i="28"/>
  <c r="G10" i="28" s="1"/>
  <c r="C40" i="28"/>
  <c r="H9" i="28" s="1"/>
  <c r="H24" i="34" s="1"/>
  <c r="B40" i="28"/>
  <c r="G9" i="28" s="1"/>
  <c r="I39" i="28"/>
  <c r="D39" i="28"/>
  <c r="I38" i="28"/>
  <c r="D38" i="28"/>
  <c r="I37" i="28"/>
  <c r="D37" i="28"/>
  <c r="I36" i="28"/>
  <c r="D36" i="28"/>
  <c r="I35" i="28"/>
  <c r="D35" i="28"/>
  <c r="I34" i="28"/>
  <c r="D34" i="28"/>
  <c r="I33" i="28"/>
  <c r="D33" i="28"/>
  <c r="I32" i="28"/>
  <c r="D32" i="28"/>
  <c r="I31" i="28"/>
  <c r="D31" i="28"/>
  <c r="I30" i="28"/>
  <c r="D30" i="28"/>
  <c r="I29" i="28"/>
  <c r="D29" i="28"/>
  <c r="I28" i="28"/>
  <c r="D28" i="28"/>
  <c r="I27" i="28"/>
  <c r="D27" i="28"/>
  <c r="I26" i="28"/>
  <c r="D26" i="28"/>
  <c r="I25" i="28"/>
  <c r="D25" i="28"/>
  <c r="I24" i="28"/>
  <c r="D24" i="28"/>
  <c r="I23" i="28"/>
  <c r="D23" i="28"/>
  <c r="I22" i="28"/>
  <c r="D22" i="28"/>
  <c r="I21" i="28"/>
  <c r="D21" i="28"/>
  <c r="I20" i="28"/>
  <c r="D20" i="28"/>
  <c r="I19" i="28"/>
  <c r="D19" i="28"/>
  <c r="I18" i="28"/>
  <c r="D18" i="28"/>
  <c r="I17" i="28"/>
  <c r="D17" i="28"/>
  <c r="I16" i="28"/>
  <c r="I40" i="28" s="1"/>
  <c r="D16" i="28"/>
  <c r="D40" i="28" s="1"/>
  <c r="C11" i="28"/>
  <c r="H8" i="28" s="1"/>
  <c r="B11" i="28"/>
  <c r="G8" i="28" s="1"/>
  <c r="G23" i="34" s="1"/>
  <c r="D10" i="28"/>
  <c r="D9" i="28"/>
  <c r="D8" i="28"/>
  <c r="D11" i="28" s="1"/>
  <c r="H40" i="27"/>
  <c r="H10" i="27" s="1"/>
  <c r="H17" i="34" s="1"/>
  <c r="G40" i="27"/>
  <c r="G10" i="27" s="1"/>
  <c r="C40" i="27"/>
  <c r="H9" i="27" s="1"/>
  <c r="B40" i="27"/>
  <c r="G9" i="27" s="1"/>
  <c r="G16" i="34" s="1"/>
  <c r="I39" i="27"/>
  <c r="D39" i="27"/>
  <c r="I38" i="27"/>
  <c r="D38" i="27"/>
  <c r="I37" i="27"/>
  <c r="D37" i="27"/>
  <c r="I36" i="27"/>
  <c r="D36" i="27"/>
  <c r="I35" i="27"/>
  <c r="D35" i="27"/>
  <c r="I34" i="27"/>
  <c r="D34" i="27"/>
  <c r="I33" i="27"/>
  <c r="D33" i="27"/>
  <c r="I32" i="27"/>
  <c r="D32" i="27"/>
  <c r="I31" i="27"/>
  <c r="D31" i="27"/>
  <c r="I30" i="27"/>
  <c r="D30" i="27"/>
  <c r="I29" i="27"/>
  <c r="D29" i="27"/>
  <c r="I28" i="27"/>
  <c r="D28" i="27"/>
  <c r="I27" i="27"/>
  <c r="D27" i="27"/>
  <c r="I26" i="27"/>
  <c r="D26" i="27"/>
  <c r="I25" i="27"/>
  <c r="D25" i="27"/>
  <c r="I24" i="27"/>
  <c r="D24" i="27"/>
  <c r="I23" i="27"/>
  <c r="D23" i="27"/>
  <c r="I22" i="27"/>
  <c r="D22" i="27"/>
  <c r="I21" i="27"/>
  <c r="D21" i="27"/>
  <c r="I20" i="27"/>
  <c r="D20" i="27"/>
  <c r="I19" i="27"/>
  <c r="D19" i="27"/>
  <c r="I18" i="27"/>
  <c r="D18" i="27"/>
  <c r="I17" i="27"/>
  <c r="D17" i="27"/>
  <c r="I16" i="27"/>
  <c r="D16" i="27"/>
  <c r="D40" i="27" s="1"/>
  <c r="C11" i="27"/>
  <c r="H8" i="27" s="1"/>
  <c r="B11" i="27"/>
  <c r="G8" i="27" s="1"/>
  <c r="G15" i="34" s="1"/>
  <c r="D10" i="27"/>
  <c r="D9" i="27"/>
  <c r="D8" i="27"/>
  <c r="D11" i="27" s="1"/>
  <c r="H40" i="26"/>
  <c r="H10" i="26" s="1"/>
  <c r="H9" i="34" s="1"/>
  <c r="G40" i="26"/>
  <c r="G10" i="26" s="1"/>
  <c r="C40" i="26"/>
  <c r="H9" i="26" s="1"/>
  <c r="H8" i="34" s="1"/>
  <c r="B40" i="26"/>
  <c r="G9" i="26" s="1"/>
  <c r="I39" i="26"/>
  <c r="D39" i="26"/>
  <c r="I38" i="26"/>
  <c r="D38" i="26"/>
  <c r="I37" i="26"/>
  <c r="D37" i="26"/>
  <c r="I36" i="26"/>
  <c r="D36" i="26"/>
  <c r="I35" i="26"/>
  <c r="D35" i="26"/>
  <c r="I34" i="26"/>
  <c r="D34" i="26"/>
  <c r="I33" i="26"/>
  <c r="D33" i="26"/>
  <c r="I32" i="26"/>
  <c r="D32" i="26"/>
  <c r="I31" i="26"/>
  <c r="D31" i="26"/>
  <c r="I30" i="26"/>
  <c r="D30" i="26"/>
  <c r="I29" i="26"/>
  <c r="D29" i="26"/>
  <c r="I28" i="26"/>
  <c r="D28" i="26"/>
  <c r="I27" i="26"/>
  <c r="D27" i="26"/>
  <c r="I26" i="26"/>
  <c r="D26" i="26"/>
  <c r="I25" i="26"/>
  <c r="D25" i="26"/>
  <c r="I24" i="26"/>
  <c r="D24" i="26"/>
  <c r="I23" i="26"/>
  <c r="D23" i="26"/>
  <c r="I22" i="26"/>
  <c r="D22" i="26"/>
  <c r="I21" i="26"/>
  <c r="D21" i="26"/>
  <c r="I20" i="26"/>
  <c r="D20" i="26"/>
  <c r="I19" i="26"/>
  <c r="D19" i="26"/>
  <c r="I18" i="26"/>
  <c r="D18" i="26"/>
  <c r="I17" i="26"/>
  <c r="D17" i="26"/>
  <c r="I16" i="26"/>
  <c r="I40" i="26" s="1"/>
  <c r="D16" i="26"/>
  <c r="D40" i="26" s="1"/>
  <c r="C11" i="26"/>
  <c r="H8" i="26" s="1"/>
  <c r="B11" i="26"/>
  <c r="G8" i="26" s="1"/>
  <c r="G7" i="34" s="1"/>
  <c r="D10" i="26"/>
  <c r="D9" i="26"/>
  <c r="D8" i="26"/>
  <c r="D11" i="26" s="1"/>
  <c r="H40" i="25"/>
  <c r="H10" i="25" s="1"/>
  <c r="C33" i="34" s="1"/>
  <c r="G40" i="25"/>
  <c r="G10" i="25" s="1"/>
  <c r="C40" i="25"/>
  <c r="H9" i="25" s="1"/>
  <c r="C32" i="34" s="1"/>
  <c r="B40" i="25"/>
  <c r="G9" i="25" s="1"/>
  <c r="I39" i="25"/>
  <c r="D39" i="25"/>
  <c r="I38" i="25"/>
  <c r="D38" i="25"/>
  <c r="I37" i="25"/>
  <c r="D37" i="25"/>
  <c r="I36" i="25"/>
  <c r="D36" i="25"/>
  <c r="I35" i="25"/>
  <c r="D35" i="25"/>
  <c r="I34" i="25"/>
  <c r="D34" i="25"/>
  <c r="I33" i="25"/>
  <c r="D33" i="25"/>
  <c r="I32" i="25"/>
  <c r="D32" i="25"/>
  <c r="I31" i="25"/>
  <c r="D31" i="25"/>
  <c r="I30" i="25"/>
  <c r="D30" i="25"/>
  <c r="I29" i="25"/>
  <c r="D29" i="25"/>
  <c r="I28" i="25"/>
  <c r="D28" i="25"/>
  <c r="I27" i="25"/>
  <c r="D27" i="25"/>
  <c r="I26" i="25"/>
  <c r="D26" i="25"/>
  <c r="I25" i="25"/>
  <c r="D25" i="25"/>
  <c r="I24" i="25"/>
  <c r="D24" i="25"/>
  <c r="I23" i="25"/>
  <c r="D23" i="25"/>
  <c r="I22" i="25"/>
  <c r="D22" i="25"/>
  <c r="I21" i="25"/>
  <c r="D21" i="25"/>
  <c r="I20" i="25"/>
  <c r="D20" i="25"/>
  <c r="I19" i="25"/>
  <c r="D19" i="25"/>
  <c r="I18" i="25"/>
  <c r="D18" i="25"/>
  <c r="I17" i="25"/>
  <c r="D17" i="25"/>
  <c r="I16" i="25"/>
  <c r="I40" i="25" s="1"/>
  <c r="D16" i="25"/>
  <c r="D40" i="25" s="1"/>
  <c r="C11" i="25"/>
  <c r="H8" i="25" s="1"/>
  <c r="B11" i="25"/>
  <c r="G8" i="25" s="1"/>
  <c r="B31" i="34" s="1"/>
  <c r="D10" i="25"/>
  <c r="D9" i="25"/>
  <c r="D8" i="25"/>
  <c r="D11" i="25" s="1"/>
  <c r="H40" i="23"/>
  <c r="H10" i="23" s="1"/>
  <c r="C25" i="34" s="1"/>
  <c r="G40" i="23"/>
  <c r="G10" i="23" s="1"/>
  <c r="C40" i="23"/>
  <c r="H9" i="23" s="1"/>
  <c r="C24" i="34" s="1"/>
  <c r="B40" i="23"/>
  <c r="G9" i="23" s="1"/>
  <c r="I39" i="23"/>
  <c r="D39" i="23"/>
  <c r="I38" i="23"/>
  <c r="D38" i="23"/>
  <c r="I37" i="23"/>
  <c r="D37" i="23"/>
  <c r="I36" i="23"/>
  <c r="D36" i="23"/>
  <c r="I35" i="23"/>
  <c r="D35" i="23"/>
  <c r="I34" i="23"/>
  <c r="D34" i="23"/>
  <c r="I33" i="23"/>
  <c r="D33" i="23"/>
  <c r="I32" i="23"/>
  <c r="D32" i="23"/>
  <c r="I31" i="23"/>
  <c r="D31" i="23"/>
  <c r="I30" i="23"/>
  <c r="D30" i="23"/>
  <c r="I29" i="23"/>
  <c r="D29" i="23"/>
  <c r="I28" i="23"/>
  <c r="D28" i="23"/>
  <c r="I27" i="23"/>
  <c r="D27" i="23"/>
  <c r="I26" i="23"/>
  <c r="D26" i="23"/>
  <c r="I25" i="23"/>
  <c r="D25" i="23"/>
  <c r="I24" i="23"/>
  <c r="D24" i="23"/>
  <c r="I23" i="23"/>
  <c r="D23" i="23"/>
  <c r="I22" i="23"/>
  <c r="D22" i="23"/>
  <c r="I21" i="23"/>
  <c r="D21" i="23"/>
  <c r="I20" i="23"/>
  <c r="D20" i="23"/>
  <c r="I19" i="23"/>
  <c r="D19" i="23"/>
  <c r="I18" i="23"/>
  <c r="D18" i="23"/>
  <c r="I17" i="23"/>
  <c r="D17" i="23"/>
  <c r="I16" i="23"/>
  <c r="I40" i="23" s="1"/>
  <c r="D16" i="23"/>
  <c r="D40" i="23" s="1"/>
  <c r="D11" i="23"/>
  <c r="C11" i="23"/>
  <c r="H8" i="23" s="1"/>
  <c r="B11" i="23"/>
  <c r="G8" i="23" s="1"/>
  <c r="B23" i="34" s="1"/>
  <c r="D10" i="23"/>
  <c r="D9" i="23"/>
  <c r="D8" i="23"/>
  <c r="H40" i="22"/>
  <c r="H10" i="22" s="1"/>
  <c r="C17" i="34" s="1"/>
  <c r="G40" i="22"/>
  <c r="G10" i="22" s="1"/>
  <c r="C40" i="22"/>
  <c r="H9" i="22" s="1"/>
  <c r="C16" i="34" s="1"/>
  <c r="B40" i="22"/>
  <c r="G9" i="22" s="1"/>
  <c r="B16" i="34" s="1"/>
  <c r="I39" i="22"/>
  <c r="D39" i="22"/>
  <c r="I38" i="22"/>
  <c r="D38" i="22"/>
  <c r="I37" i="22"/>
  <c r="D37" i="22"/>
  <c r="I36" i="22"/>
  <c r="D36" i="22"/>
  <c r="I35" i="22"/>
  <c r="D35" i="22"/>
  <c r="I34" i="22"/>
  <c r="D34" i="22"/>
  <c r="I33" i="22"/>
  <c r="D33" i="22"/>
  <c r="I32" i="22"/>
  <c r="D32" i="22"/>
  <c r="I31" i="22"/>
  <c r="D31" i="22"/>
  <c r="I30" i="22"/>
  <c r="D30" i="22"/>
  <c r="I29" i="22"/>
  <c r="D29" i="22"/>
  <c r="I28" i="22"/>
  <c r="D28" i="22"/>
  <c r="I27" i="22"/>
  <c r="D27" i="22"/>
  <c r="I26" i="22"/>
  <c r="D26" i="22"/>
  <c r="I25" i="22"/>
  <c r="D25" i="22"/>
  <c r="I24" i="22"/>
  <c r="D24" i="22"/>
  <c r="I23" i="22"/>
  <c r="D23" i="22"/>
  <c r="I22" i="22"/>
  <c r="D22" i="22"/>
  <c r="I21" i="22"/>
  <c r="D21" i="22"/>
  <c r="I20" i="22"/>
  <c r="D20" i="22"/>
  <c r="I19" i="22"/>
  <c r="D19" i="22"/>
  <c r="I18" i="22"/>
  <c r="D18" i="22"/>
  <c r="I17" i="22"/>
  <c r="D17" i="22"/>
  <c r="I16" i="22"/>
  <c r="I40" i="22" s="1"/>
  <c r="D16" i="22"/>
  <c r="D40" i="22" s="1"/>
  <c r="C11" i="22"/>
  <c r="H8" i="22" s="1"/>
  <c r="B11" i="22"/>
  <c r="G8" i="22" s="1"/>
  <c r="B15" i="34" s="1"/>
  <c r="D10" i="22"/>
  <c r="D9" i="22"/>
  <c r="D8" i="22"/>
  <c r="D11" i="22" s="1"/>
  <c r="D39" i="3"/>
  <c r="H40" i="3"/>
  <c r="H10" i="3" s="1"/>
  <c r="C9" i="34" s="1"/>
  <c r="G40" i="3"/>
  <c r="G10" i="3" s="1"/>
  <c r="B9" i="34" s="1"/>
  <c r="I39" i="3"/>
  <c r="C40" i="3"/>
  <c r="H9" i="3" s="1"/>
  <c r="C8" i="34" s="1"/>
  <c r="B40" i="3"/>
  <c r="G9" i="3" s="1"/>
  <c r="B8" i="34" s="1"/>
  <c r="C11" i="3"/>
  <c r="H8" i="3" s="1"/>
  <c r="C7" i="34" s="1"/>
  <c r="B11" i="3"/>
  <c r="G8" i="3" s="1"/>
  <c r="B7" i="34" s="1"/>
  <c r="D8" i="3"/>
  <c r="D9" i="3"/>
  <c r="D10" i="3"/>
  <c r="I38" i="3"/>
  <c r="D38" i="3"/>
  <c r="I37" i="3"/>
  <c r="D37" i="3"/>
  <c r="I36" i="3"/>
  <c r="D36" i="3"/>
  <c r="I35" i="3"/>
  <c r="D35" i="3"/>
  <c r="I34" i="3"/>
  <c r="D34" i="3"/>
  <c r="I33" i="3"/>
  <c r="D33" i="3"/>
  <c r="I32" i="3"/>
  <c r="D32" i="3"/>
  <c r="I31" i="3"/>
  <c r="D31" i="3"/>
  <c r="I30" i="3"/>
  <c r="D30" i="3"/>
  <c r="I29" i="3"/>
  <c r="D29" i="3"/>
  <c r="I28" i="3"/>
  <c r="D28" i="3"/>
  <c r="I27" i="3"/>
  <c r="D27" i="3"/>
  <c r="I26" i="3"/>
  <c r="D26" i="3"/>
  <c r="I25" i="3"/>
  <c r="D25" i="3"/>
  <c r="I24" i="3"/>
  <c r="D24" i="3"/>
  <c r="I23" i="3"/>
  <c r="D23" i="3"/>
  <c r="I22" i="3"/>
  <c r="D22" i="3"/>
  <c r="I21" i="3"/>
  <c r="D21" i="3"/>
  <c r="I20" i="3"/>
  <c r="D20" i="3"/>
  <c r="I19" i="3"/>
  <c r="D19" i="3"/>
  <c r="I18" i="3"/>
  <c r="D18" i="3"/>
  <c r="I17" i="3"/>
  <c r="D17" i="3"/>
  <c r="I16" i="3"/>
  <c r="D16" i="3"/>
  <c r="C10" i="34" l="1"/>
  <c r="B10" i="34"/>
  <c r="N31" i="34"/>
  <c r="N34" i="34" s="1"/>
  <c r="L26" i="34"/>
  <c r="I10" i="31"/>
  <c r="L17" i="34"/>
  <c r="N17" i="34" s="1"/>
  <c r="H11" i="31"/>
  <c r="I9" i="31"/>
  <c r="L16" i="34"/>
  <c r="N16" i="34" s="1"/>
  <c r="M15" i="34"/>
  <c r="M18" i="34" s="1"/>
  <c r="N15" i="34"/>
  <c r="N18" i="34" s="1"/>
  <c r="I10" i="30"/>
  <c r="L9" i="34"/>
  <c r="N9" i="34" s="1"/>
  <c r="H11" i="30"/>
  <c r="I9" i="30"/>
  <c r="L8" i="34"/>
  <c r="N8" i="34" s="1"/>
  <c r="L10" i="34"/>
  <c r="M7" i="34"/>
  <c r="M10" i="34" s="1"/>
  <c r="N7" i="34"/>
  <c r="N10" i="34" s="1"/>
  <c r="I10" i="29"/>
  <c r="G33" i="34"/>
  <c r="I33" i="34" s="1"/>
  <c r="H11" i="29"/>
  <c r="I9" i="29"/>
  <c r="G32" i="34"/>
  <c r="I32" i="34" s="1"/>
  <c r="H31" i="34"/>
  <c r="H34" i="34" s="1"/>
  <c r="I31" i="34"/>
  <c r="I34" i="34" s="1"/>
  <c r="I10" i="28"/>
  <c r="G25" i="34"/>
  <c r="I25" i="34" s="1"/>
  <c r="H11" i="28"/>
  <c r="I9" i="28"/>
  <c r="G24" i="34"/>
  <c r="I24" i="34" s="1"/>
  <c r="G26" i="34"/>
  <c r="H23" i="34"/>
  <c r="H26" i="34" s="1"/>
  <c r="I23" i="34"/>
  <c r="I26" i="34" s="1"/>
  <c r="I9" i="27"/>
  <c r="I40" i="27"/>
  <c r="I10" i="27"/>
  <c r="G17" i="34"/>
  <c r="I17" i="34" s="1"/>
  <c r="H11" i="27"/>
  <c r="H16" i="34"/>
  <c r="I16" i="34" s="1"/>
  <c r="G18" i="34"/>
  <c r="H15" i="34"/>
  <c r="H18" i="34" s="1"/>
  <c r="I15" i="34"/>
  <c r="G9" i="34"/>
  <c r="I9" i="34" s="1"/>
  <c r="I10" i="26"/>
  <c r="I9" i="26"/>
  <c r="H11" i="26"/>
  <c r="G8" i="34"/>
  <c r="I8" i="34" s="1"/>
  <c r="H7" i="34"/>
  <c r="H10" i="34" s="1"/>
  <c r="I7" i="34"/>
  <c r="I10" i="34" s="1"/>
  <c r="B33" i="34"/>
  <c r="D33" i="34" s="1"/>
  <c r="I10" i="25"/>
  <c r="I9" i="25"/>
  <c r="H11" i="25"/>
  <c r="B32" i="34"/>
  <c r="D32" i="34" s="1"/>
  <c r="C31" i="34"/>
  <c r="C34" i="34" s="1"/>
  <c r="D31" i="34"/>
  <c r="D34" i="34" s="1"/>
  <c r="H11" i="23"/>
  <c r="I10" i="23"/>
  <c r="B25" i="34"/>
  <c r="D25" i="34" s="1"/>
  <c r="I9" i="23"/>
  <c r="B24" i="34"/>
  <c r="D24" i="34" s="1"/>
  <c r="C23" i="34"/>
  <c r="C26" i="34" s="1"/>
  <c r="D23" i="34"/>
  <c r="H11" i="22"/>
  <c r="B17" i="34"/>
  <c r="D17" i="34" s="1"/>
  <c r="I10" i="22"/>
  <c r="D16" i="34"/>
  <c r="I9" i="22"/>
  <c r="C15" i="34"/>
  <c r="C18" i="34" s="1"/>
  <c r="D9" i="34"/>
  <c r="D8" i="34"/>
  <c r="D7" i="34"/>
  <c r="D10" i="34" s="1"/>
  <c r="D15" i="34"/>
  <c r="G11" i="33"/>
  <c r="I8" i="33"/>
  <c r="I11" i="33" s="1"/>
  <c r="I8" i="32"/>
  <c r="I11" i="32" s="1"/>
  <c r="G11" i="32"/>
  <c r="I8" i="31"/>
  <c r="I11" i="31" s="1"/>
  <c r="G11" i="31"/>
  <c r="G11" i="30"/>
  <c r="I8" i="30"/>
  <c r="I11" i="30" s="1"/>
  <c r="G11" i="29"/>
  <c r="I8" i="29"/>
  <c r="I11" i="29" s="1"/>
  <c r="I8" i="28"/>
  <c r="I11" i="28" s="1"/>
  <c r="G11" i="28"/>
  <c r="G11" i="27"/>
  <c r="I8" i="27"/>
  <c r="I11" i="27" s="1"/>
  <c r="I8" i="26"/>
  <c r="I11" i="26" s="1"/>
  <c r="G11" i="26"/>
  <c r="I8" i="25"/>
  <c r="G11" i="25"/>
  <c r="G11" i="23"/>
  <c r="I8" i="23"/>
  <c r="I8" i="22"/>
  <c r="I11" i="22" s="1"/>
  <c r="G11" i="22"/>
  <c r="I9" i="3"/>
  <c r="I8" i="3"/>
  <c r="H11" i="3"/>
  <c r="I10" i="3"/>
  <c r="G11" i="3"/>
  <c r="I40" i="3"/>
  <c r="D40" i="3"/>
  <c r="D11" i="3"/>
  <c r="D18" i="34" l="1"/>
  <c r="D26" i="34"/>
  <c r="I11" i="23"/>
  <c r="L18" i="34"/>
  <c r="G34" i="34"/>
  <c r="I18" i="34"/>
  <c r="G10" i="34"/>
  <c r="I11" i="25"/>
  <c r="B34" i="34"/>
  <c r="B26" i="34"/>
  <c r="B18" i="34"/>
  <c r="I11" i="3"/>
</calcChain>
</file>

<file path=xl/sharedStrings.xml><?xml version="1.0" encoding="utf-8"?>
<sst xmlns="http://schemas.openxmlformats.org/spreadsheetml/2006/main" count="1072" uniqueCount="88">
  <si>
    <t>Income</t>
  </si>
  <si>
    <t>Budget</t>
  </si>
  <si>
    <t>Actual</t>
  </si>
  <si>
    <t>Wages &amp; Tips</t>
  </si>
  <si>
    <t>Interest Income</t>
  </si>
  <si>
    <t>Dividends</t>
  </si>
  <si>
    <t>Total</t>
  </si>
  <si>
    <t>Difference</t>
  </si>
  <si>
    <t>Mortgage/Rent</t>
  </si>
  <si>
    <t>Gas/Oil</t>
  </si>
  <si>
    <t>Water/Sewer/Trash</t>
  </si>
  <si>
    <t>Phone</t>
  </si>
  <si>
    <t>Cable</t>
  </si>
  <si>
    <t>Internet</t>
  </si>
  <si>
    <t>Lawn</t>
  </si>
  <si>
    <t>Other</t>
  </si>
  <si>
    <t>Monthly Budget Tracker</t>
  </si>
  <si>
    <t>Fixed Expense</t>
  </si>
  <si>
    <t>Expense</t>
  </si>
  <si>
    <t>Home/Rental Insurance</t>
  </si>
  <si>
    <t>Car Payment</t>
  </si>
  <si>
    <t>Car Insurance</t>
  </si>
  <si>
    <t>Property Tax</t>
  </si>
  <si>
    <t>Health Insurance</t>
  </si>
  <si>
    <t>Medicine</t>
  </si>
  <si>
    <t>Health Club</t>
  </si>
  <si>
    <t>Life Insurance</t>
  </si>
  <si>
    <t>Pet Insurance</t>
  </si>
  <si>
    <t>Subscriptions</t>
  </si>
  <si>
    <t>Emergency Funds</t>
  </si>
  <si>
    <t>Sink Funds</t>
  </si>
  <si>
    <t>Student Loans</t>
  </si>
  <si>
    <t>Credit Card Loans</t>
  </si>
  <si>
    <t>Loans</t>
  </si>
  <si>
    <t>Alimony</t>
  </si>
  <si>
    <t>Federal Tax</t>
  </si>
  <si>
    <t>State Tax</t>
  </si>
  <si>
    <t>Variable Expense</t>
  </si>
  <si>
    <t>Electricity</t>
  </si>
  <si>
    <t>Maintenance/Supplies</t>
  </si>
  <si>
    <t>Home Improvements</t>
  </si>
  <si>
    <t>Car Repairs</t>
  </si>
  <si>
    <t>Pet</t>
  </si>
  <si>
    <t>Donations</t>
  </si>
  <si>
    <t>Groceries</t>
  </si>
  <si>
    <t>Personal Supplies</t>
  </si>
  <si>
    <t>Clothing</t>
  </si>
  <si>
    <t>Cleaning</t>
  </si>
  <si>
    <t>Education</t>
  </si>
  <si>
    <t>Dining/Eating Out</t>
  </si>
  <si>
    <t>Salon</t>
  </si>
  <si>
    <t>Pet Food</t>
  </si>
  <si>
    <t>Activities</t>
  </si>
  <si>
    <t>Games</t>
  </si>
  <si>
    <t>Fun</t>
  </si>
  <si>
    <t>Hobbies</t>
  </si>
  <si>
    <t>Media</t>
  </si>
  <si>
    <t>Sports</t>
  </si>
  <si>
    <t xml:space="preserve">Actual </t>
  </si>
  <si>
    <t>Budget Summary</t>
  </si>
  <si>
    <t>Summary</t>
  </si>
  <si>
    <t>Total Income</t>
  </si>
  <si>
    <t>Running Total per Month</t>
  </si>
  <si>
    <t>January</t>
  </si>
  <si>
    <t>February</t>
  </si>
  <si>
    <t>March</t>
  </si>
  <si>
    <t>April</t>
  </si>
  <si>
    <t>May</t>
  </si>
  <si>
    <t>June</t>
  </si>
  <si>
    <t>July</t>
  </si>
  <si>
    <t>August</t>
  </si>
  <si>
    <t>September</t>
  </si>
  <si>
    <t>October</t>
  </si>
  <si>
    <t>November</t>
  </si>
  <si>
    <t>December</t>
  </si>
  <si>
    <t>Help</t>
  </si>
  <si>
    <t>Introduction</t>
  </si>
  <si>
    <t>The purpose of this budget tracker is to track how much is budgeted and how much is spent. This sheet includes the income, Fixed, and Variable expenses.</t>
  </si>
  <si>
    <t>Guideline</t>
  </si>
  <si>
    <t>Step 1</t>
  </si>
  <si>
    <t>Input all information into "Budget" rows for "Income", "Fixed Expense", and "Variable Expense". This can be your best estimate.</t>
  </si>
  <si>
    <t>Step 2</t>
  </si>
  <si>
    <t>Input all information into "Actual" rows for "Income", "Fixed Expense", and "Variable Expense". This will reflect the correct expense at the time of purchase.</t>
  </si>
  <si>
    <t>These cells have conditional formatting where it will indicate the positive or negative difference</t>
  </si>
  <si>
    <t xml:space="preserve">Income: The calculation is made from "Actual" subtracted by "Budget". Conditional formatting will show red if underestimated budget and green if overestimated budget. </t>
  </si>
  <si>
    <t>Fixed/Variable Expense: The calculation is made from "Budget" subtracted from "Actual". Conditional formatting will show red if underestimated and green if overestimated budget.</t>
  </si>
  <si>
    <t>The purpose of the budget summary is to relocate all calculated totals into one table. The "Total Income", "Fixed Expense", and "Variable Expense" are totals from the "Income", "Fixed Expense", and "Variable Expense" table. The total row shows the "Income" subtracted by the sum of "Fixed Expense" and "Variable Expense".</t>
  </si>
  <si>
    <t>The "Difference" shows the difference of the "Budget" and "Actual" Columns. Conditional formatting has been applied to these cells. Red will show if budget is underestimated and green if overestimated.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</si>
</sst>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20"/>
      <color theme="1"/>
      <name val="Times New Roman"/>
      <family val="1"/>
    </font>
    <font>
      <sz val="20"/>
      <color theme="4"/>
      <name val="Times New Roman"/>
      <family val="1"/>
    </font>
    <font>
      <sz val="11"/>
      <color theme="4"/>
      <name val="Calibri"/>
      <family val="2"/>
      <scheme val="minor"/>
    </font>
    <font>
      <sz val="11"/>
      <color theme="1"/>
      <name val="Times New Roman"/>
      <family val="1"/>
    </font>
    <font>
      <sz val="18"/>
      <color theme="4"/>
      <name val="Times New Roman"/>
      <family val="1"/>
    </font>
    <font>
      <sz val="12"/>
      <color theme="4"/>
      <name val="Times New Roman"/>
      <family val="1"/>
    </font>
    <font>
      <b/>
      <sz val="16"/>
      <color theme="4"/>
      <name val="Times New Roman"/>
      <family val="1"/>
    </font>
    <font>
      <b/>
      <sz val="18"/>
      <color theme="4"/>
      <name val="Times New Roman"/>
      <family val="1"/>
    </font>
    <font>
      <b/>
      <sz val="20"/>
      <color theme="4"/>
      <name val="Times New Roman"/>
      <family val="1"/>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7" xfId="0" applyBorder="1"/>
    <xf numFmtId="164" fontId="0" fillId="0" borderId="1" xfId="0" applyNumberFormat="1" applyBorder="1"/>
    <xf numFmtId="164" fontId="0" fillId="0" borderId="6" xfId="0" applyNumberFormat="1" applyBorder="1"/>
    <xf numFmtId="44" fontId="0" fillId="0" borderId="1" xfId="1" applyFont="1" applyBorder="1"/>
    <xf numFmtId="44" fontId="0" fillId="0" borderId="7" xfId="1" applyFont="1" applyBorder="1"/>
    <xf numFmtId="44" fontId="0" fillId="0" borderId="0" xfId="1" applyFont="1"/>
    <xf numFmtId="0" fontId="4" fillId="0" borderId="0" xfId="0" applyFont="1" applyAlignment="1">
      <alignment horizontal="left"/>
    </xf>
    <xf numFmtId="44" fontId="0" fillId="0" borderId="0" xfId="1" applyFont="1" applyBorder="1"/>
    <xf numFmtId="44" fontId="0" fillId="0" borderId="1" xfId="1" applyFont="1" applyFill="1" applyBorder="1"/>
    <xf numFmtId="164" fontId="0" fillId="0" borderId="0" xfId="0" applyNumberFormat="1"/>
    <xf numFmtId="0" fontId="2" fillId="0" borderId="0" xfId="0" applyFont="1"/>
    <xf numFmtId="44" fontId="0" fillId="0" borderId="1" xfId="0" applyNumberFormat="1" applyBorder="1"/>
    <xf numFmtId="44" fontId="1" fillId="0" borderId="1" xfId="0" applyNumberFormat="1" applyFont="1" applyBorder="1"/>
    <xf numFmtId="0" fontId="6" fillId="0" borderId="0" xfId="0" applyFont="1"/>
    <xf numFmtId="44" fontId="0" fillId="0" borderId="0" xfId="0" applyNumberFormat="1"/>
    <xf numFmtId="0" fontId="8" fillId="0" borderId="0" xfId="0" applyFont="1" applyAlignment="1">
      <alignment horizontal="left" vertical="center"/>
    </xf>
    <xf numFmtId="0" fontId="7" fillId="0" borderId="0" xfId="0" applyFont="1" applyAlignment="1">
      <alignment horizontal="left" vertical="center"/>
    </xf>
    <xf numFmtId="0" fontId="11" fillId="0" borderId="0" xfId="0" applyFont="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10" fillId="0" borderId="0" xfId="0" applyFont="1" applyAlignment="1">
      <alignment horizontal="left" vertical="center"/>
    </xf>
    <xf numFmtId="0" fontId="8" fillId="0" borderId="0" xfId="0" applyFont="1" applyAlignment="1">
      <alignment horizontal="left" vertical="center" wrapText="1"/>
    </xf>
    <xf numFmtId="0" fontId="8" fillId="0" borderId="0" xfId="0" applyFont="1" applyAlignment="1">
      <alignment horizontal="left" vertical="center"/>
    </xf>
    <xf numFmtId="0" fontId="11" fillId="0" borderId="0" xfId="0" applyFont="1" applyAlignment="1">
      <alignment horizontal="left" vertical="center"/>
    </xf>
    <xf numFmtId="0" fontId="9" fillId="0" borderId="0" xfId="0" applyFont="1" applyAlignment="1">
      <alignment horizontal="left" vertical="center"/>
    </xf>
    <xf numFmtId="0" fontId="5" fillId="0" borderId="0" xfId="0" applyFont="1" applyAlignment="1">
      <alignment horizontal="left" vertical="center"/>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left"/>
    </xf>
    <xf numFmtId="0" fontId="3" fillId="0" borderId="0" xfId="0" applyFont="1" applyAlignment="1">
      <alignment horizontal="left"/>
    </xf>
  </cellXfs>
  <cellStyles count="2">
    <cellStyle name="Currency" xfId="1" builtinId="4"/>
    <cellStyle name="Normal" xfId="0" builtinId="0"/>
  </cellStyles>
  <dxfs count="674">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dxf>
    <dxf>
      <font>
        <b val="0"/>
        <i val="0"/>
        <strike val="0"/>
        <condense val="0"/>
        <extend val="0"/>
        <outline val="0"/>
        <shadow val="0"/>
        <u val="none"/>
        <vertAlign val="baseline"/>
        <sz val="11"/>
        <color theme="1"/>
        <name val="Calibri"/>
        <family val="2"/>
        <scheme val="minor"/>
      </font>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bottom/>
        <vertical style="thin">
          <color indexed="64"/>
        </vertical>
        <horizontal style="thin">
          <color indexed="64"/>
        </horizontal>
      </border>
    </dxf>
    <dxf>
      <numFmt numFmtId="164" formatCode="_([$$-409]* #,##0.00_);_([$$-409]* \(#,##0.00\);_([$$-409]* &quot;-&quot;??_);_(@_)"/>
      <border diagonalUp="0" diagonalDown="0">
        <left style="thin">
          <color indexed="64"/>
        </left>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ill>
        <patternFill>
          <bgColor rgb="FFC00000"/>
        </patternFill>
      </fill>
    </dxf>
    <dxf>
      <fill>
        <patternFill>
          <bgColor theme="9" tint="-0.499984740745262"/>
        </patternFill>
      </fill>
    </dxf>
    <dxf>
      <fill>
        <patternFill>
          <bgColor rgb="FFC00000"/>
        </patternFill>
      </fill>
    </dxf>
    <dxf>
      <fill>
        <patternFill>
          <bgColor theme="9" tint="-0.499984740745262"/>
        </patternFill>
      </fill>
    </dxf>
    <dxf>
      <fill>
        <patternFill>
          <bgColor rgb="FFC00000"/>
        </patternFill>
      </fill>
    </dxf>
    <dxf>
      <fill>
        <patternFill>
          <bgColor theme="9" tint="-0.24994659260841701"/>
        </patternFill>
      </fill>
    </dxf>
    <dxf>
      <fill>
        <patternFill>
          <bgColor rgb="FFC00000"/>
        </patternFill>
      </fill>
    </dxf>
    <dxf>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34-4B97-A389-9653F5179E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34-4B97-A389-9653F5179E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34-4B97-A389-9653F5179E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January!$F$8:$F$10</c:f>
              <c:strCache>
                <c:ptCount val="3"/>
                <c:pt idx="0">
                  <c:v>Total Income</c:v>
                </c:pt>
                <c:pt idx="1">
                  <c:v>Fixed Expense</c:v>
                </c:pt>
                <c:pt idx="2">
                  <c:v>Variable Expense</c:v>
                </c:pt>
              </c:strCache>
            </c:strRef>
          </c:cat>
          <c:val>
            <c:numRef>
              <c:f>January!$G$8:$G$10</c:f>
              <c:numCache>
                <c:formatCode>_("$"* #,##0.00_);_("$"* \(#,##0.00\);_("$"* "-"??_);_(@_)</c:formatCode>
                <c:ptCount val="3"/>
                <c:pt idx="0">
                  <c:v>0</c:v>
                </c:pt>
                <c:pt idx="1">
                  <c:v>0</c:v>
                </c:pt>
                <c:pt idx="2">
                  <c:v>0</c:v>
                </c:pt>
              </c:numCache>
            </c:numRef>
          </c:val>
          <c:extLst>
            <c:ext xmlns:c16="http://schemas.microsoft.com/office/drawing/2014/chart" uri="{C3380CC4-5D6E-409C-BE32-E72D297353CC}">
              <c16:uniqueId val="{00000000-6B35-4903-A516-474DD1DB984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0B-4623-BEBD-A400A1710D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0B-4623-BEBD-A400A1710D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0B-4623-BEBD-A400A1710D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May!$F$8:$F$10</c:f>
              <c:strCache>
                <c:ptCount val="3"/>
                <c:pt idx="0">
                  <c:v>Total Income</c:v>
                </c:pt>
                <c:pt idx="1">
                  <c:v>Fixed Expense</c:v>
                </c:pt>
                <c:pt idx="2">
                  <c:v>Variable Expense</c:v>
                </c:pt>
              </c:strCache>
            </c:strRef>
          </c:cat>
          <c:val>
            <c:numRef>
              <c:f>May!$H$8:$H$10</c:f>
              <c:numCache>
                <c:formatCode>_("$"* #,##0.00_);_("$"* \(#,##0.00\);_("$"* "-"??_);_(@_)</c:formatCode>
                <c:ptCount val="3"/>
                <c:pt idx="0">
                  <c:v>0</c:v>
                </c:pt>
                <c:pt idx="1">
                  <c:v>0</c:v>
                </c:pt>
                <c:pt idx="2">
                  <c:v>0</c:v>
                </c:pt>
              </c:numCache>
            </c:numRef>
          </c:val>
          <c:extLst>
            <c:ext xmlns:c16="http://schemas.microsoft.com/office/drawing/2014/chart" uri="{C3380CC4-5D6E-409C-BE32-E72D297353CC}">
              <c16:uniqueId val="{00000006-500B-4623-BEBD-A400A1710D1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51-4EA4-AB9D-DB23E175A7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51-4EA4-AB9D-DB23E175A7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51-4EA4-AB9D-DB23E175A7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June!$F$8:$F$10</c:f>
              <c:strCache>
                <c:ptCount val="3"/>
                <c:pt idx="0">
                  <c:v>Total Income</c:v>
                </c:pt>
                <c:pt idx="1">
                  <c:v>Fixed Expense</c:v>
                </c:pt>
                <c:pt idx="2">
                  <c:v>Variable Expense</c:v>
                </c:pt>
              </c:strCache>
            </c:strRef>
          </c:cat>
          <c:val>
            <c:numRef>
              <c:f>June!$G$8:$G$10</c:f>
              <c:numCache>
                <c:formatCode>_("$"* #,##0.00_);_("$"* \(#,##0.00\);_("$"* "-"??_);_(@_)</c:formatCode>
                <c:ptCount val="3"/>
                <c:pt idx="0">
                  <c:v>0</c:v>
                </c:pt>
                <c:pt idx="1">
                  <c:v>0</c:v>
                </c:pt>
                <c:pt idx="2">
                  <c:v>0</c:v>
                </c:pt>
              </c:numCache>
            </c:numRef>
          </c:val>
          <c:extLst>
            <c:ext xmlns:c16="http://schemas.microsoft.com/office/drawing/2014/chart" uri="{C3380CC4-5D6E-409C-BE32-E72D297353CC}">
              <c16:uniqueId val="{00000006-3E51-4EA4-AB9D-DB23E175A70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AC-44B1-9072-FC02A59C4F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AC-44B1-9072-FC02A59C4F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AC-44B1-9072-FC02A59C4F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June!$F$8:$F$10</c:f>
              <c:strCache>
                <c:ptCount val="3"/>
                <c:pt idx="0">
                  <c:v>Total Income</c:v>
                </c:pt>
                <c:pt idx="1">
                  <c:v>Fixed Expense</c:v>
                </c:pt>
                <c:pt idx="2">
                  <c:v>Variable Expense</c:v>
                </c:pt>
              </c:strCache>
            </c:strRef>
          </c:cat>
          <c:val>
            <c:numRef>
              <c:f>June!$H$8:$H$10</c:f>
              <c:numCache>
                <c:formatCode>_("$"* #,##0.00_);_("$"* \(#,##0.00\);_("$"* "-"??_);_(@_)</c:formatCode>
                <c:ptCount val="3"/>
                <c:pt idx="0">
                  <c:v>0</c:v>
                </c:pt>
                <c:pt idx="1">
                  <c:v>0</c:v>
                </c:pt>
                <c:pt idx="2">
                  <c:v>0</c:v>
                </c:pt>
              </c:numCache>
            </c:numRef>
          </c:val>
          <c:extLst>
            <c:ext xmlns:c16="http://schemas.microsoft.com/office/drawing/2014/chart" uri="{C3380CC4-5D6E-409C-BE32-E72D297353CC}">
              <c16:uniqueId val="{00000006-41AC-44B1-9072-FC02A59C4FA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A5-4D46-A7BD-F9512E6CEB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A5-4D46-A7BD-F9512E6CEB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A5-4D46-A7BD-F9512E6CEB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July!$F$8:$F$10</c:f>
              <c:strCache>
                <c:ptCount val="3"/>
                <c:pt idx="0">
                  <c:v>Total Income</c:v>
                </c:pt>
                <c:pt idx="1">
                  <c:v>Fixed Expense</c:v>
                </c:pt>
                <c:pt idx="2">
                  <c:v>Variable Expense</c:v>
                </c:pt>
              </c:strCache>
            </c:strRef>
          </c:cat>
          <c:val>
            <c:numRef>
              <c:f>July!$G$8:$G$10</c:f>
              <c:numCache>
                <c:formatCode>_("$"* #,##0.00_);_("$"* \(#,##0.00\);_("$"* "-"??_);_(@_)</c:formatCode>
                <c:ptCount val="3"/>
                <c:pt idx="0">
                  <c:v>0</c:v>
                </c:pt>
                <c:pt idx="1">
                  <c:v>0</c:v>
                </c:pt>
                <c:pt idx="2">
                  <c:v>0</c:v>
                </c:pt>
              </c:numCache>
            </c:numRef>
          </c:val>
          <c:extLst>
            <c:ext xmlns:c16="http://schemas.microsoft.com/office/drawing/2014/chart" uri="{C3380CC4-5D6E-409C-BE32-E72D297353CC}">
              <c16:uniqueId val="{00000006-03A5-4D46-A7BD-F9512E6CEBD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87-472D-8E39-55CE79FADD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87-472D-8E39-55CE79FADD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87-472D-8E39-55CE79FADD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July!$F$8:$F$10</c:f>
              <c:strCache>
                <c:ptCount val="3"/>
                <c:pt idx="0">
                  <c:v>Total Income</c:v>
                </c:pt>
                <c:pt idx="1">
                  <c:v>Fixed Expense</c:v>
                </c:pt>
                <c:pt idx="2">
                  <c:v>Variable Expense</c:v>
                </c:pt>
              </c:strCache>
            </c:strRef>
          </c:cat>
          <c:val>
            <c:numRef>
              <c:f>July!$H$8:$H$10</c:f>
              <c:numCache>
                <c:formatCode>_("$"* #,##0.00_);_("$"* \(#,##0.00\);_("$"* "-"??_);_(@_)</c:formatCode>
                <c:ptCount val="3"/>
                <c:pt idx="0">
                  <c:v>0</c:v>
                </c:pt>
                <c:pt idx="1">
                  <c:v>0</c:v>
                </c:pt>
                <c:pt idx="2">
                  <c:v>0</c:v>
                </c:pt>
              </c:numCache>
            </c:numRef>
          </c:val>
          <c:extLst>
            <c:ext xmlns:c16="http://schemas.microsoft.com/office/drawing/2014/chart" uri="{C3380CC4-5D6E-409C-BE32-E72D297353CC}">
              <c16:uniqueId val="{00000006-8F87-472D-8E39-55CE79FADD3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A0-4583-9B06-EB8DBA1DC4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A0-4583-9B06-EB8DBA1DC4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A0-4583-9B06-EB8DBA1DC4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August!$F$8:$F$10</c:f>
              <c:strCache>
                <c:ptCount val="3"/>
                <c:pt idx="0">
                  <c:v>Total Income</c:v>
                </c:pt>
                <c:pt idx="1">
                  <c:v>Fixed Expense</c:v>
                </c:pt>
                <c:pt idx="2">
                  <c:v>Variable Expense</c:v>
                </c:pt>
              </c:strCache>
            </c:strRef>
          </c:cat>
          <c:val>
            <c:numRef>
              <c:f>August!$G$8:$G$10</c:f>
              <c:numCache>
                <c:formatCode>_("$"* #,##0.00_);_("$"* \(#,##0.00\);_("$"* "-"??_);_(@_)</c:formatCode>
                <c:ptCount val="3"/>
                <c:pt idx="0">
                  <c:v>0</c:v>
                </c:pt>
                <c:pt idx="1">
                  <c:v>0</c:v>
                </c:pt>
                <c:pt idx="2">
                  <c:v>0</c:v>
                </c:pt>
              </c:numCache>
            </c:numRef>
          </c:val>
          <c:extLst>
            <c:ext xmlns:c16="http://schemas.microsoft.com/office/drawing/2014/chart" uri="{C3380CC4-5D6E-409C-BE32-E72D297353CC}">
              <c16:uniqueId val="{00000006-98A0-4583-9B06-EB8DBA1DC4E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27-4588-979E-1ECB274164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27-4588-979E-1ECB274164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27-4588-979E-1ECB274164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August!$F$8:$F$10</c:f>
              <c:strCache>
                <c:ptCount val="3"/>
                <c:pt idx="0">
                  <c:v>Total Income</c:v>
                </c:pt>
                <c:pt idx="1">
                  <c:v>Fixed Expense</c:v>
                </c:pt>
                <c:pt idx="2">
                  <c:v>Variable Expense</c:v>
                </c:pt>
              </c:strCache>
            </c:strRef>
          </c:cat>
          <c:val>
            <c:numRef>
              <c:f>August!$H$8:$H$10</c:f>
              <c:numCache>
                <c:formatCode>_("$"* #,##0.00_);_("$"* \(#,##0.00\);_("$"* "-"??_);_(@_)</c:formatCode>
                <c:ptCount val="3"/>
                <c:pt idx="0">
                  <c:v>0</c:v>
                </c:pt>
                <c:pt idx="1">
                  <c:v>0</c:v>
                </c:pt>
                <c:pt idx="2">
                  <c:v>0</c:v>
                </c:pt>
              </c:numCache>
            </c:numRef>
          </c:val>
          <c:extLst>
            <c:ext xmlns:c16="http://schemas.microsoft.com/office/drawing/2014/chart" uri="{C3380CC4-5D6E-409C-BE32-E72D297353CC}">
              <c16:uniqueId val="{00000006-F327-4588-979E-1ECB2741643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97-4984-8BE5-8ADDFE1C83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97-4984-8BE5-8ADDFE1C83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97-4984-8BE5-8ADDFE1C83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September!$F$8:$F$10</c:f>
              <c:strCache>
                <c:ptCount val="3"/>
                <c:pt idx="0">
                  <c:v>Total Income</c:v>
                </c:pt>
                <c:pt idx="1">
                  <c:v>Fixed Expense</c:v>
                </c:pt>
                <c:pt idx="2">
                  <c:v>Variable Expense</c:v>
                </c:pt>
              </c:strCache>
            </c:strRef>
          </c:cat>
          <c:val>
            <c:numRef>
              <c:f>September!$G$8:$G$10</c:f>
              <c:numCache>
                <c:formatCode>_("$"* #,##0.00_);_("$"* \(#,##0.00\);_("$"* "-"??_);_(@_)</c:formatCode>
                <c:ptCount val="3"/>
                <c:pt idx="0">
                  <c:v>0</c:v>
                </c:pt>
                <c:pt idx="1">
                  <c:v>0</c:v>
                </c:pt>
                <c:pt idx="2">
                  <c:v>0</c:v>
                </c:pt>
              </c:numCache>
            </c:numRef>
          </c:val>
          <c:extLst>
            <c:ext xmlns:c16="http://schemas.microsoft.com/office/drawing/2014/chart" uri="{C3380CC4-5D6E-409C-BE32-E72D297353CC}">
              <c16:uniqueId val="{00000006-FB97-4984-8BE5-8ADDFE1C831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9A-4F94-935A-E7E6D912BB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9A-4F94-935A-E7E6D912BB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9A-4F94-935A-E7E6D912BB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September!$F$8:$F$10</c:f>
              <c:strCache>
                <c:ptCount val="3"/>
                <c:pt idx="0">
                  <c:v>Total Income</c:v>
                </c:pt>
                <c:pt idx="1">
                  <c:v>Fixed Expense</c:v>
                </c:pt>
                <c:pt idx="2">
                  <c:v>Variable Expense</c:v>
                </c:pt>
              </c:strCache>
            </c:strRef>
          </c:cat>
          <c:val>
            <c:numRef>
              <c:f>September!$H$8:$H$10</c:f>
              <c:numCache>
                <c:formatCode>_("$"* #,##0.00_);_("$"* \(#,##0.00\);_("$"* "-"??_);_(@_)</c:formatCode>
                <c:ptCount val="3"/>
                <c:pt idx="0">
                  <c:v>0</c:v>
                </c:pt>
                <c:pt idx="1">
                  <c:v>0</c:v>
                </c:pt>
                <c:pt idx="2">
                  <c:v>0</c:v>
                </c:pt>
              </c:numCache>
            </c:numRef>
          </c:val>
          <c:extLst>
            <c:ext xmlns:c16="http://schemas.microsoft.com/office/drawing/2014/chart" uri="{C3380CC4-5D6E-409C-BE32-E72D297353CC}">
              <c16:uniqueId val="{00000006-B79A-4F94-935A-E7E6D912BB5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6D-4D09-9876-17A69B921B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6D-4D09-9876-17A69B921B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6D-4D09-9876-17A69B921B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October!$F$8:$F$10</c:f>
              <c:strCache>
                <c:ptCount val="3"/>
                <c:pt idx="0">
                  <c:v>Total Income</c:v>
                </c:pt>
                <c:pt idx="1">
                  <c:v>Fixed Expense</c:v>
                </c:pt>
                <c:pt idx="2">
                  <c:v>Variable Expense</c:v>
                </c:pt>
              </c:strCache>
            </c:strRef>
          </c:cat>
          <c:val>
            <c:numRef>
              <c:f>October!$G$8:$G$10</c:f>
              <c:numCache>
                <c:formatCode>_("$"* #,##0.00_);_("$"* \(#,##0.00\);_("$"* "-"??_);_(@_)</c:formatCode>
                <c:ptCount val="3"/>
                <c:pt idx="0">
                  <c:v>0</c:v>
                </c:pt>
                <c:pt idx="1">
                  <c:v>0</c:v>
                </c:pt>
                <c:pt idx="2">
                  <c:v>0</c:v>
                </c:pt>
              </c:numCache>
            </c:numRef>
          </c:val>
          <c:extLst>
            <c:ext xmlns:c16="http://schemas.microsoft.com/office/drawing/2014/chart" uri="{C3380CC4-5D6E-409C-BE32-E72D297353CC}">
              <c16:uniqueId val="{00000006-266D-4D09-9876-17A69B921BB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CE-4C43-BAC6-B4D425E684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CE-4C43-BAC6-B4D425E684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CE-4C43-BAC6-B4D425E684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January!$F$8:$F$10</c:f>
              <c:strCache>
                <c:ptCount val="3"/>
                <c:pt idx="0">
                  <c:v>Total Income</c:v>
                </c:pt>
                <c:pt idx="1">
                  <c:v>Fixed Expense</c:v>
                </c:pt>
                <c:pt idx="2">
                  <c:v>Variable Expense</c:v>
                </c:pt>
              </c:strCache>
            </c:strRef>
          </c:cat>
          <c:val>
            <c:numRef>
              <c:f>January!$H$8:$H$10</c:f>
              <c:numCache>
                <c:formatCode>_("$"* #,##0.00_);_("$"* \(#,##0.00\);_("$"* "-"??_);_(@_)</c:formatCode>
                <c:ptCount val="3"/>
                <c:pt idx="0">
                  <c:v>0</c:v>
                </c:pt>
                <c:pt idx="1">
                  <c:v>0</c:v>
                </c:pt>
                <c:pt idx="2">
                  <c:v>0</c:v>
                </c:pt>
              </c:numCache>
            </c:numRef>
          </c:val>
          <c:extLst>
            <c:ext xmlns:c16="http://schemas.microsoft.com/office/drawing/2014/chart" uri="{C3380CC4-5D6E-409C-BE32-E72D297353CC}">
              <c16:uniqueId val="{00000000-3FBD-492C-8C13-260457E6FA7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36-42F6-9DD2-C2E1C06D74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36-42F6-9DD2-C2E1C06D74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36-42F6-9DD2-C2E1C06D74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October!$F$8:$F$10</c:f>
              <c:strCache>
                <c:ptCount val="3"/>
                <c:pt idx="0">
                  <c:v>Total Income</c:v>
                </c:pt>
                <c:pt idx="1">
                  <c:v>Fixed Expense</c:v>
                </c:pt>
                <c:pt idx="2">
                  <c:v>Variable Expense</c:v>
                </c:pt>
              </c:strCache>
            </c:strRef>
          </c:cat>
          <c:val>
            <c:numRef>
              <c:f>October!$H$8:$H$10</c:f>
              <c:numCache>
                <c:formatCode>_("$"* #,##0.00_);_("$"* \(#,##0.00\);_("$"* "-"??_);_(@_)</c:formatCode>
                <c:ptCount val="3"/>
                <c:pt idx="0">
                  <c:v>0</c:v>
                </c:pt>
                <c:pt idx="1">
                  <c:v>0</c:v>
                </c:pt>
                <c:pt idx="2">
                  <c:v>0</c:v>
                </c:pt>
              </c:numCache>
            </c:numRef>
          </c:val>
          <c:extLst>
            <c:ext xmlns:c16="http://schemas.microsoft.com/office/drawing/2014/chart" uri="{C3380CC4-5D6E-409C-BE32-E72D297353CC}">
              <c16:uniqueId val="{00000006-D636-42F6-9DD2-C2E1C06D744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4E-4F3A-84DB-4344F39CA7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4E-4F3A-84DB-4344F39CA7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4E-4F3A-84DB-4344F39CA7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November!$F$8:$F$10</c:f>
              <c:strCache>
                <c:ptCount val="3"/>
                <c:pt idx="0">
                  <c:v>Total Income</c:v>
                </c:pt>
                <c:pt idx="1">
                  <c:v>Fixed Expense</c:v>
                </c:pt>
                <c:pt idx="2">
                  <c:v>Variable Expense</c:v>
                </c:pt>
              </c:strCache>
            </c:strRef>
          </c:cat>
          <c:val>
            <c:numRef>
              <c:f>November!$G$8:$G$10</c:f>
              <c:numCache>
                <c:formatCode>_("$"* #,##0.00_);_("$"* \(#,##0.00\);_("$"* "-"??_);_(@_)</c:formatCode>
                <c:ptCount val="3"/>
                <c:pt idx="0">
                  <c:v>0</c:v>
                </c:pt>
                <c:pt idx="1">
                  <c:v>0</c:v>
                </c:pt>
                <c:pt idx="2">
                  <c:v>0</c:v>
                </c:pt>
              </c:numCache>
            </c:numRef>
          </c:val>
          <c:extLst>
            <c:ext xmlns:c16="http://schemas.microsoft.com/office/drawing/2014/chart" uri="{C3380CC4-5D6E-409C-BE32-E72D297353CC}">
              <c16:uniqueId val="{00000006-FA4E-4F3A-84DB-4344F39CA71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06-40D8-9D3B-6849AE8303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06-40D8-9D3B-6849AE8303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06-40D8-9D3B-6849AE8303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November!$F$8:$F$10</c:f>
              <c:strCache>
                <c:ptCount val="3"/>
                <c:pt idx="0">
                  <c:v>Total Income</c:v>
                </c:pt>
                <c:pt idx="1">
                  <c:v>Fixed Expense</c:v>
                </c:pt>
                <c:pt idx="2">
                  <c:v>Variable Expense</c:v>
                </c:pt>
              </c:strCache>
            </c:strRef>
          </c:cat>
          <c:val>
            <c:numRef>
              <c:f>November!$H$8:$H$10</c:f>
              <c:numCache>
                <c:formatCode>_("$"* #,##0.00_);_("$"* \(#,##0.00\);_("$"* "-"??_);_(@_)</c:formatCode>
                <c:ptCount val="3"/>
                <c:pt idx="0">
                  <c:v>0</c:v>
                </c:pt>
                <c:pt idx="1">
                  <c:v>0</c:v>
                </c:pt>
                <c:pt idx="2">
                  <c:v>0</c:v>
                </c:pt>
              </c:numCache>
            </c:numRef>
          </c:val>
          <c:extLst>
            <c:ext xmlns:c16="http://schemas.microsoft.com/office/drawing/2014/chart" uri="{C3380CC4-5D6E-409C-BE32-E72D297353CC}">
              <c16:uniqueId val="{00000006-DA06-40D8-9D3B-6849AE83038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68-4D7B-8FFA-6474EE1D36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68-4D7B-8FFA-6474EE1D36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68-4D7B-8FFA-6474EE1D36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December!$F$8:$F$10</c:f>
              <c:strCache>
                <c:ptCount val="3"/>
                <c:pt idx="0">
                  <c:v>Total Income</c:v>
                </c:pt>
                <c:pt idx="1">
                  <c:v>Fixed Expense</c:v>
                </c:pt>
                <c:pt idx="2">
                  <c:v>Variable Expense</c:v>
                </c:pt>
              </c:strCache>
            </c:strRef>
          </c:cat>
          <c:val>
            <c:numRef>
              <c:f>December!$G$8:$G$10</c:f>
              <c:numCache>
                <c:formatCode>_("$"* #,##0.00_);_("$"* \(#,##0.00\);_("$"* "-"??_);_(@_)</c:formatCode>
                <c:ptCount val="3"/>
                <c:pt idx="0">
                  <c:v>0</c:v>
                </c:pt>
                <c:pt idx="1">
                  <c:v>0</c:v>
                </c:pt>
                <c:pt idx="2">
                  <c:v>0</c:v>
                </c:pt>
              </c:numCache>
            </c:numRef>
          </c:val>
          <c:extLst>
            <c:ext xmlns:c16="http://schemas.microsoft.com/office/drawing/2014/chart" uri="{C3380CC4-5D6E-409C-BE32-E72D297353CC}">
              <c16:uniqueId val="{00000006-F168-4D7B-8FFA-6474EE1D36D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DF-45F4-B071-BE380F6855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DF-45F4-B071-BE380F6855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DF-45F4-B071-BE380F6855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December!$F$8:$F$10</c:f>
              <c:strCache>
                <c:ptCount val="3"/>
                <c:pt idx="0">
                  <c:v>Total Income</c:v>
                </c:pt>
                <c:pt idx="1">
                  <c:v>Fixed Expense</c:v>
                </c:pt>
                <c:pt idx="2">
                  <c:v>Variable Expense</c:v>
                </c:pt>
              </c:strCache>
            </c:strRef>
          </c:cat>
          <c:val>
            <c:numRef>
              <c:f>December!$H$8:$H$10</c:f>
              <c:numCache>
                <c:formatCode>_("$"* #,##0.00_);_("$"* \(#,##0.00\);_("$"* "-"??_);_(@_)</c:formatCode>
                <c:ptCount val="3"/>
                <c:pt idx="0">
                  <c:v>0</c:v>
                </c:pt>
                <c:pt idx="1">
                  <c:v>0</c:v>
                </c:pt>
                <c:pt idx="2">
                  <c:v>0</c:v>
                </c:pt>
              </c:numCache>
            </c:numRef>
          </c:val>
          <c:extLst>
            <c:ext xmlns:c16="http://schemas.microsoft.com/office/drawing/2014/chart" uri="{C3380CC4-5D6E-409C-BE32-E72D297353CC}">
              <c16:uniqueId val="{00000006-11DF-45F4-B071-BE380F68558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62-43A0-BA07-1B21651843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62-43A0-BA07-1B21651843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62-43A0-BA07-1B21651843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February!$F$8:$F$10</c:f>
              <c:strCache>
                <c:ptCount val="3"/>
                <c:pt idx="0">
                  <c:v>Total Income</c:v>
                </c:pt>
                <c:pt idx="1">
                  <c:v>Fixed Expense</c:v>
                </c:pt>
                <c:pt idx="2">
                  <c:v>Variable Expense</c:v>
                </c:pt>
              </c:strCache>
            </c:strRef>
          </c:cat>
          <c:val>
            <c:numRef>
              <c:f>February!$G$8:$G$10</c:f>
              <c:numCache>
                <c:formatCode>_("$"* #,##0.00_);_("$"* \(#,##0.00\);_("$"* "-"??_);_(@_)</c:formatCode>
                <c:ptCount val="3"/>
                <c:pt idx="0">
                  <c:v>0</c:v>
                </c:pt>
                <c:pt idx="1">
                  <c:v>0</c:v>
                </c:pt>
                <c:pt idx="2">
                  <c:v>0</c:v>
                </c:pt>
              </c:numCache>
            </c:numRef>
          </c:val>
          <c:extLst>
            <c:ext xmlns:c16="http://schemas.microsoft.com/office/drawing/2014/chart" uri="{C3380CC4-5D6E-409C-BE32-E72D297353CC}">
              <c16:uniqueId val="{00000006-5D62-43A0-BA07-1B216518437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94-4DB0-9154-B13C3CCCE3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94-4DB0-9154-B13C3CCCE3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94-4DB0-9154-B13C3CCCE3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February!$F$8:$F$10</c:f>
              <c:strCache>
                <c:ptCount val="3"/>
                <c:pt idx="0">
                  <c:v>Total Income</c:v>
                </c:pt>
                <c:pt idx="1">
                  <c:v>Fixed Expense</c:v>
                </c:pt>
                <c:pt idx="2">
                  <c:v>Variable Expense</c:v>
                </c:pt>
              </c:strCache>
            </c:strRef>
          </c:cat>
          <c:val>
            <c:numRef>
              <c:f>February!$H$8:$H$10</c:f>
              <c:numCache>
                <c:formatCode>_("$"* #,##0.00_);_("$"* \(#,##0.00\);_("$"* "-"??_);_(@_)</c:formatCode>
                <c:ptCount val="3"/>
                <c:pt idx="0">
                  <c:v>0</c:v>
                </c:pt>
                <c:pt idx="1">
                  <c:v>0</c:v>
                </c:pt>
                <c:pt idx="2">
                  <c:v>0</c:v>
                </c:pt>
              </c:numCache>
            </c:numRef>
          </c:val>
          <c:extLst>
            <c:ext xmlns:c16="http://schemas.microsoft.com/office/drawing/2014/chart" uri="{C3380CC4-5D6E-409C-BE32-E72D297353CC}">
              <c16:uniqueId val="{00000006-2C94-4DB0-9154-B13C3CCCE35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1F-463D-8DAB-41AC87175C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1F-463D-8DAB-41AC87175C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1F-463D-8DAB-41AC87175C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March!$F$8:$F$10</c:f>
              <c:strCache>
                <c:ptCount val="3"/>
                <c:pt idx="0">
                  <c:v>Total Income</c:v>
                </c:pt>
                <c:pt idx="1">
                  <c:v>Fixed Expense</c:v>
                </c:pt>
                <c:pt idx="2">
                  <c:v>Variable Expense</c:v>
                </c:pt>
              </c:strCache>
            </c:strRef>
          </c:cat>
          <c:val>
            <c:numRef>
              <c:f>March!$G$8:$G$10</c:f>
              <c:numCache>
                <c:formatCode>_("$"* #,##0.00_);_("$"* \(#,##0.00\);_("$"* "-"??_);_(@_)</c:formatCode>
                <c:ptCount val="3"/>
                <c:pt idx="0">
                  <c:v>0</c:v>
                </c:pt>
                <c:pt idx="1">
                  <c:v>0</c:v>
                </c:pt>
                <c:pt idx="2">
                  <c:v>0</c:v>
                </c:pt>
              </c:numCache>
            </c:numRef>
          </c:val>
          <c:extLst>
            <c:ext xmlns:c16="http://schemas.microsoft.com/office/drawing/2014/chart" uri="{C3380CC4-5D6E-409C-BE32-E72D297353CC}">
              <c16:uniqueId val="{00000006-0F1F-463D-8DAB-41AC87175CD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AA-4B45-B567-F121A081CC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AA-4B45-B567-F121A081CC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AA-4B45-B567-F121A081CC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March!$F$8:$F$10</c:f>
              <c:strCache>
                <c:ptCount val="3"/>
                <c:pt idx="0">
                  <c:v>Total Income</c:v>
                </c:pt>
                <c:pt idx="1">
                  <c:v>Fixed Expense</c:v>
                </c:pt>
                <c:pt idx="2">
                  <c:v>Variable Expense</c:v>
                </c:pt>
              </c:strCache>
            </c:strRef>
          </c:cat>
          <c:val>
            <c:numRef>
              <c:f>March!$H$8:$H$10</c:f>
              <c:numCache>
                <c:formatCode>_("$"* #,##0.00_);_("$"* \(#,##0.00\);_("$"* "-"??_);_(@_)</c:formatCode>
                <c:ptCount val="3"/>
                <c:pt idx="0">
                  <c:v>0</c:v>
                </c:pt>
                <c:pt idx="1">
                  <c:v>0</c:v>
                </c:pt>
                <c:pt idx="2">
                  <c:v>0</c:v>
                </c:pt>
              </c:numCache>
            </c:numRef>
          </c:val>
          <c:extLst>
            <c:ext xmlns:c16="http://schemas.microsoft.com/office/drawing/2014/chart" uri="{C3380CC4-5D6E-409C-BE32-E72D297353CC}">
              <c16:uniqueId val="{00000006-03AA-4B45-B567-F121A081CCD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B0-4B9D-87C5-97042EA4B7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B0-4B9D-87C5-97042EA4B7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B0-4B9D-87C5-97042EA4B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April!$F$8:$F$10</c:f>
              <c:strCache>
                <c:ptCount val="3"/>
                <c:pt idx="0">
                  <c:v>Total Income</c:v>
                </c:pt>
                <c:pt idx="1">
                  <c:v>Fixed Expense</c:v>
                </c:pt>
                <c:pt idx="2">
                  <c:v>Variable Expense</c:v>
                </c:pt>
              </c:strCache>
            </c:strRef>
          </c:cat>
          <c:val>
            <c:numRef>
              <c:f>April!$G$8:$G$10</c:f>
              <c:numCache>
                <c:formatCode>_("$"* #,##0.00_);_("$"* \(#,##0.00\);_("$"* "-"??_);_(@_)</c:formatCode>
                <c:ptCount val="3"/>
                <c:pt idx="0">
                  <c:v>0</c:v>
                </c:pt>
                <c:pt idx="1">
                  <c:v>0</c:v>
                </c:pt>
                <c:pt idx="2">
                  <c:v>0</c:v>
                </c:pt>
              </c:numCache>
            </c:numRef>
          </c:val>
          <c:extLst>
            <c:ext xmlns:c16="http://schemas.microsoft.com/office/drawing/2014/chart" uri="{C3380CC4-5D6E-409C-BE32-E72D297353CC}">
              <c16:uniqueId val="{00000006-6FB0-4B9D-87C5-97042EA4B7E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1F-4107-BEE7-CE39EF8BB1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1F-4107-BEE7-CE39EF8BB1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1F-4107-BEE7-CE39EF8BB1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April!$F$8:$F$10</c:f>
              <c:strCache>
                <c:ptCount val="3"/>
                <c:pt idx="0">
                  <c:v>Total Income</c:v>
                </c:pt>
                <c:pt idx="1">
                  <c:v>Fixed Expense</c:v>
                </c:pt>
                <c:pt idx="2">
                  <c:v>Variable Expense</c:v>
                </c:pt>
              </c:strCache>
            </c:strRef>
          </c:cat>
          <c:val>
            <c:numRef>
              <c:f>April!$H$8:$H$10</c:f>
              <c:numCache>
                <c:formatCode>_("$"* #,##0.00_);_("$"* \(#,##0.00\);_("$"* "-"??_);_(@_)</c:formatCode>
                <c:ptCount val="3"/>
                <c:pt idx="0">
                  <c:v>0</c:v>
                </c:pt>
                <c:pt idx="1">
                  <c:v>0</c:v>
                </c:pt>
                <c:pt idx="2">
                  <c:v>0</c:v>
                </c:pt>
              </c:numCache>
            </c:numRef>
          </c:val>
          <c:extLst>
            <c:ext xmlns:c16="http://schemas.microsoft.com/office/drawing/2014/chart" uri="{C3380CC4-5D6E-409C-BE32-E72D297353CC}">
              <c16:uniqueId val="{00000006-221F-4107-BEE7-CE39EF8BB1E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53-4BAB-8308-B222641E69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53-4BAB-8308-B222641E69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53-4BAB-8308-B222641E69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May!$F$8:$F$10</c:f>
              <c:strCache>
                <c:ptCount val="3"/>
                <c:pt idx="0">
                  <c:v>Total Income</c:v>
                </c:pt>
                <c:pt idx="1">
                  <c:v>Fixed Expense</c:v>
                </c:pt>
                <c:pt idx="2">
                  <c:v>Variable Expense</c:v>
                </c:pt>
              </c:strCache>
            </c:strRef>
          </c:cat>
          <c:val>
            <c:numRef>
              <c:f>May!$G$8:$G$10</c:f>
              <c:numCache>
                <c:formatCode>_("$"* #,##0.00_);_("$"* \(#,##0.00\);_("$"* "-"??_);_(@_)</c:formatCode>
                <c:ptCount val="3"/>
                <c:pt idx="0">
                  <c:v>0</c:v>
                </c:pt>
                <c:pt idx="1">
                  <c:v>0</c:v>
                </c:pt>
                <c:pt idx="2">
                  <c:v>0</c:v>
                </c:pt>
              </c:numCache>
            </c:numRef>
          </c:val>
          <c:extLst>
            <c:ext xmlns:c16="http://schemas.microsoft.com/office/drawing/2014/chart" uri="{C3380CC4-5D6E-409C-BE32-E72D297353CC}">
              <c16:uniqueId val="{00000006-6753-4BAB-8308-B222641E695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AA4E7B89-5626-2EEA-5F8A-0284AFE40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0626382B-E8C6-96E8-8D6A-8D2575FB1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C8FB0E31-4C16-4343-8610-00BB55E82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C4640F45-1DE0-4461-B84F-B15DF4EDA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CA5BBEC8-E8FC-48DC-95C9-129178EA3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1A24F309-40C2-4FA4-8AB4-FCD465168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3FDAA368-AAE4-413E-97FA-E49D85F9A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6180084F-87A3-438A-AC98-C1DD31FE8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D7116D6A-2E42-40AE-AA27-0AA253590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C14FE96F-AE41-420E-9EF0-4227AE1CC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D6D9BEC4-B736-4472-A678-F079D4DFD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6280B123-F288-4E01-B8DB-66809A3F0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BF63D514-0D28-4F7B-A349-8C3FBF9CD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4286F274-16FE-4AEC-8489-595629920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8892DA1F-B1F8-4FFA-9FDD-393BA61A9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342B83ED-3F2B-454E-B1BA-DA84DEECB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5B2A6FC0-4D10-4B3E-8AAB-B37972A0F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2041446F-A745-4E03-92A5-929FBD0A2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1839B293-3E34-43C7-9FFB-30B895FC6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5352976A-DB46-408F-8878-B821B5D39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53654A99-F90B-44B8-9D94-7F34DE9CB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463C646C-EB6B-4F55-BD57-9ACDBD19A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19050</xdr:colOff>
      <xdr:row>5</xdr:row>
      <xdr:rowOff>180975</xdr:rowOff>
    </xdr:from>
    <xdr:to>
      <xdr:col>14</xdr:col>
      <xdr:colOff>514350</xdr:colOff>
      <xdr:row>20</xdr:row>
      <xdr:rowOff>66675</xdr:rowOff>
    </xdr:to>
    <xdr:graphicFrame macro="">
      <xdr:nvGraphicFramePr>
        <xdr:cNvPr id="2" name="Chart 1">
          <a:extLst>
            <a:ext uri="{FF2B5EF4-FFF2-40B4-BE49-F238E27FC236}">
              <a16:creationId xmlns:a16="http://schemas.microsoft.com/office/drawing/2014/main" id="{4F80F5BB-0DE5-4741-8BA6-C75FAB989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20</xdr:row>
      <xdr:rowOff>66675</xdr:rowOff>
    </xdr:from>
    <xdr:to>
      <xdr:col>14</xdr:col>
      <xdr:colOff>504825</xdr:colOff>
      <xdr:row>34</xdr:row>
      <xdr:rowOff>142875</xdr:rowOff>
    </xdr:to>
    <xdr:graphicFrame macro="">
      <xdr:nvGraphicFramePr>
        <xdr:cNvPr id="3" name="Chart 2">
          <a:extLst>
            <a:ext uri="{FF2B5EF4-FFF2-40B4-BE49-F238E27FC236}">
              <a16:creationId xmlns:a16="http://schemas.microsoft.com/office/drawing/2014/main" id="{7CB1BDF8-4DB0-4348-AB9D-A190E6FF9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2CA6C2F-48BD-4E93-AA80-5E8BC02FDA72}" name="Income1" displayName="Income1" ref="A7:D11" totalsRowCount="1" headerRowDxfId="665" totalsRowDxfId="662" headerRowBorderDxfId="664" tableBorderDxfId="663" totalsRowBorderDxfId="661">
  <autoFilter ref="A7:D10" xr:uid="{4FDAA4FF-A4A8-4F41-8279-1AF6018E31D1}"/>
  <tableColumns count="4">
    <tableColumn id="1" xr3:uid="{55049D6D-70A1-4EC2-BAD5-9915CF832D5A}" name="Income" totalsRowLabel="Total" dataDxfId="660" totalsRowDxfId="3"/>
    <tableColumn id="2" xr3:uid="{ACF90A30-CC56-44BB-8370-B9A88211F519}" name="Budget" totalsRowFunction="sum" dataDxfId="659" totalsRowDxfId="2"/>
    <tableColumn id="3" xr3:uid="{4F703EEB-5E39-4E94-A390-9882B027E1BC}" name="Actual" totalsRowFunction="sum" dataDxfId="658" totalsRowDxfId="1"/>
    <tableColumn id="4" xr3:uid="{BC186758-9689-48DD-8D0F-FCC61DA5E352}" name="Difference" totalsRowFunction="sum" dataDxfId="657" totalsRowDxfId="0">
      <calculatedColumnFormula>Income1[[#This Row],[Actual]]-Income1[[#This Row],[Budget]]</calculatedColumnFormula>
    </tableColumn>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04B6A18-FE37-4602-856C-588FEB91BB4A}" name="Fixed_Expense103539" displayName="Fixed_Expense103539" ref="A15:D40" totalsRowCount="1" totalsRowDxfId="554" totalsRowBorderDxfId="553">
  <autoFilter ref="A15:D39" xr:uid="{F6A0E467-F124-435C-B6FB-4C8BAE3F2ACC}"/>
  <tableColumns count="4">
    <tableColumn id="1" xr3:uid="{5D7CA9D7-44C5-4AE9-8EE6-2AF454C4CDD4}" name="Expense" totalsRowLabel="Total" dataDxfId="552" totalsRowDxfId="551"/>
    <tableColumn id="2" xr3:uid="{CD99DD4A-38E3-4DEF-A5EE-05783B9B6AAF}" name="Budget" totalsRowFunction="sum" dataDxfId="550" totalsRowDxfId="549" dataCellStyle="Currency"/>
    <tableColumn id="3" xr3:uid="{047BA6E0-AD86-445A-B74D-1E206084D325}" name="Actual" totalsRowFunction="sum" dataDxfId="548" totalsRowDxfId="547" dataCellStyle="Currency"/>
    <tableColumn id="4" xr3:uid="{ECEBB21C-30EC-4905-B98A-42CFD7C070C5}" name="Difference" totalsRowFunction="sum" dataDxfId="546" totalsRowDxfId="545" dataCellStyle="Currency">
      <calculatedColumnFormula>Fixed_Expense103539[[#This Row],[Budget]]-Fixed_Expense103539[[#This Row],[Actual]]</calculatedColumnFormula>
    </tableColumn>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87CBFA83-71FB-451D-879F-DFC2A6AEAF67}" name="Variable_Expense113640" displayName="Variable_Expense113640" ref="F15:I40" totalsRowCount="1" headerRowDxfId="544" dataDxfId="543" headerRowCellStyle="Currency" dataCellStyle="Currency">
  <autoFilter ref="F15:I39" xr:uid="{829964A2-6AA8-4B3B-B353-4A198EF407C8}"/>
  <tableColumns count="4">
    <tableColumn id="1" xr3:uid="{B747648A-EAE9-4D7C-88B2-6120F54EE403}" name="Electricity" totalsRowLabel="Total" dataDxfId="542" totalsRowDxfId="541"/>
    <tableColumn id="2" xr3:uid="{3048956B-E734-414C-A1CC-71DAC5A50778}" name="Budget" totalsRowFunction="sum" dataDxfId="540" totalsRowDxfId="539" dataCellStyle="Currency"/>
    <tableColumn id="3" xr3:uid="{8F0844D1-A081-40B9-8137-18B8A2F65C59}" name="Actual " totalsRowFunction="sum" dataDxfId="538" totalsRowDxfId="537" dataCellStyle="Currency"/>
    <tableColumn id="4" xr3:uid="{D4FA753A-998D-4D3E-9C9E-25981B86A786}" name="Difference" totalsRowFunction="sum" dataDxfId="536" totalsRowDxfId="535" dataCellStyle="Currency">
      <calculatedColumnFormula>Variable_Expense113640[[#This Row],[Budget]]-Variable_Expense113640[[#This Row],[Actual ]]</calculatedColumnFormula>
    </tableColumn>
  </tableColumns>
  <tableStyleInfo name="TableStyleLight1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26E2DD97-6B3E-4F02-9515-F295D67EB73A}" name="Budget_Summary3741" displayName="Budget_Summary3741" ref="F7:I11" totalsRowCount="1" headerRowDxfId="534" dataDxfId="533" totalsRowDxfId="532" totalsRowBorderDxfId="531" headerRowCellStyle="Currency" dataCellStyle="Currency">
  <autoFilter ref="F7:I10" xr:uid="{36A78668-A1A3-4CAD-9FB5-EDA3957CB1BB}"/>
  <tableColumns count="4">
    <tableColumn id="1" xr3:uid="{471A944A-1C72-4FA1-AAA1-C44896FF4EB7}" name="Summary" totalsRowLabel="Total" dataDxfId="530" totalsRowDxfId="529"/>
    <tableColumn id="2" xr3:uid="{C640F9B4-2A35-4AE3-B7D6-25378BA9D680}" name="Budget" totalsRowFunction="custom" dataDxfId="528" totalsRowDxfId="527" dataCellStyle="Currency">
      <calculatedColumnFormula>Fixed_Expense103539[[#Totals],[Budget]]</calculatedColumnFormula>
      <totalsRowFormula>G8-(G9+G10)</totalsRowFormula>
    </tableColumn>
    <tableColumn id="3" xr3:uid="{0A25D0A1-23B5-408D-B42A-CC7FD8ED407C}" name="Actual" totalsRowFunction="custom" dataDxfId="526" totalsRowDxfId="525" dataCellStyle="Currency">
      <calculatedColumnFormula>Income13438[[#Totals],[Actual]]</calculatedColumnFormula>
      <totalsRowFormula>H8-(H9+H10)</totalsRowFormula>
    </tableColumn>
    <tableColumn id="4" xr3:uid="{D79BE99D-C591-4388-A342-A3F2FE3A2060}" name="Difference" totalsRowFunction="sum" dataDxfId="524" totalsRowDxfId="523" dataCellStyle="Currency">
      <calculatedColumnFormula>Budget_Summary3741[[#This Row],[Budget]]-Budget_Summary3741[[#This Row],[Actual]]</calculatedColumnFormula>
    </tableColumn>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D4EFA026-55BA-4B32-8960-B201ADC3D626}" name="Income1343842" displayName="Income1343842" ref="A7:D11" totalsRowCount="1" headerRowDxfId="514" totalsRowDxfId="511" headerRowBorderDxfId="513" tableBorderDxfId="512" totalsRowBorderDxfId="510">
  <autoFilter ref="A7:D10" xr:uid="{4FDAA4FF-A4A8-4F41-8279-1AF6018E31D1}"/>
  <tableColumns count="4">
    <tableColumn id="1" xr3:uid="{0440345E-BEC6-475A-9ED1-00358CB44D6A}" name="Income" totalsRowLabel="Total" dataDxfId="509" totalsRowDxfId="508"/>
    <tableColumn id="2" xr3:uid="{E7E5B03F-911D-43DF-A7DB-C9CD8DBAB761}" name="Budget" totalsRowFunction="sum" dataDxfId="507" totalsRowDxfId="506"/>
    <tableColumn id="3" xr3:uid="{6F9369F3-3166-4798-B466-068EB947689A}" name="Actual" totalsRowFunction="sum" dataDxfId="505" totalsRowDxfId="504"/>
    <tableColumn id="4" xr3:uid="{8E83ABF5-83C4-425C-A029-6C03E1E20211}" name="Difference" totalsRowFunction="sum" dataDxfId="503" totalsRowDxfId="502">
      <calculatedColumnFormula>Income1343842[[#This Row],[Actual]]-Income1343842[[#This Row],[Budget]]</calculatedColumnFormula>
    </tableColumn>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89272578-5BA7-4861-9B0D-5E5A94B3ECA9}" name="Fixed_Expense10353943" displayName="Fixed_Expense10353943" ref="A15:D40" totalsRowCount="1" totalsRowDxfId="501" totalsRowBorderDxfId="500">
  <autoFilter ref="A15:D39" xr:uid="{F6A0E467-F124-435C-B6FB-4C8BAE3F2ACC}"/>
  <tableColumns count="4">
    <tableColumn id="1" xr3:uid="{7AD67640-7D35-48EB-A6A8-531693C65569}" name="Expense" totalsRowLabel="Total" dataDxfId="499" totalsRowDxfId="498"/>
    <tableColumn id="2" xr3:uid="{93BECAF5-40E1-43DA-9997-76F8E25FE0D5}" name="Budget" totalsRowFunction="sum" dataDxfId="497" totalsRowDxfId="496" dataCellStyle="Currency"/>
    <tableColumn id="3" xr3:uid="{B614CD88-05A0-4426-B924-B45936FABEFE}" name="Actual" totalsRowFunction="sum" dataDxfId="495" totalsRowDxfId="494" dataCellStyle="Currency"/>
    <tableColumn id="4" xr3:uid="{F60AACB9-5D85-4929-80C2-A1D84C860A87}" name="Difference" totalsRowFunction="sum" dataDxfId="493" totalsRowDxfId="492" dataCellStyle="Currency">
      <calculatedColumnFormula>Fixed_Expense10353943[[#This Row],[Budget]]-Fixed_Expense10353943[[#This Row],[Actual]]</calculatedColumnFormula>
    </tableColumn>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C8B9E27-CEA1-44E9-8318-2300160074CD}" name="Variable_Expense11364044" displayName="Variable_Expense11364044" ref="F15:I40" totalsRowCount="1" headerRowDxfId="491" dataDxfId="490" headerRowCellStyle="Currency" dataCellStyle="Currency">
  <autoFilter ref="F15:I39" xr:uid="{829964A2-6AA8-4B3B-B353-4A198EF407C8}"/>
  <tableColumns count="4">
    <tableColumn id="1" xr3:uid="{59E50DD2-CC99-497B-80BF-36A6C8F1D4C4}" name="Electricity" totalsRowLabel="Total" dataDxfId="489" totalsRowDxfId="488"/>
    <tableColumn id="2" xr3:uid="{8E0BB341-2683-4C73-8B2E-59D644D29B9E}" name="Budget" totalsRowFunction="sum" dataDxfId="487" totalsRowDxfId="486" dataCellStyle="Currency"/>
    <tableColumn id="3" xr3:uid="{D6BD3DE2-1704-4C64-8BC0-8CF4837B01E2}" name="Actual " totalsRowFunction="sum" dataDxfId="485" totalsRowDxfId="484" dataCellStyle="Currency"/>
    <tableColumn id="4" xr3:uid="{02B2C98E-1AE6-400C-A0A0-AAF068FCD546}" name="Difference" totalsRowFunction="sum" dataDxfId="483" totalsRowDxfId="482" dataCellStyle="Currency">
      <calculatedColumnFormula>Variable_Expense11364044[[#This Row],[Budget]]-Variable_Expense11364044[[#This Row],[Actual ]]</calculatedColumnFormula>
    </tableColumn>
  </tableColumns>
  <tableStyleInfo name="TableStyleLight1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69A4F9DE-4CB5-4996-90D7-D68B09586610}" name="Budget_Summary374145" displayName="Budget_Summary374145" ref="F7:I11" totalsRowCount="1" headerRowDxfId="481" dataDxfId="480" totalsRowDxfId="479" totalsRowBorderDxfId="478" headerRowCellStyle="Currency" dataCellStyle="Currency">
  <autoFilter ref="F7:I10" xr:uid="{36A78668-A1A3-4CAD-9FB5-EDA3957CB1BB}"/>
  <tableColumns count="4">
    <tableColumn id="1" xr3:uid="{FD8A4F4B-162C-4186-9085-407963B101CD}" name="Summary" totalsRowLabel="Total" dataDxfId="477" totalsRowDxfId="476"/>
    <tableColumn id="2" xr3:uid="{21DA0103-6C2D-44FD-8CEB-2D1F1410CD4D}" name="Budget" totalsRowFunction="custom" dataDxfId="475" totalsRowDxfId="474" dataCellStyle="Currency">
      <calculatedColumnFormula>Fixed_Expense10353943[[#Totals],[Budget]]</calculatedColumnFormula>
      <totalsRowFormula>G8-(G9+G10)</totalsRowFormula>
    </tableColumn>
    <tableColumn id="3" xr3:uid="{494AF756-D7DC-47D1-959B-B71D35FD8ABA}" name="Actual" totalsRowFunction="custom" dataDxfId="473" totalsRowDxfId="472" dataCellStyle="Currency">
      <calculatedColumnFormula>Income1343842[[#Totals],[Actual]]</calculatedColumnFormula>
      <totalsRowFormula>H8-(H9+H10)</totalsRowFormula>
    </tableColumn>
    <tableColumn id="4" xr3:uid="{D328E573-9DFC-424B-A42C-B46F0F8538EC}" name="Difference" totalsRowFunction="sum" dataDxfId="471" totalsRowDxfId="470" dataCellStyle="Currency">
      <calculatedColumnFormula>Budget_Summary374145[[#This Row],[Budget]]-Budget_Summary374145[[#This Row],[Actual]]</calculatedColumnFormula>
    </tableColumn>
  </tableColumns>
  <tableStyleInfo name="TableStyleLight1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A37BCF12-D6FF-489A-A3A8-12A335843E81}" name="Income134384246" displayName="Income134384246" ref="A7:D11" totalsRowCount="1" headerRowDxfId="461" totalsRowDxfId="458" headerRowBorderDxfId="460" tableBorderDxfId="459" totalsRowBorderDxfId="457">
  <autoFilter ref="A7:D10" xr:uid="{4FDAA4FF-A4A8-4F41-8279-1AF6018E31D1}"/>
  <tableColumns count="4">
    <tableColumn id="1" xr3:uid="{30D328BF-A27A-4994-AFED-0A9783730678}" name="Income" totalsRowLabel="Total" dataDxfId="456" totalsRowDxfId="455"/>
    <tableColumn id="2" xr3:uid="{BE1A76F5-D8DF-46AB-87EB-889EDDBC1A0B}" name="Budget" totalsRowFunction="sum" dataDxfId="454" totalsRowDxfId="453"/>
    <tableColumn id="3" xr3:uid="{CF7B9DC9-9466-40B5-828C-504F5BCEA185}" name="Actual" totalsRowFunction="sum" dataDxfId="452" totalsRowDxfId="451"/>
    <tableColumn id="4" xr3:uid="{50D6533D-11BA-407A-999D-61FBD124D178}" name="Difference" totalsRowFunction="sum" dataDxfId="450" totalsRowDxfId="449">
      <calculatedColumnFormula>Income134384246[[#This Row],[Actual]]-Income134384246[[#This Row],[Budget]]</calculatedColumnFormula>
    </tableColumn>
  </tableColumns>
  <tableStyleInfo name="TableStyleLight1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61A7D3DE-7168-4F90-BFE2-3CF9A8FF89A7}" name="Fixed_Expense1035394347" displayName="Fixed_Expense1035394347" ref="A15:D40" totalsRowCount="1" totalsRowDxfId="448" totalsRowBorderDxfId="447">
  <autoFilter ref="A15:D39" xr:uid="{F6A0E467-F124-435C-B6FB-4C8BAE3F2ACC}"/>
  <tableColumns count="4">
    <tableColumn id="1" xr3:uid="{53676D57-AB3F-478A-8B1A-07CAF6E0A962}" name="Expense" totalsRowLabel="Total" dataDxfId="446" totalsRowDxfId="445"/>
    <tableColumn id="2" xr3:uid="{76F5E0EA-1548-4CF2-A615-24256EBB5064}" name="Budget" totalsRowFunction="sum" dataDxfId="444" totalsRowDxfId="443" dataCellStyle="Currency"/>
    <tableColumn id="3" xr3:uid="{6967095B-F519-4314-9E3C-B5778D584DDB}" name="Actual" totalsRowFunction="sum" dataDxfId="442" totalsRowDxfId="441" dataCellStyle="Currency"/>
    <tableColumn id="4" xr3:uid="{D3C8AAC9-82D5-443C-BD70-D74599661A4C}" name="Difference" totalsRowFunction="sum" dataDxfId="440" totalsRowDxfId="439" dataCellStyle="Currency">
      <calculatedColumnFormula>Fixed_Expense1035394347[[#This Row],[Budget]]-Fixed_Expense1035394347[[#This Row],[Actual]]</calculatedColumnFormula>
    </tableColumn>
  </tableColumns>
  <tableStyleInfo name="TableStyleLight10"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B93DDDAE-9B2A-4DFD-B29E-91F7C0A23678}" name="Variable_Expense1136404448" displayName="Variable_Expense1136404448" ref="F15:I40" totalsRowCount="1" headerRowDxfId="438" dataDxfId="437" headerRowCellStyle="Currency" dataCellStyle="Currency">
  <autoFilter ref="F15:I39" xr:uid="{829964A2-6AA8-4B3B-B353-4A198EF407C8}"/>
  <tableColumns count="4">
    <tableColumn id="1" xr3:uid="{86EAE185-4A69-49A9-AE92-546514036F2C}" name="Electricity" totalsRowLabel="Total" dataDxfId="436" totalsRowDxfId="435"/>
    <tableColumn id="2" xr3:uid="{6E9DF4B8-E128-4B32-906E-64ED9604CBAD}" name="Budget" totalsRowFunction="sum" dataDxfId="434" totalsRowDxfId="433" dataCellStyle="Currency"/>
    <tableColumn id="3" xr3:uid="{7571E849-1636-4729-8D2B-A068BF07B182}" name="Actual " totalsRowFunction="sum" dataDxfId="432" totalsRowDxfId="431" dataCellStyle="Currency"/>
    <tableColumn id="4" xr3:uid="{2A82E12E-2A17-4EB7-A0C1-2A5EB222013B}" name="Difference" totalsRowFunction="sum" dataDxfId="430" totalsRowDxfId="429" dataCellStyle="Currency">
      <calculatedColumnFormula>Variable_Expense1136404448[[#This Row],[Budget]]-Variable_Expense1136404448[[#This Row],[Actual ]]</calculatedColumnFormula>
    </tableColumn>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6DE4E9-368E-4339-B112-8235261AE18E}" name="Fixed_Expense10" displayName="Fixed_Expense10" ref="A15:D40" totalsRowCount="1" totalsRowDxfId="656" totalsRowBorderDxfId="655">
  <autoFilter ref="A15:D39" xr:uid="{F6A0E467-F124-435C-B6FB-4C8BAE3F2ACC}"/>
  <tableColumns count="4">
    <tableColumn id="1" xr3:uid="{D76CE0F8-4FB9-4C5D-BD35-1459419306B4}" name="Expense" totalsRowLabel="Total" dataDxfId="654" totalsRowDxfId="7"/>
    <tableColumn id="2" xr3:uid="{75F74697-3691-41A3-B05D-C06F547F9271}" name="Budget" totalsRowFunction="sum" dataDxfId="653" totalsRowDxfId="6" dataCellStyle="Currency"/>
    <tableColumn id="3" xr3:uid="{4EE8BDE1-A0D6-40F3-9802-FD1A1A84C4C5}" name="Actual" totalsRowFunction="sum" dataDxfId="652" totalsRowDxfId="5" dataCellStyle="Currency"/>
    <tableColumn id="4" xr3:uid="{B2B86C59-5721-4A3C-9F7F-E4BDD5D8723A}" name="Difference" totalsRowFunction="sum" dataDxfId="651" totalsRowDxfId="4" dataCellStyle="Currency">
      <calculatedColumnFormula>Fixed_Expense10[[#This Row],[Budget]]-Fixed_Expense10[[#This Row],[Actual]]</calculatedColumnFormula>
    </tableColumn>
  </tableColumns>
  <tableStyleInfo name="TableStyleLight10"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7326C04B-62F1-4C5E-80AA-E6C99A971A2B}" name="Budget_Summary37414549" displayName="Budget_Summary37414549" ref="F7:I11" totalsRowCount="1" headerRowDxfId="428" dataDxfId="427" totalsRowDxfId="426" totalsRowBorderDxfId="425" headerRowCellStyle="Currency" dataCellStyle="Currency">
  <autoFilter ref="F7:I10" xr:uid="{36A78668-A1A3-4CAD-9FB5-EDA3957CB1BB}"/>
  <tableColumns count="4">
    <tableColumn id="1" xr3:uid="{8F9D9F8A-75D2-4627-A62B-C7B8E45EA52A}" name="Summary" totalsRowLabel="Total" dataDxfId="424" totalsRowDxfId="423"/>
    <tableColumn id="2" xr3:uid="{9F720A64-514D-438E-AB9A-11D6771C821A}" name="Budget" totalsRowFunction="custom" dataDxfId="422" totalsRowDxfId="421" dataCellStyle="Currency">
      <calculatedColumnFormula>Fixed_Expense1035394347[[#Totals],[Budget]]</calculatedColumnFormula>
      <totalsRowFormula>G8-(G9+G10)</totalsRowFormula>
    </tableColumn>
    <tableColumn id="3" xr3:uid="{8CA061B3-C12E-4E98-A22A-7F672023F41E}" name="Actual" totalsRowFunction="custom" dataDxfId="420" totalsRowDxfId="419" dataCellStyle="Currency">
      <calculatedColumnFormula>Income134384246[[#Totals],[Actual]]</calculatedColumnFormula>
      <totalsRowFormula>H8-(H9+H10)</totalsRowFormula>
    </tableColumn>
    <tableColumn id="4" xr3:uid="{56B46A28-33EF-472B-BADA-C20C199C3B00}" name="Difference" totalsRowFunction="sum" dataDxfId="418" totalsRowDxfId="417" dataCellStyle="Currency">
      <calculatedColumnFormula>Budget_Summary37414549[[#This Row],[Budget]]-Budget_Summary37414549[[#This Row],[Actual]]</calculatedColumnFormula>
    </tableColumn>
  </tableColumns>
  <tableStyleInfo name="TableStyleLight1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5EC590B-1A4D-42EB-8A68-83A07B827FB3}" name="Income13438424650" displayName="Income13438424650" ref="A7:D11" totalsRowCount="1" headerRowDxfId="408" totalsRowDxfId="405" headerRowBorderDxfId="407" tableBorderDxfId="406" totalsRowBorderDxfId="404">
  <autoFilter ref="A7:D10" xr:uid="{4FDAA4FF-A4A8-4F41-8279-1AF6018E31D1}"/>
  <tableColumns count="4">
    <tableColumn id="1" xr3:uid="{5BA3673A-61E9-4D23-B30C-1D081AEE929B}" name="Income" totalsRowLabel="Total" dataDxfId="403" totalsRowDxfId="402"/>
    <tableColumn id="2" xr3:uid="{B7D23B31-C67B-4EE2-BE9D-D47A46CFADE9}" name="Budget" totalsRowFunction="sum" dataDxfId="401" totalsRowDxfId="400"/>
    <tableColumn id="3" xr3:uid="{51E8DCF6-9ABA-4033-A204-042813E4068D}" name="Actual" totalsRowFunction="sum" dataDxfId="399" totalsRowDxfId="398"/>
    <tableColumn id="4" xr3:uid="{DB4E041D-EFA2-4156-9998-A15C4B47CC57}" name="Difference" totalsRowFunction="sum" dataDxfId="397" totalsRowDxfId="396">
      <calculatedColumnFormula>Income13438424650[[#This Row],[Actual]]-Income13438424650[[#This Row],[Budget]]</calculatedColumnFormula>
    </tableColumn>
  </tableColumns>
  <tableStyleInfo name="TableStyleLight13"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FEAD021-EAB2-4AF8-B08E-7157DD306B59}" name="Fixed_Expense103539434751" displayName="Fixed_Expense103539434751" ref="A15:D40" totalsRowCount="1" totalsRowDxfId="395" totalsRowBorderDxfId="394">
  <autoFilter ref="A15:D39" xr:uid="{F6A0E467-F124-435C-B6FB-4C8BAE3F2ACC}"/>
  <tableColumns count="4">
    <tableColumn id="1" xr3:uid="{E126F02F-D9FF-4B85-8C2F-17898362E4CA}" name="Expense" totalsRowLabel="Total" dataDxfId="393" totalsRowDxfId="392"/>
    <tableColumn id="2" xr3:uid="{5832C974-99E2-41FE-BE96-95BAB523D079}" name="Budget" totalsRowFunction="sum" dataDxfId="391" totalsRowDxfId="390" dataCellStyle="Currency"/>
    <tableColumn id="3" xr3:uid="{ACF14871-3071-486B-A514-2E612FC273E1}" name="Actual" totalsRowFunction="sum" dataDxfId="389" totalsRowDxfId="388" dataCellStyle="Currency"/>
    <tableColumn id="4" xr3:uid="{16740369-1431-4ECF-A8E9-13E01A1BA06A}" name="Difference" totalsRowFunction="sum" dataDxfId="387" totalsRowDxfId="386" dataCellStyle="Currency">
      <calculatedColumnFormula>Fixed_Expense103539434751[[#This Row],[Budget]]-Fixed_Expense103539434751[[#This Row],[Actual]]</calculatedColumnFormula>
    </tableColumn>
  </tableColumns>
  <tableStyleInfo name="TableStyleLight10"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F43FEA6A-6A45-40C4-B608-9621351C4349}" name="Variable_Expense113640444852" displayName="Variable_Expense113640444852" ref="F15:I40" totalsRowCount="1" headerRowDxfId="385" dataDxfId="384" headerRowCellStyle="Currency" dataCellStyle="Currency">
  <autoFilter ref="F15:I39" xr:uid="{829964A2-6AA8-4B3B-B353-4A198EF407C8}"/>
  <tableColumns count="4">
    <tableColumn id="1" xr3:uid="{EC6F1DA6-9C99-4F38-AA13-FB0C87CE3457}" name="Electricity" totalsRowLabel="Total" dataDxfId="383" totalsRowDxfId="382"/>
    <tableColumn id="2" xr3:uid="{3F4E6041-6770-46FF-B653-74ED46E63707}" name="Budget" totalsRowFunction="sum" dataDxfId="381" totalsRowDxfId="380" dataCellStyle="Currency"/>
    <tableColumn id="3" xr3:uid="{B089A79A-59B5-41A0-BEC2-E4E1C8A0E84F}" name="Actual " totalsRowFunction="sum" dataDxfId="379" totalsRowDxfId="378" dataCellStyle="Currency"/>
    <tableColumn id="4" xr3:uid="{3E5A425A-37DF-4CF9-9967-88F554EF4C07}" name="Difference" totalsRowFunction="sum" dataDxfId="377" totalsRowDxfId="376" dataCellStyle="Currency">
      <calculatedColumnFormula>Variable_Expense113640444852[[#This Row],[Budget]]-Variable_Expense113640444852[[#This Row],[Actual ]]</calculatedColumnFormula>
    </tableColumn>
  </tableColumns>
  <tableStyleInfo name="TableStyleLight1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8FFBD6F5-D397-4F17-91F1-8D566A161CA5}" name="Budget_Summary3741454953" displayName="Budget_Summary3741454953" ref="F7:I11" totalsRowCount="1" headerRowDxfId="375" dataDxfId="374" totalsRowDxfId="373" totalsRowBorderDxfId="372" headerRowCellStyle="Currency" dataCellStyle="Currency">
  <autoFilter ref="F7:I10" xr:uid="{36A78668-A1A3-4CAD-9FB5-EDA3957CB1BB}"/>
  <tableColumns count="4">
    <tableColumn id="1" xr3:uid="{A2ECCAB4-6033-45EE-8B26-6799C23F30CF}" name="Summary" totalsRowLabel="Total" dataDxfId="371" totalsRowDxfId="370"/>
    <tableColumn id="2" xr3:uid="{2EAD5DA2-D93A-4F40-BFEB-CC23CFAF74C4}" name="Budget" totalsRowFunction="custom" dataDxfId="369" totalsRowDxfId="368" dataCellStyle="Currency">
      <calculatedColumnFormula>Fixed_Expense103539434751[[#Totals],[Budget]]</calculatedColumnFormula>
      <totalsRowFormula>G8-(G9+G10)</totalsRowFormula>
    </tableColumn>
    <tableColumn id="3" xr3:uid="{0E6895EC-A1CF-4FF0-9F67-27AE53E75FC4}" name="Actual" totalsRowFunction="custom" dataDxfId="367" totalsRowDxfId="366" dataCellStyle="Currency">
      <calculatedColumnFormula>Income13438424650[[#Totals],[Actual]]</calculatedColumnFormula>
      <totalsRowFormula>H8-(H9+H10)</totalsRowFormula>
    </tableColumn>
    <tableColumn id="4" xr3:uid="{C7D8CC9F-6B40-45BF-9BDD-062359AD5154}" name="Difference" totalsRowFunction="sum" dataDxfId="365" totalsRowDxfId="364" dataCellStyle="Currency">
      <calculatedColumnFormula>Budget_Summary3741454953[[#This Row],[Budget]]-Budget_Summary3741454953[[#This Row],[Actual]]</calculatedColumnFormula>
    </tableColumn>
  </tableColumns>
  <tableStyleInfo name="TableStyleLight14"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FA8C602A-CBF3-4786-8D87-C711F934B9EA}" name="Income1343842465054" displayName="Income1343842465054" ref="A7:D11" totalsRowCount="1" headerRowDxfId="355" totalsRowDxfId="352" headerRowBorderDxfId="354" tableBorderDxfId="353" totalsRowBorderDxfId="351">
  <autoFilter ref="A7:D10" xr:uid="{4FDAA4FF-A4A8-4F41-8279-1AF6018E31D1}"/>
  <tableColumns count="4">
    <tableColumn id="1" xr3:uid="{807B949D-04E2-4483-8A9E-8E535DE68380}" name="Income" totalsRowLabel="Total" dataDxfId="350" totalsRowDxfId="349"/>
    <tableColumn id="2" xr3:uid="{14B9F8B1-915A-4732-B332-23FF5BC72BCB}" name="Budget" totalsRowFunction="sum" dataDxfId="348" totalsRowDxfId="347"/>
    <tableColumn id="3" xr3:uid="{AD24CB47-099B-4540-B818-860E56C511EF}" name="Actual" totalsRowFunction="sum" dataDxfId="346" totalsRowDxfId="345"/>
    <tableColumn id="4" xr3:uid="{4EFBCFC4-5E73-4E08-89B9-27E4A64D37E4}" name="Difference" totalsRowFunction="sum" dataDxfId="344" totalsRowDxfId="343">
      <calculatedColumnFormula>Income1343842465054[[#This Row],[Actual]]-Income1343842465054[[#This Row],[Budget]]</calculatedColumnFormula>
    </tableColumn>
  </tableColumns>
  <tableStyleInfo name="TableStyleLight13"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66F58CC-2304-4A53-8891-0EFB059C30F0}" name="Fixed_Expense10353943475155" displayName="Fixed_Expense10353943475155" ref="A15:D40" totalsRowCount="1" totalsRowDxfId="342" totalsRowBorderDxfId="341">
  <autoFilter ref="A15:D39" xr:uid="{F6A0E467-F124-435C-B6FB-4C8BAE3F2ACC}"/>
  <tableColumns count="4">
    <tableColumn id="1" xr3:uid="{4220EEE4-F49C-4C20-90DF-41416EC5FA54}" name="Expense" totalsRowLabel="Total" dataDxfId="340" totalsRowDxfId="339"/>
    <tableColumn id="2" xr3:uid="{4BFA1F4C-BF54-4D53-A005-BCCFF3BEFDB5}" name="Budget" totalsRowFunction="sum" dataDxfId="338" totalsRowDxfId="337" dataCellStyle="Currency"/>
    <tableColumn id="3" xr3:uid="{EF471351-8238-40D2-9D40-608F8B2E1C1C}" name="Actual" totalsRowFunction="sum" dataDxfId="336" totalsRowDxfId="335" dataCellStyle="Currency"/>
    <tableColumn id="4" xr3:uid="{A7023988-CACA-4E20-A510-46CCC281AC72}" name="Difference" totalsRowFunction="sum" dataDxfId="334" totalsRowDxfId="333" dataCellStyle="Currency">
      <calculatedColumnFormula>Fixed_Expense10353943475155[[#This Row],[Budget]]-Fixed_Expense10353943475155[[#This Row],[Actual]]</calculatedColumnFormula>
    </tableColumn>
  </tableColumns>
  <tableStyleInfo name="TableStyleLight10"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6977D16E-0E17-4B88-A079-18E930F73DF6}" name="Variable_Expense11364044485256" displayName="Variable_Expense11364044485256" ref="F15:I40" totalsRowCount="1" headerRowDxfId="332" dataDxfId="331" headerRowCellStyle="Currency" dataCellStyle="Currency">
  <autoFilter ref="F15:I39" xr:uid="{829964A2-6AA8-4B3B-B353-4A198EF407C8}"/>
  <tableColumns count="4">
    <tableColumn id="1" xr3:uid="{C1826BDE-AB68-4CDC-8A4B-635CE872FB94}" name="Electricity" totalsRowLabel="Total" dataDxfId="330" totalsRowDxfId="329"/>
    <tableColumn id="2" xr3:uid="{6D2F9B9B-E485-434B-969D-3793482F7F24}" name="Budget" totalsRowFunction="sum" dataDxfId="328" totalsRowDxfId="327" dataCellStyle="Currency"/>
    <tableColumn id="3" xr3:uid="{CF970037-9ADD-46A1-8722-A267F968E714}" name="Actual " totalsRowFunction="sum" dataDxfId="326" totalsRowDxfId="325" dataCellStyle="Currency"/>
    <tableColumn id="4" xr3:uid="{D3981977-B5D3-49FD-A44B-2725DDD9B993}" name="Difference" totalsRowFunction="sum" dataDxfId="324" totalsRowDxfId="323" dataCellStyle="Currency">
      <calculatedColumnFormula>Variable_Expense11364044485256[[#This Row],[Budget]]-Variable_Expense11364044485256[[#This Row],[Actual ]]</calculatedColumnFormula>
    </tableColumn>
  </tableColumns>
  <tableStyleInfo name="TableStyleLight1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B6DF3B9-4B65-401B-BA62-4B1861F0D0AC}" name="Budget_Summary374145495357" displayName="Budget_Summary374145495357" ref="F7:I11" totalsRowCount="1" headerRowDxfId="322" dataDxfId="321" totalsRowDxfId="320" totalsRowBorderDxfId="319" headerRowCellStyle="Currency" dataCellStyle="Currency">
  <autoFilter ref="F7:I10" xr:uid="{36A78668-A1A3-4CAD-9FB5-EDA3957CB1BB}"/>
  <tableColumns count="4">
    <tableColumn id="1" xr3:uid="{B58738A1-2634-401B-A61B-C5373B5BB268}" name="Summary" totalsRowLabel="Total" dataDxfId="318" totalsRowDxfId="317"/>
    <tableColumn id="2" xr3:uid="{EA486034-0458-487C-887D-A09B7B36465B}" name="Budget" totalsRowFunction="custom" dataDxfId="316" totalsRowDxfId="315" dataCellStyle="Currency">
      <calculatedColumnFormula>Fixed_Expense10353943475155[[#Totals],[Budget]]</calculatedColumnFormula>
      <totalsRowFormula>G8-(G9+G10)</totalsRowFormula>
    </tableColumn>
    <tableColumn id="3" xr3:uid="{2DFE75A0-D4CF-4A0D-A3E9-D0B084779A7F}" name="Actual" totalsRowFunction="custom" dataDxfId="314" totalsRowDxfId="313" dataCellStyle="Currency">
      <calculatedColumnFormula>Income1343842465054[[#Totals],[Actual]]</calculatedColumnFormula>
      <totalsRowFormula>H8-(H9+H10)</totalsRowFormula>
    </tableColumn>
    <tableColumn id="4" xr3:uid="{580467BE-3E85-440F-9DE3-9827F411F61C}" name="Difference" totalsRowFunction="sum" dataDxfId="312" totalsRowDxfId="311" dataCellStyle="Currency">
      <calculatedColumnFormula>Budget_Summary374145495357[[#This Row],[Budget]]-Budget_Summary374145495357[[#This Row],[Actual]]</calculatedColumnFormula>
    </tableColumn>
  </tableColumns>
  <tableStyleInfo name="TableStyleLight14"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EE3BC250-A14C-46F1-BFF2-CCEEC5739073}" name="Income134384246505458" displayName="Income134384246505458" ref="A7:D11" totalsRowCount="1" headerRowDxfId="302" totalsRowDxfId="299" headerRowBorderDxfId="301" tableBorderDxfId="300" totalsRowBorderDxfId="298">
  <autoFilter ref="A7:D10" xr:uid="{4FDAA4FF-A4A8-4F41-8279-1AF6018E31D1}"/>
  <tableColumns count="4">
    <tableColumn id="1" xr3:uid="{3096A245-1D40-436C-94B7-F5B03E6814DF}" name="Income" totalsRowLabel="Total" dataDxfId="297" totalsRowDxfId="296"/>
    <tableColumn id="2" xr3:uid="{57F90ED6-83C1-49E7-AC7A-FFFD301AFC27}" name="Budget" totalsRowFunction="sum" dataDxfId="295" totalsRowDxfId="294"/>
    <tableColumn id="3" xr3:uid="{1F7A61DF-023C-4563-B265-F76A77CE17D8}" name="Actual" totalsRowFunction="sum" dataDxfId="293" totalsRowDxfId="292"/>
    <tableColumn id="4" xr3:uid="{0F1E9312-9458-443C-A00A-09F762D110D4}" name="Difference" totalsRowFunction="sum" dataDxfId="291" totalsRowDxfId="290">
      <calculatedColumnFormula>Income134384246505458[[#This Row],[Actual]]-Income134384246505458[[#This Row],[Budget]]</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5F38C5E-CE69-40C9-8815-FC1631C49F84}" name="Variable_Expense11" displayName="Variable_Expense11" ref="F15:I40" totalsRowCount="1" headerRowDxfId="650" dataDxfId="649" headerRowCellStyle="Currency" dataCellStyle="Currency">
  <autoFilter ref="F15:I39" xr:uid="{829964A2-6AA8-4B3B-B353-4A198EF407C8}"/>
  <tableColumns count="4">
    <tableColumn id="1" xr3:uid="{D694B3A7-E202-4311-A85F-13E34FC7BFC8}" name="Electricity" totalsRowLabel="Total" dataDxfId="648" totalsRowDxfId="647"/>
    <tableColumn id="2" xr3:uid="{E8DB1287-C87B-4E1A-97D5-5B8B1E818ED4}" name="Budget" totalsRowFunction="sum" dataDxfId="646" totalsRowDxfId="645" dataCellStyle="Currency"/>
    <tableColumn id="3" xr3:uid="{6E5077D0-51B1-43D2-B884-BAF2FEA290AB}" name="Actual " totalsRowFunction="sum" dataDxfId="644" totalsRowDxfId="643" dataCellStyle="Currency"/>
    <tableColumn id="4" xr3:uid="{F863A8E7-C250-4DE1-B89A-63524454297B}" name="Difference" totalsRowFunction="sum" dataDxfId="642" totalsRowDxfId="641" dataCellStyle="Currency">
      <calculatedColumnFormula>Variable_Expense11[[#This Row],[Budget]]-Variable_Expense11[[#This Row],[Actual ]]</calculatedColumnFormula>
    </tableColumn>
  </tableColumns>
  <tableStyleInfo name="TableStyleLight1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593AC53-3F25-479F-8924-D55A581D0365}" name="Fixed_Expense1035394347515559" displayName="Fixed_Expense1035394347515559" ref="A15:D40" totalsRowCount="1" totalsRowDxfId="289" totalsRowBorderDxfId="288">
  <autoFilter ref="A15:D39" xr:uid="{F6A0E467-F124-435C-B6FB-4C8BAE3F2ACC}"/>
  <tableColumns count="4">
    <tableColumn id="1" xr3:uid="{6713DEDE-49F2-4AE6-8138-07BA2BD33DC6}" name="Expense" totalsRowLabel="Total" dataDxfId="287" totalsRowDxfId="286"/>
    <tableColumn id="2" xr3:uid="{CC6D500F-23E4-43DD-842B-D89C63D06EAC}" name="Budget" totalsRowFunction="sum" dataDxfId="285" totalsRowDxfId="284" dataCellStyle="Currency"/>
    <tableColumn id="3" xr3:uid="{47089942-DFB9-4963-8BC1-4F850192DAAA}" name="Actual" totalsRowFunction="sum" dataDxfId="283" totalsRowDxfId="282" dataCellStyle="Currency"/>
    <tableColumn id="4" xr3:uid="{E0E8F333-5900-4B36-9FA6-9E5D41A34FAF}" name="Difference" totalsRowFunction="sum" dataDxfId="281" totalsRowDxfId="280" dataCellStyle="Currency">
      <calculatedColumnFormula>Fixed_Expense1035394347515559[[#This Row],[Budget]]-Fixed_Expense1035394347515559[[#This Row],[Actual]]</calculatedColumnFormula>
    </tableColumn>
  </tableColumns>
  <tableStyleInfo name="TableStyleLight10"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FB4A2407-BE53-4AD8-8892-B953444761C0}" name="Variable_Expense1136404448525660" displayName="Variable_Expense1136404448525660" ref="F15:I40" totalsRowCount="1" headerRowDxfId="279" dataDxfId="278" headerRowCellStyle="Currency" dataCellStyle="Currency">
  <autoFilter ref="F15:I39" xr:uid="{829964A2-6AA8-4B3B-B353-4A198EF407C8}"/>
  <tableColumns count="4">
    <tableColumn id="1" xr3:uid="{AB9C2272-A11D-45C1-9908-63CF3D0F4BD7}" name="Electricity" totalsRowLabel="Total" dataDxfId="277" totalsRowDxfId="276"/>
    <tableColumn id="2" xr3:uid="{81F2F3E6-56FD-4C12-A51B-82D1222F732D}" name="Budget" totalsRowFunction="sum" dataDxfId="275" totalsRowDxfId="274" dataCellStyle="Currency"/>
    <tableColumn id="3" xr3:uid="{846A7306-EFA2-42ED-9F10-03FE71E44CBA}" name="Actual " totalsRowFunction="sum" dataDxfId="273" totalsRowDxfId="272" dataCellStyle="Currency"/>
    <tableColumn id="4" xr3:uid="{1F2BBCEF-539F-477F-A8EF-F339E36BF2C4}" name="Difference" totalsRowFunction="sum" dataDxfId="271" totalsRowDxfId="270" dataCellStyle="Currency">
      <calculatedColumnFormula>Variable_Expense1136404448525660[[#This Row],[Budget]]-Variable_Expense1136404448525660[[#This Row],[Actual ]]</calculatedColumnFormula>
    </tableColumn>
  </tableColumns>
  <tableStyleInfo name="TableStyleLight1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9744847D-231F-4F5C-B0DC-397D19D6137B}" name="Budget_Summary37414549535761" displayName="Budget_Summary37414549535761" ref="F7:I11" totalsRowCount="1" headerRowDxfId="269" dataDxfId="268" totalsRowDxfId="267" totalsRowBorderDxfId="266" headerRowCellStyle="Currency" dataCellStyle="Currency">
  <autoFilter ref="F7:I10" xr:uid="{36A78668-A1A3-4CAD-9FB5-EDA3957CB1BB}"/>
  <tableColumns count="4">
    <tableColumn id="1" xr3:uid="{29877B31-79CC-4438-816F-BA185933E553}" name="Summary" totalsRowLabel="Total" dataDxfId="265" totalsRowDxfId="264"/>
    <tableColumn id="2" xr3:uid="{F00B7269-E1D6-43CE-B3EC-DD7BD429272C}" name="Budget" totalsRowFunction="custom" dataDxfId="263" totalsRowDxfId="262" dataCellStyle="Currency">
      <calculatedColumnFormula>Fixed_Expense1035394347515559[[#Totals],[Budget]]</calculatedColumnFormula>
      <totalsRowFormula>G8-(G9+G10)</totalsRowFormula>
    </tableColumn>
    <tableColumn id="3" xr3:uid="{26F057AB-CBB2-4D52-9B2E-4A21485AA8D5}" name="Actual" totalsRowFunction="custom" dataDxfId="261" totalsRowDxfId="260" dataCellStyle="Currency">
      <calculatedColumnFormula>Income134384246505458[[#Totals],[Actual]]</calculatedColumnFormula>
      <totalsRowFormula>H8-(H9+H10)</totalsRowFormula>
    </tableColumn>
    <tableColumn id="4" xr3:uid="{A3022076-5AC4-4BF5-A661-8A3E87B6DAAD}" name="Difference" totalsRowFunction="sum" dataDxfId="259" totalsRowDxfId="258" dataCellStyle="Currency">
      <calculatedColumnFormula>Budget_Summary37414549535761[[#This Row],[Budget]]-Budget_Summary37414549535761[[#This Row],[Actual]]</calculatedColumnFormula>
    </tableColumn>
  </tableColumns>
  <tableStyleInfo name="TableStyleLight14"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B826B032-218B-4A78-9386-02790366B8AF}" name="Income13438424650545862" displayName="Income13438424650545862" ref="A7:D11" totalsRowCount="1" headerRowDxfId="249" totalsRowDxfId="246" headerRowBorderDxfId="248" tableBorderDxfId="247" totalsRowBorderDxfId="245">
  <autoFilter ref="A7:D10" xr:uid="{4FDAA4FF-A4A8-4F41-8279-1AF6018E31D1}"/>
  <tableColumns count="4">
    <tableColumn id="1" xr3:uid="{7846E66B-E624-4D17-9C4F-3926F0DFCAD8}" name="Income" totalsRowLabel="Total" dataDxfId="244" totalsRowDxfId="243"/>
    <tableColumn id="2" xr3:uid="{BC2F4622-3C3D-4698-892F-C0EB17A14E03}" name="Budget" totalsRowFunction="sum" dataDxfId="242" totalsRowDxfId="241"/>
    <tableColumn id="3" xr3:uid="{7590EF8F-6ADA-4021-A14C-863EDCB58E08}" name="Actual" totalsRowFunction="sum" dataDxfId="240" totalsRowDxfId="239"/>
    <tableColumn id="4" xr3:uid="{E15F47BD-828E-4E41-BFBB-C5D464DF348A}" name="Difference" totalsRowFunction="sum" dataDxfId="238" totalsRowDxfId="237">
      <calculatedColumnFormula>Income13438424650545862[[#This Row],[Actual]]-Income13438424650545862[[#This Row],[Budget]]</calculatedColumnFormula>
    </tableColumn>
  </tableColumns>
  <tableStyleInfo name="TableStyleLight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862BA4DF-A553-4C19-8AB5-D1EE6E74FFC2}" name="Fixed_Expense103539434751555963" displayName="Fixed_Expense103539434751555963" ref="A15:D40" totalsRowCount="1" totalsRowDxfId="236" totalsRowBorderDxfId="235">
  <autoFilter ref="A15:D39" xr:uid="{F6A0E467-F124-435C-B6FB-4C8BAE3F2ACC}"/>
  <tableColumns count="4">
    <tableColumn id="1" xr3:uid="{0A6419D5-EF5A-4252-AABC-2144573910A4}" name="Expense" totalsRowLabel="Total" dataDxfId="234" totalsRowDxfId="233"/>
    <tableColumn id="2" xr3:uid="{C18BCD3E-1FA5-45E1-BAFF-87CB662474B1}" name="Budget" totalsRowFunction="sum" dataDxfId="232" totalsRowDxfId="231" dataCellStyle="Currency"/>
    <tableColumn id="3" xr3:uid="{115071B3-1505-4949-986B-F3835582A403}" name="Actual" totalsRowFunction="sum" dataDxfId="230" totalsRowDxfId="229" dataCellStyle="Currency"/>
    <tableColumn id="4" xr3:uid="{915B6C1A-8FB6-43DA-85B0-F2EC63F51819}" name="Difference" totalsRowFunction="sum" dataDxfId="228" totalsRowDxfId="227" dataCellStyle="Currency">
      <calculatedColumnFormula>Fixed_Expense103539434751555963[[#This Row],[Budget]]-Fixed_Expense103539434751555963[[#This Row],[Actual]]</calculatedColumnFormula>
    </tableColumn>
  </tableColumns>
  <tableStyleInfo name="TableStyleLight10"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ECEF6FE6-DE42-4596-A0C1-059D860A81CD}" name="Variable_Expense113640444852566064" displayName="Variable_Expense113640444852566064" ref="F15:I40" totalsRowCount="1" headerRowDxfId="226" dataDxfId="225" headerRowCellStyle="Currency" dataCellStyle="Currency">
  <autoFilter ref="F15:I39" xr:uid="{829964A2-6AA8-4B3B-B353-4A198EF407C8}"/>
  <tableColumns count="4">
    <tableColumn id="1" xr3:uid="{73CF2CE3-E9B8-4613-8491-D423BC8001E0}" name="Electricity" totalsRowLabel="Total" dataDxfId="224" totalsRowDxfId="223"/>
    <tableColumn id="2" xr3:uid="{2FA7A506-2662-4378-95B7-BA3B1DE02B04}" name="Budget" totalsRowFunction="sum" dataDxfId="222" totalsRowDxfId="221" dataCellStyle="Currency"/>
    <tableColumn id="3" xr3:uid="{C2D4B34F-66E4-4615-B007-8AF30801DDC1}" name="Actual " totalsRowFunction="sum" dataDxfId="220" totalsRowDxfId="219" dataCellStyle="Currency"/>
    <tableColumn id="4" xr3:uid="{ABCE742E-1951-4251-A123-4E17895BA3E4}" name="Difference" totalsRowFunction="sum" dataDxfId="218" totalsRowDxfId="217" dataCellStyle="Currency">
      <calculatedColumnFormula>Variable_Expense113640444852566064[[#This Row],[Budget]]-Variable_Expense113640444852566064[[#This Row],[Actual ]]</calculatedColumnFormula>
    </tableColumn>
  </tableColumns>
  <tableStyleInfo name="TableStyleLight1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3070012F-7616-4A21-AB98-9345CBE880EC}" name="Budget_Summary3741454953576165" displayName="Budget_Summary3741454953576165" ref="F7:I11" totalsRowCount="1" headerRowDxfId="216" dataDxfId="215" totalsRowDxfId="214" totalsRowBorderDxfId="213" headerRowCellStyle="Currency" dataCellStyle="Currency">
  <autoFilter ref="F7:I10" xr:uid="{36A78668-A1A3-4CAD-9FB5-EDA3957CB1BB}"/>
  <tableColumns count="4">
    <tableColumn id="1" xr3:uid="{33608B91-51BB-4853-8EBA-1DFC543E7AF9}" name="Summary" totalsRowLabel="Total" dataDxfId="212" totalsRowDxfId="211"/>
    <tableColumn id="2" xr3:uid="{7CE7E812-9060-4D69-97AD-D65244FF7BBF}" name="Budget" totalsRowFunction="custom" dataDxfId="210" totalsRowDxfId="209" dataCellStyle="Currency">
      <calculatedColumnFormula>Fixed_Expense103539434751555963[[#Totals],[Budget]]</calculatedColumnFormula>
      <totalsRowFormula>G8-(G9+G10)</totalsRowFormula>
    </tableColumn>
    <tableColumn id="3" xr3:uid="{03837373-285F-4359-B960-C892296ACA89}" name="Actual" totalsRowFunction="custom" dataDxfId="208" totalsRowDxfId="207" dataCellStyle="Currency">
      <calculatedColumnFormula>Income13438424650545862[[#Totals],[Actual]]</calculatedColumnFormula>
      <totalsRowFormula>H8-(H9+H10)</totalsRowFormula>
    </tableColumn>
    <tableColumn id="4" xr3:uid="{AB99EBA6-CA03-48D3-A732-127ED20B035A}" name="Difference" totalsRowFunction="sum" dataDxfId="206" totalsRowDxfId="205" dataCellStyle="Currency">
      <calculatedColumnFormula>Budget_Summary3741454953576165[[#This Row],[Budget]]-Budget_Summary3741454953576165[[#This Row],[Actual]]</calculatedColumnFormula>
    </tableColumn>
  </tableColumns>
  <tableStyleInfo name="TableStyleLight14"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2B23EC4D-0868-40C5-BC3F-D747C25C5915}" name="Income1343842465054586266" displayName="Income1343842465054586266" ref="A7:D11" totalsRowCount="1" headerRowDxfId="196" totalsRowDxfId="193" headerRowBorderDxfId="195" tableBorderDxfId="194" totalsRowBorderDxfId="192">
  <autoFilter ref="A7:D10" xr:uid="{4FDAA4FF-A4A8-4F41-8279-1AF6018E31D1}"/>
  <tableColumns count="4">
    <tableColumn id="1" xr3:uid="{BB00F91F-AA96-4A1F-BA93-FE0EE2BAD8B2}" name="Income" totalsRowLabel="Total" dataDxfId="191" totalsRowDxfId="190"/>
    <tableColumn id="2" xr3:uid="{EA1CBE1A-B24D-49AE-B62D-4467168F4AFE}" name="Budget" totalsRowFunction="sum" dataDxfId="189" totalsRowDxfId="188"/>
    <tableColumn id="3" xr3:uid="{F96FA889-370A-4D9A-A114-551F9AECB232}" name="Actual" totalsRowFunction="sum" dataDxfId="187" totalsRowDxfId="186"/>
    <tableColumn id="4" xr3:uid="{4DA96D3F-6C22-4D37-82D6-BE70F0C51DDA}" name="Difference" totalsRowFunction="sum" dataDxfId="185" totalsRowDxfId="184">
      <calculatedColumnFormula>Income1343842465054586266[[#This Row],[Actual]]-Income1343842465054586266[[#This Row],[Budget]]</calculatedColumnFormula>
    </tableColumn>
  </tableColumns>
  <tableStyleInfo name="TableStyleLight13"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8564B64C-597E-44B7-A4B2-56D0E7325B34}" name="Fixed_Expense10353943475155596367" displayName="Fixed_Expense10353943475155596367" ref="A15:D40" totalsRowCount="1" totalsRowDxfId="183" totalsRowBorderDxfId="182">
  <autoFilter ref="A15:D39" xr:uid="{F6A0E467-F124-435C-B6FB-4C8BAE3F2ACC}"/>
  <tableColumns count="4">
    <tableColumn id="1" xr3:uid="{9F38FEB9-3446-4002-AEBE-EB67B1F90D60}" name="Expense" totalsRowLabel="Total" dataDxfId="181" totalsRowDxfId="180"/>
    <tableColumn id="2" xr3:uid="{A05595B6-BE51-43D9-8648-368653900B54}" name="Budget" totalsRowFunction="sum" dataDxfId="179" totalsRowDxfId="178" dataCellStyle="Currency"/>
    <tableColumn id="3" xr3:uid="{F8E13588-1815-4B5D-AA7F-BFF9C536B6FD}" name="Actual" totalsRowFunction="sum" dataDxfId="177" totalsRowDxfId="176" dataCellStyle="Currency"/>
    <tableColumn id="4" xr3:uid="{F239D26E-2863-4F80-AE55-76FD5AC48681}" name="Difference" totalsRowFunction="sum" dataDxfId="175" totalsRowDxfId="174" dataCellStyle="Currency">
      <calculatedColumnFormula>Fixed_Expense10353943475155596367[[#This Row],[Budget]]-Fixed_Expense10353943475155596367[[#This Row],[Actual]]</calculatedColumnFormula>
    </tableColumn>
  </tableColumns>
  <tableStyleInfo name="TableStyleLight10"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744776AD-B530-413D-8D52-194BFEE326B4}" name="Variable_Expense11364044485256606468" displayName="Variable_Expense11364044485256606468" ref="F15:I40" totalsRowCount="1" headerRowDxfId="173" dataDxfId="172" headerRowCellStyle="Currency" dataCellStyle="Currency">
  <autoFilter ref="F15:I39" xr:uid="{829964A2-6AA8-4B3B-B353-4A198EF407C8}"/>
  <tableColumns count="4">
    <tableColumn id="1" xr3:uid="{ACDE51EB-6833-4186-AB05-799DEE7B8F27}" name="Electricity" totalsRowLabel="Total" dataDxfId="171" totalsRowDxfId="170"/>
    <tableColumn id="2" xr3:uid="{77BE0C39-F6B6-4B7C-98EF-8325CFBCF268}" name="Budget" totalsRowFunction="sum" dataDxfId="169" totalsRowDxfId="168" dataCellStyle="Currency"/>
    <tableColumn id="3" xr3:uid="{8106CB23-D9B0-4BA5-9F02-CF25BDF4187E}" name="Actual " totalsRowFunction="sum" dataDxfId="167" totalsRowDxfId="166" dataCellStyle="Currency"/>
    <tableColumn id="4" xr3:uid="{E88C1514-226C-4CBA-894D-D067E3E7829B}" name="Difference" totalsRowFunction="sum" dataDxfId="165" totalsRowDxfId="164" dataCellStyle="Currency">
      <calculatedColumnFormula>Variable_Expense11364044485256606468[[#This Row],[Budget]]-Variable_Expense11364044485256606468[[#This Row],[Actual ]]</calculatedColumnFormula>
    </tableColumn>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4CCF2E3-5668-4880-B21A-86751DA1B5C0}" name="Budget_Summary" displayName="Budget_Summary" ref="F7:I11" totalsRowCount="1" headerRowDxfId="640" dataDxfId="639" totalsRowDxfId="638" totalsRowBorderDxfId="637" headerRowCellStyle="Currency" dataCellStyle="Currency">
  <autoFilter ref="F7:I10" xr:uid="{36A78668-A1A3-4CAD-9FB5-EDA3957CB1BB}"/>
  <tableColumns count="4">
    <tableColumn id="1" xr3:uid="{5890F0B1-E271-4ED6-9BF0-1792C5B165F1}" name="Summary" totalsRowLabel="Total" dataDxfId="636" totalsRowDxfId="635"/>
    <tableColumn id="2" xr3:uid="{5EA0EE4D-26BA-4FD5-8E8F-E05281D893A2}" name="Budget" totalsRowFunction="custom" dataDxfId="634" totalsRowDxfId="633" dataCellStyle="Currency">
      <calculatedColumnFormula>Fixed_Expense10[[#Totals],[Budget]]</calculatedColumnFormula>
      <totalsRowFormula>G8-(G9+G10)</totalsRowFormula>
    </tableColumn>
    <tableColumn id="3" xr3:uid="{F9498C0E-5980-4D56-9C11-64843983D3A8}" name="Actual" totalsRowFunction="custom" dataDxfId="632" totalsRowDxfId="631" dataCellStyle="Currency">
      <calculatedColumnFormula>Income1[[#Totals],[Actual]]</calculatedColumnFormula>
      <totalsRowFormula>H8-(H9+H10)</totalsRowFormula>
    </tableColumn>
    <tableColumn id="4" xr3:uid="{6824F527-1810-4CFE-86F6-0942CDFB8505}" name="Difference" totalsRowFunction="sum" dataDxfId="630" totalsRowDxfId="629" dataCellStyle="Currency">
      <calculatedColumnFormula>Budget_Summary[[#This Row],[Budget]]-Budget_Summary[[#This Row],[Actual]]</calculatedColumnFormula>
    </tableColumn>
  </tableColumns>
  <tableStyleInfo name="TableStyleLight14"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69CE303F-738A-4854-B056-AF870B958B1C}" name="Budget_Summary374145495357616569" displayName="Budget_Summary374145495357616569" ref="F7:I11" totalsRowCount="1" headerRowDxfId="163" dataDxfId="162" totalsRowDxfId="161" totalsRowBorderDxfId="160" headerRowCellStyle="Currency" dataCellStyle="Currency">
  <autoFilter ref="F7:I10" xr:uid="{36A78668-A1A3-4CAD-9FB5-EDA3957CB1BB}"/>
  <tableColumns count="4">
    <tableColumn id="1" xr3:uid="{3B049D99-E158-436D-831D-509A5F9E37F5}" name="Summary" totalsRowLabel="Total" dataDxfId="159" totalsRowDxfId="158"/>
    <tableColumn id="2" xr3:uid="{A49C9F89-ACFC-4A99-A2A3-A6299A211702}" name="Budget" totalsRowFunction="custom" dataDxfId="157" totalsRowDxfId="156" dataCellStyle="Currency">
      <calculatedColumnFormula>Fixed_Expense10353943475155596367[[#Totals],[Budget]]</calculatedColumnFormula>
      <totalsRowFormula>G8-(G9+G10)</totalsRowFormula>
    </tableColumn>
    <tableColumn id="3" xr3:uid="{75BD2410-B8C6-4C99-A2E9-C8A16264B368}" name="Actual" totalsRowFunction="custom" dataDxfId="155" totalsRowDxfId="154" dataCellStyle="Currency">
      <calculatedColumnFormula>Income1343842465054586266[[#Totals],[Actual]]</calculatedColumnFormula>
      <totalsRowFormula>H8-(H9+H10)</totalsRowFormula>
    </tableColumn>
    <tableColumn id="4" xr3:uid="{34A35E97-3D4F-4F27-AED8-C845AB6375E7}" name="Difference" totalsRowFunction="sum" dataDxfId="153" totalsRowDxfId="152" dataCellStyle="Currency">
      <calculatedColumnFormula>Budget_Summary374145495357616569[[#This Row],[Budget]]-Budget_Summary374145495357616569[[#This Row],[Actual]]</calculatedColumnFormula>
    </tableColumn>
  </tableColumns>
  <tableStyleInfo name="TableStyleLight14"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AEC8A5D9-8FD7-4034-921B-980B80CCC549}" name="Income134384246505458626670" displayName="Income134384246505458626670" ref="A7:D11" totalsRowCount="1" headerRowDxfId="143" totalsRowDxfId="140" headerRowBorderDxfId="142" tableBorderDxfId="141" totalsRowBorderDxfId="139">
  <autoFilter ref="A7:D10" xr:uid="{4FDAA4FF-A4A8-4F41-8279-1AF6018E31D1}"/>
  <tableColumns count="4">
    <tableColumn id="1" xr3:uid="{BECE4282-59C7-46BD-AC5B-A869E1AB8190}" name="Income" totalsRowLabel="Total" dataDxfId="138" totalsRowDxfId="137"/>
    <tableColumn id="2" xr3:uid="{17C2B760-481D-46EE-901E-F16D0BE788E6}" name="Budget" totalsRowFunction="sum" dataDxfId="136" totalsRowDxfId="135"/>
    <tableColumn id="3" xr3:uid="{343E2384-FCB7-4BEB-9EDC-112A96280D24}" name="Actual" totalsRowFunction="sum" dataDxfId="134" totalsRowDxfId="133"/>
    <tableColumn id="4" xr3:uid="{40B9870D-2DA3-43A6-B559-E8F34EA47ACF}" name="Difference" totalsRowFunction="sum" dataDxfId="132" totalsRowDxfId="131">
      <calculatedColumnFormula>Income134384246505458626670[[#This Row],[Actual]]-Income134384246505458626670[[#This Row],[Budget]]</calculatedColumnFormula>
    </tableColumn>
  </tableColumns>
  <tableStyleInfo name="TableStyleLight13"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32C07AAC-4956-4629-9F27-17F9DA63487F}" name="Fixed_Expense1035394347515559636771" displayName="Fixed_Expense1035394347515559636771" ref="A15:D40" totalsRowCount="1" totalsRowDxfId="130" totalsRowBorderDxfId="129">
  <autoFilter ref="A15:D39" xr:uid="{F6A0E467-F124-435C-B6FB-4C8BAE3F2ACC}"/>
  <tableColumns count="4">
    <tableColumn id="1" xr3:uid="{9C5F6D47-64D5-4348-A5A0-A6C1660A3344}" name="Expense" totalsRowLabel="Total" dataDxfId="128" totalsRowDxfId="127"/>
    <tableColumn id="2" xr3:uid="{5233D125-3E03-4AF5-802F-376AC5DCE516}" name="Budget" totalsRowFunction="sum" dataDxfId="126" totalsRowDxfId="125" dataCellStyle="Currency"/>
    <tableColumn id="3" xr3:uid="{34CE2D9F-E663-476F-806C-72071A8D3656}" name="Actual" totalsRowFunction="sum" dataDxfId="124" totalsRowDxfId="123" dataCellStyle="Currency"/>
    <tableColumn id="4" xr3:uid="{F0750665-1351-4CAE-9693-8EAC17A173F8}" name="Difference" totalsRowFunction="sum" dataDxfId="122" totalsRowDxfId="121" dataCellStyle="Currency">
      <calculatedColumnFormula>Fixed_Expense1035394347515559636771[[#This Row],[Budget]]-Fixed_Expense1035394347515559636771[[#This Row],[Actual]]</calculatedColumnFormula>
    </tableColumn>
  </tableColumns>
  <tableStyleInfo name="TableStyleLight10"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637C40C0-E414-428A-97A0-08D407D0D4FE}" name="Variable_Expense1136404448525660646872" displayName="Variable_Expense1136404448525660646872" ref="F15:I40" totalsRowCount="1" headerRowDxfId="120" dataDxfId="119" headerRowCellStyle="Currency" dataCellStyle="Currency">
  <autoFilter ref="F15:I39" xr:uid="{829964A2-6AA8-4B3B-B353-4A198EF407C8}"/>
  <tableColumns count="4">
    <tableColumn id="1" xr3:uid="{409CAF90-EBC3-4EF0-B005-3AD058C973D4}" name="Electricity" totalsRowLabel="Total" dataDxfId="118" totalsRowDxfId="117"/>
    <tableColumn id="2" xr3:uid="{5D4656D1-A261-4DBA-8146-F5D9BCD037D9}" name="Budget" totalsRowFunction="sum" dataDxfId="116" totalsRowDxfId="115" dataCellStyle="Currency"/>
    <tableColumn id="3" xr3:uid="{5ADFB7AB-C281-4897-B620-6E63517EEFF7}" name="Actual " totalsRowFunction="sum" dataDxfId="114" totalsRowDxfId="113" dataCellStyle="Currency"/>
    <tableColumn id="4" xr3:uid="{118C7E39-8531-4D86-8AD3-2E97BBDC7D0C}" name="Difference" totalsRowFunction="sum" dataDxfId="112" totalsRowDxfId="111" dataCellStyle="Currency">
      <calculatedColumnFormula>Variable_Expense1136404448525660646872[[#This Row],[Budget]]-Variable_Expense1136404448525660646872[[#This Row],[Actual ]]</calculatedColumnFormula>
    </tableColumn>
  </tableColumns>
  <tableStyleInfo name="TableStyleLight1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41CB8F93-C700-4B6A-AC6B-B2E94EE3AC5C}" name="Budget_Summary37414549535761656973" displayName="Budget_Summary37414549535761656973" ref="F7:I11" totalsRowCount="1" headerRowDxfId="110" dataDxfId="109" totalsRowDxfId="108" totalsRowBorderDxfId="107" headerRowCellStyle="Currency" dataCellStyle="Currency">
  <autoFilter ref="F7:I10" xr:uid="{36A78668-A1A3-4CAD-9FB5-EDA3957CB1BB}"/>
  <tableColumns count="4">
    <tableColumn id="1" xr3:uid="{4D1D3B41-5A8F-4AF6-B14E-9BBC0ED1A80B}" name="Summary" totalsRowLabel="Total" dataDxfId="106" totalsRowDxfId="105"/>
    <tableColumn id="2" xr3:uid="{65E91CC5-0203-487A-BF05-2061F2F76EA4}" name="Budget" totalsRowFunction="custom" dataDxfId="104" totalsRowDxfId="103" dataCellStyle="Currency">
      <calculatedColumnFormula>Fixed_Expense1035394347515559636771[[#Totals],[Budget]]</calculatedColumnFormula>
      <totalsRowFormula>G8-(G9+G10)</totalsRowFormula>
    </tableColumn>
    <tableColumn id="3" xr3:uid="{55CFF7FF-A7FD-4B72-946D-FFC3DA7CD2CC}" name="Actual" totalsRowFunction="custom" dataDxfId="102" totalsRowDxfId="101" dataCellStyle="Currency">
      <calculatedColumnFormula>Income134384246505458626670[[#Totals],[Actual]]</calculatedColumnFormula>
      <totalsRowFormula>H8-(H9+H10)</totalsRowFormula>
    </tableColumn>
    <tableColumn id="4" xr3:uid="{9F2AFAF4-C5FE-4D04-A959-ACFC1DCD0CDC}" name="Difference" totalsRowFunction="sum" dataDxfId="100" totalsRowDxfId="99" dataCellStyle="Currency">
      <calculatedColumnFormula>Budget_Summary37414549535761656973[[#This Row],[Budget]]-Budget_Summary37414549535761656973[[#This Row],[Actual]]</calculatedColumnFormula>
    </tableColumn>
  </tableColumns>
  <tableStyleInfo name="TableStyleLight14"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41EBBB4-30BE-479C-96E1-F475E93DF620}" name="Income13438424650545862667074" displayName="Income13438424650545862667074" ref="A7:D11" totalsRowCount="1" headerRowDxfId="90" totalsRowDxfId="87" headerRowBorderDxfId="89" tableBorderDxfId="88" totalsRowBorderDxfId="86">
  <autoFilter ref="A7:D10" xr:uid="{4FDAA4FF-A4A8-4F41-8279-1AF6018E31D1}"/>
  <tableColumns count="4">
    <tableColumn id="1" xr3:uid="{597309F3-C13A-423E-96D8-B8EB77FD61FB}" name="Income" totalsRowLabel="Total" dataDxfId="85" totalsRowDxfId="84"/>
    <tableColumn id="2" xr3:uid="{00C4C265-2DD2-42CE-B25D-9D3BE68EF53D}" name="Budget" totalsRowFunction="sum" dataDxfId="83" totalsRowDxfId="82"/>
    <tableColumn id="3" xr3:uid="{7011F2AB-9E50-4CAB-A36A-0909BF3B52C6}" name="Actual" totalsRowFunction="sum" dataDxfId="81" totalsRowDxfId="80"/>
    <tableColumn id="4" xr3:uid="{24EB43CC-931C-4F56-A97F-E8D04BE073A7}" name="Difference" totalsRowFunction="sum" dataDxfId="79" totalsRowDxfId="78">
      <calculatedColumnFormula>Income13438424650545862667074[[#This Row],[Actual]]-Income13438424650545862667074[[#This Row],[Budget]]</calculatedColumnFormula>
    </tableColumn>
  </tableColumns>
  <tableStyleInfo name="TableStyleLight13"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8A2539BB-64C0-465A-937C-0F2E64BD753E}" name="Fixed_Expense103539434751555963677175" displayName="Fixed_Expense103539434751555963677175" ref="A15:D40" totalsRowCount="1" totalsRowDxfId="77" totalsRowBorderDxfId="76">
  <autoFilter ref="A15:D39" xr:uid="{F6A0E467-F124-435C-B6FB-4C8BAE3F2ACC}"/>
  <tableColumns count="4">
    <tableColumn id="1" xr3:uid="{08A15A2B-2019-472A-B272-6540A3A7C91B}" name="Expense" totalsRowLabel="Total" dataDxfId="75" totalsRowDxfId="74"/>
    <tableColumn id="2" xr3:uid="{745571A9-36C6-454A-9BF0-F09FC7F01696}" name="Budget" totalsRowFunction="sum" dataDxfId="73" totalsRowDxfId="72" dataCellStyle="Currency"/>
    <tableColumn id="3" xr3:uid="{C31CB8AE-DC2A-4E0E-A381-6545308D3F1C}" name="Actual" totalsRowFunction="sum" dataDxfId="71" totalsRowDxfId="70" dataCellStyle="Currency"/>
    <tableColumn id="4" xr3:uid="{0FADC93D-E6F2-414A-A3C8-1B9E3B2F4317}" name="Difference" totalsRowFunction="sum" dataDxfId="69" totalsRowDxfId="68" dataCellStyle="Currency">
      <calculatedColumnFormula>Fixed_Expense103539434751555963677175[[#This Row],[Budget]]-Fixed_Expense103539434751555963677175[[#This Row],[Actual]]</calculatedColumnFormula>
    </tableColumn>
  </tableColumns>
  <tableStyleInfo name="TableStyleLight10"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5E360944-B8A3-4EA7-9340-CA5E9CEFEFE3}" name="Variable_Expense113640444852566064687276" displayName="Variable_Expense113640444852566064687276" ref="F15:I40" totalsRowCount="1" headerRowDxfId="67" dataDxfId="66" headerRowCellStyle="Currency" dataCellStyle="Currency">
  <autoFilter ref="F15:I39" xr:uid="{829964A2-6AA8-4B3B-B353-4A198EF407C8}"/>
  <tableColumns count="4">
    <tableColumn id="1" xr3:uid="{ED2E1353-E0D0-4726-AA61-B6C1C29EE5C6}" name="Electricity" totalsRowLabel="Total" dataDxfId="65" totalsRowDxfId="64"/>
    <tableColumn id="2" xr3:uid="{AB0BF654-BBA4-4386-A875-55F02861C54D}" name="Budget" totalsRowFunction="sum" dataDxfId="63" totalsRowDxfId="62" dataCellStyle="Currency"/>
    <tableColumn id="3" xr3:uid="{594C97EC-A1A3-4BC2-BF90-246D27FBD511}" name="Actual " totalsRowFunction="sum" dataDxfId="61" totalsRowDxfId="60" dataCellStyle="Currency"/>
    <tableColumn id="4" xr3:uid="{7B702A9E-18EB-46E4-9AF8-0E39AF7B92D2}" name="Difference" totalsRowFunction="sum" dataDxfId="59" totalsRowDxfId="58" dataCellStyle="Currency">
      <calculatedColumnFormula>Variable_Expense113640444852566064687276[[#This Row],[Budget]]-Variable_Expense113640444852566064687276[[#This Row],[Actual ]]</calculatedColumnFormula>
    </tableColumn>
  </tableColumns>
  <tableStyleInfo name="TableStyleLight1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8F033AB6-0057-4260-ABD4-774C0CA4F1F0}" name="Budget_Summary3741454953576165697377" displayName="Budget_Summary3741454953576165697377" ref="F7:I11" totalsRowCount="1" headerRowDxfId="57" dataDxfId="56" totalsRowDxfId="55" totalsRowBorderDxfId="54" headerRowCellStyle="Currency" dataCellStyle="Currency">
  <autoFilter ref="F7:I10" xr:uid="{36A78668-A1A3-4CAD-9FB5-EDA3957CB1BB}"/>
  <tableColumns count="4">
    <tableColumn id="1" xr3:uid="{06EB7221-CE51-4126-A99F-B89BEE208D44}" name="Summary" totalsRowLabel="Total" dataDxfId="53" totalsRowDxfId="52"/>
    <tableColumn id="2" xr3:uid="{168491FC-3686-481B-A9D6-22334BBFD09F}" name="Budget" totalsRowFunction="custom" dataDxfId="51" totalsRowDxfId="50" dataCellStyle="Currency">
      <calculatedColumnFormula>Fixed_Expense103539434751555963677175[[#Totals],[Budget]]</calculatedColumnFormula>
      <totalsRowFormula>G8-(G9+G10)</totalsRowFormula>
    </tableColumn>
    <tableColumn id="3" xr3:uid="{834697D6-DF69-4E53-898C-0F236A2A72F7}" name="Actual" totalsRowFunction="custom" dataDxfId="49" totalsRowDxfId="48" dataCellStyle="Currency">
      <calculatedColumnFormula>Income13438424650545862667074[[#Totals],[Actual]]</calculatedColumnFormula>
      <totalsRowFormula>H8-(H9+H10)</totalsRowFormula>
    </tableColumn>
    <tableColumn id="4" xr3:uid="{D0978BD3-A987-4F93-AA88-7953BBAE4288}" name="Difference" totalsRowFunction="sum" dataDxfId="47" totalsRowDxfId="46" dataCellStyle="Currency">
      <calculatedColumnFormula>Budget_Summary3741454953576165697377[[#This Row],[Budget]]-Budget_Summary3741454953576165697377[[#This Row],[Actual]]</calculatedColumnFormula>
    </tableColumn>
  </tableColumns>
  <tableStyleInfo name="TableStyleLight14"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45709A89-4B22-4B9F-BBF9-54911F47668C}" name="MonthTotalJan" displayName="MonthTotalJan" ref="A6:D10" totalsRowCount="1">
  <autoFilter ref="A6:D9" xr:uid="{45709A89-4B22-4B9F-BBF9-54911F47668C}"/>
  <tableColumns count="4">
    <tableColumn id="1" xr3:uid="{E471E869-849F-41EF-85FC-B129B66F8B85}" name="Summary" totalsRowLabel="Total"/>
    <tableColumn id="2" xr3:uid="{05A7CBA3-D73F-4595-A144-B48740E52F66}" name="Budget" totalsRowFunction="custom" totalsRowDxfId="43" dataCellStyle="Currency">
      <calculatedColumnFormula>January!$G$8</calculatedColumnFormula>
      <totalsRowFormula>B7-(B8+B9)</totalsRowFormula>
    </tableColumn>
    <tableColumn id="3" xr3:uid="{12474077-533D-45BD-A4D8-22F050F7F2FB}" name="Actual" totalsRowFunction="custom" totalsRowDxfId="42" dataCellStyle="Currency">
      <calculatedColumnFormula>January!H8</calculatedColumnFormula>
      <totalsRowFormula>C7-(C8+C9)</totalsRowFormula>
    </tableColumn>
    <tableColumn id="4" xr3:uid="{76ACB939-9A14-4846-AB4C-CE1AFA336269}" name="Difference" totalsRowFunction="sum" totalsRowDxfId="41" dataCellStyle="Currency">
      <calculatedColumnFormula>MonthTotalJan[[#This Row],[Budget]]-MonthTotalJan[[#This Row],[Actual]]</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FA8B06A-8FC9-4292-99C3-02F5A2C882BD}" name="Income134" displayName="Income134" ref="A7:D11" totalsRowCount="1" headerRowDxfId="620" totalsRowDxfId="617" headerRowBorderDxfId="619" tableBorderDxfId="618" totalsRowBorderDxfId="616">
  <autoFilter ref="A7:D10" xr:uid="{4FDAA4FF-A4A8-4F41-8279-1AF6018E31D1}"/>
  <tableColumns count="4">
    <tableColumn id="1" xr3:uid="{CE49DBE0-868A-4296-8EC1-0710D40CCDEF}" name="Income" totalsRowLabel="Total" dataDxfId="615" totalsRowDxfId="614"/>
    <tableColumn id="2" xr3:uid="{2F3D9DE9-87C8-4BA3-B485-D2AEC310FCFB}" name="Budget" totalsRowFunction="sum" dataDxfId="613" totalsRowDxfId="612"/>
    <tableColumn id="3" xr3:uid="{D49B0D7D-D7DA-4CA9-911D-FE2A3AD7D332}" name="Actual" totalsRowFunction="sum" dataDxfId="611" totalsRowDxfId="610"/>
    <tableColumn id="4" xr3:uid="{C0B46A33-E0FE-49D1-B64B-B0342A182EDE}" name="Difference" totalsRowFunction="sum" dataDxfId="609" totalsRowDxfId="608">
      <calculatedColumnFormula>Income134[[#This Row],[Actual]]-Income134[[#This Row],[Budget]]</calculatedColumnFormula>
    </tableColumn>
  </tableColumns>
  <tableStyleInfo name="TableStyleLight13"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D247049C-2333-4446-85FE-ACE7F35905AB}" name="MonthTotalFeb" displayName="MonthTotalFeb" ref="A14:D18" totalsRowCount="1">
  <autoFilter ref="A14:D17" xr:uid="{D247049C-2333-4446-85FE-ACE7F35905AB}"/>
  <tableColumns count="4">
    <tableColumn id="1" xr3:uid="{5A0A758C-07B4-4492-8D3A-B1238B8316BF}" name="Summary" totalsRowLabel="Total"/>
    <tableColumn id="2" xr3:uid="{A7A76B99-E6A2-451F-8756-204E94885527}" name="Budget" totalsRowFunction="custom" totalsRowDxfId="40" dataCellStyle="Currency">
      <calculatedColumnFormula>February!G8</calculatedColumnFormula>
      <totalsRowFormula>B15-(B16+B17)</totalsRowFormula>
    </tableColumn>
    <tableColumn id="3" xr3:uid="{D3A3E678-CD33-4698-BA90-E537A395D82E}" name="Actual" totalsRowFunction="custom" totalsRowDxfId="39" dataCellStyle="Currency">
      <calculatedColumnFormula>February!H8</calculatedColumnFormula>
      <totalsRowFormula>C15-(C16+C17)</totalsRowFormula>
    </tableColumn>
    <tableColumn id="4" xr3:uid="{557EFB67-3A31-476D-81B2-AA75B61918DA}" name="Difference" totalsRowFunction="sum" totalsRowDxfId="38" dataCellStyle="Currency">
      <calculatedColumnFormula>MonthTotalFeb[[#This Row],[Budget]]-MonthTotalFeb[[#This Row],[Actual]]</calculatedColumnFormula>
    </tableColumn>
  </tableColumns>
  <tableStyleInfo name="TableStyleLight8"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20FAD476-60A5-4B37-94E3-9F6E4E491605}" name="MonthTotalMar" displayName="MonthTotalMar" ref="A22:D26" totalsRowCount="1">
  <autoFilter ref="A22:D25" xr:uid="{20FAD476-60A5-4B37-94E3-9F6E4E491605}"/>
  <tableColumns count="4">
    <tableColumn id="1" xr3:uid="{E811276B-0E6C-4E5C-B553-EC690253E71D}" name="Summary" totalsRowLabel="Total"/>
    <tableColumn id="2" xr3:uid="{338C9082-B098-46C7-BBFC-1CF0978BA678}" name="Budget" totalsRowFunction="custom" totalsRowDxfId="37" dataCellStyle="Currency">
      <calculatedColumnFormula>February!G16</calculatedColumnFormula>
      <totalsRowFormula>B23-(B24+B25)</totalsRowFormula>
    </tableColumn>
    <tableColumn id="3" xr3:uid="{F1AD4E78-0283-4D27-85ED-9966469A7BC0}" name="Actual" totalsRowFunction="custom" totalsRowDxfId="36" dataCellStyle="Currency">
      <calculatedColumnFormula>February!H16</calculatedColumnFormula>
      <totalsRowFormula>C23-(C24+C25)</totalsRowFormula>
    </tableColumn>
    <tableColumn id="4" xr3:uid="{9FDADDA6-B592-41A9-8485-15CD734CE5D0}" name="Difference" totalsRowFunction="sum" totalsRowDxfId="35" dataCellStyle="Currency">
      <calculatedColumnFormula>MonthTotalMar[[#This Row],[Budget]]-MonthTotalMar[[#This Row],[Actual]]</calculatedColumnFormula>
    </tableColumn>
  </tableColumns>
  <tableStyleInfo name="TableStyleLight8"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B7376244-1610-41D7-B2A4-A355AAA5F219}" name="MonthTotalApr" displayName="MonthTotalApr" ref="A30:D34" totalsRowCount="1">
  <autoFilter ref="A30:D33" xr:uid="{B7376244-1610-41D7-B2A4-A355AAA5F219}"/>
  <tableColumns count="4">
    <tableColumn id="1" xr3:uid="{FD142D96-4F1C-405E-ACC0-726EF3A33E26}" name="Summary" totalsRowLabel="Total"/>
    <tableColumn id="2" xr3:uid="{E5E408D2-BD36-4997-81E7-6DBE257C214B}" name="Budget" totalsRowFunction="custom" totalsRowDxfId="34" dataCellStyle="Currency">
      <calculatedColumnFormula>February!G24</calculatedColumnFormula>
      <totalsRowFormula>B31-(B32+B33)</totalsRowFormula>
    </tableColumn>
    <tableColumn id="3" xr3:uid="{D780D7F2-2E3A-453B-B971-C285C430F26C}" name="Actual" totalsRowFunction="custom" totalsRowDxfId="33" dataCellStyle="Currency">
      <calculatedColumnFormula>February!H24</calculatedColumnFormula>
      <totalsRowFormula>C31-(C32+C33)</totalsRowFormula>
    </tableColumn>
    <tableColumn id="4" xr3:uid="{4AA21A0A-59B3-406A-A45A-58F72378B773}" name="Difference" totalsRowFunction="sum" totalsRowDxfId="32" dataCellStyle="Currency">
      <calculatedColumnFormula>MonthTotalApr[[#This Row],[Budget]]-MonthTotalApr[[#This Row],[Actual]]</calculatedColumnFormula>
    </tableColumn>
  </tableColumns>
  <tableStyleInfo name="TableStyleLight8"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40D05441-CDBC-4403-8A24-CFAAA4841E84}" name="MonthTotalMay" displayName="MonthTotalMay" ref="F6:I10" totalsRowCount="1">
  <autoFilter ref="F6:I9" xr:uid="{40D05441-CDBC-4403-8A24-CFAAA4841E84}"/>
  <tableColumns count="4">
    <tableColumn id="1" xr3:uid="{C8D25FAE-CCEE-499F-8EE4-24F99C9F61D6}" name="Summary" totalsRowLabel="Total"/>
    <tableColumn id="2" xr3:uid="{DC81D866-1AE1-4054-8619-BE2B0D235077}" name="Budget" totalsRowFunction="custom" totalsRowDxfId="31" dataCellStyle="Currency">
      <calculatedColumnFormula>February!#REF!</calculatedColumnFormula>
      <totalsRowFormula>G7-(G8+G9)</totalsRowFormula>
    </tableColumn>
    <tableColumn id="3" xr3:uid="{7D46F150-D255-4D1D-AE01-23A2483EA182}" name="Actual" totalsRowFunction="custom" totalsRowDxfId="30" dataCellStyle="Currency">
      <calculatedColumnFormula>February!#REF!</calculatedColumnFormula>
      <totalsRowFormula>H7-(H8+H9)</totalsRowFormula>
    </tableColumn>
    <tableColumn id="4" xr3:uid="{A2424889-2853-4395-AC9B-2E728C14817C}" name="Difference" totalsRowFunction="sum" totalsRowDxfId="29" dataCellStyle="Currency">
      <calculatedColumnFormula>MonthTotalMay[[#This Row],[Budget]]-MonthTotalMay[[#This Row],[Actual]]</calculatedColumnFormula>
    </tableColumn>
  </tableColumns>
  <tableStyleInfo name="TableStyleLight8"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68986E97-F66B-4F97-8C66-E1FCA3B8C659}" name="MonthTotalJune" displayName="MonthTotalJune" ref="F14:I18" totalsRowCount="1">
  <autoFilter ref="F14:I17" xr:uid="{68986E97-F66B-4F97-8C66-E1FCA3B8C659}"/>
  <tableColumns count="4">
    <tableColumn id="1" xr3:uid="{EA28E0BB-37A0-4FAD-8CE1-4DE3D4E703F9}" name="Summary" totalsRowLabel="Total"/>
    <tableColumn id="2" xr3:uid="{0162536A-E3D9-46AE-93DD-D4A8C0779CB6}" name="Budget" totalsRowFunction="custom" totalsRowDxfId="28" dataCellStyle="Currency">
      <calculatedColumnFormula>February!#REF!</calculatedColumnFormula>
      <totalsRowFormula>G15-(G16+G17)</totalsRowFormula>
    </tableColumn>
    <tableColumn id="3" xr3:uid="{342159E4-282A-440F-9401-059E2119A8FF}" name="Actual" totalsRowFunction="custom" totalsRowDxfId="27" dataCellStyle="Currency">
      <calculatedColumnFormula>February!#REF!</calculatedColumnFormula>
      <totalsRowFormula>H15-(H16+H17)</totalsRowFormula>
    </tableColumn>
    <tableColumn id="4" xr3:uid="{D86009D6-1047-4912-836D-3C51E66D672D}" name="Difference" totalsRowFunction="sum" totalsRowDxfId="26" dataCellStyle="Currency">
      <calculatedColumnFormula>MonthTotalJune[[#This Row],[Budget]]-MonthTotalJune[[#This Row],[Actual]]</calculatedColumnFormula>
    </tableColumn>
  </tableColumns>
  <tableStyleInfo name="TableStyleLight8"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D92666E0-8BFA-41C2-BAF3-CC97CDCBF8B6}" name="MonthTotalJuly" displayName="MonthTotalJuly" ref="F22:I26" totalsRowCount="1">
  <autoFilter ref="F22:I25" xr:uid="{D92666E0-8BFA-41C2-BAF3-CC97CDCBF8B6}"/>
  <tableColumns count="4">
    <tableColumn id="1" xr3:uid="{25CBD40B-B84B-407D-A4C4-10C122CC5DA6}" name="Summary" totalsRowLabel="Total"/>
    <tableColumn id="2" xr3:uid="{5CE42E86-0472-4F1C-92C0-9CE2C9A5DC53}" name="Budget" totalsRowFunction="custom" totalsRowDxfId="25" dataCellStyle="Currency">
      <calculatedColumnFormula>February!#REF!</calculatedColumnFormula>
      <totalsRowFormula>G23-(G24+G25)</totalsRowFormula>
    </tableColumn>
    <tableColumn id="3" xr3:uid="{40D3455B-7C69-4541-8304-F18617657CAC}" name="Actual" totalsRowFunction="custom" totalsRowDxfId="24" dataCellStyle="Currency">
      <calculatedColumnFormula>February!#REF!</calculatedColumnFormula>
      <totalsRowFormula>H23-(H24+H25)</totalsRowFormula>
    </tableColumn>
    <tableColumn id="4" xr3:uid="{F5688909-B306-47BF-9C90-CAAF6781AAB8}" name="Difference" totalsRowFunction="sum" totalsRowDxfId="23" dataCellStyle="Currency">
      <calculatedColumnFormula>MonthTotalJuly[[#This Row],[Budget]]-MonthTotalJuly[[#This Row],[Actual]]</calculatedColumnFormula>
    </tableColumn>
  </tableColumns>
  <tableStyleInfo name="TableStyleLight8"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70B45699-E9E5-4644-9AA4-30347A2004C9}" name="MonthTotalJuly86" displayName="MonthTotalJuly86" ref="F30:I34" totalsRowCount="1">
  <autoFilter ref="F30:I33" xr:uid="{70B45699-E9E5-4644-9AA4-30347A2004C9}"/>
  <tableColumns count="4">
    <tableColumn id="1" xr3:uid="{27247FE9-163B-413F-B0C9-0955A25F5598}" name="Summary" totalsRowLabel="Total"/>
    <tableColumn id="2" xr3:uid="{77594AEC-1CA7-44D7-9429-C050072DCE6B}" name="Budget" totalsRowFunction="custom" totalsRowDxfId="22" dataCellStyle="Currency">
      <calculatedColumnFormula>February!#REF!</calculatedColumnFormula>
      <totalsRowFormula>G31-(G32+G33)</totalsRowFormula>
    </tableColumn>
    <tableColumn id="3" xr3:uid="{388233D3-5C7B-4E70-B662-04BB74771969}" name="Actual" totalsRowFunction="custom" totalsRowDxfId="21" dataCellStyle="Currency">
      <calculatedColumnFormula>February!#REF!</calculatedColumnFormula>
      <totalsRowFormula>H31-(H32+H33)</totalsRowFormula>
    </tableColumn>
    <tableColumn id="4" xr3:uid="{785D1AAE-BB9A-4D0F-AFB6-12EFCE3CDF88}" name="Difference" totalsRowFunction="sum" totalsRowDxfId="20" dataCellStyle="Currency">
      <calculatedColumnFormula>MonthTotalJuly86[[#This Row],[Budget]]-MonthTotalJuly86[[#This Row],[Actual]]</calculatedColumnFormula>
    </tableColumn>
  </tableColumns>
  <tableStyleInfo name="TableStyleLight8"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3849BB9B-36C9-49C7-8035-E8A3B340362E}" name="MonthTotalSept" displayName="MonthTotalSept" ref="K6:N10" totalsRowCount="1">
  <autoFilter ref="K6:N9" xr:uid="{3849BB9B-36C9-49C7-8035-E8A3B340362E}"/>
  <tableColumns count="4">
    <tableColumn id="1" xr3:uid="{C8EAC640-1DBF-4CE9-8E71-3CB4695B9065}" name="Summary" totalsRowLabel="Total"/>
    <tableColumn id="2" xr3:uid="{64A1968D-437A-4054-95C7-CA174D8B1E77}" name="Budget" totalsRowFunction="custom" totalsRowDxfId="19" dataCellStyle="Currency">
      <calculatedColumnFormula>February!#REF!</calculatedColumnFormula>
      <totalsRowFormula>L7-(L8+L9)</totalsRowFormula>
    </tableColumn>
    <tableColumn id="3" xr3:uid="{97B6838B-5AD6-43AF-843E-ED8F2928C3CA}" name="Actual" totalsRowFunction="custom" totalsRowDxfId="18" dataCellStyle="Currency">
      <calculatedColumnFormula>February!#REF!</calculatedColumnFormula>
      <totalsRowFormula>M7-(M8+M9)</totalsRowFormula>
    </tableColumn>
    <tableColumn id="4" xr3:uid="{F00E60B5-8A35-4F48-B087-CFED47DADD07}" name="Difference" totalsRowFunction="sum" totalsRowDxfId="17" dataCellStyle="Currency">
      <calculatedColumnFormula>MonthTotalSept[[#This Row],[Budget]]-MonthTotalSept[[#This Row],[Actual]]</calculatedColumnFormula>
    </tableColumn>
  </tableColumns>
  <tableStyleInfo name="TableStyleLight8"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801765D3-9E89-4BB7-B5E0-5DA5DD7A843E}" name="MonthTotalOct" displayName="MonthTotalOct" ref="K14:N18" totalsRowCount="1">
  <autoFilter ref="K14:N17" xr:uid="{801765D3-9E89-4BB7-B5E0-5DA5DD7A843E}"/>
  <tableColumns count="4">
    <tableColumn id="1" xr3:uid="{CF5F9237-21C3-4F0E-80C0-0AF1C48C41FE}" name="Summary" totalsRowLabel="Total"/>
    <tableColumn id="2" xr3:uid="{23442FFF-1B66-4802-B57C-2590BB0FC7D3}" name="Budget" totalsRowFunction="custom" totalsRowDxfId="16" dataCellStyle="Currency">
      <calculatedColumnFormula>February!#REF!</calculatedColumnFormula>
      <totalsRowFormula>L15-(L16+L17)</totalsRowFormula>
    </tableColumn>
    <tableColumn id="3" xr3:uid="{0BB848F4-264A-440C-BBC0-1921F050ED3A}" name="Actual" totalsRowFunction="custom" totalsRowDxfId="15" dataCellStyle="Currency">
      <calculatedColumnFormula>February!#REF!</calculatedColumnFormula>
      <totalsRowFormula>M15-(M16+M17)</totalsRowFormula>
    </tableColumn>
    <tableColumn id="4" xr3:uid="{4D39ED6C-0E9A-49DB-B6E4-227B5FA928C4}" name="Difference" totalsRowFunction="sum" totalsRowDxfId="14" dataCellStyle="Currency">
      <calculatedColumnFormula>MonthTotalOct[[#This Row],[Budget]]-MonthTotalOct[[#This Row],[Actual]]</calculatedColumnFormula>
    </tableColumn>
  </tableColumns>
  <tableStyleInfo name="TableStyleLight8"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DF861730-115A-4AB9-ABD1-D32278B340B2}" name="MonthTotalNov" displayName="MonthTotalNov" ref="K22:N26" totalsRowCount="1">
  <autoFilter ref="K22:N25" xr:uid="{DF861730-115A-4AB9-ABD1-D32278B340B2}"/>
  <tableColumns count="4">
    <tableColumn id="1" xr3:uid="{7CD49643-F784-4A34-B645-5F5395D1044C}" name="Summary" totalsRowLabel="Total"/>
    <tableColumn id="2" xr3:uid="{50B5F717-3EB0-4A45-820D-FE9340DCE27F}" name="Budget" totalsRowFunction="custom" totalsRowDxfId="13" dataCellStyle="Currency">
      <calculatedColumnFormula>February!#REF!</calculatedColumnFormula>
      <totalsRowFormula>L23-(L24+L25)</totalsRowFormula>
    </tableColumn>
    <tableColumn id="3" xr3:uid="{41B0DC9D-C6EA-4585-8768-464ACED66A5D}" name="Actual" totalsRowFunction="custom" totalsRowDxfId="12" dataCellStyle="Currency">
      <calculatedColumnFormula>February!#REF!</calculatedColumnFormula>
      <totalsRowFormula>M23-(M24+M25)</totalsRowFormula>
    </tableColumn>
    <tableColumn id="4" xr3:uid="{B428DC3D-FB99-41C5-BCE2-D3C61D252E62}" name="Difference" totalsRowFunction="sum" totalsRowDxfId="11" dataCellStyle="Currency">
      <calculatedColumnFormula>MonthTotalNov[[#This Row],[Budget]]-MonthTotalNov[[#This Row],[Actual]]</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60E7EE5E-4098-40DB-A3A5-5A0BAC00EC2A}" name="Fixed_Expense1035" displayName="Fixed_Expense1035" ref="A15:D40" totalsRowCount="1" totalsRowDxfId="607" totalsRowBorderDxfId="606">
  <autoFilter ref="A15:D39" xr:uid="{F6A0E467-F124-435C-B6FB-4C8BAE3F2ACC}"/>
  <tableColumns count="4">
    <tableColumn id="1" xr3:uid="{4EA80E06-30D2-4B4D-86BC-80AD7B99EAEA}" name="Expense" totalsRowLabel="Total" dataDxfId="605" totalsRowDxfId="604"/>
    <tableColumn id="2" xr3:uid="{ACB178FF-757E-42FC-8582-B28E1EB078C3}" name="Budget" totalsRowFunction="sum" dataDxfId="603" totalsRowDxfId="602" dataCellStyle="Currency"/>
    <tableColumn id="3" xr3:uid="{E1A2F369-F273-44C1-990F-F7BE279E2144}" name="Actual" totalsRowFunction="sum" dataDxfId="601" totalsRowDxfId="600" dataCellStyle="Currency"/>
    <tableColumn id="4" xr3:uid="{67E527E3-38EF-4519-A20A-9D04FC1E7EAD}" name="Difference" totalsRowFunction="sum" dataDxfId="599" totalsRowDxfId="598" dataCellStyle="Currency">
      <calculatedColumnFormula>Fixed_Expense1035[[#This Row],[Budget]]-Fixed_Expense1035[[#This Row],[Actual]]</calculatedColumnFormula>
    </tableColumn>
  </tableColumns>
  <tableStyleInfo name="TableStyleLight10"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7E5FEEE4-C8A6-4388-8044-D5F05D6EE08A}" name="MonthTotalNov90" displayName="MonthTotalNov90" ref="K30:N34" totalsRowCount="1">
  <autoFilter ref="K30:N33" xr:uid="{7E5FEEE4-C8A6-4388-8044-D5F05D6EE08A}"/>
  <tableColumns count="4">
    <tableColumn id="1" xr3:uid="{2B8BC4C5-E08D-4FC6-91B6-7D39D91D7424}" name="Summary" totalsRowLabel="Total"/>
    <tableColumn id="2" xr3:uid="{5F81CFF9-EFBA-4A98-A56A-B38C3182A13C}" name="Budget" totalsRowFunction="custom" totalsRowDxfId="10" dataCellStyle="Currency">
      <calculatedColumnFormula>February!#REF!</calculatedColumnFormula>
      <totalsRowFormula>L31-(L32+L33)</totalsRowFormula>
    </tableColumn>
    <tableColumn id="3" xr3:uid="{54087FCE-9812-4D9B-B0DF-F277E88DBEE1}" name="Actual" totalsRowFunction="custom" totalsRowDxfId="9" dataCellStyle="Currency">
      <calculatedColumnFormula>February!#REF!</calculatedColumnFormula>
      <totalsRowFormula>M31-(M32+M33)</totalsRowFormula>
    </tableColumn>
    <tableColumn id="4" xr3:uid="{B7664B95-B598-43B9-B49E-332A88B80614}" name="Difference" totalsRowFunction="sum" totalsRowDxfId="8" dataCellStyle="Currency">
      <calculatedColumnFormula>MonthTotalNov90[[#This Row],[Budget]]-MonthTotalNov90[[#This Row],[Actual]]</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3B4595B-FC8E-4CAC-BAFE-3C432E88C955}" name="Variable_Expense1136" displayName="Variable_Expense1136" ref="F15:I40" totalsRowCount="1" headerRowDxfId="597" dataDxfId="596" headerRowCellStyle="Currency" dataCellStyle="Currency">
  <autoFilter ref="F15:I39" xr:uid="{829964A2-6AA8-4B3B-B353-4A198EF407C8}"/>
  <tableColumns count="4">
    <tableColumn id="1" xr3:uid="{106720A0-DD19-4CFE-B4DB-2EB2EB14BD27}" name="Electricity" totalsRowLabel="Total" dataDxfId="595" totalsRowDxfId="594"/>
    <tableColumn id="2" xr3:uid="{648B39D8-9866-455C-A065-675D6F335964}" name="Budget" totalsRowFunction="sum" dataDxfId="593" totalsRowDxfId="592" dataCellStyle="Currency"/>
    <tableColumn id="3" xr3:uid="{B37C2B33-9EC2-4A61-9312-A5FAD2925FCA}" name="Actual " totalsRowFunction="sum" dataDxfId="591" totalsRowDxfId="590" dataCellStyle="Currency"/>
    <tableColumn id="4" xr3:uid="{2F991572-6B4D-41F9-BA94-88EF1B0B46E7}" name="Difference" totalsRowFunction="sum" dataDxfId="589" totalsRowDxfId="588" dataCellStyle="Currency">
      <calculatedColumnFormula>Variable_Expense1136[[#This Row],[Budget]]-Variable_Expense1136[[#This Row],[Actual ]]</calculatedColumnFormula>
    </tableColumn>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E680DA5-1D92-463E-88EC-51052DD6FDC2}" name="Budget_Summary37" displayName="Budget_Summary37" ref="F7:I11" totalsRowCount="1" headerRowDxfId="587" dataDxfId="586" totalsRowDxfId="585" totalsRowBorderDxfId="584" headerRowCellStyle="Currency" dataCellStyle="Currency">
  <autoFilter ref="F7:I10" xr:uid="{36A78668-A1A3-4CAD-9FB5-EDA3957CB1BB}"/>
  <tableColumns count="4">
    <tableColumn id="1" xr3:uid="{E4C2B610-35E1-4641-BC08-86B1086F6298}" name="Summary" totalsRowLabel="Total" dataDxfId="583" totalsRowDxfId="582"/>
    <tableColumn id="2" xr3:uid="{8821649A-998E-4EAD-BFDC-1D74F87515C3}" name="Budget" totalsRowFunction="custom" dataDxfId="581" totalsRowDxfId="580" dataCellStyle="Currency">
      <calculatedColumnFormula>Fixed_Expense1035[[#Totals],[Budget]]</calculatedColumnFormula>
      <totalsRowFormula>G8-(G9+G10)</totalsRowFormula>
    </tableColumn>
    <tableColumn id="3" xr3:uid="{2A06D3A6-63DF-4AE5-AA23-37D93642DDD6}" name="Actual" totalsRowFunction="custom" dataDxfId="579" totalsRowDxfId="578" dataCellStyle="Currency">
      <calculatedColumnFormula>Income134[[#Totals],[Actual]]</calculatedColumnFormula>
      <totalsRowFormula>H8-(H9+H10)</totalsRowFormula>
    </tableColumn>
    <tableColumn id="4" xr3:uid="{34F2564B-49CB-426E-A55B-DCFAD059008D}" name="Difference" totalsRowFunction="sum" dataDxfId="577" totalsRowDxfId="576" dataCellStyle="Currency">
      <calculatedColumnFormula>Budget_Summary37[[#This Row],[Budget]]-Budget_Summary37[[#This Row],[Actual]]</calculatedColumnFormula>
    </tableColumn>
  </tableColumns>
  <tableStyleInfo name="TableStyleLight1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25BDCFF-429E-447D-814C-7D1585CF2C23}" name="Income13438" displayName="Income13438" ref="A7:D11" totalsRowCount="1" headerRowDxfId="567" totalsRowDxfId="564" headerRowBorderDxfId="566" tableBorderDxfId="565" totalsRowBorderDxfId="563">
  <autoFilter ref="A7:D10" xr:uid="{4FDAA4FF-A4A8-4F41-8279-1AF6018E31D1}"/>
  <tableColumns count="4">
    <tableColumn id="1" xr3:uid="{A8306365-FF6F-4A9B-B89B-2DA1941538D8}" name="Income" totalsRowLabel="Total" dataDxfId="562" totalsRowDxfId="561"/>
    <tableColumn id="2" xr3:uid="{62953644-2081-4B55-B33E-89740ACAB5CB}" name="Budget" totalsRowFunction="sum" dataDxfId="560" totalsRowDxfId="559"/>
    <tableColumn id="3" xr3:uid="{F957232D-1FE8-43BF-8DCF-126D57ECEB32}" name="Actual" totalsRowFunction="sum" dataDxfId="558" totalsRowDxfId="557"/>
    <tableColumn id="4" xr3:uid="{01ACF294-A7EA-461A-B4E5-83BD52D46C12}" name="Difference" totalsRowFunction="sum" dataDxfId="556" totalsRowDxfId="555">
      <calculatedColumnFormula>Income13438[[#This Row],[Actual]]-Income13438[[#This Row],[Budget]]</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drawing" Target="../drawings/drawing9.xml"/><Relationship Id="rId5" Type="http://schemas.openxmlformats.org/officeDocument/2006/relationships/table" Target="../tables/table36.xml"/><Relationship Id="rId4" Type="http://schemas.openxmlformats.org/officeDocument/2006/relationships/table" Target="../tables/table3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drawing" Target="../drawings/drawing10.xml"/><Relationship Id="rId5" Type="http://schemas.openxmlformats.org/officeDocument/2006/relationships/table" Target="../tables/table40.xml"/><Relationship Id="rId4" Type="http://schemas.openxmlformats.org/officeDocument/2006/relationships/table" Target="../tables/table3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table" Target="../tables/table41.xml"/><Relationship Id="rId1" Type="http://schemas.openxmlformats.org/officeDocument/2006/relationships/drawing" Target="../drawings/drawing11.xml"/><Relationship Id="rId5" Type="http://schemas.openxmlformats.org/officeDocument/2006/relationships/table" Target="../tables/table44.xml"/><Relationship Id="rId4" Type="http://schemas.openxmlformats.org/officeDocument/2006/relationships/table" Target="../tables/table4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table" Target="../tables/table45.xml"/><Relationship Id="rId1" Type="http://schemas.openxmlformats.org/officeDocument/2006/relationships/drawing" Target="../drawings/drawing12.xml"/><Relationship Id="rId5" Type="http://schemas.openxmlformats.org/officeDocument/2006/relationships/table" Target="../tables/table48.xml"/><Relationship Id="rId4" Type="http://schemas.openxmlformats.org/officeDocument/2006/relationships/table" Target="../tables/table47.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56.xml"/><Relationship Id="rId3" Type="http://schemas.openxmlformats.org/officeDocument/2006/relationships/table" Target="../tables/table51.xml"/><Relationship Id="rId7" Type="http://schemas.openxmlformats.org/officeDocument/2006/relationships/table" Target="../tables/table55.xml"/><Relationship Id="rId12" Type="http://schemas.openxmlformats.org/officeDocument/2006/relationships/table" Target="../tables/table60.xml"/><Relationship Id="rId2" Type="http://schemas.openxmlformats.org/officeDocument/2006/relationships/table" Target="../tables/table50.xml"/><Relationship Id="rId1" Type="http://schemas.openxmlformats.org/officeDocument/2006/relationships/table" Target="../tables/table49.xml"/><Relationship Id="rId6" Type="http://schemas.openxmlformats.org/officeDocument/2006/relationships/table" Target="../tables/table54.xml"/><Relationship Id="rId11" Type="http://schemas.openxmlformats.org/officeDocument/2006/relationships/table" Target="../tables/table59.xml"/><Relationship Id="rId5" Type="http://schemas.openxmlformats.org/officeDocument/2006/relationships/table" Target="../tables/table53.xml"/><Relationship Id="rId10" Type="http://schemas.openxmlformats.org/officeDocument/2006/relationships/table" Target="../tables/table58.xml"/><Relationship Id="rId4" Type="http://schemas.openxmlformats.org/officeDocument/2006/relationships/table" Target="../tables/table52.xml"/><Relationship Id="rId9" Type="http://schemas.openxmlformats.org/officeDocument/2006/relationships/table" Target="../tables/table5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2.xml"/><Relationship Id="rId5" Type="http://schemas.openxmlformats.org/officeDocument/2006/relationships/table" Target="../tables/table8.xml"/><Relationship Id="rId4" Type="http://schemas.openxmlformats.org/officeDocument/2006/relationships/table" Target="../tables/table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3.xml"/><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4.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drawing" Target="../drawings/drawing5.xml"/><Relationship Id="rId5" Type="http://schemas.openxmlformats.org/officeDocument/2006/relationships/table" Target="../tables/table20.xml"/><Relationship Id="rId4" Type="http://schemas.openxmlformats.org/officeDocument/2006/relationships/table" Target="../tables/table1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drawing" Target="../drawings/drawing6.xml"/><Relationship Id="rId5" Type="http://schemas.openxmlformats.org/officeDocument/2006/relationships/table" Target="../tables/table24.xml"/><Relationship Id="rId4" Type="http://schemas.openxmlformats.org/officeDocument/2006/relationships/table" Target="../tables/table2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drawing" Target="../drawings/drawing7.xml"/><Relationship Id="rId5" Type="http://schemas.openxmlformats.org/officeDocument/2006/relationships/table" Target="../tables/table28.xml"/><Relationship Id="rId4" Type="http://schemas.openxmlformats.org/officeDocument/2006/relationships/table" Target="../tables/table2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drawing" Target="../drawings/drawing8.xml"/><Relationship Id="rId5" Type="http://schemas.openxmlformats.org/officeDocument/2006/relationships/table" Target="../tables/table32.xml"/><Relationship Id="rId4" Type="http://schemas.openxmlformats.org/officeDocument/2006/relationships/table" Target="../tables/table3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AA64D-8D04-4042-9CD6-56274D225D71}">
  <dimension ref="A1:R24"/>
  <sheetViews>
    <sheetView showGridLines="0" tabSelected="1" workbookViewId="0">
      <selection sqref="A1:A2"/>
    </sheetView>
  </sheetViews>
  <sheetFormatPr defaultRowHeight="15" x14ac:dyDescent="0.25"/>
  <cols>
    <col min="1" max="1" width="27" customWidth="1"/>
  </cols>
  <sheetData>
    <row r="1" spans="1:18" ht="26.25" customHeight="1" x14ac:dyDescent="0.25">
      <c r="A1" s="29" t="s">
        <v>75</v>
      </c>
      <c r="B1" s="23"/>
      <c r="C1" s="23"/>
      <c r="D1" s="23"/>
      <c r="E1" s="24"/>
      <c r="F1" s="25"/>
      <c r="G1" s="25"/>
      <c r="H1" s="25"/>
      <c r="I1" s="25"/>
      <c r="J1" s="25"/>
      <c r="K1" s="25"/>
      <c r="L1" s="25"/>
      <c r="M1" s="25"/>
      <c r="N1" s="25"/>
      <c r="O1" s="25"/>
      <c r="P1" s="25"/>
      <c r="Q1" s="25"/>
      <c r="R1" s="25"/>
    </row>
    <row r="2" spans="1:18" ht="15" customHeight="1" x14ac:dyDescent="0.25">
      <c r="A2" s="29"/>
      <c r="B2" s="23"/>
      <c r="C2" s="23"/>
      <c r="D2" s="23"/>
      <c r="E2" s="24"/>
      <c r="F2" s="25"/>
      <c r="G2" s="25"/>
      <c r="H2" s="25"/>
      <c r="I2" s="25"/>
      <c r="J2" s="25"/>
      <c r="K2" s="25"/>
      <c r="L2" s="25"/>
      <c r="M2" s="25"/>
      <c r="N2" s="25"/>
      <c r="O2" s="25"/>
      <c r="P2" s="25"/>
      <c r="Q2" s="25"/>
      <c r="R2" s="25"/>
    </row>
    <row r="3" spans="1:18" ht="10.5" customHeight="1" x14ac:dyDescent="0.25">
      <c r="A3" s="24"/>
      <c r="B3" s="24"/>
      <c r="C3" s="24"/>
      <c r="D3" s="24"/>
      <c r="E3" s="24"/>
      <c r="F3" s="25"/>
      <c r="G3" s="25"/>
      <c r="H3" s="25"/>
      <c r="I3" s="25"/>
      <c r="J3" s="25"/>
      <c r="K3" s="25"/>
      <c r="L3" s="25"/>
      <c r="M3" s="25"/>
      <c r="N3" s="25"/>
      <c r="O3" s="25"/>
      <c r="P3" s="25"/>
      <c r="Q3" s="25"/>
      <c r="R3" s="25"/>
    </row>
    <row r="4" spans="1:18" ht="23.25" x14ac:dyDescent="0.25">
      <c r="A4" s="26" t="s">
        <v>76</v>
      </c>
      <c r="B4" s="22"/>
      <c r="C4" s="22"/>
      <c r="D4" s="22"/>
      <c r="E4" s="22"/>
      <c r="F4" s="22"/>
      <c r="G4" s="22"/>
      <c r="H4" s="22"/>
      <c r="I4" s="22"/>
      <c r="J4" s="22"/>
      <c r="K4" s="22"/>
      <c r="L4" s="22"/>
      <c r="M4" s="22"/>
      <c r="N4" s="22"/>
      <c r="O4" s="22"/>
      <c r="P4" s="22"/>
      <c r="Q4" s="22"/>
      <c r="R4" s="22"/>
    </row>
    <row r="5" spans="1:18" ht="15" customHeight="1" x14ac:dyDescent="0.25">
      <c r="A5" s="28" t="s">
        <v>77</v>
      </c>
      <c r="B5" s="28"/>
      <c r="C5" s="28"/>
      <c r="D5" s="28"/>
      <c r="E5" s="28"/>
      <c r="F5" s="28"/>
      <c r="G5" s="28"/>
      <c r="H5" s="28"/>
      <c r="I5" s="28"/>
      <c r="J5" s="28"/>
      <c r="K5" s="28"/>
      <c r="L5" s="28"/>
      <c r="M5" s="28"/>
      <c r="N5" s="28"/>
      <c r="O5" s="28"/>
      <c r="P5" s="28"/>
      <c r="Q5" s="28"/>
      <c r="R5" s="28"/>
    </row>
    <row r="6" spans="1:18" ht="15" customHeight="1" x14ac:dyDescent="0.25">
      <c r="A6" s="28"/>
      <c r="B6" s="28"/>
      <c r="C6" s="28"/>
      <c r="D6" s="28"/>
      <c r="E6" s="28"/>
      <c r="F6" s="28"/>
      <c r="G6" s="28"/>
      <c r="H6" s="28"/>
      <c r="I6" s="28"/>
      <c r="J6" s="28"/>
      <c r="K6" s="28"/>
      <c r="L6" s="28"/>
      <c r="M6" s="28"/>
      <c r="N6" s="28"/>
      <c r="O6" s="28"/>
      <c r="P6" s="28"/>
      <c r="Q6" s="28"/>
      <c r="R6" s="28"/>
    </row>
    <row r="7" spans="1:18" ht="15" customHeight="1" x14ac:dyDescent="0.25">
      <c r="A7" s="28"/>
      <c r="B7" s="28"/>
      <c r="C7" s="28"/>
      <c r="D7" s="28"/>
      <c r="E7" s="28"/>
      <c r="F7" s="28"/>
      <c r="G7" s="28"/>
      <c r="H7" s="28"/>
      <c r="I7" s="28"/>
      <c r="J7" s="28"/>
      <c r="K7" s="28"/>
      <c r="L7" s="28"/>
      <c r="M7" s="28"/>
      <c r="N7" s="28"/>
      <c r="O7" s="28"/>
      <c r="P7" s="28"/>
      <c r="Q7" s="28"/>
      <c r="R7" s="28"/>
    </row>
    <row r="8" spans="1:18" ht="15" customHeight="1" x14ac:dyDescent="0.25">
      <c r="A8" s="21"/>
      <c r="B8" s="21"/>
      <c r="C8" s="21"/>
      <c r="D8" s="21"/>
      <c r="E8" s="21"/>
      <c r="F8" s="21"/>
      <c r="G8" s="21"/>
      <c r="H8" s="21"/>
      <c r="I8" s="21"/>
      <c r="J8" s="21"/>
      <c r="K8" s="21"/>
      <c r="L8" s="21"/>
      <c r="M8" s="21"/>
      <c r="N8" s="21"/>
      <c r="O8" s="21"/>
      <c r="P8" s="21"/>
      <c r="Q8" s="21"/>
      <c r="R8" s="21"/>
    </row>
    <row r="9" spans="1:18" ht="23.25" x14ac:dyDescent="0.25">
      <c r="A9" s="26" t="s">
        <v>78</v>
      </c>
      <c r="B9" s="22"/>
      <c r="C9" s="22"/>
      <c r="D9" s="22"/>
      <c r="E9" s="22"/>
      <c r="F9" s="22"/>
      <c r="G9" s="22"/>
      <c r="H9" s="22"/>
      <c r="I9" s="22"/>
      <c r="J9" s="22"/>
      <c r="K9" s="22"/>
      <c r="L9" s="22"/>
      <c r="M9" s="22"/>
      <c r="N9" s="22"/>
      <c r="O9" s="22"/>
      <c r="P9" s="22"/>
      <c r="Q9" s="22"/>
      <c r="R9" s="22"/>
    </row>
    <row r="10" spans="1:18" ht="15" customHeight="1" x14ac:dyDescent="0.25">
      <c r="A10" s="30" t="s">
        <v>79</v>
      </c>
      <c r="B10" s="30"/>
      <c r="C10" s="30"/>
      <c r="D10" s="30"/>
      <c r="E10" s="30"/>
      <c r="F10" s="30"/>
      <c r="G10" s="30"/>
      <c r="H10" s="30"/>
      <c r="I10" s="30"/>
      <c r="J10" s="30"/>
      <c r="K10" s="30"/>
      <c r="L10" s="30"/>
      <c r="M10" s="30"/>
      <c r="N10" s="30"/>
      <c r="O10" s="30"/>
      <c r="P10" s="30"/>
      <c r="Q10" s="30"/>
      <c r="R10" s="30"/>
    </row>
    <row r="11" spans="1:18" ht="15.75" x14ac:dyDescent="0.25">
      <c r="A11" s="28" t="s">
        <v>80</v>
      </c>
      <c r="B11" s="28"/>
      <c r="C11" s="28"/>
      <c r="D11" s="28"/>
      <c r="E11" s="28"/>
      <c r="F11" s="28"/>
      <c r="G11" s="28"/>
      <c r="H11" s="28"/>
      <c r="I11" s="28"/>
      <c r="J11" s="28"/>
      <c r="K11" s="28"/>
      <c r="L11" s="28"/>
      <c r="M11" s="28"/>
      <c r="N11" s="28"/>
      <c r="O11" s="28"/>
      <c r="P11" s="28"/>
      <c r="Q11" s="28"/>
      <c r="R11" s="28"/>
    </row>
    <row r="12" spans="1:18" ht="20.25" x14ac:dyDescent="0.25">
      <c r="A12" s="30" t="s">
        <v>81</v>
      </c>
      <c r="B12" s="30"/>
      <c r="C12" s="30"/>
      <c r="D12" s="30"/>
      <c r="E12" s="30"/>
      <c r="F12" s="30"/>
      <c r="G12" s="30"/>
      <c r="H12" s="30"/>
      <c r="I12" s="30"/>
      <c r="J12" s="30"/>
      <c r="K12" s="30"/>
      <c r="L12" s="30"/>
      <c r="M12" s="30"/>
      <c r="N12" s="30"/>
      <c r="O12" s="30"/>
      <c r="P12" s="30"/>
      <c r="Q12" s="30"/>
      <c r="R12" s="30"/>
    </row>
    <row r="13" spans="1:18" x14ac:dyDescent="0.25">
      <c r="A13" s="31" t="s">
        <v>82</v>
      </c>
      <c r="B13" s="31"/>
      <c r="C13" s="31"/>
      <c r="D13" s="31"/>
      <c r="E13" s="31"/>
      <c r="F13" s="31"/>
      <c r="G13" s="31"/>
      <c r="H13" s="31"/>
      <c r="I13" s="31"/>
      <c r="J13" s="31"/>
      <c r="K13" s="31"/>
      <c r="L13" s="31"/>
      <c r="M13" s="31"/>
      <c r="N13" s="31"/>
      <c r="O13" s="31"/>
      <c r="P13" s="31"/>
      <c r="Q13" s="31"/>
      <c r="R13" s="31"/>
    </row>
    <row r="14" spans="1:18" x14ac:dyDescent="0.25">
      <c r="A14" s="25"/>
      <c r="B14" s="25"/>
      <c r="C14" s="25"/>
      <c r="D14" s="25"/>
      <c r="E14" s="25"/>
      <c r="F14" s="25"/>
      <c r="G14" s="25"/>
      <c r="H14" s="25"/>
      <c r="I14" s="25"/>
      <c r="J14" s="25"/>
      <c r="K14" s="25"/>
      <c r="L14" s="25"/>
      <c r="M14" s="25"/>
      <c r="N14" s="25"/>
      <c r="O14" s="25"/>
      <c r="P14" s="25"/>
      <c r="Q14" s="25"/>
      <c r="R14" s="25"/>
    </row>
    <row r="15" spans="1:18" ht="22.5" x14ac:dyDescent="0.25">
      <c r="A15" s="26" t="s">
        <v>7</v>
      </c>
      <c r="B15" s="25"/>
      <c r="C15" s="25"/>
      <c r="D15" s="25"/>
      <c r="E15" s="25"/>
      <c r="F15" s="25"/>
      <c r="G15" s="25"/>
      <c r="H15" s="25"/>
      <c r="I15" s="25"/>
      <c r="J15" s="25"/>
      <c r="K15" s="25"/>
      <c r="L15" s="25"/>
      <c r="M15" s="25"/>
      <c r="N15" s="25"/>
      <c r="O15" s="25"/>
      <c r="P15" s="25"/>
      <c r="Q15" s="25"/>
      <c r="R15" s="25"/>
    </row>
    <row r="16" spans="1:18" ht="15.75" customHeight="1" x14ac:dyDescent="0.25">
      <c r="A16" s="21" t="s">
        <v>83</v>
      </c>
      <c r="B16" s="21"/>
      <c r="C16" s="21"/>
      <c r="D16" s="21"/>
      <c r="E16" s="21"/>
      <c r="F16" s="21"/>
      <c r="G16" s="21"/>
      <c r="H16" s="21"/>
      <c r="I16" s="21"/>
      <c r="J16" s="21"/>
      <c r="K16" s="21"/>
      <c r="L16" s="21"/>
      <c r="M16" s="21"/>
      <c r="N16" s="21"/>
      <c r="O16" s="21"/>
      <c r="P16" s="21"/>
      <c r="Q16" s="21"/>
      <c r="R16" s="21"/>
    </row>
    <row r="17" spans="1:18" ht="15.75" x14ac:dyDescent="0.25">
      <c r="A17" s="28" t="s">
        <v>84</v>
      </c>
      <c r="B17" s="28"/>
      <c r="C17" s="28"/>
      <c r="D17" s="28"/>
      <c r="E17" s="28"/>
      <c r="F17" s="28"/>
      <c r="G17" s="28"/>
      <c r="H17" s="28"/>
      <c r="I17" s="28"/>
      <c r="J17" s="28"/>
      <c r="K17" s="28"/>
      <c r="L17" s="28"/>
      <c r="M17" s="28"/>
      <c r="N17" s="28"/>
      <c r="O17" s="28"/>
      <c r="P17" s="28"/>
      <c r="Q17" s="28"/>
      <c r="R17" s="28"/>
    </row>
    <row r="18" spans="1:18" ht="15.75" x14ac:dyDescent="0.25">
      <c r="A18" s="28" t="s">
        <v>85</v>
      </c>
      <c r="B18" s="28"/>
      <c r="C18" s="28"/>
      <c r="D18" s="28"/>
      <c r="E18" s="28"/>
      <c r="F18" s="28"/>
      <c r="G18" s="28"/>
      <c r="H18" s="28"/>
      <c r="I18" s="28"/>
      <c r="J18" s="28"/>
      <c r="K18" s="28"/>
      <c r="L18" s="28"/>
      <c r="M18" s="28"/>
      <c r="N18" s="28"/>
      <c r="O18" s="28"/>
      <c r="P18" s="28"/>
      <c r="Q18" s="28"/>
      <c r="R18" s="25"/>
    </row>
    <row r="19" spans="1:18" x14ac:dyDescent="0.25">
      <c r="A19" s="25"/>
      <c r="B19" s="25"/>
      <c r="C19" s="25"/>
      <c r="D19" s="25"/>
      <c r="E19" s="25"/>
      <c r="F19" s="25"/>
      <c r="G19" s="25"/>
      <c r="H19" s="25"/>
      <c r="I19" s="25"/>
      <c r="J19" s="25"/>
      <c r="K19" s="25"/>
      <c r="L19" s="25"/>
      <c r="M19" s="25"/>
      <c r="N19" s="25"/>
      <c r="O19" s="25"/>
      <c r="P19" s="25"/>
      <c r="Q19" s="25"/>
      <c r="R19" s="25"/>
    </row>
    <row r="20" spans="1:18" ht="22.5" x14ac:dyDescent="0.25">
      <c r="A20" s="26" t="s">
        <v>59</v>
      </c>
      <c r="B20" s="25"/>
      <c r="C20" s="25"/>
      <c r="D20" s="25"/>
      <c r="E20" s="25"/>
      <c r="F20" s="25"/>
      <c r="G20" s="25"/>
      <c r="H20" s="25"/>
      <c r="I20" s="25"/>
      <c r="J20" s="25"/>
      <c r="K20" s="25"/>
      <c r="L20" s="25"/>
      <c r="M20" s="25"/>
      <c r="N20" s="25"/>
      <c r="O20" s="25"/>
      <c r="P20" s="25"/>
      <c r="Q20" s="25"/>
      <c r="R20" s="25"/>
    </row>
    <row r="21" spans="1:18" ht="15.75" customHeight="1" x14ac:dyDescent="0.25">
      <c r="A21" s="27" t="s">
        <v>86</v>
      </c>
      <c r="B21" s="27"/>
      <c r="C21" s="27"/>
      <c r="D21" s="27"/>
      <c r="E21" s="27"/>
      <c r="F21" s="27"/>
      <c r="G21" s="27"/>
      <c r="H21" s="27"/>
      <c r="I21" s="27"/>
      <c r="J21" s="27"/>
      <c r="K21" s="27"/>
      <c r="L21" s="27"/>
      <c r="M21" s="27"/>
      <c r="N21" s="27"/>
      <c r="O21" s="27"/>
      <c r="P21" s="27"/>
      <c r="Q21" s="27"/>
      <c r="R21" s="27"/>
    </row>
    <row r="22" spans="1:18" x14ac:dyDescent="0.25">
      <c r="A22" s="27"/>
      <c r="B22" s="27"/>
      <c r="C22" s="27"/>
      <c r="D22" s="27"/>
      <c r="E22" s="27"/>
      <c r="F22" s="27"/>
      <c r="G22" s="27"/>
      <c r="H22" s="27"/>
      <c r="I22" s="27"/>
      <c r="J22" s="27"/>
      <c r="K22" s="27"/>
      <c r="L22" s="27"/>
      <c r="M22" s="27"/>
      <c r="N22" s="27"/>
      <c r="O22" s="27"/>
      <c r="P22" s="27"/>
      <c r="Q22" s="27"/>
      <c r="R22" s="27"/>
    </row>
    <row r="23" spans="1:18" ht="15.75" x14ac:dyDescent="0.25">
      <c r="A23" s="28" t="s">
        <v>87</v>
      </c>
      <c r="B23" s="28"/>
      <c r="C23" s="28"/>
      <c r="D23" s="28"/>
      <c r="E23" s="28"/>
      <c r="F23" s="28"/>
      <c r="G23" s="28"/>
      <c r="H23" s="28"/>
      <c r="I23" s="28"/>
      <c r="J23" s="28"/>
      <c r="K23" s="28"/>
      <c r="L23" s="28"/>
      <c r="M23" s="28"/>
      <c r="N23" s="28"/>
      <c r="O23" s="28"/>
      <c r="P23" s="28"/>
      <c r="Q23" s="28"/>
      <c r="R23" s="28"/>
    </row>
    <row r="24" spans="1:18" x14ac:dyDescent="0.25">
      <c r="A24" s="19"/>
    </row>
  </sheetData>
  <mergeCells count="10">
    <mergeCell ref="A21:R22"/>
    <mergeCell ref="A23:R23"/>
    <mergeCell ref="A1:A2"/>
    <mergeCell ref="A12:R12"/>
    <mergeCell ref="A13:R13"/>
    <mergeCell ref="A17:R17"/>
    <mergeCell ref="A18:Q18"/>
    <mergeCell ref="A5:R7"/>
    <mergeCell ref="A10:R10"/>
    <mergeCell ref="A11:R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F6485-2778-47B9-B00A-B5C51F5D1061}">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Income13438424650545862[[#This Row],[Actual]]-Income13438424650545862[[#This Row],[Budget]]</f>
        <v>0</v>
      </c>
      <c r="F8" s="5" t="s">
        <v>61</v>
      </c>
      <c r="G8" s="9">
        <f>Income13438424650545862[[#Totals],[Budget]]</f>
        <v>0</v>
      </c>
      <c r="H8" s="9">
        <f>Income13438424650545862[[#Totals],[Actual]]</f>
        <v>0</v>
      </c>
      <c r="I8" s="9">
        <f>Budget_Summary3741454953576165[[#This Row],[Budget]]-Budget_Summary3741454953576165[[#This Row],[Actual]]</f>
        <v>0</v>
      </c>
    </row>
    <row r="9" spans="1:16" x14ac:dyDescent="0.25">
      <c r="A9" s="4" t="s">
        <v>4</v>
      </c>
      <c r="B9" s="7"/>
      <c r="C9" s="7"/>
      <c r="D9" s="8">
        <f>Income13438424650545862[[#This Row],[Actual]]-Income13438424650545862[[#This Row],[Budget]]</f>
        <v>0</v>
      </c>
      <c r="F9" s="5" t="s">
        <v>17</v>
      </c>
      <c r="G9" s="9">
        <f>Fixed_Expense103539434751555963[[#Totals],[Budget]]</f>
        <v>0</v>
      </c>
      <c r="H9" s="9">
        <f>Fixed_Expense103539434751555963[[#Totals],[Actual]]</f>
        <v>0</v>
      </c>
      <c r="I9" s="9">
        <f>Budget_Summary3741454953576165[[#This Row],[Budget]]-Budget_Summary3741454953576165[[#This Row],[Actual]]</f>
        <v>0</v>
      </c>
    </row>
    <row r="10" spans="1:16" x14ac:dyDescent="0.25">
      <c r="A10" s="4" t="s">
        <v>5</v>
      </c>
      <c r="B10" s="7"/>
      <c r="C10" s="7"/>
      <c r="D10" s="8">
        <f>Income13438424650545862[[#This Row],[Actual]]-Income13438424650545862[[#This Row],[Budget]]</f>
        <v>0</v>
      </c>
      <c r="F10" s="6" t="s">
        <v>37</v>
      </c>
      <c r="G10" s="10">
        <f>Variable_Expense113640444852566064[[#Totals],[Budget]]</f>
        <v>0</v>
      </c>
      <c r="H10" s="10">
        <f>Variable_Expense113640444852566064[[#Totals],[Actual ]]</f>
        <v>0</v>
      </c>
      <c r="I10" s="9">
        <f>Budget_Summary3741454953576165[[#This Row],[Budget]]-Budget_Summary3741454953576165[[#This Row],[Actual]]</f>
        <v>0</v>
      </c>
    </row>
    <row r="11" spans="1:16" x14ac:dyDescent="0.25">
      <c r="A11" s="5" t="s">
        <v>6</v>
      </c>
      <c r="B11" s="7">
        <f>SUBTOTAL(109,Income13438424650545862[Budget])</f>
        <v>0</v>
      </c>
      <c r="C11" s="7">
        <f>SUBTOTAL(109,Income13438424650545862[Actual])</f>
        <v>0</v>
      </c>
      <c r="D11" s="7">
        <f>SUBTOTAL(109,Income13438424650545862[Difference])</f>
        <v>0</v>
      </c>
      <c r="F11" s="5" t="s">
        <v>6</v>
      </c>
      <c r="G11" s="17">
        <f>G8-(G9+G10)</f>
        <v>0</v>
      </c>
      <c r="H11" s="17">
        <f>H8-(H9+H10)</f>
        <v>0</v>
      </c>
      <c r="I11" s="17">
        <f>SUBTOTAL(109,Budget_Summary3741454953576165[Difference])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Fixed_Expense103539434751555963[[#This Row],[Budget]]-Fixed_Expense103539434751555963[[#This Row],[Actual]]</f>
        <v>0</v>
      </c>
      <c r="F16" s="5" t="s">
        <v>9</v>
      </c>
      <c r="G16" s="14"/>
      <c r="H16" s="14"/>
      <c r="I16" s="14">
        <f>Variable_Expense113640444852566064[[#This Row],[Budget]]-Variable_Expense113640444852566064[[#This Row],[Actual ]]</f>
        <v>0</v>
      </c>
      <c r="N16" s="13"/>
      <c r="O16" s="13"/>
      <c r="P16" s="13"/>
    </row>
    <row r="17" spans="1:16" x14ac:dyDescent="0.25">
      <c r="A17" s="5" t="s">
        <v>19</v>
      </c>
      <c r="B17" s="9"/>
      <c r="C17" s="9"/>
      <c r="D17" s="9">
        <f>Fixed_Expense103539434751555963[[#This Row],[Budget]]-Fixed_Expense103539434751555963[[#This Row],[Actual]]</f>
        <v>0</v>
      </c>
      <c r="F17" s="5" t="s">
        <v>10</v>
      </c>
      <c r="G17" s="14"/>
      <c r="H17" s="14"/>
      <c r="I17" s="14">
        <f>Variable_Expense113640444852566064[[#This Row],[Budget]]-Variable_Expense113640444852566064[[#This Row],[Actual ]]</f>
        <v>0</v>
      </c>
      <c r="N17" s="13"/>
      <c r="O17" s="13"/>
      <c r="P17" s="13"/>
    </row>
    <row r="18" spans="1:16" x14ac:dyDescent="0.25">
      <c r="A18" s="5" t="s">
        <v>22</v>
      </c>
      <c r="B18" s="9"/>
      <c r="C18" s="9"/>
      <c r="D18" s="9">
        <f>Fixed_Expense103539434751555963[[#This Row],[Budget]]-Fixed_Expense103539434751555963[[#This Row],[Actual]]</f>
        <v>0</v>
      </c>
      <c r="F18" s="5" t="s">
        <v>39</v>
      </c>
      <c r="G18" s="14"/>
      <c r="H18" s="14"/>
      <c r="I18" s="14">
        <f>Variable_Expense113640444852566064[[#This Row],[Budget]]-Variable_Expense113640444852566064[[#This Row],[Actual ]]</f>
        <v>0</v>
      </c>
      <c r="N18" s="13"/>
      <c r="O18" s="13"/>
      <c r="P18" s="13"/>
    </row>
    <row r="19" spans="1:16" x14ac:dyDescent="0.25">
      <c r="A19" s="5" t="s">
        <v>20</v>
      </c>
      <c r="B19" s="9"/>
      <c r="C19" s="9"/>
      <c r="D19" s="9">
        <f>Fixed_Expense103539434751555963[[#This Row],[Budget]]-Fixed_Expense103539434751555963[[#This Row],[Actual]]</f>
        <v>0</v>
      </c>
      <c r="F19" s="5" t="s">
        <v>40</v>
      </c>
      <c r="G19" s="14"/>
      <c r="H19" s="14"/>
      <c r="I19" s="14">
        <f>Variable_Expense113640444852566064[[#This Row],[Budget]]-Variable_Expense113640444852566064[[#This Row],[Actual ]]</f>
        <v>0</v>
      </c>
      <c r="N19" s="13"/>
      <c r="O19" s="13"/>
      <c r="P19" s="13"/>
    </row>
    <row r="20" spans="1:16" x14ac:dyDescent="0.25">
      <c r="A20" s="5" t="s">
        <v>21</v>
      </c>
      <c r="B20" s="9"/>
      <c r="C20" s="9"/>
      <c r="D20" s="9">
        <f>Fixed_Expense103539434751555963[[#This Row],[Budget]]-Fixed_Expense103539434751555963[[#This Row],[Actual]]</f>
        <v>0</v>
      </c>
      <c r="F20" s="5" t="s">
        <v>41</v>
      </c>
      <c r="G20" s="14"/>
      <c r="H20" s="14"/>
      <c r="I20" s="14">
        <f>Variable_Expense113640444852566064[[#This Row],[Budget]]-Variable_Expense113640444852566064[[#This Row],[Actual ]]</f>
        <v>0</v>
      </c>
      <c r="N20" s="13"/>
      <c r="O20" s="13"/>
      <c r="P20" s="13"/>
    </row>
    <row r="21" spans="1:16" x14ac:dyDescent="0.25">
      <c r="A21" s="5" t="s">
        <v>11</v>
      </c>
      <c r="B21" s="9"/>
      <c r="C21" s="9"/>
      <c r="D21" s="9">
        <f>Fixed_Expense103539434751555963[[#This Row],[Budget]]-Fixed_Expense103539434751555963[[#This Row],[Actual]]</f>
        <v>0</v>
      </c>
      <c r="F21" s="5" t="s">
        <v>42</v>
      </c>
      <c r="G21" s="14"/>
      <c r="H21" s="14"/>
      <c r="I21" s="14">
        <f>Variable_Expense113640444852566064[[#This Row],[Budget]]-Variable_Expense113640444852566064[[#This Row],[Actual ]]</f>
        <v>0</v>
      </c>
      <c r="N21" s="13"/>
      <c r="O21" s="13"/>
      <c r="P21" s="13"/>
    </row>
    <row r="22" spans="1:16" x14ac:dyDescent="0.25">
      <c r="A22" s="5" t="s">
        <v>12</v>
      </c>
      <c r="B22" s="9"/>
      <c r="C22" s="9"/>
      <c r="D22" s="9">
        <f>Fixed_Expense103539434751555963[[#This Row],[Budget]]-Fixed_Expense103539434751555963[[#This Row],[Actual]]</f>
        <v>0</v>
      </c>
      <c r="F22" s="5" t="s">
        <v>43</v>
      </c>
      <c r="G22" s="14"/>
      <c r="H22" s="14"/>
      <c r="I22" s="14">
        <f>Variable_Expense113640444852566064[[#This Row],[Budget]]-Variable_Expense113640444852566064[[#This Row],[Actual ]]</f>
        <v>0</v>
      </c>
      <c r="N22" s="13"/>
      <c r="O22" s="13"/>
      <c r="P22" s="13"/>
    </row>
    <row r="23" spans="1:16" x14ac:dyDescent="0.25">
      <c r="A23" s="5" t="s">
        <v>13</v>
      </c>
      <c r="B23" s="9"/>
      <c r="C23" s="9"/>
      <c r="D23" s="9">
        <f>Fixed_Expense103539434751555963[[#This Row],[Budget]]-Fixed_Expense103539434751555963[[#This Row],[Actual]]</f>
        <v>0</v>
      </c>
      <c r="F23" s="5" t="s">
        <v>44</v>
      </c>
      <c r="G23" s="14"/>
      <c r="H23" s="14"/>
      <c r="I23" s="14">
        <f>Variable_Expense113640444852566064[[#This Row],[Budget]]-Variable_Expense113640444852566064[[#This Row],[Actual ]]</f>
        <v>0</v>
      </c>
      <c r="N23" s="13"/>
      <c r="O23" s="13"/>
      <c r="P23" s="13"/>
    </row>
    <row r="24" spans="1:16" x14ac:dyDescent="0.25">
      <c r="A24" s="5" t="s">
        <v>14</v>
      </c>
      <c r="B24" s="9"/>
      <c r="C24" s="9"/>
      <c r="D24" s="9">
        <f>Fixed_Expense103539434751555963[[#This Row],[Budget]]-Fixed_Expense103539434751555963[[#This Row],[Actual]]</f>
        <v>0</v>
      </c>
      <c r="F24" s="5" t="s">
        <v>45</v>
      </c>
      <c r="G24" s="14"/>
      <c r="H24" s="14"/>
      <c r="I24" s="14">
        <f>Variable_Expense113640444852566064[[#This Row],[Budget]]-Variable_Expense113640444852566064[[#This Row],[Actual ]]</f>
        <v>0</v>
      </c>
      <c r="N24" s="13"/>
      <c r="O24" s="13"/>
      <c r="P24" s="13"/>
    </row>
    <row r="25" spans="1:16" x14ac:dyDescent="0.25">
      <c r="A25" s="5" t="s">
        <v>23</v>
      </c>
      <c r="B25" s="9"/>
      <c r="C25" s="9"/>
      <c r="D25" s="9">
        <f>Fixed_Expense103539434751555963[[#This Row],[Budget]]-Fixed_Expense103539434751555963[[#This Row],[Actual]]</f>
        <v>0</v>
      </c>
      <c r="F25" s="5" t="s">
        <v>46</v>
      </c>
      <c r="G25" s="14"/>
      <c r="H25" s="14"/>
      <c r="I25" s="14">
        <f>Variable_Expense113640444852566064[[#This Row],[Budget]]-Variable_Expense113640444852566064[[#This Row],[Actual ]]</f>
        <v>0</v>
      </c>
      <c r="N25" s="13"/>
      <c r="O25" s="13"/>
      <c r="P25" s="13"/>
    </row>
    <row r="26" spans="1:16" x14ac:dyDescent="0.25">
      <c r="A26" s="5" t="s">
        <v>24</v>
      </c>
      <c r="B26" s="9"/>
      <c r="C26" s="9"/>
      <c r="D26" s="9">
        <f>Fixed_Expense103539434751555963[[#This Row],[Budget]]-Fixed_Expense103539434751555963[[#This Row],[Actual]]</f>
        <v>0</v>
      </c>
      <c r="F26" s="5" t="s">
        <v>47</v>
      </c>
      <c r="G26" s="14"/>
      <c r="H26" s="14"/>
      <c r="I26" s="14">
        <f>Variable_Expense113640444852566064[[#This Row],[Budget]]-Variable_Expense113640444852566064[[#This Row],[Actual ]]</f>
        <v>0</v>
      </c>
      <c r="N26" s="13"/>
      <c r="O26" s="13"/>
      <c r="P26" s="13"/>
    </row>
    <row r="27" spans="1:16" x14ac:dyDescent="0.25">
      <c r="A27" s="5" t="s">
        <v>25</v>
      </c>
      <c r="B27" s="9"/>
      <c r="C27" s="9"/>
      <c r="D27" s="9">
        <f>Fixed_Expense103539434751555963[[#This Row],[Budget]]-Fixed_Expense103539434751555963[[#This Row],[Actual]]</f>
        <v>0</v>
      </c>
      <c r="F27" s="5" t="s">
        <v>48</v>
      </c>
      <c r="G27" s="14"/>
      <c r="H27" s="14"/>
      <c r="I27" s="14">
        <f>Variable_Expense113640444852566064[[#This Row],[Budget]]-Variable_Expense113640444852566064[[#This Row],[Actual ]]</f>
        <v>0</v>
      </c>
      <c r="N27" s="13"/>
      <c r="O27" s="13"/>
      <c r="P27" s="13"/>
    </row>
    <row r="28" spans="1:16" x14ac:dyDescent="0.25">
      <c r="A28" s="5" t="s">
        <v>26</v>
      </c>
      <c r="B28" s="9"/>
      <c r="C28" s="9"/>
      <c r="D28" s="9">
        <f>Fixed_Expense103539434751555963[[#This Row],[Budget]]-Fixed_Expense103539434751555963[[#This Row],[Actual]]</f>
        <v>0</v>
      </c>
      <c r="F28" s="5" t="s">
        <v>49</v>
      </c>
      <c r="G28" s="14"/>
      <c r="H28" s="14"/>
      <c r="I28" s="14">
        <f>Variable_Expense113640444852566064[[#This Row],[Budget]]-Variable_Expense113640444852566064[[#This Row],[Actual ]]</f>
        <v>0</v>
      </c>
      <c r="N28" s="13"/>
      <c r="O28" s="13"/>
      <c r="P28" s="13"/>
    </row>
    <row r="29" spans="1:16" x14ac:dyDescent="0.25">
      <c r="A29" s="5" t="s">
        <v>27</v>
      </c>
      <c r="B29" s="9"/>
      <c r="C29" s="9"/>
      <c r="D29" s="9">
        <f>Fixed_Expense103539434751555963[[#This Row],[Budget]]-Fixed_Expense103539434751555963[[#This Row],[Actual]]</f>
        <v>0</v>
      </c>
      <c r="F29" s="5" t="s">
        <v>50</v>
      </c>
      <c r="G29" s="14"/>
      <c r="H29" s="14"/>
      <c r="I29" s="14">
        <f>Variable_Expense113640444852566064[[#This Row],[Budget]]-Variable_Expense113640444852566064[[#This Row],[Actual ]]</f>
        <v>0</v>
      </c>
      <c r="N29" s="13"/>
      <c r="O29" s="13"/>
      <c r="P29" s="13"/>
    </row>
    <row r="30" spans="1:16" x14ac:dyDescent="0.25">
      <c r="A30" s="5" t="s">
        <v>28</v>
      </c>
      <c r="B30" s="9"/>
      <c r="C30" s="9"/>
      <c r="D30" s="9">
        <f>Fixed_Expense103539434751555963[[#This Row],[Budget]]-Fixed_Expense103539434751555963[[#This Row],[Actual]]</f>
        <v>0</v>
      </c>
      <c r="F30" s="5" t="s">
        <v>51</v>
      </c>
      <c r="G30" s="14"/>
      <c r="H30" s="14"/>
      <c r="I30" s="14">
        <f>Variable_Expense113640444852566064[[#This Row],[Budget]]-Variable_Expense113640444852566064[[#This Row],[Actual ]]</f>
        <v>0</v>
      </c>
      <c r="N30" s="13"/>
      <c r="O30" s="13"/>
      <c r="P30" s="13"/>
    </row>
    <row r="31" spans="1:16" x14ac:dyDescent="0.25">
      <c r="A31" s="5" t="s">
        <v>29</v>
      </c>
      <c r="B31" s="9"/>
      <c r="C31" s="9"/>
      <c r="D31" s="9">
        <f>Fixed_Expense103539434751555963[[#This Row],[Budget]]-Fixed_Expense103539434751555963[[#This Row],[Actual]]</f>
        <v>0</v>
      </c>
      <c r="F31" s="5" t="s">
        <v>52</v>
      </c>
      <c r="G31" s="14"/>
      <c r="H31" s="14"/>
      <c r="I31" s="14">
        <f>Variable_Expense113640444852566064[[#This Row],[Budget]]-Variable_Expense113640444852566064[[#This Row],[Actual ]]</f>
        <v>0</v>
      </c>
    </row>
    <row r="32" spans="1:16" x14ac:dyDescent="0.25">
      <c r="A32" s="5" t="s">
        <v>30</v>
      </c>
      <c r="B32" s="9"/>
      <c r="C32" s="9"/>
      <c r="D32" s="9">
        <f>Fixed_Expense103539434751555963[[#This Row],[Budget]]-Fixed_Expense103539434751555963[[#This Row],[Actual]]</f>
        <v>0</v>
      </c>
      <c r="F32" s="5" t="s">
        <v>53</v>
      </c>
      <c r="G32" s="14"/>
      <c r="H32" s="14"/>
      <c r="I32" s="14">
        <f>Variable_Expense113640444852566064[[#This Row],[Budget]]-Variable_Expense113640444852566064[[#This Row],[Actual ]]</f>
        <v>0</v>
      </c>
    </row>
    <row r="33" spans="1:9" x14ac:dyDescent="0.25">
      <c r="A33" s="5" t="s">
        <v>31</v>
      </c>
      <c r="B33" s="9"/>
      <c r="C33" s="9"/>
      <c r="D33" s="9">
        <f>Fixed_Expense103539434751555963[[#This Row],[Budget]]-Fixed_Expense103539434751555963[[#This Row],[Actual]]</f>
        <v>0</v>
      </c>
      <c r="F33" s="5" t="s">
        <v>54</v>
      </c>
      <c r="G33" s="14"/>
      <c r="H33" s="14"/>
      <c r="I33" s="14">
        <f>Variable_Expense113640444852566064[[#This Row],[Budget]]-Variable_Expense113640444852566064[[#This Row],[Actual ]]</f>
        <v>0</v>
      </c>
    </row>
    <row r="34" spans="1:9" x14ac:dyDescent="0.25">
      <c r="A34" s="5" t="s">
        <v>32</v>
      </c>
      <c r="B34" s="9"/>
      <c r="C34" s="9"/>
      <c r="D34" s="9">
        <f>Fixed_Expense103539434751555963[[#This Row],[Budget]]-Fixed_Expense103539434751555963[[#This Row],[Actual]]</f>
        <v>0</v>
      </c>
      <c r="F34" s="5" t="s">
        <v>55</v>
      </c>
      <c r="G34" s="14"/>
      <c r="H34" s="14"/>
      <c r="I34" s="14">
        <f>Variable_Expense113640444852566064[[#This Row],[Budget]]-Variable_Expense113640444852566064[[#This Row],[Actual ]]</f>
        <v>0</v>
      </c>
    </row>
    <row r="35" spans="1:9" x14ac:dyDescent="0.25">
      <c r="A35" s="5" t="s">
        <v>33</v>
      </c>
      <c r="B35" s="9"/>
      <c r="C35" s="9"/>
      <c r="D35" s="9">
        <f>Fixed_Expense103539434751555963[[#This Row],[Budget]]-Fixed_Expense103539434751555963[[#This Row],[Actual]]</f>
        <v>0</v>
      </c>
      <c r="F35" s="5" t="s">
        <v>56</v>
      </c>
      <c r="G35" s="14"/>
      <c r="H35" s="14"/>
      <c r="I35" s="14">
        <f>Variable_Expense113640444852566064[[#This Row],[Budget]]-Variable_Expense113640444852566064[[#This Row],[Actual ]]</f>
        <v>0</v>
      </c>
    </row>
    <row r="36" spans="1:9" x14ac:dyDescent="0.25">
      <c r="A36" s="5" t="s">
        <v>34</v>
      </c>
      <c r="B36" s="9"/>
      <c r="C36" s="9"/>
      <c r="D36" s="9">
        <f>Fixed_Expense103539434751555963[[#This Row],[Budget]]-Fixed_Expense103539434751555963[[#This Row],[Actual]]</f>
        <v>0</v>
      </c>
      <c r="F36" s="5" t="s">
        <v>57</v>
      </c>
      <c r="G36" s="14"/>
      <c r="H36" s="14"/>
      <c r="I36" s="14">
        <f>Variable_Expense113640444852566064[[#This Row],[Budget]]-Variable_Expense113640444852566064[[#This Row],[Actual ]]</f>
        <v>0</v>
      </c>
    </row>
    <row r="37" spans="1:9" x14ac:dyDescent="0.25">
      <c r="A37" s="5" t="s">
        <v>35</v>
      </c>
      <c r="B37" s="9"/>
      <c r="C37" s="9"/>
      <c r="D37" s="9">
        <f>Fixed_Expense103539434751555963[[#This Row],[Budget]]-Fixed_Expense103539434751555963[[#This Row],[Actual]]</f>
        <v>0</v>
      </c>
      <c r="F37" s="5" t="s">
        <v>15</v>
      </c>
      <c r="G37" s="14"/>
      <c r="H37" s="14"/>
      <c r="I37" s="14">
        <f>Variable_Expense113640444852566064[[#This Row],[Budget]]-Variable_Expense113640444852566064[[#This Row],[Actual ]]</f>
        <v>0</v>
      </c>
    </row>
    <row r="38" spans="1:9" x14ac:dyDescent="0.25">
      <c r="A38" s="5" t="s">
        <v>36</v>
      </c>
      <c r="B38" s="9"/>
      <c r="C38" s="9"/>
      <c r="D38" s="9">
        <f>Fixed_Expense103539434751555963[[#This Row],[Budget]]-Fixed_Expense103539434751555963[[#This Row],[Actual]]</f>
        <v>0</v>
      </c>
      <c r="F38" s="5" t="s">
        <v>15</v>
      </c>
      <c r="G38" s="14"/>
      <c r="H38" s="14"/>
      <c r="I38" s="14">
        <f>Variable_Expense113640444852566064[[#This Row],[Budget]]-Variable_Expense113640444852566064[[#This Row],[Actual ]]</f>
        <v>0</v>
      </c>
    </row>
    <row r="39" spans="1:9" x14ac:dyDescent="0.25">
      <c r="A39" s="6" t="s">
        <v>15</v>
      </c>
      <c r="B39" s="10"/>
      <c r="C39" s="10"/>
      <c r="D39" s="10">
        <f>Fixed_Expense103539434751555963[[#This Row],[Budget]]-Fixed_Expense103539434751555963[[#This Row],[Actual]]</f>
        <v>0</v>
      </c>
      <c r="F39" s="5" t="s">
        <v>15</v>
      </c>
      <c r="G39" s="14"/>
      <c r="H39" s="14"/>
      <c r="I39" s="14">
        <f>Variable_Expense113640444852566064[[#This Row],[Budget]]-Variable_Expense113640444852566064[[#This Row],[Actual ]]</f>
        <v>0</v>
      </c>
    </row>
    <row r="40" spans="1:9" x14ac:dyDescent="0.25">
      <c r="A40" s="5" t="s">
        <v>6</v>
      </c>
      <c r="B40" s="17">
        <f>SUBTOTAL(109,Fixed_Expense103539434751555963[Budget])</f>
        <v>0</v>
      </c>
      <c r="C40" s="17">
        <f>SUBTOTAL(109,Fixed_Expense103539434751555963[Actual])</f>
        <v>0</v>
      </c>
      <c r="D40" s="17">
        <f>SUBTOTAL(109,Fixed_Expense103539434751555963[Difference])</f>
        <v>0</v>
      </c>
      <c r="F40" s="5" t="s">
        <v>6</v>
      </c>
      <c r="G40" s="17">
        <f>SUBTOTAL(109,Variable_Expense113640444852566064[Budget])</f>
        <v>0</v>
      </c>
      <c r="H40" s="17">
        <f>SUBTOTAL(109,Variable_Expense113640444852566064[[Actual ]])</f>
        <v>0</v>
      </c>
      <c r="I40" s="18">
        <f>SUBTOTAL(109,Variable_Expense113640444852566064[Difference])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19">
      <dataBar>
        <cfvo type="min"/>
        <cfvo type="max"/>
        <color rgb="FF638EC6"/>
      </dataBar>
      <extLst>
        <ext xmlns:x14="http://schemas.microsoft.com/office/spreadsheetml/2009/9/main" uri="{B025F937-C7B1-47D3-B67F-A62EFF666E3E}">
          <x14:id>{7279BAFD-8B22-4F92-B852-785098AC1786}</x14:id>
        </ext>
      </extLst>
    </cfRule>
  </conditionalFormatting>
  <conditionalFormatting sqref="B8:B10">
    <cfRule type="dataBar" priority="18">
      <dataBar>
        <cfvo type="min"/>
        <cfvo type="max"/>
        <color rgb="FF638EC6"/>
      </dataBar>
      <extLst>
        <ext xmlns:x14="http://schemas.microsoft.com/office/spreadsheetml/2009/9/main" uri="{B025F937-C7B1-47D3-B67F-A62EFF666E3E}">
          <x14:id>{9A6D9E86-7918-421E-82F6-BF40C35DF5E5}</x14:id>
        </ext>
      </extLst>
    </cfRule>
  </conditionalFormatting>
  <conditionalFormatting sqref="C8:C10">
    <cfRule type="dataBar" priority="17">
      <dataBar>
        <cfvo type="min"/>
        <cfvo type="max"/>
        <color rgb="FF63C384"/>
      </dataBar>
      <extLst>
        <ext xmlns:x14="http://schemas.microsoft.com/office/spreadsheetml/2009/9/main" uri="{B025F937-C7B1-47D3-B67F-A62EFF666E3E}">
          <x14:id>{4134414A-E928-42CA-B169-E53C0E91A63A}</x14:id>
        </ext>
      </extLst>
    </cfRule>
  </conditionalFormatting>
  <conditionalFormatting sqref="N17:N30">
    <cfRule type="dataBar" priority="14">
      <dataBar>
        <cfvo type="min"/>
        <cfvo type="max"/>
        <color rgb="FFFF555A"/>
      </dataBar>
      <extLst>
        <ext xmlns:x14="http://schemas.microsoft.com/office/spreadsheetml/2009/9/main" uri="{B025F937-C7B1-47D3-B67F-A62EFF666E3E}">
          <x14:id>{172ADDD1-A3B3-4B91-88FB-728053BB8DA2}</x14:id>
        </ext>
      </extLst>
    </cfRule>
  </conditionalFormatting>
  <conditionalFormatting sqref="O17:O30">
    <cfRule type="dataBar" priority="13">
      <dataBar>
        <cfvo type="min"/>
        <cfvo type="max"/>
        <color rgb="FFFF555A"/>
      </dataBar>
      <extLst>
        <ext xmlns:x14="http://schemas.microsoft.com/office/spreadsheetml/2009/9/main" uri="{B025F937-C7B1-47D3-B67F-A62EFF666E3E}">
          <x14:id>{D7DCDE50-5E60-4285-A369-12699E331495}</x14:id>
        </ext>
      </extLst>
    </cfRule>
  </conditionalFormatting>
  <conditionalFormatting sqref="P17:P30 D16:D40">
    <cfRule type="cellIs" dxfId="257" priority="11" operator="greaterThan">
      <formula>0</formula>
    </cfRule>
    <cfRule type="cellIs" dxfId="256" priority="12"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{9C9EE1A3-0AD0-4508-A06B-50616745C9DF}</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{1E626BE6-0627-4B51-9AAF-BFAEF2238491}</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{9B60B7FC-35F3-456E-90A9-25113DBE41C2}</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{482679F8-FE79-4129-AC47-BEFD4372089F}</x14:id>
        </ext>
      </extLst>
    </cfRule>
  </conditionalFormatting>
  <conditionalFormatting sqref="D8:D11">
    <cfRule type="cellIs" dxfId="255" priority="15" operator="greaterThan">
      <formula>0</formula>
    </cfRule>
    <cfRule type="cellIs" dxfId="254" priority="16" operator="lessThan">
      <formula>0</formula>
    </cfRule>
  </conditionalFormatting>
  <conditionalFormatting sqref="I16:I40">
    <cfRule type="cellIs" dxfId="253" priority="7" operator="greaterThan">
      <formula>0</formula>
    </cfRule>
    <cfRule type="cellIs" dxfId="252" priority="8" operator="lessThan">
      <formula>0</formula>
    </cfRule>
  </conditionalFormatting>
  <conditionalFormatting sqref="B16:B40">
    <cfRule type="dataBar" priority="20">
      <dataBar>
        <cfvo type="min"/>
        <cfvo type="max"/>
        <color rgb="FFFF555A"/>
      </dataBar>
      <extLst>
        <ext xmlns:x14="http://schemas.microsoft.com/office/spreadsheetml/2009/9/main" uri="{B025F937-C7B1-47D3-B67F-A62EFF666E3E}">
          <x14:id>{B6FB3FDF-B4F1-4005-82D4-BE8D2AA69FED}</x14:id>
        </ext>
      </extLst>
    </cfRule>
  </conditionalFormatting>
  <conditionalFormatting sqref="C16:C40">
    <cfRule type="dataBar" priority="21">
      <dataBar>
        <cfvo type="min"/>
        <cfvo type="max"/>
        <color rgb="FFFF555A"/>
      </dataBar>
      <extLst>
        <ext xmlns:x14="http://schemas.microsoft.com/office/spreadsheetml/2009/9/main" uri="{B025F937-C7B1-47D3-B67F-A62EFF666E3E}">
          <x14:id>{3A094102-ED21-40E2-B08F-B87426DEEC13}</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{3F882743-0221-4497-894E-81EF2FA47A19}</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{1113AA17-BCA9-4C42-9ADE-7FC261F8F701}</x14:id>
        </ext>
      </extLst>
    </cfRule>
  </conditionalFormatting>
  <conditionalFormatting sqref="I8:I11">
    <cfRule type="cellIs" dxfId="251" priority="1" operator="greaterThan">
      <formula>0</formula>
    </cfRule>
    <cfRule type="cellIs" dxfId="250" priority="2" operator="lessThan">
      <formula>0</formula>
    </cfRule>
  </conditionalFormatting>
  <pageMargins left="0.7" right="0.7" top="0.75" bottom="0.75" header="0.3" footer="0.3"/>
  <ignoredErrors>
    <ignoredError sqref="G8 H9 G10:H10"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7279BAFD-8B22-4F92-B852-785098AC1786}">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9A6D9E86-7918-421E-82F6-BF40C35DF5E5}">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4134414A-E928-42CA-B169-E53C0E91A63A}">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172ADDD1-A3B3-4B91-88FB-728053BB8DA2}">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D7DCDE50-5E60-4285-A369-12699E331495}">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9C9EE1A3-0AD0-4508-A06B-50616745C9DF}">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1E626BE6-0627-4B51-9AAF-BFAEF2238491}">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9B60B7FC-35F3-456E-90A9-25113DBE41C2}">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482679F8-FE79-4129-AC47-BEFD4372089F}">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B6FB3FDF-B4F1-4005-82D4-BE8D2AA69FED}">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3A094102-ED21-40E2-B08F-B87426DEEC13}">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3F882743-0221-4497-894E-81EF2FA47A19}">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1113AA17-BCA9-4C42-9ADE-7FC261F8F701}">
            <x14:dataBar minLength="0" maxLength="100" gradient="0">
              <x14:cfvo type="autoMin"/>
              <x14:cfvo type="autoMax"/>
              <x14:negativeFillColor rgb="FFFF0000"/>
              <x14:axisColor rgb="FF000000"/>
            </x14:dataBar>
          </x14:cfRule>
          <xm:sqref>H8:H11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03727-EB67-40AD-AAEF-586C8B922F05}">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Income1343842465054586266[[#This Row],[Actual]]-Income1343842465054586266[[#This Row],[Budget]]</f>
        <v>0</v>
      </c>
      <c r="F8" s="5" t="s">
        <v>61</v>
      </c>
      <c r="G8" s="9">
        <f>Income1343842465054586266[[#Totals],[Budget]]</f>
        <v>0</v>
      </c>
      <c r="H8" s="9">
        <f>Income1343842465054586266[[#Totals],[Actual]]</f>
        <v>0</v>
      </c>
      <c r="I8" s="9">
        <f>Budget_Summary374145495357616569[[#This Row],[Budget]]-Budget_Summary374145495357616569[[#This Row],[Actual]]</f>
        <v>0</v>
      </c>
    </row>
    <row r="9" spans="1:16" x14ac:dyDescent="0.25">
      <c r="A9" s="4" t="s">
        <v>4</v>
      </c>
      <c r="B9" s="7"/>
      <c r="C9" s="7"/>
      <c r="D9" s="8">
        <f>Income1343842465054586266[[#This Row],[Actual]]-Income1343842465054586266[[#This Row],[Budget]]</f>
        <v>0</v>
      </c>
      <c r="F9" s="5" t="s">
        <v>17</v>
      </c>
      <c r="G9" s="9">
        <f>Fixed_Expense10353943475155596367[[#Totals],[Budget]]</f>
        <v>0</v>
      </c>
      <c r="H9" s="9">
        <f>Fixed_Expense10353943475155596367[[#Totals],[Actual]]</f>
        <v>0</v>
      </c>
      <c r="I9" s="9">
        <f>Budget_Summary374145495357616569[[#This Row],[Budget]]-Budget_Summary374145495357616569[[#This Row],[Actual]]</f>
        <v>0</v>
      </c>
    </row>
    <row r="10" spans="1:16" x14ac:dyDescent="0.25">
      <c r="A10" s="4" t="s">
        <v>5</v>
      </c>
      <c r="B10" s="7"/>
      <c r="C10" s="7"/>
      <c r="D10" s="8">
        <f>Income1343842465054586266[[#This Row],[Actual]]-Income1343842465054586266[[#This Row],[Budget]]</f>
        <v>0</v>
      </c>
      <c r="F10" s="6" t="s">
        <v>37</v>
      </c>
      <c r="G10" s="10">
        <f>Variable_Expense11364044485256606468[[#Totals],[Budget]]</f>
        <v>0</v>
      </c>
      <c r="H10" s="10">
        <f>Variable_Expense11364044485256606468[[#Totals],[Actual ]]</f>
        <v>0</v>
      </c>
      <c r="I10" s="9">
        <f>Budget_Summary374145495357616569[[#This Row],[Budget]]-Budget_Summary374145495357616569[[#This Row],[Actual]]</f>
        <v>0</v>
      </c>
    </row>
    <row r="11" spans="1:16" x14ac:dyDescent="0.25">
      <c r="A11" s="5" t="s">
        <v>6</v>
      </c>
      <c r="B11" s="7">
        <f>SUBTOTAL(109,Income1343842465054586266[Budget])</f>
        <v>0</v>
      </c>
      <c r="C11" s="7">
        <f>SUBTOTAL(109,Income1343842465054586266[Actual])</f>
        <v>0</v>
      </c>
      <c r="D11" s="7">
        <f>SUBTOTAL(109,Income1343842465054586266[Difference])</f>
        <v>0</v>
      </c>
      <c r="F11" s="5" t="s">
        <v>6</v>
      </c>
      <c r="G11" s="17">
        <f>G8-(G9+G10)</f>
        <v>0</v>
      </c>
      <c r="H11" s="17">
        <f>H8-(H9+H10)</f>
        <v>0</v>
      </c>
      <c r="I11" s="17">
        <f>SUBTOTAL(109,Budget_Summary374145495357616569[Difference])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Fixed_Expense10353943475155596367[[#This Row],[Budget]]-Fixed_Expense10353943475155596367[[#This Row],[Actual]]</f>
        <v>0</v>
      </c>
      <c r="F16" s="5" t="s">
        <v>9</v>
      </c>
      <c r="G16" s="14"/>
      <c r="H16" s="14"/>
      <c r="I16" s="14">
        <f>Variable_Expense11364044485256606468[[#This Row],[Budget]]-Variable_Expense11364044485256606468[[#This Row],[Actual ]]</f>
        <v>0</v>
      </c>
      <c r="N16" s="13"/>
      <c r="O16" s="13"/>
      <c r="P16" s="13"/>
    </row>
    <row r="17" spans="1:16" x14ac:dyDescent="0.25">
      <c r="A17" s="5" t="s">
        <v>19</v>
      </c>
      <c r="B17" s="9"/>
      <c r="C17" s="9"/>
      <c r="D17" s="9">
        <f>Fixed_Expense10353943475155596367[[#This Row],[Budget]]-Fixed_Expense10353943475155596367[[#This Row],[Actual]]</f>
        <v>0</v>
      </c>
      <c r="F17" s="5" t="s">
        <v>10</v>
      </c>
      <c r="G17" s="14"/>
      <c r="H17" s="14"/>
      <c r="I17" s="14">
        <f>Variable_Expense11364044485256606468[[#This Row],[Budget]]-Variable_Expense11364044485256606468[[#This Row],[Actual ]]</f>
        <v>0</v>
      </c>
      <c r="N17" s="13"/>
      <c r="O17" s="13"/>
      <c r="P17" s="13"/>
    </row>
    <row r="18" spans="1:16" x14ac:dyDescent="0.25">
      <c r="A18" s="5" t="s">
        <v>22</v>
      </c>
      <c r="B18" s="9"/>
      <c r="C18" s="9"/>
      <c r="D18" s="9">
        <f>Fixed_Expense10353943475155596367[[#This Row],[Budget]]-Fixed_Expense10353943475155596367[[#This Row],[Actual]]</f>
        <v>0</v>
      </c>
      <c r="F18" s="5" t="s">
        <v>39</v>
      </c>
      <c r="G18" s="14"/>
      <c r="H18" s="14"/>
      <c r="I18" s="14">
        <f>Variable_Expense11364044485256606468[[#This Row],[Budget]]-Variable_Expense11364044485256606468[[#This Row],[Actual ]]</f>
        <v>0</v>
      </c>
      <c r="N18" s="13"/>
      <c r="O18" s="13"/>
      <c r="P18" s="13"/>
    </row>
    <row r="19" spans="1:16" x14ac:dyDescent="0.25">
      <c r="A19" s="5" t="s">
        <v>20</v>
      </c>
      <c r="B19" s="9"/>
      <c r="C19" s="9"/>
      <c r="D19" s="9">
        <f>Fixed_Expense10353943475155596367[[#This Row],[Budget]]-Fixed_Expense10353943475155596367[[#This Row],[Actual]]</f>
        <v>0</v>
      </c>
      <c r="F19" s="5" t="s">
        <v>40</v>
      </c>
      <c r="G19" s="14"/>
      <c r="H19" s="14"/>
      <c r="I19" s="14">
        <f>Variable_Expense11364044485256606468[[#This Row],[Budget]]-Variable_Expense11364044485256606468[[#This Row],[Actual ]]</f>
        <v>0</v>
      </c>
      <c r="N19" s="13"/>
      <c r="O19" s="13"/>
      <c r="P19" s="13"/>
    </row>
    <row r="20" spans="1:16" x14ac:dyDescent="0.25">
      <c r="A20" s="5" t="s">
        <v>21</v>
      </c>
      <c r="B20" s="9"/>
      <c r="C20" s="9"/>
      <c r="D20" s="9">
        <f>Fixed_Expense10353943475155596367[[#This Row],[Budget]]-Fixed_Expense10353943475155596367[[#This Row],[Actual]]</f>
        <v>0</v>
      </c>
      <c r="F20" s="5" t="s">
        <v>41</v>
      </c>
      <c r="G20" s="14"/>
      <c r="H20" s="14"/>
      <c r="I20" s="14">
        <f>Variable_Expense11364044485256606468[[#This Row],[Budget]]-Variable_Expense11364044485256606468[[#This Row],[Actual ]]</f>
        <v>0</v>
      </c>
      <c r="N20" s="13"/>
      <c r="O20" s="13"/>
      <c r="P20" s="13"/>
    </row>
    <row r="21" spans="1:16" x14ac:dyDescent="0.25">
      <c r="A21" s="5" t="s">
        <v>11</v>
      </c>
      <c r="B21" s="9"/>
      <c r="C21" s="9"/>
      <c r="D21" s="9">
        <f>Fixed_Expense10353943475155596367[[#This Row],[Budget]]-Fixed_Expense10353943475155596367[[#This Row],[Actual]]</f>
        <v>0</v>
      </c>
      <c r="F21" s="5" t="s">
        <v>42</v>
      </c>
      <c r="G21" s="14"/>
      <c r="H21" s="14"/>
      <c r="I21" s="14">
        <f>Variable_Expense11364044485256606468[[#This Row],[Budget]]-Variable_Expense11364044485256606468[[#This Row],[Actual ]]</f>
        <v>0</v>
      </c>
      <c r="N21" s="13"/>
      <c r="O21" s="13"/>
      <c r="P21" s="13"/>
    </row>
    <row r="22" spans="1:16" x14ac:dyDescent="0.25">
      <c r="A22" s="5" t="s">
        <v>12</v>
      </c>
      <c r="B22" s="9"/>
      <c r="C22" s="9"/>
      <c r="D22" s="9">
        <f>Fixed_Expense10353943475155596367[[#This Row],[Budget]]-Fixed_Expense10353943475155596367[[#This Row],[Actual]]</f>
        <v>0</v>
      </c>
      <c r="F22" s="5" t="s">
        <v>43</v>
      </c>
      <c r="G22" s="14"/>
      <c r="H22" s="14"/>
      <c r="I22" s="14">
        <f>Variable_Expense11364044485256606468[[#This Row],[Budget]]-Variable_Expense11364044485256606468[[#This Row],[Actual ]]</f>
        <v>0</v>
      </c>
      <c r="N22" s="13"/>
      <c r="O22" s="13"/>
      <c r="P22" s="13"/>
    </row>
    <row r="23" spans="1:16" x14ac:dyDescent="0.25">
      <c r="A23" s="5" t="s">
        <v>13</v>
      </c>
      <c r="B23" s="9"/>
      <c r="C23" s="9"/>
      <c r="D23" s="9">
        <f>Fixed_Expense10353943475155596367[[#This Row],[Budget]]-Fixed_Expense10353943475155596367[[#This Row],[Actual]]</f>
        <v>0</v>
      </c>
      <c r="F23" s="5" t="s">
        <v>44</v>
      </c>
      <c r="G23" s="14"/>
      <c r="H23" s="14"/>
      <c r="I23" s="14">
        <f>Variable_Expense11364044485256606468[[#This Row],[Budget]]-Variable_Expense11364044485256606468[[#This Row],[Actual ]]</f>
        <v>0</v>
      </c>
      <c r="N23" s="13"/>
      <c r="O23" s="13"/>
      <c r="P23" s="13"/>
    </row>
    <row r="24" spans="1:16" x14ac:dyDescent="0.25">
      <c r="A24" s="5" t="s">
        <v>14</v>
      </c>
      <c r="B24" s="9"/>
      <c r="C24" s="9"/>
      <c r="D24" s="9">
        <f>Fixed_Expense10353943475155596367[[#This Row],[Budget]]-Fixed_Expense10353943475155596367[[#This Row],[Actual]]</f>
        <v>0</v>
      </c>
      <c r="F24" s="5" t="s">
        <v>45</v>
      </c>
      <c r="G24" s="14"/>
      <c r="H24" s="14"/>
      <c r="I24" s="14">
        <f>Variable_Expense11364044485256606468[[#This Row],[Budget]]-Variable_Expense11364044485256606468[[#This Row],[Actual ]]</f>
        <v>0</v>
      </c>
      <c r="N24" s="13"/>
      <c r="O24" s="13"/>
      <c r="P24" s="13"/>
    </row>
    <row r="25" spans="1:16" x14ac:dyDescent="0.25">
      <c r="A25" s="5" t="s">
        <v>23</v>
      </c>
      <c r="B25" s="9"/>
      <c r="C25" s="9"/>
      <c r="D25" s="9">
        <f>Fixed_Expense10353943475155596367[[#This Row],[Budget]]-Fixed_Expense10353943475155596367[[#This Row],[Actual]]</f>
        <v>0</v>
      </c>
      <c r="F25" s="5" t="s">
        <v>46</v>
      </c>
      <c r="G25" s="14"/>
      <c r="H25" s="14"/>
      <c r="I25" s="14">
        <f>Variable_Expense11364044485256606468[[#This Row],[Budget]]-Variable_Expense11364044485256606468[[#This Row],[Actual ]]</f>
        <v>0</v>
      </c>
      <c r="N25" s="13"/>
      <c r="O25" s="13"/>
      <c r="P25" s="13"/>
    </row>
    <row r="26" spans="1:16" x14ac:dyDescent="0.25">
      <c r="A26" s="5" t="s">
        <v>24</v>
      </c>
      <c r="B26" s="9"/>
      <c r="C26" s="9"/>
      <c r="D26" s="9">
        <f>Fixed_Expense10353943475155596367[[#This Row],[Budget]]-Fixed_Expense10353943475155596367[[#This Row],[Actual]]</f>
        <v>0</v>
      </c>
      <c r="F26" s="5" t="s">
        <v>47</v>
      </c>
      <c r="G26" s="14"/>
      <c r="H26" s="14"/>
      <c r="I26" s="14">
        <f>Variable_Expense11364044485256606468[[#This Row],[Budget]]-Variable_Expense11364044485256606468[[#This Row],[Actual ]]</f>
        <v>0</v>
      </c>
      <c r="N26" s="13"/>
      <c r="O26" s="13"/>
      <c r="P26" s="13"/>
    </row>
    <row r="27" spans="1:16" x14ac:dyDescent="0.25">
      <c r="A27" s="5" t="s">
        <v>25</v>
      </c>
      <c r="B27" s="9"/>
      <c r="C27" s="9"/>
      <c r="D27" s="9">
        <f>Fixed_Expense10353943475155596367[[#This Row],[Budget]]-Fixed_Expense10353943475155596367[[#This Row],[Actual]]</f>
        <v>0</v>
      </c>
      <c r="F27" s="5" t="s">
        <v>48</v>
      </c>
      <c r="G27" s="14"/>
      <c r="H27" s="14"/>
      <c r="I27" s="14">
        <f>Variable_Expense11364044485256606468[[#This Row],[Budget]]-Variable_Expense11364044485256606468[[#This Row],[Actual ]]</f>
        <v>0</v>
      </c>
      <c r="N27" s="13"/>
      <c r="O27" s="13"/>
      <c r="P27" s="13"/>
    </row>
    <row r="28" spans="1:16" x14ac:dyDescent="0.25">
      <c r="A28" s="5" t="s">
        <v>26</v>
      </c>
      <c r="B28" s="9"/>
      <c r="C28" s="9"/>
      <c r="D28" s="9">
        <f>Fixed_Expense10353943475155596367[[#This Row],[Budget]]-Fixed_Expense10353943475155596367[[#This Row],[Actual]]</f>
        <v>0</v>
      </c>
      <c r="F28" s="5" t="s">
        <v>49</v>
      </c>
      <c r="G28" s="14"/>
      <c r="H28" s="14"/>
      <c r="I28" s="14">
        <f>Variable_Expense11364044485256606468[[#This Row],[Budget]]-Variable_Expense11364044485256606468[[#This Row],[Actual ]]</f>
        <v>0</v>
      </c>
      <c r="N28" s="13"/>
      <c r="O28" s="13"/>
      <c r="P28" s="13"/>
    </row>
    <row r="29" spans="1:16" x14ac:dyDescent="0.25">
      <c r="A29" s="5" t="s">
        <v>27</v>
      </c>
      <c r="B29" s="9"/>
      <c r="C29" s="9"/>
      <c r="D29" s="9">
        <f>Fixed_Expense10353943475155596367[[#This Row],[Budget]]-Fixed_Expense10353943475155596367[[#This Row],[Actual]]</f>
        <v>0</v>
      </c>
      <c r="F29" s="5" t="s">
        <v>50</v>
      </c>
      <c r="G29" s="14"/>
      <c r="H29" s="14"/>
      <c r="I29" s="14">
        <f>Variable_Expense11364044485256606468[[#This Row],[Budget]]-Variable_Expense11364044485256606468[[#This Row],[Actual ]]</f>
        <v>0</v>
      </c>
      <c r="N29" s="13"/>
      <c r="O29" s="13"/>
      <c r="P29" s="13"/>
    </row>
    <row r="30" spans="1:16" x14ac:dyDescent="0.25">
      <c r="A30" s="5" t="s">
        <v>28</v>
      </c>
      <c r="B30" s="9"/>
      <c r="C30" s="9"/>
      <c r="D30" s="9">
        <f>Fixed_Expense10353943475155596367[[#This Row],[Budget]]-Fixed_Expense10353943475155596367[[#This Row],[Actual]]</f>
        <v>0</v>
      </c>
      <c r="F30" s="5" t="s">
        <v>51</v>
      </c>
      <c r="G30" s="14"/>
      <c r="H30" s="14"/>
      <c r="I30" s="14">
        <f>Variable_Expense11364044485256606468[[#This Row],[Budget]]-Variable_Expense11364044485256606468[[#This Row],[Actual ]]</f>
        <v>0</v>
      </c>
      <c r="N30" s="13"/>
      <c r="O30" s="13"/>
      <c r="P30" s="13"/>
    </row>
    <row r="31" spans="1:16" x14ac:dyDescent="0.25">
      <c r="A31" s="5" t="s">
        <v>29</v>
      </c>
      <c r="B31" s="9"/>
      <c r="C31" s="9"/>
      <c r="D31" s="9">
        <f>Fixed_Expense10353943475155596367[[#This Row],[Budget]]-Fixed_Expense10353943475155596367[[#This Row],[Actual]]</f>
        <v>0</v>
      </c>
      <c r="F31" s="5" t="s">
        <v>52</v>
      </c>
      <c r="G31" s="14"/>
      <c r="H31" s="14"/>
      <c r="I31" s="14">
        <f>Variable_Expense11364044485256606468[[#This Row],[Budget]]-Variable_Expense11364044485256606468[[#This Row],[Actual ]]</f>
        <v>0</v>
      </c>
    </row>
    <row r="32" spans="1:16" x14ac:dyDescent="0.25">
      <c r="A32" s="5" t="s">
        <v>30</v>
      </c>
      <c r="B32" s="9"/>
      <c r="C32" s="9"/>
      <c r="D32" s="9">
        <f>Fixed_Expense10353943475155596367[[#This Row],[Budget]]-Fixed_Expense10353943475155596367[[#This Row],[Actual]]</f>
        <v>0</v>
      </c>
      <c r="F32" s="5" t="s">
        <v>53</v>
      </c>
      <c r="G32" s="14"/>
      <c r="H32" s="14"/>
      <c r="I32" s="14">
        <f>Variable_Expense11364044485256606468[[#This Row],[Budget]]-Variable_Expense11364044485256606468[[#This Row],[Actual ]]</f>
        <v>0</v>
      </c>
    </row>
    <row r="33" spans="1:9" x14ac:dyDescent="0.25">
      <c r="A33" s="5" t="s">
        <v>31</v>
      </c>
      <c r="B33" s="9"/>
      <c r="C33" s="9"/>
      <c r="D33" s="9">
        <f>Fixed_Expense10353943475155596367[[#This Row],[Budget]]-Fixed_Expense10353943475155596367[[#This Row],[Actual]]</f>
        <v>0</v>
      </c>
      <c r="F33" s="5" t="s">
        <v>54</v>
      </c>
      <c r="G33" s="14"/>
      <c r="H33" s="14"/>
      <c r="I33" s="14">
        <f>Variable_Expense11364044485256606468[[#This Row],[Budget]]-Variable_Expense11364044485256606468[[#This Row],[Actual ]]</f>
        <v>0</v>
      </c>
    </row>
    <row r="34" spans="1:9" x14ac:dyDescent="0.25">
      <c r="A34" s="5" t="s">
        <v>32</v>
      </c>
      <c r="B34" s="9"/>
      <c r="C34" s="9"/>
      <c r="D34" s="9">
        <f>Fixed_Expense10353943475155596367[[#This Row],[Budget]]-Fixed_Expense10353943475155596367[[#This Row],[Actual]]</f>
        <v>0</v>
      </c>
      <c r="F34" s="5" t="s">
        <v>55</v>
      </c>
      <c r="G34" s="14"/>
      <c r="H34" s="14"/>
      <c r="I34" s="14">
        <f>Variable_Expense11364044485256606468[[#This Row],[Budget]]-Variable_Expense11364044485256606468[[#This Row],[Actual ]]</f>
        <v>0</v>
      </c>
    </row>
    <row r="35" spans="1:9" x14ac:dyDescent="0.25">
      <c r="A35" s="5" t="s">
        <v>33</v>
      </c>
      <c r="B35" s="9"/>
      <c r="C35" s="9"/>
      <c r="D35" s="9">
        <f>Fixed_Expense10353943475155596367[[#This Row],[Budget]]-Fixed_Expense10353943475155596367[[#This Row],[Actual]]</f>
        <v>0</v>
      </c>
      <c r="F35" s="5" t="s">
        <v>56</v>
      </c>
      <c r="G35" s="14"/>
      <c r="H35" s="14"/>
      <c r="I35" s="14">
        <f>Variable_Expense11364044485256606468[[#This Row],[Budget]]-Variable_Expense11364044485256606468[[#This Row],[Actual ]]</f>
        <v>0</v>
      </c>
    </row>
    <row r="36" spans="1:9" x14ac:dyDescent="0.25">
      <c r="A36" s="5" t="s">
        <v>34</v>
      </c>
      <c r="B36" s="9"/>
      <c r="C36" s="9"/>
      <c r="D36" s="9">
        <f>Fixed_Expense10353943475155596367[[#This Row],[Budget]]-Fixed_Expense10353943475155596367[[#This Row],[Actual]]</f>
        <v>0</v>
      </c>
      <c r="F36" s="5" t="s">
        <v>57</v>
      </c>
      <c r="G36" s="14"/>
      <c r="H36" s="14"/>
      <c r="I36" s="14">
        <f>Variable_Expense11364044485256606468[[#This Row],[Budget]]-Variable_Expense11364044485256606468[[#This Row],[Actual ]]</f>
        <v>0</v>
      </c>
    </row>
    <row r="37" spans="1:9" x14ac:dyDescent="0.25">
      <c r="A37" s="5" t="s">
        <v>35</v>
      </c>
      <c r="B37" s="9"/>
      <c r="C37" s="9"/>
      <c r="D37" s="9">
        <f>Fixed_Expense10353943475155596367[[#This Row],[Budget]]-Fixed_Expense10353943475155596367[[#This Row],[Actual]]</f>
        <v>0</v>
      </c>
      <c r="F37" s="5" t="s">
        <v>15</v>
      </c>
      <c r="G37" s="14"/>
      <c r="H37" s="14"/>
      <c r="I37" s="14">
        <f>Variable_Expense11364044485256606468[[#This Row],[Budget]]-Variable_Expense11364044485256606468[[#This Row],[Actual ]]</f>
        <v>0</v>
      </c>
    </row>
    <row r="38" spans="1:9" x14ac:dyDescent="0.25">
      <c r="A38" s="5" t="s">
        <v>36</v>
      </c>
      <c r="B38" s="9"/>
      <c r="C38" s="9"/>
      <c r="D38" s="9">
        <f>Fixed_Expense10353943475155596367[[#This Row],[Budget]]-Fixed_Expense10353943475155596367[[#This Row],[Actual]]</f>
        <v>0</v>
      </c>
      <c r="F38" s="5" t="s">
        <v>15</v>
      </c>
      <c r="G38" s="14"/>
      <c r="H38" s="14"/>
      <c r="I38" s="14">
        <f>Variable_Expense11364044485256606468[[#This Row],[Budget]]-Variable_Expense11364044485256606468[[#This Row],[Actual ]]</f>
        <v>0</v>
      </c>
    </row>
    <row r="39" spans="1:9" x14ac:dyDescent="0.25">
      <c r="A39" s="6" t="s">
        <v>15</v>
      </c>
      <c r="B39" s="10"/>
      <c r="C39" s="10"/>
      <c r="D39" s="10">
        <f>Fixed_Expense10353943475155596367[[#This Row],[Budget]]-Fixed_Expense10353943475155596367[[#This Row],[Actual]]</f>
        <v>0</v>
      </c>
      <c r="F39" s="5" t="s">
        <v>15</v>
      </c>
      <c r="G39" s="14"/>
      <c r="H39" s="14"/>
      <c r="I39" s="14">
        <f>Variable_Expense11364044485256606468[[#This Row],[Budget]]-Variable_Expense11364044485256606468[[#This Row],[Actual ]]</f>
        <v>0</v>
      </c>
    </row>
    <row r="40" spans="1:9" x14ac:dyDescent="0.25">
      <c r="A40" s="5" t="s">
        <v>6</v>
      </c>
      <c r="B40" s="17">
        <f>SUBTOTAL(109,Fixed_Expense10353943475155596367[Budget])</f>
        <v>0</v>
      </c>
      <c r="C40" s="17">
        <f>SUBTOTAL(109,Fixed_Expense10353943475155596367[Actual])</f>
        <v>0</v>
      </c>
      <c r="D40" s="17">
        <f>SUBTOTAL(109,Fixed_Expense10353943475155596367[Difference])</f>
        <v>0</v>
      </c>
      <c r="F40" s="5" t="s">
        <v>6</v>
      </c>
      <c r="G40" s="17">
        <f>SUBTOTAL(109,Variable_Expense11364044485256606468[Budget])</f>
        <v>0</v>
      </c>
      <c r="H40" s="17">
        <f>SUBTOTAL(109,Variable_Expense11364044485256606468[[Actual ]])</f>
        <v>0</v>
      </c>
      <c r="I40" s="18">
        <f>SUBTOTAL(109,Variable_Expense11364044485256606468[Difference])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19">
      <dataBar>
        <cfvo type="min"/>
        <cfvo type="max"/>
        <color rgb="FF638EC6"/>
      </dataBar>
      <extLst>
        <ext xmlns:x14="http://schemas.microsoft.com/office/spreadsheetml/2009/9/main" uri="{B025F937-C7B1-47D3-B67F-A62EFF666E3E}">
          <x14:id>{3EBF9590-C105-4F1D-8764-BD559F1D8709}</x14:id>
        </ext>
      </extLst>
    </cfRule>
  </conditionalFormatting>
  <conditionalFormatting sqref="B8:B10">
    <cfRule type="dataBar" priority="18">
      <dataBar>
        <cfvo type="min"/>
        <cfvo type="max"/>
        <color rgb="FF638EC6"/>
      </dataBar>
      <extLst>
        <ext xmlns:x14="http://schemas.microsoft.com/office/spreadsheetml/2009/9/main" uri="{B025F937-C7B1-47D3-B67F-A62EFF666E3E}">
          <x14:id>{D0321F61-B95A-43BD-8D96-D68EF313B25B}</x14:id>
        </ext>
      </extLst>
    </cfRule>
  </conditionalFormatting>
  <conditionalFormatting sqref="C8:C10">
    <cfRule type="dataBar" priority="17">
      <dataBar>
        <cfvo type="min"/>
        <cfvo type="max"/>
        <color rgb="FF63C384"/>
      </dataBar>
      <extLst>
        <ext xmlns:x14="http://schemas.microsoft.com/office/spreadsheetml/2009/9/main" uri="{B025F937-C7B1-47D3-B67F-A62EFF666E3E}">
          <x14:id>{9D9BDCE3-9D13-44DF-AFEC-8A765BBB2FA1}</x14:id>
        </ext>
      </extLst>
    </cfRule>
  </conditionalFormatting>
  <conditionalFormatting sqref="N17:N30">
    <cfRule type="dataBar" priority="14">
      <dataBar>
        <cfvo type="min"/>
        <cfvo type="max"/>
        <color rgb="FFFF555A"/>
      </dataBar>
      <extLst>
        <ext xmlns:x14="http://schemas.microsoft.com/office/spreadsheetml/2009/9/main" uri="{B025F937-C7B1-47D3-B67F-A62EFF666E3E}">
          <x14:id>{CE993918-D147-4EA0-94B8-6B1F93D65CA0}</x14:id>
        </ext>
      </extLst>
    </cfRule>
  </conditionalFormatting>
  <conditionalFormatting sqref="O17:O30">
    <cfRule type="dataBar" priority="13">
      <dataBar>
        <cfvo type="min"/>
        <cfvo type="max"/>
        <color rgb="FFFF555A"/>
      </dataBar>
      <extLst>
        <ext xmlns:x14="http://schemas.microsoft.com/office/spreadsheetml/2009/9/main" uri="{B025F937-C7B1-47D3-B67F-A62EFF666E3E}">
          <x14:id>{2D695EE9-5265-4FEB-8535-D91DC6D8B96D}</x14:id>
        </ext>
      </extLst>
    </cfRule>
  </conditionalFormatting>
  <conditionalFormatting sqref="P17:P30 D16:D40">
    <cfRule type="cellIs" dxfId="204" priority="11" operator="greaterThan">
      <formula>0</formula>
    </cfRule>
    <cfRule type="cellIs" dxfId="203" priority="12"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{23DF4240-A0EE-4FA8-A339-A119E10B62B0}</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{B3407677-BB5F-4EF9-8137-74E99983F1B2}</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{17A3288C-AFB3-4370-A108-9EDD7C3E61DD}</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{6E26CD89-10E7-40FF-9A17-0F5A6F12E89B}</x14:id>
        </ext>
      </extLst>
    </cfRule>
  </conditionalFormatting>
  <conditionalFormatting sqref="D8:D11">
    <cfRule type="cellIs" dxfId="202" priority="15" operator="greaterThan">
      <formula>0</formula>
    </cfRule>
    <cfRule type="cellIs" dxfId="201" priority="16" operator="lessThan">
      <formula>0</formula>
    </cfRule>
  </conditionalFormatting>
  <conditionalFormatting sqref="I16:I40">
    <cfRule type="cellIs" dxfId="200" priority="7" operator="greaterThan">
      <formula>0</formula>
    </cfRule>
    <cfRule type="cellIs" dxfId="199" priority="8" operator="lessThan">
      <formula>0</formula>
    </cfRule>
  </conditionalFormatting>
  <conditionalFormatting sqref="B16:B40">
    <cfRule type="dataBar" priority="20">
      <dataBar>
        <cfvo type="min"/>
        <cfvo type="max"/>
        <color rgb="FFFF555A"/>
      </dataBar>
      <extLst>
        <ext xmlns:x14="http://schemas.microsoft.com/office/spreadsheetml/2009/9/main" uri="{B025F937-C7B1-47D3-B67F-A62EFF666E3E}">
          <x14:id>{380B538F-995B-46EA-A90C-3427D4D3AA00}</x14:id>
        </ext>
      </extLst>
    </cfRule>
  </conditionalFormatting>
  <conditionalFormatting sqref="C16:C40">
    <cfRule type="dataBar" priority="21">
      <dataBar>
        <cfvo type="min"/>
        <cfvo type="max"/>
        <color rgb="FFFF555A"/>
      </dataBar>
      <extLst>
        <ext xmlns:x14="http://schemas.microsoft.com/office/spreadsheetml/2009/9/main" uri="{B025F937-C7B1-47D3-B67F-A62EFF666E3E}">
          <x14:id>{C1BBFC92-57EA-48AC-AE11-90958F4793D4}</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{90BEDA1F-AA35-4330-B6B1-170E34D2D1F7}</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{D047F015-8AE9-456A-8D97-C3F220480D62}</x14:id>
        </ext>
      </extLst>
    </cfRule>
  </conditionalFormatting>
  <conditionalFormatting sqref="I8:I11">
    <cfRule type="cellIs" dxfId="198" priority="1" operator="greaterThan">
      <formula>0</formula>
    </cfRule>
    <cfRule type="cellIs" dxfId="197" priority="2" operator="lessThan">
      <formula>0</formula>
    </cfRule>
  </conditionalFormatting>
  <pageMargins left="0.7" right="0.7" top="0.75" bottom="0.75" header="0.3" footer="0.3"/>
  <ignoredErrors>
    <ignoredError sqref="G8 H9 G10:H10"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3EBF9590-C105-4F1D-8764-BD559F1D8709}">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D0321F61-B95A-43BD-8D96-D68EF313B25B}">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9D9BDCE3-9D13-44DF-AFEC-8A765BBB2FA1}">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CE993918-D147-4EA0-94B8-6B1F93D65CA0}">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2D695EE9-5265-4FEB-8535-D91DC6D8B96D}">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23DF4240-A0EE-4FA8-A339-A119E10B62B0}">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B3407677-BB5F-4EF9-8137-74E99983F1B2}">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17A3288C-AFB3-4370-A108-9EDD7C3E61DD}">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6E26CD89-10E7-40FF-9A17-0F5A6F12E89B}">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380B538F-995B-46EA-A90C-3427D4D3AA00}">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C1BBFC92-57EA-48AC-AE11-90958F4793D4}">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90BEDA1F-AA35-4330-B6B1-170E34D2D1F7}">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D047F015-8AE9-456A-8D97-C3F220480D62}">
            <x14:dataBar minLength="0" maxLength="100" gradient="0">
              <x14:cfvo type="autoMin"/>
              <x14:cfvo type="autoMax"/>
              <x14:negativeFillColor rgb="FFFF0000"/>
              <x14:axisColor rgb="FF000000"/>
            </x14:dataBar>
          </x14:cfRule>
          <xm:sqref>H8:H11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71B1D-F44A-4842-AB1E-0DBE7B246031}">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Income134384246505458626670[[#This Row],[Actual]]-Income134384246505458626670[[#This Row],[Budget]]</f>
        <v>0</v>
      </c>
      <c r="F8" s="5" t="s">
        <v>61</v>
      </c>
      <c r="G8" s="9">
        <f>Income134384246505458626670[[#Totals],[Budget]]</f>
        <v>0</v>
      </c>
      <c r="H8" s="9">
        <f>Income134384246505458626670[[#Totals],[Actual]]</f>
        <v>0</v>
      </c>
      <c r="I8" s="9">
        <f>Budget_Summary37414549535761656973[[#This Row],[Budget]]-Budget_Summary37414549535761656973[[#This Row],[Actual]]</f>
        <v>0</v>
      </c>
    </row>
    <row r="9" spans="1:16" x14ac:dyDescent="0.25">
      <c r="A9" s="4" t="s">
        <v>4</v>
      </c>
      <c r="B9" s="7"/>
      <c r="C9" s="7"/>
      <c r="D9" s="8">
        <f>Income134384246505458626670[[#This Row],[Actual]]-Income134384246505458626670[[#This Row],[Budget]]</f>
        <v>0</v>
      </c>
      <c r="F9" s="5" t="s">
        <v>17</v>
      </c>
      <c r="G9" s="9">
        <f>Fixed_Expense1035394347515559636771[[#Totals],[Budget]]</f>
        <v>0</v>
      </c>
      <c r="H9" s="9">
        <f>Fixed_Expense1035394347515559636771[[#Totals],[Actual]]</f>
        <v>0</v>
      </c>
      <c r="I9" s="9">
        <f>Budget_Summary37414549535761656973[[#This Row],[Budget]]-Budget_Summary37414549535761656973[[#This Row],[Actual]]</f>
        <v>0</v>
      </c>
    </row>
    <row r="10" spans="1:16" x14ac:dyDescent="0.25">
      <c r="A10" s="4" t="s">
        <v>5</v>
      </c>
      <c r="B10" s="7"/>
      <c r="C10" s="7"/>
      <c r="D10" s="8">
        <f>Income134384246505458626670[[#This Row],[Actual]]-Income134384246505458626670[[#This Row],[Budget]]</f>
        <v>0</v>
      </c>
      <c r="F10" s="6" t="s">
        <v>37</v>
      </c>
      <c r="G10" s="10">
        <f>Variable_Expense1136404448525660646872[[#Totals],[Budget]]</f>
        <v>0</v>
      </c>
      <c r="H10" s="10">
        <f>Variable_Expense1136404448525660646872[[#Totals],[Actual ]]</f>
        <v>0</v>
      </c>
      <c r="I10" s="9">
        <f>Budget_Summary37414549535761656973[[#This Row],[Budget]]-Budget_Summary37414549535761656973[[#This Row],[Actual]]</f>
        <v>0</v>
      </c>
    </row>
    <row r="11" spans="1:16" x14ac:dyDescent="0.25">
      <c r="A11" s="5" t="s">
        <v>6</v>
      </c>
      <c r="B11" s="7">
        <f>SUBTOTAL(109,Income134384246505458626670[Budget])</f>
        <v>0</v>
      </c>
      <c r="C11" s="7">
        <f>SUBTOTAL(109,Income134384246505458626670[Actual])</f>
        <v>0</v>
      </c>
      <c r="D11" s="7">
        <f>SUBTOTAL(109,Income134384246505458626670[Difference])</f>
        <v>0</v>
      </c>
      <c r="F11" s="5" t="s">
        <v>6</v>
      </c>
      <c r="G11" s="17">
        <f>G8-(G9+G10)</f>
        <v>0</v>
      </c>
      <c r="H11" s="17">
        <f>H8-(H9+H10)</f>
        <v>0</v>
      </c>
      <c r="I11" s="17">
        <f>SUBTOTAL(109,Budget_Summary37414549535761656973[Difference])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Fixed_Expense1035394347515559636771[[#This Row],[Budget]]-Fixed_Expense1035394347515559636771[[#This Row],[Actual]]</f>
        <v>0</v>
      </c>
      <c r="F16" s="5" t="s">
        <v>9</v>
      </c>
      <c r="G16" s="14"/>
      <c r="H16" s="14"/>
      <c r="I16" s="14">
        <f>Variable_Expense1136404448525660646872[[#This Row],[Budget]]-Variable_Expense1136404448525660646872[[#This Row],[Actual ]]</f>
        <v>0</v>
      </c>
      <c r="N16" s="13"/>
      <c r="O16" s="13"/>
      <c r="P16" s="13"/>
    </row>
    <row r="17" spans="1:16" x14ac:dyDescent="0.25">
      <c r="A17" s="5" t="s">
        <v>19</v>
      </c>
      <c r="B17" s="9"/>
      <c r="C17" s="9"/>
      <c r="D17" s="9">
        <f>Fixed_Expense1035394347515559636771[[#This Row],[Budget]]-Fixed_Expense1035394347515559636771[[#This Row],[Actual]]</f>
        <v>0</v>
      </c>
      <c r="F17" s="5" t="s">
        <v>10</v>
      </c>
      <c r="G17" s="14"/>
      <c r="H17" s="14"/>
      <c r="I17" s="14">
        <f>Variable_Expense1136404448525660646872[[#This Row],[Budget]]-Variable_Expense1136404448525660646872[[#This Row],[Actual ]]</f>
        <v>0</v>
      </c>
      <c r="N17" s="13"/>
      <c r="O17" s="13"/>
      <c r="P17" s="13"/>
    </row>
    <row r="18" spans="1:16" x14ac:dyDescent="0.25">
      <c r="A18" s="5" t="s">
        <v>22</v>
      </c>
      <c r="B18" s="9"/>
      <c r="C18" s="9"/>
      <c r="D18" s="9">
        <f>Fixed_Expense1035394347515559636771[[#This Row],[Budget]]-Fixed_Expense1035394347515559636771[[#This Row],[Actual]]</f>
        <v>0</v>
      </c>
      <c r="F18" s="5" t="s">
        <v>39</v>
      </c>
      <c r="G18" s="14"/>
      <c r="H18" s="14"/>
      <c r="I18" s="14">
        <f>Variable_Expense1136404448525660646872[[#This Row],[Budget]]-Variable_Expense1136404448525660646872[[#This Row],[Actual ]]</f>
        <v>0</v>
      </c>
      <c r="N18" s="13"/>
      <c r="O18" s="13"/>
      <c r="P18" s="13"/>
    </row>
    <row r="19" spans="1:16" x14ac:dyDescent="0.25">
      <c r="A19" s="5" t="s">
        <v>20</v>
      </c>
      <c r="B19" s="9"/>
      <c r="C19" s="9"/>
      <c r="D19" s="9">
        <f>Fixed_Expense1035394347515559636771[[#This Row],[Budget]]-Fixed_Expense1035394347515559636771[[#This Row],[Actual]]</f>
        <v>0</v>
      </c>
      <c r="F19" s="5" t="s">
        <v>40</v>
      </c>
      <c r="G19" s="14"/>
      <c r="H19" s="14"/>
      <c r="I19" s="14">
        <f>Variable_Expense1136404448525660646872[[#This Row],[Budget]]-Variable_Expense1136404448525660646872[[#This Row],[Actual ]]</f>
        <v>0</v>
      </c>
      <c r="N19" s="13"/>
      <c r="O19" s="13"/>
      <c r="P19" s="13"/>
    </row>
    <row r="20" spans="1:16" x14ac:dyDescent="0.25">
      <c r="A20" s="5" t="s">
        <v>21</v>
      </c>
      <c r="B20" s="9"/>
      <c r="C20" s="9"/>
      <c r="D20" s="9">
        <f>Fixed_Expense1035394347515559636771[[#This Row],[Budget]]-Fixed_Expense1035394347515559636771[[#This Row],[Actual]]</f>
        <v>0</v>
      </c>
      <c r="F20" s="5" t="s">
        <v>41</v>
      </c>
      <c r="G20" s="14"/>
      <c r="H20" s="14"/>
      <c r="I20" s="14">
        <f>Variable_Expense1136404448525660646872[[#This Row],[Budget]]-Variable_Expense1136404448525660646872[[#This Row],[Actual ]]</f>
        <v>0</v>
      </c>
      <c r="N20" s="13"/>
      <c r="O20" s="13"/>
      <c r="P20" s="13"/>
    </row>
    <row r="21" spans="1:16" x14ac:dyDescent="0.25">
      <c r="A21" s="5" t="s">
        <v>11</v>
      </c>
      <c r="B21" s="9"/>
      <c r="C21" s="9"/>
      <c r="D21" s="9">
        <f>Fixed_Expense1035394347515559636771[[#This Row],[Budget]]-Fixed_Expense1035394347515559636771[[#This Row],[Actual]]</f>
        <v>0</v>
      </c>
      <c r="F21" s="5" t="s">
        <v>42</v>
      </c>
      <c r="G21" s="14"/>
      <c r="H21" s="14"/>
      <c r="I21" s="14">
        <f>Variable_Expense1136404448525660646872[[#This Row],[Budget]]-Variable_Expense1136404448525660646872[[#This Row],[Actual ]]</f>
        <v>0</v>
      </c>
      <c r="N21" s="13"/>
      <c r="O21" s="13"/>
      <c r="P21" s="13"/>
    </row>
    <row r="22" spans="1:16" x14ac:dyDescent="0.25">
      <c r="A22" s="5" t="s">
        <v>12</v>
      </c>
      <c r="B22" s="9"/>
      <c r="C22" s="9"/>
      <c r="D22" s="9">
        <f>Fixed_Expense1035394347515559636771[[#This Row],[Budget]]-Fixed_Expense1035394347515559636771[[#This Row],[Actual]]</f>
        <v>0</v>
      </c>
      <c r="F22" s="5" t="s">
        <v>43</v>
      </c>
      <c r="G22" s="14"/>
      <c r="H22" s="14"/>
      <c r="I22" s="14">
        <f>Variable_Expense1136404448525660646872[[#This Row],[Budget]]-Variable_Expense1136404448525660646872[[#This Row],[Actual ]]</f>
        <v>0</v>
      </c>
      <c r="N22" s="13"/>
      <c r="O22" s="13"/>
      <c r="P22" s="13"/>
    </row>
    <row r="23" spans="1:16" x14ac:dyDescent="0.25">
      <c r="A23" s="5" t="s">
        <v>13</v>
      </c>
      <c r="B23" s="9"/>
      <c r="C23" s="9"/>
      <c r="D23" s="9">
        <f>Fixed_Expense1035394347515559636771[[#This Row],[Budget]]-Fixed_Expense1035394347515559636771[[#This Row],[Actual]]</f>
        <v>0</v>
      </c>
      <c r="F23" s="5" t="s">
        <v>44</v>
      </c>
      <c r="G23" s="14"/>
      <c r="H23" s="14"/>
      <c r="I23" s="14">
        <f>Variable_Expense1136404448525660646872[[#This Row],[Budget]]-Variable_Expense1136404448525660646872[[#This Row],[Actual ]]</f>
        <v>0</v>
      </c>
      <c r="N23" s="13"/>
      <c r="O23" s="13"/>
      <c r="P23" s="13"/>
    </row>
    <row r="24" spans="1:16" x14ac:dyDescent="0.25">
      <c r="A24" s="5" t="s">
        <v>14</v>
      </c>
      <c r="B24" s="9"/>
      <c r="C24" s="9"/>
      <c r="D24" s="9">
        <f>Fixed_Expense1035394347515559636771[[#This Row],[Budget]]-Fixed_Expense1035394347515559636771[[#This Row],[Actual]]</f>
        <v>0</v>
      </c>
      <c r="F24" s="5" t="s">
        <v>45</v>
      </c>
      <c r="G24" s="14"/>
      <c r="H24" s="14"/>
      <c r="I24" s="14">
        <f>Variable_Expense1136404448525660646872[[#This Row],[Budget]]-Variable_Expense1136404448525660646872[[#This Row],[Actual ]]</f>
        <v>0</v>
      </c>
      <c r="N24" s="13"/>
      <c r="O24" s="13"/>
      <c r="P24" s="13"/>
    </row>
    <row r="25" spans="1:16" x14ac:dyDescent="0.25">
      <c r="A25" s="5" t="s">
        <v>23</v>
      </c>
      <c r="B25" s="9"/>
      <c r="C25" s="9"/>
      <c r="D25" s="9">
        <f>Fixed_Expense1035394347515559636771[[#This Row],[Budget]]-Fixed_Expense1035394347515559636771[[#This Row],[Actual]]</f>
        <v>0</v>
      </c>
      <c r="F25" s="5" t="s">
        <v>46</v>
      </c>
      <c r="G25" s="14"/>
      <c r="H25" s="14"/>
      <c r="I25" s="14">
        <f>Variable_Expense1136404448525660646872[[#This Row],[Budget]]-Variable_Expense1136404448525660646872[[#This Row],[Actual ]]</f>
        <v>0</v>
      </c>
      <c r="N25" s="13"/>
      <c r="O25" s="13"/>
      <c r="P25" s="13"/>
    </row>
    <row r="26" spans="1:16" x14ac:dyDescent="0.25">
      <c r="A26" s="5" t="s">
        <v>24</v>
      </c>
      <c r="B26" s="9"/>
      <c r="C26" s="9"/>
      <c r="D26" s="9">
        <f>Fixed_Expense1035394347515559636771[[#This Row],[Budget]]-Fixed_Expense1035394347515559636771[[#This Row],[Actual]]</f>
        <v>0</v>
      </c>
      <c r="F26" s="5" t="s">
        <v>47</v>
      </c>
      <c r="G26" s="14"/>
      <c r="H26" s="14"/>
      <c r="I26" s="14">
        <f>Variable_Expense1136404448525660646872[[#This Row],[Budget]]-Variable_Expense1136404448525660646872[[#This Row],[Actual ]]</f>
        <v>0</v>
      </c>
      <c r="N26" s="13"/>
      <c r="O26" s="13"/>
      <c r="P26" s="13"/>
    </row>
    <row r="27" spans="1:16" x14ac:dyDescent="0.25">
      <c r="A27" s="5" t="s">
        <v>25</v>
      </c>
      <c r="B27" s="9"/>
      <c r="C27" s="9"/>
      <c r="D27" s="9">
        <f>Fixed_Expense1035394347515559636771[[#This Row],[Budget]]-Fixed_Expense1035394347515559636771[[#This Row],[Actual]]</f>
        <v>0</v>
      </c>
      <c r="F27" s="5" t="s">
        <v>48</v>
      </c>
      <c r="G27" s="14"/>
      <c r="H27" s="14"/>
      <c r="I27" s="14">
        <f>Variable_Expense1136404448525660646872[[#This Row],[Budget]]-Variable_Expense1136404448525660646872[[#This Row],[Actual ]]</f>
        <v>0</v>
      </c>
      <c r="N27" s="13"/>
      <c r="O27" s="13"/>
      <c r="P27" s="13"/>
    </row>
    <row r="28" spans="1:16" x14ac:dyDescent="0.25">
      <c r="A28" s="5" t="s">
        <v>26</v>
      </c>
      <c r="B28" s="9"/>
      <c r="C28" s="9"/>
      <c r="D28" s="9">
        <f>Fixed_Expense1035394347515559636771[[#This Row],[Budget]]-Fixed_Expense1035394347515559636771[[#This Row],[Actual]]</f>
        <v>0</v>
      </c>
      <c r="F28" s="5" t="s">
        <v>49</v>
      </c>
      <c r="G28" s="14"/>
      <c r="H28" s="14"/>
      <c r="I28" s="14">
        <f>Variable_Expense1136404448525660646872[[#This Row],[Budget]]-Variable_Expense1136404448525660646872[[#This Row],[Actual ]]</f>
        <v>0</v>
      </c>
      <c r="N28" s="13"/>
      <c r="O28" s="13"/>
      <c r="P28" s="13"/>
    </row>
    <row r="29" spans="1:16" x14ac:dyDescent="0.25">
      <c r="A29" s="5" t="s">
        <v>27</v>
      </c>
      <c r="B29" s="9"/>
      <c r="C29" s="9"/>
      <c r="D29" s="9">
        <f>Fixed_Expense1035394347515559636771[[#This Row],[Budget]]-Fixed_Expense1035394347515559636771[[#This Row],[Actual]]</f>
        <v>0</v>
      </c>
      <c r="F29" s="5" t="s">
        <v>50</v>
      </c>
      <c r="G29" s="14"/>
      <c r="H29" s="14"/>
      <c r="I29" s="14">
        <f>Variable_Expense1136404448525660646872[[#This Row],[Budget]]-Variable_Expense1136404448525660646872[[#This Row],[Actual ]]</f>
        <v>0</v>
      </c>
      <c r="N29" s="13"/>
      <c r="O29" s="13"/>
      <c r="P29" s="13"/>
    </row>
    <row r="30" spans="1:16" x14ac:dyDescent="0.25">
      <c r="A30" s="5" t="s">
        <v>28</v>
      </c>
      <c r="B30" s="9"/>
      <c r="C30" s="9"/>
      <c r="D30" s="9">
        <f>Fixed_Expense1035394347515559636771[[#This Row],[Budget]]-Fixed_Expense1035394347515559636771[[#This Row],[Actual]]</f>
        <v>0</v>
      </c>
      <c r="F30" s="5" t="s">
        <v>51</v>
      </c>
      <c r="G30" s="14"/>
      <c r="H30" s="14"/>
      <c r="I30" s="14">
        <f>Variable_Expense1136404448525660646872[[#This Row],[Budget]]-Variable_Expense1136404448525660646872[[#This Row],[Actual ]]</f>
        <v>0</v>
      </c>
      <c r="N30" s="13"/>
      <c r="O30" s="13"/>
      <c r="P30" s="13"/>
    </row>
    <row r="31" spans="1:16" x14ac:dyDescent="0.25">
      <c r="A31" s="5" t="s">
        <v>29</v>
      </c>
      <c r="B31" s="9"/>
      <c r="C31" s="9"/>
      <c r="D31" s="9">
        <f>Fixed_Expense1035394347515559636771[[#This Row],[Budget]]-Fixed_Expense1035394347515559636771[[#This Row],[Actual]]</f>
        <v>0</v>
      </c>
      <c r="F31" s="5" t="s">
        <v>52</v>
      </c>
      <c r="G31" s="14"/>
      <c r="H31" s="14"/>
      <c r="I31" s="14">
        <f>Variable_Expense1136404448525660646872[[#This Row],[Budget]]-Variable_Expense1136404448525660646872[[#This Row],[Actual ]]</f>
        <v>0</v>
      </c>
    </row>
    <row r="32" spans="1:16" x14ac:dyDescent="0.25">
      <c r="A32" s="5" t="s">
        <v>30</v>
      </c>
      <c r="B32" s="9"/>
      <c r="C32" s="9"/>
      <c r="D32" s="9">
        <f>Fixed_Expense1035394347515559636771[[#This Row],[Budget]]-Fixed_Expense1035394347515559636771[[#This Row],[Actual]]</f>
        <v>0</v>
      </c>
      <c r="F32" s="5" t="s">
        <v>53</v>
      </c>
      <c r="G32" s="14"/>
      <c r="H32" s="14"/>
      <c r="I32" s="14">
        <f>Variable_Expense1136404448525660646872[[#This Row],[Budget]]-Variable_Expense1136404448525660646872[[#This Row],[Actual ]]</f>
        <v>0</v>
      </c>
    </row>
    <row r="33" spans="1:9" x14ac:dyDescent="0.25">
      <c r="A33" s="5" t="s">
        <v>31</v>
      </c>
      <c r="B33" s="9"/>
      <c r="C33" s="9"/>
      <c r="D33" s="9">
        <f>Fixed_Expense1035394347515559636771[[#This Row],[Budget]]-Fixed_Expense1035394347515559636771[[#This Row],[Actual]]</f>
        <v>0</v>
      </c>
      <c r="F33" s="5" t="s">
        <v>54</v>
      </c>
      <c r="G33" s="14"/>
      <c r="H33" s="14"/>
      <c r="I33" s="14">
        <f>Variable_Expense1136404448525660646872[[#This Row],[Budget]]-Variable_Expense1136404448525660646872[[#This Row],[Actual ]]</f>
        <v>0</v>
      </c>
    </row>
    <row r="34" spans="1:9" x14ac:dyDescent="0.25">
      <c r="A34" s="5" t="s">
        <v>32</v>
      </c>
      <c r="B34" s="9"/>
      <c r="C34" s="9"/>
      <c r="D34" s="9">
        <f>Fixed_Expense1035394347515559636771[[#This Row],[Budget]]-Fixed_Expense1035394347515559636771[[#This Row],[Actual]]</f>
        <v>0</v>
      </c>
      <c r="F34" s="5" t="s">
        <v>55</v>
      </c>
      <c r="G34" s="14"/>
      <c r="H34" s="14"/>
      <c r="I34" s="14">
        <f>Variable_Expense1136404448525660646872[[#This Row],[Budget]]-Variable_Expense1136404448525660646872[[#This Row],[Actual ]]</f>
        <v>0</v>
      </c>
    </row>
    <row r="35" spans="1:9" x14ac:dyDescent="0.25">
      <c r="A35" s="5" t="s">
        <v>33</v>
      </c>
      <c r="B35" s="9"/>
      <c r="C35" s="9"/>
      <c r="D35" s="9">
        <f>Fixed_Expense1035394347515559636771[[#This Row],[Budget]]-Fixed_Expense1035394347515559636771[[#This Row],[Actual]]</f>
        <v>0</v>
      </c>
      <c r="F35" s="5" t="s">
        <v>56</v>
      </c>
      <c r="G35" s="14"/>
      <c r="H35" s="14"/>
      <c r="I35" s="14">
        <f>Variable_Expense1136404448525660646872[[#This Row],[Budget]]-Variable_Expense1136404448525660646872[[#This Row],[Actual ]]</f>
        <v>0</v>
      </c>
    </row>
    <row r="36" spans="1:9" x14ac:dyDescent="0.25">
      <c r="A36" s="5" t="s">
        <v>34</v>
      </c>
      <c r="B36" s="9"/>
      <c r="C36" s="9"/>
      <c r="D36" s="9">
        <f>Fixed_Expense1035394347515559636771[[#This Row],[Budget]]-Fixed_Expense1035394347515559636771[[#This Row],[Actual]]</f>
        <v>0</v>
      </c>
      <c r="F36" s="5" t="s">
        <v>57</v>
      </c>
      <c r="G36" s="14"/>
      <c r="H36" s="14"/>
      <c r="I36" s="14">
        <f>Variable_Expense1136404448525660646872[[#This Row],[Budget]]-Variable_Expense1136404448525660646872[[#This Row],[Actual ]]</f>
        <v>0</v>
      </c>
    </row>
    <row r="37" spans="1:9" x14ac:dyDescent="0.25">
      <c r="A37" s="5" t="s">
        <v>35</v>
      </c>
      <c r="B37" s="9"/>
      <c r="C37" s="9"/>
      <c r="D37" s="9">
        <f>Fixed_Expense1035394347515559636771[[#This Row],[Budget]]-Fixed_Expense1035394347515559636771[[#This Row],[Actual]]</f>
        <v>0</v>
      </c>
      <c r="F37" s="5" t="s">
        <v>15</v>
      </c>
      <c r="G37" s="14"/>
      <c r="H37" s="14"/>
      <c r="I37" s="14">
        <f>Variable_Expense1136404448525660646872[[#This Row],[Budget]]-Variable_Expense1136404448525660646872[[#This Row],[Actual ]]</f>
        <v>0</v>
      </c>
    </row>
    <row r="38" spans="1:9" x14ac:dyDescent="0.25">
      <c r="A38" s="5" t="s">
        <v>36</v>
      </c>
      <c r="B38" s="9"/>
      <c r="C38" s="9"/>
      <c r="D38" s="9">
        <f>Fixed_Expense1035394347515559636771[[#This Row],[Budget]]-Fixed_Expense1035394347515559636771[[#This Row],[Actual]]</f>
        <v>0</v>
      </c>
      <c r="F38" s="5" t="s">
        <v>15</v>
      </c>
      <c r="G38" s="14"/>
      <c r="H38" s="14"/>
      <c r="I38" s="14">
        <f>Variable_Expense1136404448525660646872[[#This Row],[Budget]]-Variable_Expense1136404448525660646872[[#This Row],[Actual ]]</f>
        <v>0</v>
      </c>
    </row>
    <row r="39" spans="1:9" x14ac:dyDescent="0.25">
      <c r="A39" s="6" t="s">
        <v>15</v>
      </c>
      <c r="B39" s="10"/>
      <c r="C39" s="10"/>
      <c r="D39" s="10">
        <f>Fixed_Expense1035394347515559636771[[#This Row],[Budget]]-Fixed_Expense1035394347515559636771[[#This Row],[Actual]]</f>
        <v>0</v>
      </c>
      <c r="F39" s="5" t="s">
        <v>15</v>
      </c>
      <c r="G39" s="14"/>
      <c r="H39" s="14"/>
      <c r="I39" s="14">
        <f>Variable_Expense1136404448525660646872[[#This Row],[Budget]]-Variable_Expense1136404448525660646872[[#This Row],[Actual ]]</f>
        <v>0</v>
      </c>
    </row>
    <row r="40" spans="1:9" x14ac:dyDescent="0.25">
      <c r="A40" s="5" t="s">
        <v>6</v>
      </c>
      <c r="B40" s="17">
        <f>SUBTOTAL(109,Fixed_Expense1035394347515559636771[Budget])</f>
        <v>0</v>
      </c>
      <c r="C40" s="17">
        <f>SUBTOTAL(109,Fixed_Expense1035394347515559636771[Actual])</f>
        <v>0</v>
      </c>
      <c r="D40" s="17">
        <f>SUBTOTAL(109,Fixed_Expense1035394347515559636771[Difference])</f>
        <v>0</v>
      </c>
      <c r="F40" s="5" t="s">
        <v>6</v>
      </c>
      <c r="G40" s="17">
        <f>SUBTOTAL(109,Variable_Expense1136404448525660646872[Budget])</f>
        <v>0</v>
      </c>
      <c r="H40" s="17">
        <f>SUBTOTAL(109,Variable_Expense1136404448525660646872[[Actual ]])</f>
        <v>0</v>
      </c>
      <c r="I40" s="18">
        <f>SUBTOTAL(109,Variable_Expense1136404448525660646872[Difference])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19">
      <dataBar>
        <cfvo type="min"/>
        <cfvo type="max"/>
        <color rgb="FF638EC6"/>
      </dataBar>
      <extLst>
        <ext xmlns:x14="http://schemas.microsoft.com/office/spreadsheetml/2009/9/main" uri="{B025F937-C7B1-47D3-B67F-A62EFF666E3E}">
          <x14:id>{C580BB5C-0D2A-4088-85AD-ADB55E5E9BA8}</x14:id>
        </ext>
      </extLst>
    </cfRule>
  </conditionalFormatting>
  <conditionalFormatting sqref="B8:B10">
    <cfRule type="dataBar" priority="18">
      <dataBar>
        <cfvo type="min"/>
        <cfvo type="max"/>
        <color rgb="FF638EC6"/>
      </dataBar>
      <extLst>
        <ext xmlns:x14="http://schemas.microsoft.com/office/spreadsheetml/2009/9/main" uri="{B025F937-C7B1-47D3-B67F-A62EFF666E3E}">
          <x14:id>{816B8369-8FCD-4303-B78B-DAC125D5F22E}</x14:id>
        </ext>
      </extLst>
    </cfRule>
  </conditionalFormatting>
  <conditionalFormatting sqref="C8:C10">
    <cfRule type="dataBar" priority="17">
      <dataBar>
        <cfvo type="min"/>
        <cfvo type="max"/>
        <color rgb="FF63C384"/>
      </dataBar>
      <extLst>
        <ext xmlns:x14="http://schemas.microsoft.com/office/spreadsheetml/2009/9/main" uri="{B025F937-C7B1-47D3-B67F-A62EFF666E3E}">
          <x14:id>{44316855-98C9-494D-AE51-678284D1C34B}</x14:id>
        </ext>
      </extLst>
    </cfRule>
  </conditionalFormatting>
  <conditionalFormatting sqref="N17:N30">
    <cfRule type="dataBar" priority="14">
      <dataBar>
        <cfvo type="min"/>
        <cfvo type="max"/>
        <color rgb="FFFF555A"/>
      </dataBar>
      <extLst>
        <ext xmlns:x14="http://schemas.microsoft.com/office/spreadsheetml/2009/9/main" uri="{B025F937-C7B1-47D3-B67F-A62EFF666E3E}">
          <x14:id>{220C7C8F-4F32-4183-A0ED-EA6BF3A8B202}</x14:id>
        </ext>
      </extLst>
    </cfRule>
  </conditionalFormatting>
  <conditionalFormatting sqref="O17:O30">
    <cfRule type="dataBar" priority="13">
      <dataBar>
        <cfvo type="min"/>
        <cfvo type="max"/>
        <color rgb="FFFF555A"/>
      </dataBar>
      <extLst>
        <ext xmlns:x14="http://schemas.microsoft.com/office/spreadsheetml/2009/9/main" uri="{B025F937-C7B1-47D3-B67F-A62EFF666E3E}">
          <x14:id>{8C8E79E4-3B8E-48D0-A661-60F7CBD969D9}</x14:id>
        </ext>
      </extLst>
    </cfRule>
  </conditionalFormatting>
  <conditionalFormatting sqref="P17:P30 D16:D40">
    <cfRule type="cellIs" dxfId="151" priority="11" operator="greaterThan">
      <formula>0</formula>
    </cfRule>
    <cfRule type="cellIs" dxfId="150" priority="12"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{1148EC11-1B9D-41F4-8CC3-865EBAEB23D7}</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{4AEBA6B1-6FA8-4E35-8323-2AF22A41EB8D}</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{591DF7C3-93FF-4D3B-B852-29AD0DA6D714}</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{91FE4855-D1B7-4554-93E4-63B62DEB8F41}</x14:id>
        </ext>
      </extLst>
    </cfRule>
  </conditionalFormatting>
  <conditionalFormatting sqref="D8:D11">
    <cfRule type="cellIs" dxfId="149" priority="15" operator="greaterThan">
      <formula>0</formula>
    </cfRule>
    <cfRule type="cellIs" dxfId="148" priority="16" operator="lessThan">
      <formula>0</formula>
    </cfRule>
  </conditionalFormatting>
  <conditionalFormatting sqref="I16:I40">
    <cfRule type="cellIs" dxfId="147" priority="7" operator="greaterThan">
      <formula>0</formula>
    </cfRule>
    <cfRule type="cellIs" dxfId="146" priority="8" operator="lessThan">
      <formula>0</formula>
    </cfRule>
  </conditionalFormatting>
  <conditionalFormatting sqref="B16:B40">
    <cfRule type="dataBar" priority="20">
      <dataBar>
        <cfvo type="min"/>
        <cfvo type="max"/>
        <color rgb="FFFF555A"/>
      </dataBar>
      <extLst>
        <ext xmlns:x14="http://schemas.microsoft.com/office/spreadsheetml/2009/9/main" uri="{B025F937-C7B1-47D3-B67F-A62EFF666E3E}">
          <x14:id>{6DDB5E48-F9B2-4D2B-A318-16C41B2137B4}</x14:id>
        </ext>
      </extLst>
    </cfRule>
  </conditionalFormatting>
  <conditionalFormatting sqref="C16:C40">
    <cfRule type="dataBar" priority="21">
      <dataBar>
        <cfvo type="min"/>
        <cfvo type="max"/>
        <color rgb="FFFF555A"/>
      </dataBar>
      <extLst>
        <ext xmlns:x14="http://schemas.microsoft.com/office/spreadsheetml/2009/9/main" uri="{B025F937-C7B1-47D3-B67F-A62EFF666E3E}">
          <x14:id>{B73E7CD0-E2CA-4124-93F2-052BF6CB95F9}</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{E484E9F7-A137-4426-9CE5-A0E0B161F9F3}</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{6080AA36-13C6-4B33-A288-F1DE77ACF4C8}</x14:id>
        </ext>
      </extLst>
    </cfRule>
  </conditionalFormatting>
  <conditionalFormatting sqref="I8:I11">
    <cfRule type="cellIs" dxfId="145" priority="1" operator="greaterThan">
      <formula>0</formula>
    </cfRule>
    <cfRule type="cellIs" dxfId="144" priority="2" operator="lessThan">
      <formula>0</formula>
    </cfRule>
  </conditionalFormatting>
  <pageMargins left="0.7" right="0.7" top="0.75" bottom="0.75" header="0.3" footer="0.3"/>
  <ignoredErrors>
    <ignoredError sqref="G8 H9 G10:H10"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C580BB5C-0D2A-4088-85AD-ADB55E5E9BA8}">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816B8369-8FCD-4303-B78B-DAC125D5F22E}">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44316855-98C9-494D-AE51-678284D1C34B}">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220C7C8F-4F32-4183-A0ED-EA6BF3A8B202}">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8C8E79E4-3B8E-48D0-A661-60F7CBD969D9}">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1148EC11-1B9D-41F4-8CC3-865EBAEB23D7}">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4AEBA6B1-6FA8-4E35-8323-2AF22A41EB8D}">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591DF7C3-93FF-4D3B-B852-29AD0DA6D714}">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91FE4855-D1B7-4554-93E4-63B62DEB8F41}">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6DDB5E48-F9B2-4D2B-A318-16C41B2137B4}">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B73E7CD0-E2CA-4124-93F2-052BF6CB95F9}">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E484E9F7-A137-4426-9CE5-A0E0B161F9F3}">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6080AA36-13C6-4B33-A288-F1DE77ACF4C8}">
            <x14:dataBar minLength="0" maxLength="100" gradient="0">
              <x14:cfvo type="autoMin"/>
              <x14:cfvo type="autoMax"/>
              <x14:negativeFillColor rgb="FFFF0000"/>
              <x14:axisColor rgb="FF000000"/>
            </x14:dataBar>
          </x14:cfRule>
          <xm:sqref>H8:H11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86F67-C94E-42CB-85BE-6C451A9215E3}">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Income13438424650545862667074[[#This Row],[Actual]]-Income13438424650545862667074[[#This Row],[Budget]]</f>
        <v>0</v>
      </c>
      <c r="F8" s="5" t="s">
        <v>61</v>
      </c>
      <c r="G8" s="9">
        <f>Income13438424650545862667074[[#Totals],[Budget]]</f>
        <v>0</v>
      </c>
      <c r="H8" s="9">
        <f>Income13438424650545862667074[[#Totals],[Actual]]</f>
        <v>0</v>
      </c>
      <c r="I8" s="9">
        <f>Budget_Summary3741454953576165697377[[#This Row],[Budget]]-Budget_Summary3741454953576165697377[[#This Row],[Actual]]</f>
        <v>0</v>
      </c>
    </row>
    <row r="9" spans="1:16" x14ac:dyDescent="0.25">
      <c r="A9" s="4" t="s">
        <v>4</v>
      </c>
      <c r="B9" s="7"/>
      <c r="C9" s="7"/>
      <c r="D9" s="8">
        <f>Income13438424650545862667074[[#This Row],[Actual]]-Income13438424650545862667074[[#This Row],[Budget]]</f>
        <v>0</v>
      </c>
      <c r="F9" s="5" t="s">
        <v>17</v>
      </c>
      <c r="G9" s="9">
        <f>Fixed_Expense103539434751555963677175[[#Totals],[Budget]]</f>
        <v>0</v>
      </c>
      <c r="H9" s="9">
        <f>Fixed_Expense103539434751555963677175[[#Totals],[Actual]]</f>
        <v>0</v>
      </c>
      <c r="I9" s="9">
        <f>Budget_Summary3741454953576165697377[[#This Row],[Budget]]-Budget_Summary3741454953576165697377[[#This Row],[Actual]]</f>
        <v>0</v>
      </c>
    </row>
    <row r="10" spans="1:16" x14ac:dyDescent="0.25">
      <c r="A10" s="4" t="s">
        <v>5</v>
      </c>
      <c r="B10" s="7"/>
      <c r="C10" s="7"/>
      <c r="D10" s="8">
        <f>Income13438424650545862667074[[#This Row],[Actual]]-Income13438424650545862667074[[#This Row],[Budget]]</f>
        <v>0</v>
      </c>
      <c r="F10" s="6" t="s">
        <v>37</v>
      </c>
      <c r="G10" s="10">
        <f>Variable_Expense113640444852566064687276[[#Totals],[Budget]]</f>
        <v>0</v>
      </c>
      <c r="H10" s="10">
        <f>Variable_Expense113640444852566064687276[[#Totals],[Actual ]]</f>
        <v>0</v>
      </c>
      <c r="I10" s="9">
        <f>Budget_Summary3741454953576165697377[[#This Row],[Budget]]-Budget_Summary3741454953576165697377[[#This Row],[Actual]]</f>
        <v>0</v>
      </c>
    </row>
    <row r="11" spans="1:16" x14ac:dyDescent="0.25">
      <c r="A11" s="5" t="s">
        <v>6</v>
      </c>
      <c r="B11" s="7">
        <f>SUBTOTAL(109,Income13438424650545862667074[Budget])</f>
        <v>0</v>
      </c>
      <c r="C11" s="7">
        <f>SUBTOTAL(109,Income13438424650545862667074[Actual])</f>
        <v>0</v>
      </c>
      <c r="D11" s="7">
        <f>SUBTOTAL(109,Income13438424650545862667074[Difference])</f>
        <v>0</v>
      </c>
      <c r="F11" s="5" t="s">
        <v>6</v>
      </c>
      <c r="G11" s="17">
        <f>G8-(G9+G10)</f>
        <v>0</v>
      </c>
      <c r="H11" s="17">
        <f>H8-(H9+H10)</f>
        <v>0</v>
      </c>
      <c r="I11" s="17">
        <f>SUBTOTAL(109,Budget_Summary3741454953576165697377[Difference])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Fixed_Expense103539434751555963677175[[#This Row],[Budget]]-Fixed_Expense103539434751555963677175[[#This Row],[Actual]]</f>
        <v>0</v>
      </c>
      <c r="F16" s="5" t="s">
        <v>9</v>
      </c>
      <c r="G16" s="14"/>
      <c r="H16" s="14"/>
      <c r="I16" s="14">
        <f>Variable_Expense113640444852566064687276[[#This Row],[Budget]]-Variable_Expense113640444852566064687276[[#This Row],[Actual ]]</f>
        <v>0</v>
      </c>
      <c r="N16" s="13"/>
      <c r="O16" s="13"/>
      <c r="P16" s="13"/>
    </row>
    <row r="17" spans="1:16" x14ac:dyDescent="0.25">
      <c r="A17" s="5" t="s">
        <v>19</v>
      </c>
      <c r="B17" s="9"/>
      <c r="C17" s="9"/>
      <c r="D17" s="9">
        <f>Fixed_Expense103539434751555963677175[[#This Row],[Budget]]-Fixed_Expense103539434751555963677175[[#This Row],[Actual]]</f>
        <v>0</v>
      </c>
      <c r="F17" s="5" t="s">
        <v>10</v>
      </c>
      <c r="G17" s="14"/>
      <c r="H17" s="14"/>
      <c r="I17" s="14">
        <f>Variable_Expense113640444852566064687276[[#This Row],[Budget]]-Variable_Expense113640444852566064687276[[#This Row],[Actual ]]</f>
        <v>0</v>
      </c>
      <c r="N17" s="13"/>
      <c r="O17" s="13"/>
      <c r="P17" s="13"/>
    </row>
    <row r="18" spans="1:16" x14ac:dyDescent="0.25">
      <c r="A18" s="5" t="s">
        <v>22</v>
      </c>
      <c r="B18" s="9"/>
      <c r="C18" s="9"/>
      <c r="D18" s="9">
        <f>Fixed_Expense103539434751555963677175[[#This Row],[Budget]]-Fixed_Expense103539434751555963677175[[#This Row],[Actual]]</f>
        <v>0</v>
      </c>
      <c r="F18" s="5" t="s">
        <v>39</v>
      </c>
      <c r="G18" s="14"/>
      <c r="H18" s="14"/>
      <c r="I18" s="14">
        <f>Variable_Expense113640444852566064687276[[#This Row],[Budget]]-Variable_Expense113640444852566064687276[[#This Row],[Actual ]]</f>
        <v>0</v>
      </c>
      <c r="N18" s="13"/>
      <c r="O18" s="13"/>
      <c r="P18" s="13"/>
    </row>
    <row r="19" spans="1:16" x14ac:dyDescent="0.25">
      <c r="A19" s="5" t="s">
        <v>20</v>
      </c>
      <c r="B19" s="9"/>
      <c r="C19" s="9"/>
      <c r="D19" s="9">
        <f>Fixed_Expense103539434751555963677175[[#This Row],[Budget]]-Fixed_Expense103539434751555963677175[[#This Row],[Actual]]</f>
        <v>0</v>
      </c>
      <c r="F19" s="5" t="s">
        <v>40</v>
      </c>
      <c r="G19" s="14"/>
      <c r="H19" s="14"/>
      <c r="I19" s="14">
        <f>Variable_Expense113640444852566064687276[[#This Row],[Budget]]-Variable_Expense113640444852566064687276[[#This Row],[Actual ]]</f>
        <v>0</v>
      </c>
      <c r="N19" s="13"/>
      <c r="O19" s="13"/>
      <c r="P19" s="13"/>
    </row>
    <row r="20" spans="1:16" x14ac:dyDescent="0.25">
      <c r="A20" s="5" t="s">
        <v>21</v>
      </c>
      <c r="B20" s="9"/>
      <c r="C20" s="9"/>
      <c r="D20" s="9">
        <f>Fixed_Expense103539434751555963677175[[#This Row],[Budget]]-Fixed_Expense103539434751555963677175[[#This Row],[Actual]]</f>
        <v>0</v>
      </c>
      <c r="F20" s="5" t="s">
        <v>41</v>
      </c>
      <c r="G20" s="14"/>
      <c r="H20" s="14"/>
      <c r="I20" s="14">
        <f>Variable_Expense113640444852566064687276[[#This Row],[Budget]]-Variable_Expense113640444852566064687276[[#This Row],[Actual ]]</f>
        <v>0</v>
      </c>
      <c r="N20" s="13"/>
      <c r="O20" s="13"/>
      <c r="P20" s="13"/>
    </row>
    <row r="21" spans="1:16" x14ac:dyDescent="0.25">
      <c r="A21" s="5" t="s">
        <v>11</v>
      </c>
      <c r="B21" s="9"/>
      <c r="C21" s="9"/>
      <c r="D21" s="9">
        <f>Fixed_Expense103539434751555963677175[[#This Row],[Budget]]-Fixed_Expense103539434751555963677175[[#This Row],[Actual]]</f>
        <v>0</v>
      </c>
      <c r="F21" s="5" t="s">
        <v>42</v>
      </c>
      <c r="G21" s="14"/>
      <c r="H21" s="14"/>
      <c r="I21" s="14">
        <f>Variable_Expense113640444852566064687276[[#This Row],[Budget]]-Variable_Expense113640444852566064687276[[#This Row],[Actual ]]</f>
        <v>0</v>
      </c>
      <c r="N21" s="13"/>
      <c r="O21" s="13"/>
      <c r="P21" s="13"/>
    </row>
    <row r="22" spans="1:16" x14ac:dyDescent="0.25">
      <c r="A22" s="5" t="s">
        <v>12</v>
      </c>
      <c r="B22" s="9"/>
      <c r="C22" s="9"/>
      <c r="D22" s="9">
        <f>Fixed_Expense103539434751555963677175[[#This Row],[Budget]]-Fixed_Expense103539434751555963677175[[#This Row],[Actual]]</f>
        <v>0</v>
      </c>
      <c r="F22" s="5" t="s">
        <v>43</v>
      </c>
      <c r="G22" s="14"/>
      <c r="H22" s="14"/>
      <c r="I22" s="14">
        <f>Variable_Expense113640444852566064687276[[#This Row],[Budget]]-Variable_Expense113640444852566064687276[[#This Row],[Actual ]]</f>
        <v>0</v>
      </c>
      <c r="N22" s="13"/>
      <c r="O22" s="13"/>
      <c r="P22" s="13"/>
    </row>
    <row r="23" spans="1:16" x14ac:dyDescent="0.25">
      <c r="A23" s="5" t="s">
        <v>13</v>
      </c>
      <c r="B23" s="9"/>
      <c r="C23" s="9"/>
      <c r="D23" s="9">
        <f>Fixed_Expense103539434751555963677175[[#This Row],[Budget]]-Fixed_Expense103539434751555963677175[[#This Row],[Actual]]</f>
        <v>0</v>
      </c>
      <c r="F23" s="5" t="s">
        <v>44</v>
      </c>
      <c r="G23" s="14"/>
      <c r="H23" s="14"/>
      <c r="I23" s="14">
        <f>Variable_Expense113640444852566064687276[[#This Row],[Budget]]-Variable_Expense113640444852566064687276[[#This Row],[Actual ]]</f>
        <v>0</v>
      </c>
      <c r="N23" s="13"/>
      <c r="O23" s="13"/>
      <c r="P23" s="13"/>
    </row>
    <row r="24" spans="1:16" x14ac:dyDescent="0.25">
      <c r="A24" s="5" t="s">
        <v>14</v>
      </c>
      <c r="B24" s="9"/>
      <c r="C24" s="9"/>
      <c r="D24" s="9">
        <f>Fixed_Expense103539434751555963677175[[#This Row],[Budget]]-Fixed_Expense103539434751555963677175[[#This Row],[Actual]]</f>
        <v>0</v>
      </c>
      <c r="F24" s="5" t="s">
        <v>45</v>
      </c>
      <c r="G24" s="14"/>
      <c r="H24" s="14"/>
      <c r="I24" s="14">
        <f>Variable_Expense113640444852566064687276[[#This Row],[Budget]]-Variable_Expense113640444852566064687276[[#This Row],[Actual ]]</f>
        <v>0</v>
      </c>
      <c r="N24" s="13"/>
      <c r="O24" s="13"/>
      <c r="P24" s="13"/>
    </row>
    <row r="25" spans="1:16" x14ac:dyDescent="0.25">
      <c r="A25" s="5" t="s">
        <v>23</v>
      </c>
      <c r="B25" s="9"/>
      <c r="C25" s="9"/>
      <c r="D25" s="9">
        <f>Fixed_Expense103539434751555963677175[[#This Row],[Budget]]-Fixed_Expense103539434751555963677175[[#This Row],[Actual]]</f>
        <v>0</v>
      </c>
      <c r="F25" s="5" t="s">
        <v>46</v>
      </c>
      <c r="G25" s="14"/>
      <c r="H25" s="14"/>
      <c r="I25" s="14">
        <f>Variable_Expense113640444852566064687276[[#This Row],[Budget]]-Variable_Expense113640444852566064687276[[#This Row],[Actual ]]</f>
        <v>0</v>
      </c>
      <c r="N25" s="13"/>
      <c r="O25" s="13"/>
      <c r="P25" s="13"/>
    </row>
    <row r="26" spans="1:16" x14ac:dyDescent="0.25">
      <c r="A26" s="5" t="s">
        <v>24</v>
      </c>
      <c r="B26" s="9"/>
      <c r="C26" s="9"/>
      <c r="D26" s="9">
        <f>Fixed_Expense103539434751555963677175[[#This Row],[Budget]]-Fixed_Expense103539434751555963677175[[#This Row],[Actual]]</f>
        <v>0</v>
      </c>
      <c r="F26" s="5" t="s">
        <v>47</v>
      </c>
      <c r="G26" s="14"/>
      <c r="H26" s="14"/>
      <c r="I26" s="14">
        <f>Variable_Expense113640444852566064687276[[#This Row],[Budget]]-Variable_Expense113640444852566064687276[[#This Row],[Actual ]]</f>
        <v>0</v>
      </c>
      <c r="N26" s="13"/>
      <c r="O26" s="13"/>
      <c r="P26" s="13"/>
    </row>
    <row r="27" spans="1:16" x14ac:dyDescent="0.25">
      <c r="A27" s="5" t="s">
        <v>25</v>
      </c>
      <c r="B27" s="9"/>
      <c r="C27" s="9"/>
      <c r="D27" s="9">
        <f>Fixed_Expense103539434751555963677175[[#This Row],[Budget]]-Fixed_Expense103539434751555963677175[[#This Row],[Actual]]</f>
        <v>0</v>
      </c>
      <c r="F27" s="5" t="s">
        <v>48</v>
      </c>
      <c r="G27" s="14"/>
      <c r="H27" s="14"/>
      <c r="I27" s="14">
        <f>Variable_Expense113640444852566064687276[[#This Row],[Budget]]-Variable_Expense113640444852566064687276[[#This Row],[Actual ]]</f>
        <v>0</v>
      </c>
      <c r="N27" s="13"/>
      <c r="O27" s="13"/>
      <c r="P27" s="13"/>
    </row>
    <row r="28" spans="1:16" x14ac:dyDescent="0.25">
      <c r="A28" s="5" t="s">
        <v>26</v>
      </c>
      <c r="B28" s="9"/>
      <c r="C28" s="9"/>
      <c r="D28" s="9">
        <f>Fixed_Expense103539434751555963677175[[#This Row],[Budget]]-Fixed_Expense103539434751555963677175[[#This Row],[Actual]]</f>
        <v>0</v>
      </c>
      <c r="F28" s="5" t="s">
        <v>49</v>
      </c>
      <c r="G28" s="14"/>
      <c r="H28" s="14"/>
      <c r="I28" s="14">
        <f>Variable_Expense113640444852566064687276[[#This Row],[Budget]]-Variable_Expense113640444852566064687276[[#This Row],[Actual ]]</f>
        <v>0</v>
      </c>
      <c r="N28" s="13"/>
      <c r="O28" s="13"/>
      <c r="P28" s="13"/>
    </row>
    <row r="29" spans="1:16" x14ac:dyDescent="0.25">
      <c r="A29" s="5" t="s">
        <v>27</v>
      </c>
      <c r="B29" s="9"/>
      <c r="C29" s="9"/>
      <c r="D29" s="9">
        <f>Fixed_Expense103539434751555963677175[[#This Row],[Budget]]-Fixed_Expense103539434751555963677175[[#This Row],[Actual]]</f>
        <v>0</v>
      </c>
      <c r="F29" s="5" t="s">
        <v>50</v>
      </c>
      <c r="G29" s="14"/>
      <c r="H29" s="14"/>
      <c r="I29" s="14">
        <f>Variable_Expense113640444852566064687276[[#This Row],[Budget]]-Variable_Expense113640444852566064687276[[#This Row],[Actual ]]</f>
        <v>0</v>
      </c>
      <c r="N29" s="13"/>
      <c r="O29" s="13"/>
      <c r="P29" s="13"/>
    </row>
    <row r="30" spans="1:16" x14ac:dyDescent="0.25">
      <c r="A30" s="5" t="s">
        <v>28</v>
      </c>
      <c r="B30" s="9"/>
      <c r="C30" s="9"/>
      <c r="D30" s="9">
        <f>Fixed_Expense103539434751555963677175[[#This Row],[Budget]]-Fixed_Expense103539434751555963677175[[#This Row],[Actual]]</f>
        <v>0</v>
      </c>
      <c r="F30" s="5" t="s">
        <v>51</v>
      </c>
      <c r="G30" s="14"/>
      <c r="H30" s="14"/>
      <c r="I30" s="14">
        <f>Variable_Expense113640444852566064687276[[#This Row],[Budget]]-Variable_Expense113640444852566064687276[[#This Row],[Actual ]]</f>
        <v>0</v>
      </c>
      <c r="N30" s="13"/>
      <c r="O30" s="13"/>
      <c r="P30" s="13"/>
    </row>
    <row r="31" spans="1:16" x14ac:dyDescent="0.25">
      <c r="A31" s="5" t="s">
        <v>29</v>
      </c>
      <c r="B31" s="9"/>
      <c r="C31" s="9"/>
      <c r="D31" s="9">
        <f>Fixed_Expense103539434751555963677175[[#This Row],[Budget]]-Fixed_Expense103539434751555963677175[[#This Row],[Actual]]</f>
        <v>0</v>
      </c>
      <c r="F31" s="5" t="s">
        <v>52</v>
      </c>
      <c r="G31" s="14"/>
      <c r="H31" s="14"/>
      <c r="I31" s="14">
        <f>Variable_Expense113640444852566064687276[[#This Row],[Budget]]-Variable_Expense113640444852566064687276[[#This Row],[Actual ]]</f>
        <v>0</v>
      </c>
    </row>
    <row r="32" spans="1:16" x14ac:dyDescent="0.25">
      <c r="A32" s="5" t="s">
        <v>30</v>
      </c>
      <c r="B32" s="9"/>
      <c r="C32" s="9"/>
      <c r="D32" s="9">
        <f>Fixed_Expense103539434751555963677175[[#This Row],[Budget]]-Fixed_Expense103539434751555963677175[[#This Row],[Actual]]</f>
        <v>0</v>
      </c>
      <c r="F32" s="5" t="s">
        <v>53</v>
      </c>
      <c r="G32" s="14"/>
      <c r="H32" s="14"/>
      <c r="I32" s="14">
        <f>Variable_Expense113640444852566064687276[[#This Row],[Budget]]-Variable_Expense113640444852566064687276[[#This Row],[Actual ]]</f>
        <v>0</v>
      </c>
    </row>
    <row r="33" spans="1:9" x14ac:dyDescent="0.25">
      <c r="A33" s="5" t="s">
        <v>31</v>
      </c>
      <c r="B33" s="9"/>
      <c r="C33" s="9"/>
      <c r="D33" s="9">
        <f>Fixed_Expense103539434751555963677175[[#This Row],[Budget]]-Fixed_Expense103539434751555963677175[[#This Row],[Actual]]</f>
        <v>0</v>
      </c>
      <c r="F33" s="5" t="s">
        <v>54</v>
      </c>
      <c r="G33" s="14"/>
      <c r="H33" s="14"/>
      <c r="I33" s="14">
        <f>Variable_Expense113640444852566064687276[[#This Row],[Budget]]-Variable_Expense113640444852566064687276[[#This Row],[Actual ]]</f>
        <v>0</v>
      </c>
    </row>
    <row r="34" spans="1:9" x14ac:dyDescent="0.25">
      <c r="A34" s="5" t="s">
        <v>32</v>
      </c>
      <c r="B34" s="9"/>
      <c r="C34" s="9"/>
      <c r="D34" s="9">
        <f>Fixed_Expense103539434751555963677175[[#This Row],[Budget]]-Fixed_Expense103539434751555963677175[[#This Row],[Actual]]</f>
        <v>0</v>
      </c>
      <c r="F34" s="5" t="s">
        <v>55</v>
      </c>
      <c r="G34" s="14"/>
      <c r="H34" s="14"/>
      <c r="I34" s="14">
        <f>Variable_Expense113640444852566064687276[[#This Row],[Budget]]-Variable_Expense113640444852566064687276[[#This Row],[Actual ]]</f>
        <v>0</v>
      </c>
    </row>
    <row r="35" spans="1:9" x14ac:dyDescent="0.25">
      <c r="A35" s="5" t="s">
        <v>33</v>
      </c>
      <c r="B35" s="9"/>
      <c r="C35" s="9"/>
      <c r="D35" s="9">
        <f>Fixed_Expense103539434751555963677175[[#This Row],[Budget]]-Fixed_Expense103539434751555963677175[[#This Row],[Actual]]</f>
        <v>0</v>
      </c>
      <c r="F35" s="5" t="s">
        <v>56</v>
      </c>
      <c r="G35" s="14"/>
      <c r="H35" s="14"/>
      <c r="I35" s="14">
        <f>Variable_Expense113640444852566064687276[[#This Row],[Budget]]-Variable_Expense113640444852566064687276[[#This Row],[Actual ]]</f>
        <v>0</v>
      </c>
    </row>
    <row r="36" spans="1:9" x14ac:dyDescent="0.25">
      <c r="A36" s="5" t="s">
        <v>34</v>
      </c>
      <c r="B36" s="9"/>
      <c r="C36" s="9"/>
      <c r="D36" s="9">
        <f>Fixed_Expense103539434751555963677175[[#This Row],[Budget]]-Fixed_Expense103539434751555963677175[[#This Row],[Actual]]</f>
        <v>0</v>
      </c>
      <c r="F36" s="5" t="s">
        <v>57</v>
      </c>
      <c r="G36" s="14"/>
      <c r="H36" s="14"/>
      <c r="I36" s="14">
        <f>Variable_Expense113640444852566064687276[[#This Row],[Budget]]-Variable_Expense113640444852566064687276[[#This Row],[Actual ]]</f>
        <v>0</v>
      </c>
    </row>
    <row r="37" spans="1:9" x14ac:dyDescent="0.25">
      <c r="A37" s="5" t="s">
        <v>35</v>
      </c>
      <c r="B37" s="9"/>
      <c r="C37" s="9"/>
      <c r="D37" s="9">
        <f>Fixed_Expense103539434751555963677175[[#This Row],[Budget]]-Fixed_Expense103539434751555963677175[[#This Row],[Actual]]</f>
        <v>0</v>
      </c>
      <c r="F37" s="5" t="s">
        <v>15</v>
      </c>
      <c r="G37" s="14"/>
      <c r="H37" s="14"/>
      <c r="I37" s="14">
        <f>Variable_Expense113640444852566064687276[[#This Row],[Budget]]-Variable_Expense113640444852566064687276[[#This Row],[Actual ]]</f>
        <v>0</v>
      </c>
    </row>
    <row r="38" spans="1:9" x14ac:dyDescent="0.25">
      <c r="A38" s="5" t="s">
        <v>36</v>
      </c>
      <c r="B38" s="9"/>
      <c r="C38" s="9"/>
      <c r="D38" s="9">
        <f>Fixed_Expense103539434751555963677175[[#This Row],[Budget]]-Fixed_Expense103539434751555963677175[[#This Row],[Actual]]</f>
        <v>0</v>
      </c>
      <c r="F38" s="5" t="s">
        <v>15</v>
      </c>
      <c r="G38" s="14"/>
      <c r="H38" s="14"/>
      <c r="I38" s="14">
        <f>Variable_Expense113640444852566064687276[[#This Row],[Budget]]-Variable_Expense113640444852566064687276[[#This Row],[Actual ]]</f>
        <v>0</v>
      </c>
    </row>
    <row r="39" spans="1:9" x14ac:dyDescent="0.25">
      <c r="A39" s="6" t="s">
        <v>15</v>
      </c>
      <c r="B39" s="10"/>
      <c r="C39" s="10"/>
      <c r="D39" s="10">
        <f>Fixed_Expense103539434751555963677175[[#This Row],[Budget]]-Fixed_Expense103539434751555963677175[[#This Row],[Actual]]</f>
        <v>0</v>
      </c>
      <c r="F39" s="5" t="s">
        <v>15</v>
      </c>
      <c r="G39" s="14"/>
      <c r="H39" s="14"/>
      <c r="I39" s="14">
        <f>Variable_Expense113640444852566064687276[[#This Row],[Budget]]-Variable_Expense113640444852566064687276[[#This Row],[Actual ]]</f>
        <v>0</v>
      </c>
    </row>
    <row r="40" spans="1:9" x14ac:dyDescent="0.25">
      <c r="A40" s="5" t="s">
        <v>6</v>
      </c>
      <c r="B40" s="17">
        <f>SUBTOTAL(109,Fixed_Expense103539434751555963677175[Budget])</f>
        <v>0</v>
      </c>
      <c r="C40" s="17">
        <f>SUBTOTAL(109,Fixed_Expense103539434751555963677175[Actual])</f>
        <v>0</v>
      </c>
      <c r="D40" s="17">
        <f>SUBTOTAL(109,Fixed_Expense103539434751555963677175[Difference])</f>
        <v>0</v>
      </c>
      <c r="F40" s="5" t="s">
        <v>6</v>
      </c>
      <c r="G40" s="17">
        <f>SUBTOTAL(109,Variable_Expense113640444852566064687276[Budget])</f>
        <v>0</v>
      </c>
      <c r="H40" s="17">
        <f>SUBTOTAL(109,Variable_Expense113640444852566064687276[[Actual ]])</f>
        <v>0</v>
      </c>
      <c r="I40" s="18">
        <f>SUBTOTAL(109,Variable_Expense113640444852566064687276[Difference])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19">
      <dataBar>
        <cfvo type="min"/>
        <cfvo type="max"/>
        <color rgb="FF638EC6"/>
      </dataBar>
      <extLst>
        <ext xmlns:x14="http://schemas.microsoft.com/office/spreadsheetml/2009/9/main" uri="{B025F937-C7B1-47D3-B67F-A62EFF666E3E}">
          <x14:id>{F8381F1D-89C5-471D-94B6-DBFD6A408D8B}</x14:id>
        </ext>
      </extLst>
    </cfRule>
  </conditionalFormatting>
  <conditionalFormatting sqref="B8:B10">
    <cfRule type="dataBar" priority="18">
      <dataBar>
        <cfvo type="min"/>
        <cfvo type="max"/>
        <color rgb="FF638EC6"/>
      </dataBar>
      <extLst>
        <ext xmlns:x14="http://schemas.microsoft.com/office/spreadsheetml/2009/9/main" uri="{B025F937-C7B1-47D3-B67F-A62EFF666E3E}">
          <x14:id>{85C692AA-6BB1-4C5C-8655-DA0B9A2D29E7}</x14:id>
        </ext>
      </extLst>
    </cfRule>
  </conditionalFormatting>
  <conditionalFormatting sqref="C8:C10">
    <cfRule type="dataBar" priority="17">
      <dataBar>
        <cfvo type="min"/>
        <cfvo type="max"/>
        <color rgb="FF63C384"/>
      </dataBar>
      <extLst>
        <ext xmlns:x14="http://schemas.microsoft.com/office/spreadsheetml/2009/9/main" uri="{B025F937-C7B1-47D3-B67F-A62EFF666E3E}">
          <x14:id>{36C8D68B-3C83-4067-9E09-C1DAC082D9E8}</x14:id>
        </ext>
      </extLst>
    </cfRule>
  </conditionalFormatting>
  <conditionalFormatting sqref="N17:N30">
    <cfRule type="dataBar" priority="14">
      <dataBar>
        <cfvo type="min"/>
        <cfvo type="max"/>
        <color rgb="FFFF555A"/>
      </dataBar>
      <extLst>
        <ext xmlns:x14="http://schemas.microsoft.com/office/spreadsheetml/2009/9/main" uri="{B025F937-C7B1-47D3-B67F-A62EFF666E3E}">
          <x14:id>{44EA07E9-DA01-4119-9DBF-C8D18054CC6C}</x14:id>
        </ext>
      </extLst>
    </cfRule>
  </conditionalFormatting>
  <conditionalFormatting sqref="O17:O30">
    <cfRule type="dataBar" priority="13">
      <dataBar>
        <cfvo type="min"/>
        <cfvo type="max"/>
        <color rgb="FFFF555A"/>
      </dataBar>
      <extLst>
        <ext xmlns:x14="http://schemas.microsoft.com/office/spreadsheetml/2009/9/main" uri="{B025F937-C7B1-47D3-B67F-A62EFF666E3E}">
          <x14:id>{036CFA70-165E-4A68-8C1F-5D9FF096ECFF}</x14:id>
        </ext>
      </extLst>
    </cfRule>
  </conditionalFormatting>
  <conditionalFormatting sqref="P17:P30 D16:D40">
    <cfRule type="cellIs" dxfId="98" priority="11" operator="greaterThan">
      <formula>0</formula>
    </cfRule>
    <cfRule type="cellIs" dxfId="97" priority="12"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{CF78B59E-CAF3-40A3-A69C-1EA900610B08}</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{034D9E42-82CD-4F97-9067-6632FC17A0F5}</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{03C6A008-76FA-4D2A-8A29-0960E773E802}</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{A2A87E87-B147-40ED-B7E0-E49C49FA6535}</x14:id>
        </ext>
      </extLst>
    </cfRule>
  </conditionalFormatting>
  <conditionalFormatting sqref="D8:D11">
    <cfRule type="cellIs" dxfId="96" priority="15" operator="greaterThan">
      <formula>0</formula>
    </cfRule>
    <cfRule type="cellIs" dxfId="95" priority="16" operator="lessThan">
      <formula>0</formula>
    </cfRule>
  </conditionalFormatting>
  <conditionalFormatting sqref="I16:I40">
    <cfRule type="cellIs" dxfId="94" priority="7" operator="greaterThan">
      <formula>0</formula>
    </cfRule>
    <cfRule type="cellIs" dxfId="93" priority="8" operator="lessThan">
      <formula>0</formula>
    </cfRule>
  </conditionalFormatting>
  <conditionalFormatting sqref="B16:B40">
    <cfRule type="dataBar" priority="20">
      <dataBar>
        <cfvo type="min"/>
        <cfvo type="max"/>
        <color rgb="FFFF555A"/>
      </dataBar>
      <extLst>
        <ext xmlns:x14="http://schemas.microsoft.com/office/spreadsheetml/2009/9/main" uri="{B025F937-C7B1-47D3-B67F-A62EFF666E3E}">
          <x14:id>{6F5B618D-E0BC-41EA-91DA-F876F0408660}</x14:id>
        </ext>
      </extLst>
    </cfRule>
  </conditionalFormatting>
  <conditionalFormatting sqref="C16:C40">
    <cfRule type="dataBar" priority="21">
      <dataBar>
        <cfvo type="min"/>
        <cfvo type="max"/>
        <color rgb="FFFF555A"/>
      </dataBar>
      <extLst>
        <ext xmlns:x14="http://schemas.microsoft.com/office/spreadsheetml/2009/9/main" uri="{B025F937-C7B1-47D3-B67F-A62EFF666E3E}">
          <x14:id>{3F9FA8EF-B403-4A45-BF7A-D0C3A16C9DCB}</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{E68BC453-CB01-4E78-90F3-581AC819B5A5}</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{E39C8B99-73D1-4C88-B5CB-456A91159E75}</x14:id>
        </ext>
      </extLst>
    </cfRule>
  </conditionalFormatting>
  <conditionalFormatting sqref="I8:I11">
    <cfRule type="cellIs" dxfId="92" priority="1" operator="greaterThan">
      <formula>0</formula>
    </cfRule>
    <cfRule type="cellIs" dxfId="91" priority="2" operator="lessThan">
      <formula>0</formula>
    </cfRule>
  </conditionalFormatting>
  <pageMargins left="0.7" right="0.7" top="0.75" bottom="0.75" header="0.3" footer="0.3"/>
  <ignoredErrors>
    <ignoredError sqref="G8 H9 G10:H10"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F8381F1D-89C5-471D-94B6-DBFD6A408D8B}">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85C692AA-6BB1-4C5C-8655-DA0B9A2D29E7}">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36C8D68B-3C83-4067-9E09-C1DAC082D9E8}">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44EA07E9-DA01-4119-9DBF-C8D18054CC6C}">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036CFA70-165E-4A68-8C1F-5D9FF096ECFF}">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CF78B59E-CAF3-40A3-A69C-1EA900610B08}">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034D9E42-82CD-4F97-9067-6632FC17A0F5}">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03C6A008-76FA-4D2A-8A29-0960E773E802}">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A2A87E87-B147-40ED-B7E0-E49C49FA6535}">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6F5B618D-E0BC-41EA-91DA-F876F0408660}">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3F9FA8EF-B403-4A45-BF7A-D0C3A16C9DCB}">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E68BC453-CB01-4E78-90F3-581AC819B5A5}">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E39C8B99-73D1-4C88-B5CB-456A91159E75}">
            <x14:dataBar minLength="0" maxLength="100" gradient="0">
              <x14:cfvo type="autoMin"/>
              <x14:cfvo type="autoMax"/>
              <x14:negativeFillColor rgb="FFFF0000"/>
              <x14:axisColor rgb="FF000000"/>
            </x14:dataBar>
          </x14:cfRule>
          <xm:sqref>H8:H11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B998C-E294-4355-B1E2-C7B3D856436B}">
  <dimension ref="A1:R34"/>
  <sheetViews>
    <sheetView workbookViewId="0">
      <selection activeCell="O4" sqref="O4"/>
    </sheetView>
  </sheetViews>
  <sheetFormatPr defaultRowHeight="15" x14ac:dyDescent="0.25"/>
  <cols>
    <col min="1" max="1" width="20.85546875" customWidth="1"/>
    <col min="2" max="4" width="12.85546875" customWidth="1"/>
    <col min="5" max="5" width="2.140625" customWidth="1"/>
    <col min="6" max="6" width="20.85546875" customWidth="1"/>
    <col min="7" max="9" width="12.85546875" customWidth="1"/>
    <col min="10" max="10" width="2.140625" customWidth="1"/>
    <col min="11" max="11" width="20.85546875" customWidth="1"/>
    <col min="12" max="14" width="12.85546875" customWidth="1"/>
  </cols>
  <sheetData>
    <row r="1" spans="1:18" x14ac:dyDescent="0.25">
      <c r="A1" s="32" t="s">
        <v>62</v>
      </c>
      <c r="B1" s="32"/>
      <c r="C1" s="32"/>
      <c r="D1" s="32"/>
    </row>
    <row r="2" spans="1:18" ht="26.25" customHeight="1" x14ac:dyDescent="0.25">
      <c r="A2" s="32"/>
      <c r="B2" s="32"/>
      <c r="C2" s="32"/>
      <c r="D2" s="32"/>
    </row>
    <row r="3" spans="1:18" x14ac:dyDescent="0.25">
      <c r="P3" s="13"/>
      <c r="Q3" s="13"/>
      <c r="R3" s="13"/>
    </row>
    <row r="4" spans="1:18" x14ac:dyDescent="0.25">
      <c r="A4" s="32" t="s">
        <v>63</v>
      </c>
      <c r="B4" s="32"/>
      <c r="C4" s="32"/>
      <c r="D4" s="32"/>
      <c r="F4" s="32" t="s">
        <v>67</v>
      </c>
      <c r="G4" s="32"/>
      <c r="H4" s="32"/>
      <c r="I4" s="32"/>
      <c r="K4" s="32" t="s">
        <v>71</v>
      </c>
      <c r="L4" s="32"/>
      <c r="M4" s="32"/>
      <c r="N4" s="32"/>
      <c r="P4" s="13"/>
      <c r="Q4" s="13"/>
      <c r="R4" s="13"/>
    </row>
    <row r="5" spans="1:18" x14ac:dyDescent="0.25">
      <c r="A5" s="32"/>
      <c r="B5" s="32"/>
      <c r="C5" s="32"/>
      <c r="D5" s="32"/>
      <c r="F5" s="32"/>
      <c r="G5" s="32"/>
      <c r="H5" s="32"/>
      <c r="I5" s="32"/>
      <c r="K5" s="32"/>
      <c r="L5" s="32"/>
      <c r="M5" s="32"/>
      <c r="N5" s="32"/>
      <c r="P5" s="13"/>
      <c r="Q5" s="13"/>
      <c r="R5" s="13"/>
    </row>
    <row r="6" spans="1:18" x14ac:dyDescent="0.25">
      <c r="A6" t="s">
        <v>60</v>
      </c>
      <c r="B6" t="s">
        <v>1</v>
      </c>
      <c r="C6" t="s">
        <v>2</v>
      </c>
      <c r="D6" t="s">
        <v>7</v>
      </c>
      <c r="F6" t="s">
        <v>60</v>
      </c>
      <c r="G6" t="s">
        <v>1</v>
      </c>
      <c r="H6" t="s">
        <v>2</v>
      </c>
      <c r="I6" t="s">
        <v>7</v>
      </c>
      <c r="K6" t="s">
        <v>60</v>
      </c>
      <c r="L6" t="s">
        <v>1</v>
      </c>
      <c r="M6" t="s">
        <v>2</v>
      </c>
      <c r="N6" t="s">
        <v>7</v>
      </c>
      <c r="P6" s="13"/>
      <c r="Q6" s="13"/>
      <c r="R6" s="13"/>
    </row>
    <row r="7" spans="1:18" x14ac:dyDescent="0.25">
      <c r="A7" t="s">
        <v>61</v>
      </c>
      <c r="B7" s="11">
        <f>January!$G$8</f>
        <v>0</v>
      </c>
      <c r="C7" s="11">
        <f>January!$H$8</f>
        <v>0</v>
      </c>
      <c r="D7" s="11">
        <f>MonthTotalJan[[#This Row],[Budget]]-MonthTotalJan[[#This Row],[Actual]]</f>
        <v>0</v>
      </c>
      <c r="F7" t="s">
        <v>61</v>
      </c>
      <c r="G7" s="11">
        <f>May!$G$8</f>
        <v>0</v>
      </c>
      <c r="H7" s="11">
        <f>May!$H$8</f>
        <v>0</v>
      </c>
      <c r="I7" s="11">
        <f>MonthTotalMay[[#This Row],[Budget]]-MonthTotalMay[[#This Row],[Actual]]</f>
        <v>0</v>
      </c>
      <c r="K7" t="s">
        <v>61</v>
      </c>
      <c r="L7" s="11">
        <f>September!$G$8</f>
        <v>0</v>
      </c>
      <c r="M7" s="11">
        <f>September!$H$8</f>
        <v>0</v>
      </c>
      <c r="N7" s="11">
        <f>MonthTotalSept[[#This Row],[Budget]]-MonthTotalSept[[#This Row],[Actual]]</f>
        <v>0</v>
      </c>
      <c r="P7" s="20"/>
      <c r="Q7" s="20"/>
      <c r="R7" s="20"/>
    </row>
    <row r="8" spans="1:18" x14ac:dyDescent="0.25">
      <c r="A8" t="s">
        <v>17</v>
      </c>
      <c r="B8" s="11">
        <f>January!$G$9</f>
        <v>0</v>
      </c>
      <c r="C8" s="11">
        <f>January!$H$9</f>
        <v>0</v>
      </c>
      <c r="D8" s="11">
        <f>MonthTotalJan[[#This Row],[Budget]]-MonthTotalJan[[#This Row],[Actual]]</f>
        <v>0</v>
      </c>
      <c r="F8" t="s">
        <v>17</v>
      </c>
      <c r="G8" s="11">
        <f>May!$G$9</f>
        <v>0</v>
      </c>
      <c r="H8" s="11">
        <f>May!$H$9</f>
        <v>0</v>
      </c>
      <c r="I8" s="11">
        <f>MonthTotalMay[[#This Row],[Budget]]-MonthTotalMay[[#This Row],[Actual]]</f>
        <v>0</v>
      </c>
      <c r="K8" t="s">
        <v>17</v>
      </c>
      <c r="L8" s="11">
        <f>September!$G$9</f>
        <v>0</v>
      </c>
      <c r="M8" s="11">
        <f>September!$H$9</f>
        <v>0</v>
      </c>
      <c r="N8" s="11">
        <f>MonthTotalSept[[#This Row],[Budget]]-MonthTotalSept[[#This Row],[Actual]]</f>
        <v>0</v>
      </c>
    </row>
    <row r="9" spans="1:18" x14ac:dyDescent="0.25">
      <c r="A9" t="s">
        <v>37</v>
      </c>
      <c r="B9" s="11">
        <f>January!$G$10</f>
        <v>0</v>
      </c>
      <c r="C9" s="11">
        <f>January!$H$10</f>
        <v>0</v>
      </c>
      <c r="D9" s="11">
        <f>MonthTotalJan[[#This Row],[Budget]]-MonthTotalJan[[#This Row],[Actual]]</f>
        <v>0</v>
      </c>
      <c r="F9" t="s">
        <v>37</v>
      </c>
      <c r="G9" s="11">
        <f>May!$G$10</f>
        <v>0</v>
      </c>
      <c r="H9" s="11">
        <f>May!$H$10</f>
        <v>0</v>
      </c>
      <c r="I9" s="11">
        <f>MonthTotalMay[[#This Row],[Budget]]-MonthTotalMay[[#This Row],[Actual]]</f>
        <v>0</v>
      </c>
      <c r="K9" t="s">
        <v>37</v>
      </c>
      <c r="L9" s="11">
        <f>September!$G$10</f>
        <v>0</v>
      </c>
      <c r="M9" s="11">
        <f>September!$H$10</f>
        <v>0</v>
      </c>
      <c r="N9" s="11">
        <f>MonthTotalSept[[#This Row],[Budget]]-MonthTotalSept[[#This Row],[Actual]]</f>
        <v>0</v>
      </c>
    </row>
    <row r="10" spans="1:18" x14ac:dyDescent="0.25">
      <c r="A10" t="s">
        <v>6</v>
      </c>
      <c r="B10" s="20">
        <f>B7-(B8+B9)</f>
        <v>0</v>
      </c>
      <c r="C10" s="20">
        <f>C7-(C8+C9)</f>
        <v>0</v>
      </c>
      <c r="D10" s="20">
        <f>SUBTOTAL(109,MonthTotalJan[Difference])</f>
        <v>0</v>
      </c>
      <c r="F10" t="s">
        <v>6</v>
      </c>
      <c r="G10" s="20">
        <f>G7-(G8+G9)</f>
        <v>0</v>
      </c>
      <c r="H10" s="20">
        <f>H7-(H8+H9)</f>
        <v>0</v>
      </c>
      <c r="I10" s="20">
        <f>SUBTOTAL(109,MonthTotalMay[Difference])</f>
        <v>0</v>
      </c>
      <c r="K10" t="s">
        <v>6</v>
      </c>
      <c r="L10" s="20">
        <f>L7-(L8+L9)</f>
        <v>0</v>
      </c>
      <c r="M10" s="20">
        <f>M7-(M8+M9)</f>
        <v>0</v>
      </c>
      <c r="N10" s="20">
        <f>SUBTOTAL(109,MonthTotalSept[Difference])</f>
        <v>0</v>
      </c>
    </row>
    <row r="12" spans="1:18" x14ac:dyDescent="0.25">
      <c r="A12" s="32" t="s">
        <v>64</v>
      </c>
      <c r="B12" s="32"/>
      <c r="C12" s="32"/>
      <c r="D12" s="32"/>
      <c r="F12" s="32" t="s">
        <v>68</v>
      </c>
      <c r="G12" s="32"/>
      <c r="H12" s="32"/>
      <c r="I12" s="32"/>
      <c r="K12" s="32" t="s">
        <v>72</v>
      </c>
      <c r="L12" s="32"/>
      <c r="M12" s="32"/>
      <c r="N12" s="32"/>
    </row>
    <row r="13" spans="1:18" x14ac:dyDescent="0.25">
      <c r="A13" s="32"/>
      <c r="B13" s="32"/>
      <c r="C13" s="32"/>
      <c r="D13" s="32"/>
      <c r="F13" s="32"/>
      <c r="G13" s="32"/>
      <c r="H13" s="32"/>
      <c r="I13" s="32"/>
      <c r="K13" s="32"/>
      <c r="L13" s="32"/>
      <c r="M13" s="32"/>
      <c r="N13" s="32"/>
    </row>
    <row r="14" spans="1:18" x14ac:dyDescent="0.25">
      <c r="A14" t="s">
        <v>60</v>
      </c>
      <c r="B14" t="s">
        <v>1</v>
      </c>
      <c r="C14" t="s">
        <v>2</v>
      </c>
      <c r="D14" t="s">
        <v>7</v>
      </c>
      <c r="F14" t="s">
        <v>60</v>
      </c>
      <c r="G14" t="s">
        <v>1</v>
      </c>
      <c r="H14" t="s">
        <v>2</v>
      </c>
      <c r="I14" t="s">
        <v>7</v>
      </c>
      <c r="K14" t="s">
        <v>60</v>
      </c>
      <c r="L14" t="s">
        <v>1</v>
      </c>
      <c r="M14" t="s">
        <v>2</v>
      </c>
      <c r="N14" t="s">
        <v>7</v>
      </c>
    </row>
    <row r="15" spans="1:18" x14ac:dyDescent="0.25">
      <c r="A15" t="s">
        <v>61</v>
      </c>
      <c r="B15" s="11">
        <f>February!$G$8</f>
        <v>0</v>
      </c>
      <c r="C15" s="11">
        <f>February!$H$8</f>
        <v>0</v>
      </c>
      <c r="D15" s="11">
        <f>MonthTotalFeb[[#This Row],[Budget]]-MonthTotalFeb[[#This Row],[Actual]]</f>
        <v>0</v>
      </c>
      <c r="F15" t="s">
        <v>61</v>
      </c>
      <c r="G15" s="11">
        <f>June!$G$8</f>
        <v>0</v>
      </c>
      <c r="H15" s="11">
        <f>June!$H$8</f>
        <v>0</v>
      </c>
      <c r="I15" s="11">
        <f>MonthTotalJune[[#This Row],[Budget]]-MonthTotalJune[[#This Row],[Actual]]</f>
        <v>0</v>
      </c>
      <c r="K15" t="s">
        <v>61</v>
      </c>
      <c r="L15" s="11">
        <f>October!$G$8</f>
        <v>0</v>
      </c>
      <c r="M15" s="11">
        <f>October!$H$8</f>
        <v>0</v>
      </c>
      <c r="N15" s="11">
        <f>MonthTotalOct[[#This Row],[Budget]]-MonthTotalOct[[#This Row],[Actual]]</f>
        <v>0</v>
      </c>
    </row>
    <row r="16" spans="1:18" x14ac:dyDescent="0.25">
      <c r="A16" t="s">
        <v>17</v>
      </c>
      <c r="B16" s="11">
        <f>February!$G$9</f>
        <v>0</v>
      </c>
      <c r="C16" s="11">
        <f>February!$H$9</f>
        <v>0</v>
      </c>
      <c r="D16" s="11">
        <f>MonthTotalFeb[[#This Row],[Budget]]-MonthTotalFeb[[#This Row],[Actual]]</f>
        <v>0</v>
      </c>
      <c r="F16" t="s">
        <v>17</v>
      </c>
      <c r="G16" s="11">
        <f>June!$G$9</f>
        <v>0</v>
      </c>
      <c r="H16" s="11">
        <f>June!$H$9</f>
        <v>0</v>
      </c>
      <c r="I16" s="11">
        <f>MonthTotalJune[[#This Row],[Budget]]-MonthTotalJune[[#This Row],[Actual]]</f>
        <v>0</v>
      </c>
      <c r="K16" t="s">
        <v>17</v>
      </c>
      <c r="L16" s="11">
        <f>October!$G$9</f>
        <v>0</v>
      </c>
      <c r="M16" s="11">
        <f>October!$H$9</f>
        <v>0</v>
      </c>
      <c r="N16" s="11">
        <f>MonthTotalOct[[#This Row],[Budget]]-MonthTotalOct[[#This Row],[Actual]]</f>
        <v>0</v>
      </c>
    </row>
    <row r="17" spans="1:14" x14ac:dyDescent="0.25">
      <c r="A17" t="s">
        <v>37</v>
      </c>
      <c r="B17" s="11">
        <f>February!$G$10</f>
        <v>0</v>
      </c>
      <c r="C17" s="11">
        <f>February!$H$10</f>
        <v>0</v>
      </c>
      <c r="D17" s="11">
        <f>MonthTotalFeb[[#This Row],[Budget]]-MonthTotalFeb[[#This Row],[Actual]]</f>
        <v>0</v>
      </c>
      <c r="F17" t="s">
        <v>37</v>
      </c>
      <c r="G17" s="11">
        <f>June!$G$10</f>
        <v>0</v>
      </c>
      <c r="H17" s="11">
        <f>June!$H$10</f>
        <v>0</v>
      </c>
      <c r="I17" s="11">
        <f>MonthTotalJune[[#This Row],[Budget]]-MonthTotalJune[[#This Row],[Actual]]</f>
        <v>0</v>
      </c>
      <c r="K17" t="s">
        <v>37</v>
      </c>
      <c r="L17" s="11">
        <f>October!$G$10</f>
        <v>0</v>
      </c>
      <c r="M17" s="11">
        <f>October!$H$10</f>
        <v>0</v>
      </c>
      <c r="N17" s="11">
        <f>MonthTotalOct[[#This Row],[Budget]]-MonthTotalOct[[#This Row],[Actual]]</f>
        <v>0</v>
      </c>
    </row>
    <row r="18" spans="1:14" x14ac:dyDescent="0.25">
      <c r="A18" t="s">
        <v>6</v>
      </c>
      <c r="B18" s="20">
        <f>B15-(B16+B17)</f>
        <v>0</v>
      </c>
      <c r="C18" s="20">
        <f>C15-(C16+C17)</f>
        <v>0</v>
      </c>
      <c r="D18" s="20">
        <f>SUBTOTAL(109,MonthTotalFeb[Difference])</f>
        <v>0</v>
      </c>
      <c r="F18" t="s">
        <v>6</v>
      </c>
      <c r="G18" s="20">
        <f>G15-(G16+G17)</f>
        <v>0</v>
      </c>
      <c r="H18" s="20">
        <f>H15-(H16+H17)</f>
        <v>0</v>
      </c>
      <c r="I18" s="20">
        <f>SUBTOTAL(109,MonthTotalJune[Difference])</f>
        <v>0</v>
      </c>
      <c r="K18" t="s">
        <v>6</v>
      </c>
      <c r="L18" s="20">
        <f>L15-(L16+L17)</f>
        <v>0</v>
      </c>
      <c r="M18" s="20">
        <f>M15-(M16+M17)</f>
        <v>0</v>
      </c>
      <c r="N18" s="20">
        <f>SUBTOTAL(109,MonthTotalOct[Difference])</f>
        <v>0</v>
      </c>
    </row>
    <row r="20" spans="1:14" x14ac:dyDescent="0.25">
      <c r="A20" s="32" t="s">
        <v>65</v>
      </c>
      <c r="B20" s="32"/>
      <c r="C20" s="32"/>
      <c r="D20" s="32"/>
      <c r="F20" s="32" t="s">
        <v>69</v>
      </c>
      <c r="G20" s="32"/>
      <c r="H20" s="32"/>
      <c r="I20" s="32"/>
      <c r="K20" s="32" t="s">
        <v>73</v>
      </c>
      <c r="L20" s="32"/>
      <c r="M20" s="32"/>
      <c r="N20" s="32"/>
    </row>
    <row r="21" spans="1:14" x14ac:dyDescent="0.25">
      <c r="A21" s="32"/>
      <c r="B21" s="32"/>
      <c r="C21" s="32"/>
      <c r="D21" s="32"/>
      <c r="F21" s="32"/>
      <c r="G21" s="32"/>
      <c r="H21" s="32"/>
      <c r="I21" s="32"/>
      <c r="K21" s="32"/>
      <c r="L21" s="32"/>
      <c r="M21" s="32"/>
      <c r="N21" s="32"/>
    </row>
    <row r="22" spans="1:14" x14ac:dyDescent="0.25">
      <c r="A22" t="s">
        <v>60</v>
      </c>
      <c r="B22" t="s">
        <v>1</v>
      </c>
      <c r="C22" t="s">
        <v>2</v>
      </c>
      <c r="D22" t="s">
        <v>7</v>
      </c>
      <c r="F22" t="s">
        <v>60</v>
      </c>
      <c r="G22" t="s">
        <v>1</v>
      </c>
      <c r="H22" t="s">
        <v>2</v>
      </c>
      <c r="I22" t="s">
        <v>7</v>
      </c>
      <c r="K22" t="s">
        <v>60</v>
      </c>
      <c r="L22" t="s">
        <v>1</v>
      </c>
      <c r="M22" t="s">
        <v>2</v>
      </c>
      <c r="N22" t="s">
        <v>7</v>
      </c>
    </row>
    <row r="23" spans="1:14" x14ac:dyDescent="0.25">
      <c r="A23" t="s">
        <v>61</v>
      </c>
      <c r="B23" s="11">
        <f>March!$G$8</f>
        <v>0</v>
      </c>
      <c r="C23" s="11">
        <f>March!$H$8</f>
        <v>0</v>
      </c>
      <c r="D23" s="11">
        <f>MonthTotalMar[[#This Row],[Budget]]-MonthTotalMar[[#This Row],[Actual]]</f>
        <v>0</v>
      </c>
      <c r="F23" t="s">
        <v>61</v>
      </c>
      <c r="G23" s="11">
        <f>July!$G$8</f>
        <v>0</v>
      </c>
      <c r="H23" s="11">
        <f>July!$H$8</f>
        <v>0</v>
      </c>
      <c r="I23" s="11">
        <f>MonthTotalJuly[[#This Row],[Budget]]-MonthTotalJuly[[#This Row],[Actual]]</f>
        <v>0</v>
      </c>
      <c r="K23" t="s">
        <v>61</v>
      </c>
      <c r="L23" s="11">
        <f>November!$G$8</f>
        <v>0</v>
      </c>
      <c r="M23" s="11">
        <f>November!$H$8</f>
        <v>0</v>
      </c>
      <c r="N23" s="11">
        <f>MonthTotalNov[[#This Row],[Budget]]-MonthTotalNov[[#This Row],[Actual]]</f>
        <v>0</v>
      </c>
    </row>
    <row r="24" spans="1:14" x14ac:dyDescent="0.25">
      <c r="A24" t="s">
        <v>17</v>
      </c>
      <c r="B24" s="11">
        <f>March!$G$9</f>
        <v>0</v>
      </c>
      <c r="C24" s="11">
        <f>March!$H$9</f>
        <v>0</v>
      </c>
      <c r="D24" s="11">
        <f>MonthTotalMar[[#This Row],[Budget]]-MonthTotalMar[[#This Row],[Actual]]</f>
        <v>0</v>
      </c>
      <c r="F24" t="s">
        <v>17</v>
      </c>
      <c r="G24" s="11">
        <f>July!$G$9</f>
        <v>0</v>
      </c>
      <c r="H24" s="11">
        <f>July!$H$9</f>
        <v>0</v>
      </c>
      <c r="I24" s="11">
        <f>MonthTotalJuly[[#This Row],[Budget]]-MonthTotalJuly[[#This Row],[Actual]]</f>
        <v>0</v>
      </c>
      <c r="K24" t="s">
        <v>17</v>
      </c>
      <c r="L24" s="11">
        <f>November!$G$9</f>
        <v>0</v>
      </c>
      <c r="M24" s="11">
        <f>November!$H$9</f>
        <v>0</v>
      </c>
      <c r="N24" s="11">
        <f>MonthTotalNov[[#This Row],[Budget]]-MonthTotalNov[[#This Row],[Actual]]</f>
        <v>0</v>
      </c>
    </row>
    <row r="25" spans="1:14" x14ac:dyDescent="0.25">
      <c r="A25" t="s">
        <v>37</v>
      </c>
      <c r="B25" s="11">
        <f>March!$G$10</f>
        <v>0</v>
      </c>
      <c r="C25" s="11">
        <f>March!$H$10</f>
        <v>0</v>
      </c>
      <c r="D25" s="11">
        <f>MonthTotalMar[[#This Row],[Budget]]-MonthTotalMar[[#This Row],[Actual]]</f>
        <v>0</v>
      </c>
      <c r="F25" t="s">
        <v>37</v>
      </c>
      <c r="G25" s="11">
        <f>July!$G$10</f>
        <v>0</v>
      </c>
      <c r="H25" s="11">
        <f>July!$H$10</f>
        <v>0</v>
      </c>
      <c r="I25" s="11">
        <f>MonthTotalJuly[[#This Row],[Budget]]-MonthTotalJuly[[#This Row],[Actual]]</f>
        <v>0</v>
      </c>
      <c r="K25" t="s">
        <v>37</v>
      </c>
      <c r="L25" s="11">
        <f>November!$G$10</f>
        <v>0</v>
      </c>
      <c r="M25" s="11">
        <f>November!$H$10</f>
        <v>0</v>
      </c>
      <c r="N25" s="11">
        <f>MonthTotalNov[[#This Row],[Budget]]-MonthTotalNov[[#This Row],[Actual]]</f>
        <v>0</v>
      </c>
    </row>
    <row r="26" spans="1:14" x14ac:dyDescent="0.25">
      <c r="A26" t="s">
        <v>6</v>
      </c>
      <c r="B26" s="20">
        <f>B23-(B24+B25)</f>
        <v>0</v>
      </c>
      <c r="C26" s="20">
        <f>C23-(C24+C25)</f>
        <v>0</v>
      </c>
      <c r="D26" s="20">
        <f>SUBTOTAL(109,MonthTotalMar[Difference])</f>
        <v>0</v>
      </c>
      <c r="F26" t="s">
        <v>6</v>
      </c>
      <c r="G26" s="20">
        <f>G23-(G24+G25)</f>
        <v>0</v>
      </c>
      <c r="H26" s="20">
        <f>H23-(H24+H25)</f>
        <v>0</v>
      </c>
      <c r="I26" s="20">
        <f>SUBTOTAL(109,MonthTotalJuly[Difference])</f>
        <v>0</v>
      </c>
      <c r="K26" t="s">
        <v>6</v>
      </c>
      <c r="L26" s="20">
        <f>L23-(L24+L25)</f>
        <v>0</v>
      </c>
      <c r="M26" s="20">
        <f>M23-(M24+M25)</f>
        <v>0</v>
      </c>
      <c r="N26" s="20">
        <f>SUBTOTAL(109,MonthTotalNov[Difference])</f>
        <v>0</v>
      </c>
    </row>
    <row r="28" spans="1:14" x14ac:dyDescent="0.25">
      <c r="A28" s="32" t="s">
        <v>66</v>
      </c>
      <c r="B28" s="32"/>
      <c r="C28" s="32"/>
      <c r="D28" s="32"/>
      <c r="F28" s="32" t="s">
        <v>70</v>
      </c>
      <c r="G28" s="32"/>
      <c r="H28" s="32"/>
      <c r="I28" s="32"/>
      <c r="K28" s="32" t="s">
        <v>74</v>
      </c>
      <c r="L28" s="32"/>
      <c r="M28" s="32"/>
      <c r="N28" s="32"/>
    </row>
    <row r="29" spans="1:14" x14ac:dyDescent="0.25">
      <c r="A29" s="32"/>
      <c r="B29" s="32"/>
      <c r="C29" s="32"/>
      <c r="D29" s="32"/>
      <c r="F29" s="32"/>
      <c r="G29" s="32"/>
      <c r="H29" s="32"/>
      <c r="I29" s="32"/>
      <c r="K29" s="32"/>
      <c r="L29" s="32"/>
      <c r="M29" s="32"/>
      <c r="N29" s="32"/>
    </row>
    <row r="30" spans="1:14" x14ac:dyDescent="0.25">
      <c r="A30" t="s">
        <v>60</v>
      </c>
      <c r="B30" t="s">
        <v>1</v>
      </c>
      <c r="C30" t="s">
        <v>2</v>
      </c>
      <c r="D30" t="s">
        <v>7</v>
      </c>
      <c r="F30" t="s">
        <v>60</v>
      </c>
      <c r="G30" t="s">
        <v>1</v>
      </c>
      <c r="H30" t="s">
        <v>2</v>
      </c>
      <c r="I30" t="s">
        <v>7</v>
      </c>
      <c r="K30" t="s">
        <v>60</v>
      </c>
      <c r="L30" t="s">
        <v>1</v>
      </c>
      <c r="M30" t="s">
        <v>2</v>
      </c>
      <c r="N30" t="s">
        <v>7</v>
      </c>
    </row>
    <row r="31" spans="1:14" x14ac:dyDescent="0.25">
      <c r="A31" t="s">
        <v>61</v>
      </c>
      <c r="B31" s="11">
        <f>April!$G$8</f>
        <v>0</v>
      </c>
      <c r="C31" s="11">
        <f>April!$H$8</f>
        <v>0</v>
      </c>
      <c r="D31" s="11">
        <f>MonthTotalApr[[#This Row],[Budget]]-MonthTotalApr[[#This Row],[Actual]]</f>
        <v>0</v>
      </c>
      <c r="F31" t="s">
        <v>61</v>
      </c>
      <c r="G31" s="11">
        <f>August!$G$8</f>
        <v>0</v>
      </c>
      <c r="H31" s="11">
        <f>August!$H$8</f>
        <v>0</v>
      </c>
      <c r="I31" s="11">
        <f>MonthTotalJuly86[[#This Row],[Budget]]-MonthTotalJuly86[[#This Row],[Actual]]</f>
        <v>0</v>
      </c>
      <c r="K31" t="s">
        <v>61</v>
      </c>
      <c r="L31" s="11">
        <f>December!$G$8</f>
        <v>0</v>
      </c>
      <c r="M31" s="11">
        <f>December!$H$8</f>
        <v>0</v>
      </c>
      <c r="N31" s="11">
        <f>MonthTotalNov90[[#This Row],[Budget]]-MonthTotalNov90[[#This Row],[Actual]]</f>
        <v>0</v>
      </c>
    </row>
    <row r="32" spans="1:14" x14ac:dyDescent="0.25">
      <c r="A32" t="s">
        <v>17</v>
      </c>
      <c r="B32" s="11">
        <f>April!$G$9</f>
        <v>0</v>
      </c>
      <c r="C32" s="11">
        <f>April!$H$9</f>
        <v>0</v>
      </c>
      <c r="D32" s="11">
        <f>MonthTotalApr[[#This Row],[Budget]]-MonthTotalApr[[#This Row],[Actual]]</f>
        <v>0</v>
      </c>
      <c r="F32" t="s">
        <v>17</v>
      </c>
      <c r="G32" s="11">
        <f>August!$G$9</f>
        <v>0</v>
      </c>
      <c r="H32" s="11">
        <f>August!$H$9</f>
        <v>0</v>
      </c>
      <c r="I32" s="11">
        <f>MonthTotalJuly86[[#This Row],[Budget]]-MonthTotalJuly86[[#This Row],[Actual]]</f>
        <v>0</v>
      </c>
      <c r="K32" t="s">
        <v>17</v>
      </c>
      <c r="L32" s="11">
        <f>December!$G$9</f>
        <v>0</v>
      </c>
      <c r="M32" s="11">
        <f>December!$H$9</f>
        <v>0</v>
      </c>
      <c r="N32" s="11">
        <f>MonthTotalNov90[[#This Row],[Budget]]-MonthTotalNov90[[#This Row],[Actual]]</f>
        <v>0</v>
      </c>
    </row>
    <row r="33" spans="1:14" x14ac:dyDescent="0.25">
      <c r="A33" t="s">
        <v>37</v>
      </c>
      <c r="B33" s="11">
        <f>April!$G$10</f>
        <v>0</v>
      </c>
      <c r="C33" s="11">
        <f>April!$H$10</f>
        <v>0</v>
      </c>
      <c r="D33" s="11">
        <f>MonthTotalApr[[#This Row],[Budget]]-MonthTotalApr[[#This Row],[Actual]]</f>
        <v>0</v>
      </c>
      <c r="F33" t="s">
        <v>37</v>
      </c>
      <c r="G33" s="11">
        <f>August!$G$10</f>
        <v>0</v>
      </c>
      <c r="H33" s="11">
        <f>August!$H$10</f>
        <v>0</v>
      </c>
      <c r="I33" s="11">
        <f>MonthTotalJuly86[[#This Row],[Budget]]-MonthTotalJuly86[[#This Row],[Actual]]</f>
        <v>0</v>
      </c>
      <c r="K33" t="s">
        <v>37</v>
      </c>
      <c r="L33" s="11">
        <f>December!$G$10</f>
        <v>0</v>
      </c>
      <c r="M33" s="11">
        <f>December!$H$10</f>
        <v>0</v>
      </c>
      <c r="N33" s="11">
        <f>MonthTotalNov90[[#This Row],[Budget]]-MonthTotalNov90[[#This Row],[Actual]]</f>
        <v>0</v>
      </c>
    </row>
    <row r="34" spans="1:14" x14ac:dyDescent="0.25">
      <c r="A34" t="s">
        <v>6</v>
      </c>
      <c r="B34" s="20">
        <f>B31-(B32+B33)</f>
        <v>0</v>
      </c>
      <c r="C34" s="20">
        <f>C31-(C32+C33)</f>
        <v>0</v>
      </c>
      <c r="D34" s="20">
        <f>SUBTOTAL(109,MonthTotalApr[Difference])</f>
        <v>0</v>
      </c>
      <c r="F34" t="s">
        <v>6</v>
      </c>
      <c r="G34" s="20">
        <f>G31-(G32+G33)</f>
        <v>0</v>
      </c>
      <c r="H34" s="20">
        <f>H31-(H32+H33)</f>
        <v>0</v>
      </c>
      <c r="I34" s="20">
        <f>SUBTOTAL(109,MonthTotalJuly86[Difference])</f>
        <v>0</v>
      </c>
      <c r="K34" t="s">
        <v>6</v>
      </c>
      <c r="L34" s="20">
        <f>L31-(L32+L33)</f>
        <v>0</v>
      </c>
      <c r="M34" s="20">
        <f>M31-(M32+M33)</f>
        <v>0</v>
      </c>
      <c r="N34" s="20">
        <f>SUBTOTAL(109,MonthTotalNov90[Difference])</f>
        <v>0</v>
      </c>
    </row>
  </sheetData>
  <mergeCells count="13">
    <mergeCell ref="K4:N5"/>
    <mergeCell ref="K12:N13"/>
    <mergeCell ref="K20:N21"/>
    <mergeCell ref="K28:N29"/>
    <mergeCell ref="A1:D2"/>
    <mergeCell ref="A4:D5"/>
    <mergeCell ref="A12:D13"/>
    <mergeCell ref="A20:D21"/>
    <mergeCell ref="A28:D29"/>
    <mergeCell ref="F4:I5"/>
    <mergeCell ref="F12:I13"/>
    <mergeCell ref="F20:I21"/>
    <mergeCell ref="F28:I29"/>
  </mergeCells>
  <conditionalFormatting sqref="P4:P7">
    <cfRule type="dataBar" priority="4">
      <dataBar>
        <cfvo type="min"/>
        <cfvo type="max"/>
        <color rgb="FF63C384"/>
      </dataBar>
      <extLst>
        <ext xmlns:x14="http://schemas.microsoft.com/office/spreadsheetml/2009/9/main" uri="{B025F937-C7B1-47D3-B67F-A62EFF666E3E}">
          <x14:id>{DCD03F8A-CBBB-4308-A735-6A94F5FE9DDC}</x14:id>
        </ext>
      </extLst>
    </cfRule>
  </conditionalFormatting>
  <conditionalFormatting sqref="Q4:Q7">
    <cfRule type="dataBar" priority="3">
      <dataBar>
        <cfvo type="min"/>
        <cfvo type="max"/>
        <color rgb="FF63C384"/>
      </dataBar>
      <extLst>
        <ext xmlns:x14="http://schemas.microsoft.com/office/spreadsheetml/2009/9/main" uri="{B025F937-C7B1-47D3-B67F-A62EFF666E3E}">
          <x14:id>{5621A3B1-2D8E-4300-AAC4-FA101153BC24}</x14:id>
        </ext>
      </extLst>
    </cfRule>
  </conditionalFormatting>
  <conditionalFormatting sqref="R4:R7">
    <cfRule type="cellIs" dxfId="45" priority="1" operator="greaterThan">
      <formula>0</formula>
    </cfRule>
    <cfRule type="cellIs" dxfId="44" priority="2" operator="lessThan">
      <formula>0</formula>
    </cfRule>
  </conditionalFormatting>
  <pageMargins left="0.7" right="0.7" top="0.75" bottom="0.75" header="0.3" footer="0.3"/>
  <ignoredErrors>
    <ignoredError sqref="B8:C9 C7 B15:C17 B23:C25 G17:H17 L17:M17 G23:H23 L23:M23 G24:H24 L24:M24 G25:H25 L25:M25 B31:C31 G31:H31 L31:M31 B32:C32 G32:H32 L32:M32 B33:C33 G33:H33 L33:M33 G7:H7 L7:M7 G8:H8 L8:M8 G9:H9 L9:M9 G15:H15 L15:M15 G16:H16 L16:M16" calculatedColumn="1"/>
  </ignoredErrors>
  <tableParts count="12">
    <tablePart r:id="rId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dataBar" id="{DCD03F8A-CBBB-4308-A735-6A94F5FE9DDC}">
            <x14:dataBar minLength="0" maxLength="100" gradient="0">
              <x14:cfvo type="autoMin"/>
              <x14:cfvo type="autoMax"/>
              <x14:negativeFillColor rgb="FFFF0000"/>
              <x14:axisColor rgb="FF000000"/>
            </x14:dataBar>
          </x14:cfRule>
          <xm:sqref>P4:P7</xm:sqref>
        </x14:conditionalFormatting>
        <x14:conditionalFormatting xmlns:xm="http://schemas.microsoft.com/office/excel/2006/main">
          <x14:cfRule type="dataBar" id="{5621A3B1-2D8E-4300-AAC4-FA101153BC24}">
            <x14:dataBar minLength="0" maxLength="100" gradient="0">
              <x14:cfvo type="autoMin"/>
              <x14:cfvo type="autoMax"/>
              <x14:negativeFillColor rgb="FFFF0000"/>
              <x14:axisColor rgb="FF000000"/>
            </x14:dataBar>
          </x14:cfRule>
          <xm:sqref>Q4:Q7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DD2A-F2EB-42BC-978E-4291A8F7F784}">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Income1[[#This Row],[Actual]]-Income1[[#This Row],[Budget]]</f>
        <v>0</v>
      </c>
      <c r="F8" s="5" t="s">
        <v>61</v>
      </c>
      <c r="G8" s="9">
        <f>Income1[[#Totals],[Budget]]</f>
        <v>0</v>
      </c>
      <c r="H8" s="9">
        <f>Income1[[#Totals],[Actual]]</f>
        <v>0</v>
      </c>
      <c r="I8" s="9">
        <f>Budget_Summary[[#This Row],[Budget]]-Budget_Summary[[#This Row],[Actual]]</f>
        <v>0</v>
      </c>
    </row>
    <row r="9" spans="1:16" x14ac:dyDescent="0.25">
      <c r="A9" s="4" t="s">
        <v>4</v>
      </c>
      <c r="B9" s="7"/>
      <c r="C9" s="7"/>
      <c r="D9" s="8">
        <f>Income1[[#This Row],[Actual]]-Income1[[#This Row],[Budget]]</f>
        <v>0</v>
      </c>
      <c r="F9" s="5" t="s">
        <v>17</v>
      </c>
      <c r="G9" s="9">
        <f>Fixed_Expense10[[#Totals],[Budget]]</f>
        <v>0</v>
      </c>
      <c r="H9" s="9">
        <f>Fixed_Expense10[[#Totals],[Actual]]</f>
        <v>0</v>
      </c>
      <c r="I9" s="9">
        <f>Budget_Summary[[#This Row],[Budget]]-Budget_Summary[[#This Row],[Actual]]</f>
        <v>0</v>
      </c>
    </row>
    <row r="10" spans="1:16" x14ac:dyDescent="0.25">
      <c r="A10" s="4" t="s">
        <v>5</v>
      </c>
      <c r="B10" s="7"/>
      <c r="C10" s="7"/>
      <c r="D10" s="8">
        <f>Income1[[#This Row],[Actual]]-Income1[[#This Row],[Budget]]</f>
        <v>0</v>
      </c>
      <c r="F10" s="6" t="s">
        <v>37</v>
      </c>
      <c r="G10" s="10">
        <f>Variable_Expense11[[#Totals],[Budget]]</f>
        <v>0</v>
      </c>
      <c r="H10" s="10">
        <f>Variable_Expense11[[#Totals],[Actual ]]</f>
        <v>0</v>
      </c>
      <c r="I10" s="9">
        <f>Budget_Summary[[#This Row],[Budget]]-Budget_Summary[[#This Row],[Actual]]</f>
        <v>0</v>
      </c>
    </row>
    <row r="11" spans="1:16" x14ac:dyDescent="0.25">
      <c r="A11" s="5" t="s">
        <v>6</v>
      </c>
      <c r="B11" s="7">
        <f>SUBTOTAL(109,Income1[Budget])</f>
        <v>0</v>
      </c>
      <c r="C11" s="7">
        <f>SUBTOTAL(109,Income1[Actual])</f>
        <v>0</v>
      </c>
      <c r="D11" s="7">
        <f>SUBTOTAL(109,Income1[Difference])</f>
        <v>0</v>
      </c>
      <c r="F11" s="5" t="s">
        <v>6</v>
      </c>
      <c r="G11" s="17">
        <f>G8-(G9+G10)</f>
        <v>0</v>
      </c>
      <c r="H11" s="17">
        <f>H8-(H9+H10)</f>
        <v>0</v>
      </c>
      <c r="I11" s="17">
        <f>SUBTOTAL(109,Budget_Summary[Difference])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Fixed_Expense10[[#This Row],[Budget]]-Fixed_Expense10[[#This Row],[Actual]]</f>
        <v>0</v>
      </c>
      <c r="F16" s="5" t="s">
        <v>9</v>
      </c>
      <c r="G16" s="14"/>
      <c r="H16" s="14"/>
      <c r="I16" s="14">
        <f>Variable_Expense11[[#This Row],[Budget]]-Variable_Expense11[[#This Row],[Actual ]]</f>
        <v>0</v>
      </c>
      <c r="N16" s="13"/>
      <c r="O16" s="13"/>
      <c r="P16" s="13"/>
    </row>
    <row r="17" spans="1:16" x14ac:dyDescent="0.25">
      <c r="A17" s="5" t="s">
        <v>19</v>
      </c>
      <c r="B17" s="9"/>
      <c r="C17" s="9"/>
      <c r="D17" s="9">
        <f>Fixed_Expense10[[#This Row],[Budget]]-Fixed_Expense10[[#This Row],[Actual]]</f>
        <v>0</v>
      </c>
      <c r="F17" s="5" t="s">
        <v>10</v>
      </c>
      <c r="G17" s="14"/>
      <c r="H17" s="14"/>
      <c r="I17" s="14">
        <f>Variable_Expense11[[#This Row],[Budget]]-Variable_Expense11[[#This Row],[Actual ]]</f>
        <v>0</v>
      </c>
      <c r="N17" s="13"/>
      <c r="O17" s="13"/>
      <c r="P17" s="13"/>
    </row>
    <row r="18" spans="1:16" x14ac:dyDescent="0.25">
      <c r="A18" s="5" t="s">
        <v>22</v>
      </c>
      <c r="B18" s="9"/>
      <c r="C18" s="9"/>
      <c r="D18" s="9">
        <f>Fixed_Expense10[[#This Row],[Budget]]-Fixed_Expense10[[#This Row],[Actual]]</f>
        <v>0</v>
      </c>
      <c r="F18" s="5" t="s">
        <v>39</v>
      </c>
      <c r="G18" s="14"/>
      <c r="H18" s="14"/>
      <c r="I18" s="14">
        <f>Variable_Expense11[[#This Row],[Budget]]-Variable_Expense11[[#This Row],[Actual ]]</f>
        <v>0</v>
      </c>
      <c r="N18" s="13"/>
      <c r="O18" s="13"/>
      <c r="P18" s="13"/>
    </row>
    <row r="19" spans="1:16" x14ac:dyDescent="0.25">
      <c r="A19" s="5" t="s">
        <v>20</v>
      </c>
      <c r="B19" s="9"/>
      <c r="C19" s="9"/>
      <c r="D19" s="9">
        <f>Fixed_Expense10[[#This Row],[Budget]]-Fixed_Expense10[[#This Row],[Actual]]</f>
        <v>0</v>
      </c>
      <c r="F19" s="5" t="s">
        <v>40</v>
      </c>
      <c r="G19" s="14"/>
      <c r="H19" s="14"/>
      <c r="I19" s="14">
        <f>Variable_Expense11[[#This Row],[Budget]]-Variable_Expense11[[#This Row],[Actual ]]</f>
        <v>0</v>
      </c>
      <c r="N19" s="13"/>
      <c r="O19" s="13"/>
      <c r="P19" s="13"/>
    </row>
    <row r="20" spans="1:16" x14ac:dyDescent="0.25">
      <c r="A20" s="5" t="s">
        <v>21</v>
      </c>
      <c r="B20" s="9"/>
      <c r="C20" s="9"/>
      <c r="D20" s="9">
        <f>Fixed_Expense10[[#This Row],[Budget]]-Fixed_Expense10[[#This Row],[Actual]]</f>
        <v>0</v>
      </c>
      <c r="F20" s="5" t="s">
        <v>41</v>
      </c>
      <c r="G20" s="14"/>
      <c r="H20" s="14"/>
      <c r="I20" s="14">
        <f>Variable_Expense11[[#This Row],[Budget]]-Variable_Expense11[[#This Row],[Actual ]]</f>
        <v>0</v>
      </c>
      <c r="N20" s="13"/>
      <c r="O20" s="13"/>
      <c r="P20" s="13"/>
    </row>
    <row r="21" spans="1:16" x14ac:dyDescent="0.25">
      <c r="A21" s="5" t="s">
        <v>11</v>
      </c>
      <c r="B21" s="9"/>
      <c r="C21" s="9"/>
      <c r="D21" s="9">
        <f>Fixed_Expense10[[#This Row],[Budget]]-Fixed_Expense10[[#This Row],[Actual]]</f>
        <v>0</v>
      </c>
      <c r="F21" s="5" t="s">
        <v>42</v>
      </c>
      <c r="G21" s="14"/>
      <c r="H21" s="14"/>
      <c r="I21" s="14">
        <f>Variable_Expense11[[#This Row],[Budget]]-Variable_Expense11[[#This Row],[Actual ]]</f>
        <v>0</v>
      </c>
      <c r="N21" s="13"/>
      <c r="O21" s="13"/>
      <c r="P21" s="13"/>
    </row>
    <row r="22" spans="1:16" x14ac:dyDescent="0.25">
      <c r="A22" s="5" t="s">
        <v>12</v>
      </c>
      <c r="B22" s="9"/>
      <c r="C22" s="9"/>
      <c r="D22" s="9">
        <f>Fixed_Expense10[[#This Row],[Budget]]-Fixed_Expense10[[#This Row],[Actual]]</f>
        <v>0</v>
      </c>
      <c r="F22" s="5" t="s">
        <v>43</v>
      </c>
      <c r="G22" s="14"/>
      <c r="H22" s="14"/>
      <c r="I22" s="14">
        <f>Variable_Expense11[[#This Row],[Budget]]-Variable_Expense11[[#This Row],[Actual ]]</f>
        <v>0</v>
      </c>
      <c r="N22" s="13"/>
      <c r="O22" s="13"/>
      <c r="P22" s="13"/>
    </row>
    <row r="23" spans="1:16" x14ac:dyDescent="0.25">
      <c r="A23" s="5" t="s">
        <v>13</v>
      </c>
      <c r="B23" s="9"/>
      <c r="C23" s="9"/>
      <c r="D23" s="9">
        <f>Fixed_Expense10[[#This Row],[Budget]]-Fixed_Expense10[[#This Row],[Actual]]</f>
        <v>0</v>
      </c>
      <c r="F23" s="5" t="s">
        <v>44</v>
      </c>
      <c r="G23" s="14"/>
      <c r="H23" s="14"/>
      <c r="I23" s="14">
        <f>Variable_Expense11[[#This Row],[Budget]]-Variable_Expense11[[#This Row],[Actual ]]</f>
        <v>0</v>
      </c>
      <c r="N23" s="13"/>
      <c r="O23" s="13"/>
      <c r="P23" s="13"/>
    </row>
    <row r="24" spans="1:16" x14ac:dyDescent="0.25">
      <c r="A24" s="5" t="s">
        <v>14</v>
      </c>
      <c r="B24" s="9"/>
      <c r="C24" s="9"/>
      <c r="D24" s="9">
        <f>Fixed_Expense10[[#This Row],[Budget]]-Fixed_Expense10[[#This Row],[Actual]]</f>
        <v>0</v>
      </c>
      <c r="F24" s="5" t="s">
        <v>45</v>
      </c>
      <c r="G24" s="14"/>
      <c r="H24" s="14"/>
      <c r="I24" s="14">
        <f>Variable_Expense11[[#This Row],[Budget]]-Variable_Expense11[[#This Row],[Actual ]]</f>
        <v>0</v>
      </c>
      <c r="N24" s="13"/>
      <c r="O24" s="13"/>
      <c r="P24" s="13"/>
    </row>
    <row r="25" spans="1:16" x14ac:dyDescent="0.25">
      <c r="A25" s="5" t="s">
        <v>23</v>
      </c>
      <c r="B25" s="9"/>
      <c r="C25" s="9"/>
      <c r="D25" s="9">
        <f>Fixed_Expense10[[#This Row],[Budget]]-Fixed_Expense10[[#This Row],[Actual]]</f>
        <v>0</v>
      </c>
      <c r="F25" s="5" t="s">
        <v>46</v>
      </c>
      <c r="G25" s="14"/>
      <c r="H25" s="14"/>
      <c r="I25" s="14">
        <f>Variable_Expense11[[#This Row],[Budget]]-Variable_Expense11[[#This Row],[Actual ]]</f>
        <v>0</v>
      </c>
      <c r="N25" s="13"/>
      <c r="O25" s="13"/>
      <c r="P25" s="13"/>
    </row>
    <row r="26" spans="1:16" x14ac:dyDescent="0.25">
      <c r="A26" s="5" t="s">
        <v>24</v>
      </c>
      <c r="B26" s="9"/>
      <c r="C26" s="9"/>
      <c r="D26" s="9">
        <f>Fixed_Expense10[[#This Row],[Budget]]-Fixed_Expense10[[#This Row],[Actual]]</f>
        <v>0</v>
      </c>
      <c r="F26" s="5" t="s">
        <v>47</v>
      </c>
      <c r="G26" s="14"/>
      <c r="H26" s="14"/>
      <c r="I26" s="14">
        <f>Variable_Expense11[[#This Row],[Budget]]-Variable_Expense11[[#This Row],[Actual ]]</f>
        <v>0</v>
      </c>
      <c r="N26" s="13"/>
      <c r="O26" s="13"/>
      <c r="P26" s="13"/>
    </row>
    <row r="27" spans="1:16" x14ac:dyDescent="0.25">
      <c r="A27" s="5" t="s">
        <v>25</v>
      </c>
      <c r="B27" s="9"/>
      <c r="C27" s="9"/>
      <c r="D27" s="9">
        <f>Fixed_Expense10[[#This Row],[Budget]]-Fixed_Expense10[[#This Row],[Actual]]</f>
        <v>0</v>
      </c>
      <c r="F27" s="5" t="s">
        <v>48</v>
      </c>
      <c r="G27" s="14"/>
      <c r="H27" s="14"/>
      <c r="I27" s="14">
        <f>Variable_Expense11[[#This Row],[Budget]]-Variable_Expense11[[#This Row],[Actual ]]</f>
        <v>0</v>
      </c>
      <c r="N27" s="13"/>
      <c r="O27" s="13"/>
      <c r="P27" s="13"/>
    </row>
    <row r="28" spans="1:16" x14ac:dyDescent="0.25">
      <c r="A28" s="5" t="s">
        <v>26</v>
      </c>
      <c r="B28" s="9"/>
      <c r="C28" s="9"/>
      <c r="D28" s="9">
        <f>Fixed_Expense10[[#This Row],[Budget]]-Fixed_Expense10[[#This Row],[Actual]]</f>
        <v>0</v>
      </c>
      <c r="F28" s="5" t="s">
        <v>49</v>
      </c>
      <c r="G28" s="14"/>
      <c r="H28" s="14"/>
      <c r="I28" s="14">
        <f>Variable_Expense11[[#This Row],[Budget]]-Variable_Expense11[[#This Row],[Actual ]]</f>
        <v>0</v>
      </c>
      <c r="N28" s="13"/>
      <c r="O28" s="13"/>
      <c r="P28" s="13"/>
    </row>
    <row r="29" spans="1:16" x14ac:dyDescent="0.25">
      <c r="A29" s="5" t="s">
        <v>27</v>
      </c>
      <c r="B29" s="9"/>
      <c r="C29" s="9"/>
      <c r="D29" s="9">
        <f>Fixed_Expense10[[#This Row],[Budget]]-Fixed_Expense10[[#This Row],[Actual]]</f>
        <v>0</v>
      </c>
      <c r="F29" s="5" t="s">
        <v>50</v>
      </c>
      <c r="G29" s="14"/>
      <c r="H29" s="14"/>
      <c r="I29" s="14">
        <f>Variable_Expense11[[#This Row],[Budget]]-Variable_Expense11[[#This Row],[Actual ]]</f>
        <v>0</v>
      </c>
      <c r="N29" s="13"/>
      <c r="O29" s="13"/>
      <c r="P29" s="13"/>
    </row>
    <row r="30" spans="1:16" x14ac:dyDescent="0.25">
      <c r="A30" s="5" t="s">
        <v>28</v>
      </c>
      <c r="B30" s="9"/>
      <c r="C30" s="9"/>
      <c r="D30" s="9">
        <f>Fixed_Expense10[[#This Row],[Budget]]-Fixed_Expense10[[#This Row],[Actual]]</f>
        <v>0</v>
      </c>
      <c r="F30" s="5" t="s">
        <v>51</v>
      </c>
      <c r="G30" s="14"/>
      <c r="H30" s="14"/>
      <c r="I30" s="14">
        <f>Variable_Expense11[[#This Row],[Budget]]-Variable_Expense11[[#This Row],[Actual ]]</f>
        <v>0</v>
      </c>
      <c r="N30" s="13"/>
      <c r="O30" s="13"/>
      <c r="P30" s="13"/>
    </row>
    <row r="31" spans="1:16" x14ac:dyDescent="0.25">
      <c r="A31" s="5" t="s">
        <v>29</v>
      </c>
      <c r="B31" s="9"/>
      <c r="C31" s="9"/>
      <c r="D31" s="9">
        <f>Fixed_Expense10[[#This Row],[Budget]]-Fixed_Expense10[[#This Row],[Actual]]</f>
        <v>0</v>
      </c>
      <c r="F31" s="5" t="s">
        <v>52</v>
      </c>
      <c r="G31" s="14"/>
      <c r="H31" s="14"/>
      <c r="I31" s="14">
        <f>Variable_Expense11[[#This Row],[Budget]]-Variable_Expense11[[#This Row],[Actual ]]</f>
        <v>0</v>
      </c>
    </row>
    <row r="32" spans="1:16" x14ac:dyDescent="0.25">
      <c r="A32" s="5" t="s">
        <v>30</v>
      </c>
      <c r="B32" s="9"/>
      <c r="C32" s="9"/>
      <c r="D32" s="9">
        <f>Fixed_Expense10[[#This Row],[Budget]]-Fixed_Expense10[[#This Row],[Actual]]</f>
        <v>0</v>
      </c>
      <c r="F32" s="5" t="s">
        <v>53</v>
      </c>
      <c r="G32" s="14"/>
      <c r="H32" s="14"/>
      <c r="I32" s="14">
        <f>Variable_Expense11[[#This Row],[Budget]]-Variable_Expense11[[#This Row],[Actual ]]</f>
        <v>0</v>
      </c>
    </row>
    <row r="33" spans="1:9" x14ac:dyDescent="0.25">
      <c r="A33" s="5" t="s">
        <v>31</v>
      </c>
      <c r="B33" s="9"/>
      <c r="C33" s="9"/>
      <c r="D33" s="9">
        <f>Fixed_Expense10[[#This Row],[Budget]]-Fixed_Expense10[[#This Row],[Actual]]</f>
        <v>0</v>
      </c>
      <c r="F33" s="5" t="s">
        <v>54</v>
      </c>
      <c r="G33" s="14"/>
      <c r="H33" s="14"/>
      <c r="I33" s="14">
        <f>Variable_Expense11[[#This Row],[Budget]]-Variable_Expense11[[#This Row],[Actual ]]</f>
        <v>0</v>
      </c>
    </row>
    <row r="34" spans="1:9" x14ac:dyDescent="0.25">
      <c r="A34" s="5" t="s">
        <v>32</v>
      </c>
      <c r="B34" s="9"/>
      <c r="C34" s="9"/>
      <c r="D34" s="9">
        <f>Fixed_Expense10[[#This Row],[Budget]]-Fixed_Expense10[[#This Row],[Actual]]</f>
        <v>0</v>
      </c>
      <c r="F34" s="5" t="s">
        <v>55</v>
      </c>
      <c r="G34" s="14"/>
      <c r="H34" s="14"/>
      <c r="I34" s="14">
        <f>Variable_Expense11[[#This Row],[Budget]]-Variable_Expense11[[#This Row],[Actual ]]</f>
        <v>0</v>
      </c>
    </row>
    <row r="35" spans="1:9" x14ac:dyDescent="0.25">
      <c r="A35" s="5" t="s">
        <v>33</v>
      </c>
      <c r="B35" s="9"/>
      <c r="C35" s="9"/>
      <c r="D35" s="9">
        <f>Fixed_Expense10[[#This Row],[Budget]]-Fixed_Expense10[[#This Row],[Actual]]</f>
        <v>0</v>
      </c>
      <c r="F35" s="5" t="s">
        <v>56</v>
      </c>
      <c r="G35" s="14"/>
      <c r="H35" s="14"/>
      <c r="I35" s="14">
        <f>Variable_Expense11[[#This Row],[Budget]]-Variable_Expense11[[#This Row],[Actual ]]</f>
        <v>0</v>
      </c>
    </row>
    <row r="36" spans="1:9" x14ac:dyDescent="0.25">
      <c r="A36" s="5" t="s">
        <v>34</v>
      </c>
      <c r="B36" s="9"/>
      <c r="C36" s="9"/>
      <c r="D36" s="9">
        <f>Fixed_Expense10[[#This Row],[Budget]]-Fixed_Expense10[[#This Row],[Actual]]</f>
        <v>0</v>
      </c>
      <c r="F36" s="5" t="s">
        <v>57</v>
      </c>
      <c r="G36" s="14"/>
      <c r="H36" s="14"/>
      <c r="I36" s="14">
        <f>Variable_Expense11[[#This Row],[Budget]]-Variable_Expense11[[#This Row],[Actual ]]</f>
        <v>0</v>
      </c>
    </row>
    <row r="37" spans="1:9" x14ac:dyDescent="0.25">
      <c r="A37" s="5" t="s">
        <v>35</v>
      </c>
      <c r="B37" s="9"/>
      <c r="C37" s="9"/>
      <c r="D37" s="9">
        <f>Fixed_Expense10[[#This Row],[Budget]]-Fixed_Expense10[[#This Row],[Actual]]</f>
        <v>0</v>
      </c>
      <c r="F37" s="5" t="s">
        <v>15</v>
      </c>
      <c r="G37" s="14"/>
      <c r="H37" s="14"/>
      <c r="I37" s="14">
        <f>Variable_Expense11[[#This Row],[Budget]]-Variable_Expense11[[#This Row],[Actual ]]</f>
        <v>0</v>
      </c>
    </row>
    <row r="38" spans="1:9" x14ac:dyDescent="0.25">
      <c r="A38" s="5" t="s">
        <v>36</v>
      </c>
      <c r="B38" s="9"/>
      <c r="C38" s="9"/>
      <c r="D38" s="9">
        <f>Fixed_Expense10[[#This Row],[Budget]]-Fixed_Expense10[[#This Row],[Actual]]</f>
        <v>0</v>
      </c>
      <c r="F38" s="5" t="s">
        <v>15</v>
      </c>
      <c r="G38" s="14"/>
      <c r="H38" s="14"/>
      <c r="I38" s="14">
        <f>Variable_Expense11[[#This Row],[Budget]]-Variable_Expense11[[#This Row],[Actual ]]</f>
        <v>0</v>
      </c>
    </row>
    <row r="39" spans="1:9" x14ac:dyDescent="0.25">
      <c r="A39" s="6" t="s">
        <v>15</v>
      </c>
      <c r="B39" s="10"/>
      <c r="C39" s="10"/>
      <c r="D39" s="10">
        <f>Fixed_Expense10[[#This Row],[Budget]]-Fixed_Expense10[[#This Row],[Actual]]</f>
        <v>0</v>
      </c>
      <c r="F39" s="5" t="s">
        <v>15</v>
      </c>
      <c r="G39" s="14"/>
      <c r="H39" s="14"/>
      <c r="I39" s="14">
        <f>Variable_Expense11[[#This Row],[Budget]]-Variable_Expense11[[#This Row],[Actual ]]</f>
        <v>0</v>
      </c>
    </row>
    <row r="40" spans="1:9" x14ac:dyDescent="0.25">
      <c r="A40" s="5" t="s">
        <v>6</v>
      </c>
      <c r="B40" s="17">
        <f>SUBTOTAL(109,Fixed_Expense10[Budget])</f>
        <v>0</v>
      </c>
      <c r="C40" s="17">
        <f>SUBTOTAL(109,Fixed_Expense10[Actual])</f>
        <v>0</v>
      </c>
      <c r="D40" s="17">
        <f>SUBTOTAL(109,Fixed_Expense10[Difference])</f>
        <v>0</v>
      </c>
      <c r="F40" s="5" t="s">
        <v>6</v>
      </c>
      <c r="G40" s="17">
        <f>SUBTOTAL(109,Variable_Expense11[Budget])</f>
        <v>0</v>
      </c>
      <c r="H40" s="17">
        <f>SUBTOTAL(109,Variable_Expense11[[Actual ]])</f>
        <v>0</v>
      </c>
      <c r="I40" s="18">
        <f>SUBTOTAL(109,Variable_Expense11[Difference])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23">
      <dataBar>
        <cfvo type="min"/>
        <cfvo type="max"/>
        <color rgb="FF638EC6"/>
      </dataBar>
      <extLst>
        <ext xmlns:x14="http://schemas.microsoft.com/office/spreadsheetml/2009/9/main" uri="{B025F937-C7B1-47D3-B67F-A62EFF666E3E}">
          <x14:id>{E1A31033-7062-4DBF-932C-23BB79347EE1}</x14:id>
        </ext>
      </extLst>
    </cfRule>
  </conditionalFormatting>
  <conditionalFormatting sqref="B8:B10">
    <cfRule type="dataBar" priority="22">
      <dataBar>
        <cfvo type="min"/>
        <cfvo type="max"/>
        <color rgb="FF638EC6"/>
      </dataBar>
      <extLst>
        <ext xmlns:x14="http://schemas.microsoft.com/office/spreadsheetml/2009/9/main" uri="{B025F937-C7B1-47D3-B67F-A62EFF666E3E}">
          <x14:id>{59944922-8E3B-4772-9906-A68B180E2C94}</x14:id>
        </ext>
      </extLst>
    </cfRule>
  </conditionalFormatting>
  <conditionalFormatting sqref="C8:C10">
    <cfRule type="dataBar" priority="21">
      <dataBar>
        <cfvo type="min"/>
        <cfvo type="max"/>
        <color rgb="FF63C384"/>
      </dataBar>
      <extLst>
        <ext xmlns:x14="http://schemas.microsoft.com/office/spreadsheetml/2009/9/main" uri="{B025F937-C7B1-47D3-B67F-A62EFF666E3E}">
          <x14:id>{A7FC5098-8566-47B6-BE9F-D385D8DD854D}</x14:id>
        </ext>
      </extLst>
    </cfRule>
  </conditionalFormatting>
  <conditionalFormatting sqref="N17:N30">
    <cfRule type="dataBar" priority="18">
      <dataBar>
        <cfvo type="min"/>
        <cfvo type="max"/>
        <color rgb="FFFF555A"/>
      </dataBar>
      <extLst>
        <ext xmlns:x14="http://schemas.microsoft.com/office/spreadsheetml/2009/9/main" uri="{B025F937-C7B1-47D3-B67F-A62EFF666E3E}">
          <x14:id>{E28E4E4D-D314-4849-9634-C4A90666359E}</x14:id>
        </ext>
      </extLst>
    </cfRule>
  </conditionalFormatting>
  <conditionalFormatting sqref="O17:O30">
    <cfRule type="dataBar" priority="17">
      <dataBar>
        <cfvo type="min"/>
        <cfvo type="max"/>
        <color rgb="FFFF555A"/>
      </dataBar>
      <extLst>
        <ext xmlns:x14="http://schemas.microsoft.com/office/spreadsheetml/2009/9/main" uri="{B025F937-C7B1-47D3-B67F-A62EFF666E3E}">
          <x14:id>{749CDD83-4EF4-4EFF-AFEF-2ED67FA8E607}</x14:id>
        </ext>
      </extLst>
    </cfRule>
  </conditionalFormatting>
  <conditionalFormatting sqref="P17:P30 D16:D40">
    <cfRule type="cellIs" dxfId="673" priority="15" operator="greaterThan">
      <formula>0</formula>
    </cfRule>
    <cfRule type="cellIs" dxfId="672" priority="16"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{77DE3A83-84FD-49D3-8FD7-44517F1BD39C}</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{F771BB67-42FF-4241-B64F-A1CE1F67A08B}</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{0A81FE22-6AD6-4AEA-BA27-E0731DC730B8}</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{7B7BA772-7190-4382-8AD7-D2FB5D2806DA}</x14:id>
        </ext>
      </extLst>
    </cfRule>
  </conditionalFormatting>
  <conditionalFormatting sqref="D8:D11">
    <cfRule type="cellIs" dxfId="671" priority="19" operator="greaterThan">
      <formula>0</formula>
    </cfRule>
    <cfRule type="cellIs" dxfId="670" priority="20" operator="lessThan">
      <formula>0</formula>
    </cfRule>
  </conditionalFormatting>
  <conditionalFormatting sqref="I16:I40">
    <cfRule type="cellIs" dxfId="669" priority="7" operator="greaterThan">
      <formula>0</formula>
    </cfRule>
    <cfRule type="cellIs" dxfId="668" priority="8" operator="lessThan">
      <formula>0</formula>
    </cfRule>
  </conditionalFormatting>
  <conditionalFormatting sqref="B16:B40">
    <cfRule type="dataBar" priority="24">
      <dataBar>
        <cfvo type="min"/>
        <cfvo type="max"/>
        <color rgb="FFFF555A"/>
      </dataBar>
      <extLst>
        <ext xmlns:x14="http://schemas.microsoft.com/office/spreadsheetml/2009/9/main" uri="{B025F937-C7B1-47D3-B67F-A62EFF666E3E}">
          <x14:id>{1C2E9DF4-2BAE-44CE-A6A2-9E4F92126156}</x14:id>
        </ext>
      </extLst>
    </cfRule>
  </conditionalFormatting>
  <conditionalFormatting sqref="C16:C40">
    <cfRule type="dataBar" priority="26">
      <dataBar>
        <cfvo type="min"/>
        <cfvo type="max"/>
        <color rgb="FFFF555A"/>
      </dataBar>
      <extLst>
        <ext xmlns:x14="http://schemas.microsoft.com/office/spreadsheetml/2009/9/main" uri="{B025F937-C7B1-47D3-B67F-A62EFF666E3E}">
          <x14:id>{16A89805-B21F-4262-B985-5E676190BD05}</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{64D35CC3-5025-4A0E-A2C9-68338B82A50C}</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{B4C78F03-0D45-4C72-B2DE-4A4DF2C98341}</x14:id>
        </ext>
      </extLst>
    </cfRule>
  </conditionalFormatting>
  <conditionalFormatting sqref="I8:I11">
    <cfRule type="cellIs" dxfId="667" priority="1" operator="greaterThan">
      <formula>0</formula>
    </cfRule>
    <cfRule type="cellIs" dxfId="666" priority="2" operator="lessThan">
      <formula>0</formula>
    </cfRule>
  </conditionalFormatting>
  <pageMargins left="0.7" right="0.7" top="0.75" bottom="0.75" header="0.3" footer="0.3"/>
  <ignoredErrors>
    <ignoredError sqref="G8 H9 G10:H10 I8"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E1A31033-7062-4DBF-932C-23BB79347EE1}">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59944922-8E3B-4772-9906-A68B180E2C94}">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A7FC5098-8566-47B6-BE9F-D385D8DD854D}">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E28E4E4D-D314-4849-9634-C4A90666359E}">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749CDD83-4EF4-4EFF-AFEF-2ED67FA8E607}">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77DE3A83-84FD-49D3-8FD7-44517F1BD39C}">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F771BB67-42FF-4241-B64F-A1CE1F67A08B}">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0A81FE22-6AD6-4AEA-BA27-E0731DC730B8}">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7B7BA772-7190-4382-8AD7-D2FB5D2806DA}">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1C2E9DF4-2BAE-44CE-A6A2-9E4F92126156}">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16A89805-B21F-4262-B985-5E676190BD05}">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64D35CC3-5025-4A0E-A2C9-68338B82A50C}">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B4C78F03-0D45-4C72-B2DE-4A4DF2C98341}">
            <x14:dataBar minLength="0" maxLength="100" gradient="0">
              <x14:cfvo type="autoMin"/>
              <x14:cfvo type="autoMax"/>
              <x14:negativeFillColor rgb="FFFF0000"/>
              <x14:axisColor rgb="FF000000"/>
            </x14:dataBar>
          </x14:cfRule>
          <xm:sqref>H8:H11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E980-9A37-4B24-BCA7-6720695947F6}">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Income134[[#This Row],[Actual]]-Income134[[#This Row],[Budget]]</f>
        <v>0</v>
      </c>
      <c r="F8" s="5" t="s">
        <v>61</v>
      </c>
      <c r="G8" s="9">
        <f>Income134[[#Totals],[Budget]]</f>
        <v>0</v>
      </c>
      <c r="H8" s="9">
        <f>Income134[[#Totals],[Actual]]</f>
        <v>0</v>
      </c>
      <c r="I8" s="9">
        <f>Budget_Summary37[[#This Row],[Budget]]-Budget_Summary37[[#This Row],[Actual]]</f>
        <v>0</v>
      </c>
    </row>
    <row r="9" spans="1:16" x14ac:dyDescent="0.25">
      <c r="A9" s="4" t="s">
        <v>4</v>
      </c>
      <c r="B9" s="7"/>
      <c r="C9" s="7"/>
      <c r="D9" s="8">
        <f>Income134[[#This Row],[Actual]]-Income134[[#This Row],[Budget]]</f>
        <v>0</v>
      </c>
      <c r="F9" s="5" t="s">
        <v>17</v>
      </c>
      <c r="G9" s="9">
        <f>Fixed_Expense1035[[#Totals],[Budget]]</f>
        <v>0</v>
      </c>
      <c r="H9" s="9">
        <f>Fixed_Expense1035[[#Totals],[Actual]]</f>
        <v>0</v>
      </c>
      <c r="I9" s="9">
        <f>Budget_Summary37[[#This Row],[Budget]]-Budget_Summary37[[#This Row],[Actual]]</f>
        <v>0</v>
      </c>
    </row>
    <row r="10" spans="1:16" x14ac:dyDescent="0.25">
      <c r="A10" s="4" t="s">
        <v>5</v>
      </c>
      <c r="B10" s="7"/>
      <c r="C10" s="7"/>
      <c r="D10" s="8">
        <f>Income134[[#This Row],[Actual]]-Income134[[#This Row],[Budget]]</f>
        <v>0</v>
      </c>
      <c r="F10" s="6" t="s">
        <v>37</v>
      </c>
      <c r="G10" s="10">
        <f>Variable_Expense1136[[#Totals],[Budget]]</f>
        <v>0</v>
      </c>
      <c r="H10" s="10">
        <f>Variable_Expense1136[[#Totals],[Actual ]]</f>
        <v>0</v>
      </c>
      <c r="I10" s="9">
        <f>Budget_Summary37[[#This Row],[Budget]]-Budget_Summary37[[#This Row],[Actual]]</f>
        <v>0</v>
      </c>
    </row>
    <row r="11" spans="1:16" x14ac:dyDescent="0.25">
      <c r="A11" s="5" t="s">
        <v>6</v>
      </c>
      <c r="B11" s="7">
        <f>SUBTOTAL(109,Income134[Budget])</f>
        <v>0</v>
      </c>
      <c r="C11" s="7">
        <f>SUBTOTAL(109,Income134[Actual])</f>
        <v>0</v>
      </c>
      <c r="D11" s="7">
        <f>SUBTOTAL(109,Income134[Difference])</f>
        <v>0</v>
      </c>
      <c r="F11" s="5" t="s">
        <v>6</v>
      </c>
      <c r="G11" s="17">
        <f>G8-(G9+G10)</f>
        <v>0</v>
      </c>
      <c r="H11" s="17">
        <f>H8-(H9+H10)</f>
        <v>0</v>
      </c>
      <c r="I11" s="17">
        <f>SUBTOTAL(109,Budget_Summary37[Difference])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Fixed_Expense1035[[#This Row],[Budget]]-Fixed_Expense1035[[#This Row],[Actual]]</f>
        <v>0</v>
      </c>
      <c r="F16" s="5" t="s">
        <v>9</v>
      </c>
      <c r="G16" s="14"/>
      <c r="H16" s="14"/>
      <c r="I16" s="14">
        <f>Variable_Expense1136[[#This Row],[Budget]]-Variable_Expense1136[[#This Row],[Actual ]]</f>
        <v>0</v>
      </c>
      <c r="N16" s="13"/>
      <c r="O16" s="13"/>
      <c r="P16" s="13"/>
    </row>
    <row r="17" spans="1:16" x14ac:dyDescent="0.25">
      <c r="A17" s="5" t="s">
        <v>19</v>
      </c>
      <c r="B17" s="9"/>
      <c r="C17" s="9"/>
      <c r="D17" s="9">
        <f>Fixed_Expense1035[[#This Row],[Budget]]-Fixed_Expense1035[[#This Row],[Actual]]</f>
        <v>0</v>
      </c>
      <c r="F17" s="5" t="s">
        <v>10</v>
      </c>
      <c r="G17" s="14"/>
      <c r="H17" s="14"/>
      <c r="I17" s="14">
        <f>Variable_Expense1136[[#This Row],[Budget]]-Variable_Expense1136[[#This Row],[Actual ]]</f>
        <v>0</v>
      </c>
      <c r="N17" s="13"/>
      <c r="O17" s="13"/>
      <c r="P17" s="13"/>
    </row>
    <row r="18" spans="1:16" x14ac:dyDescent="0.25">
      <c r="A18" s="5" t="s">
        <v>22</v>
      </c>
      <c r="B18" s="9"/>
      <c r="C18" s="9"/>
      <c r="D18" s="9">
        <f>Fixed_Expense1035[[#This Row],[Budget]]-Fixed_Expense1035[[#This Row],[Actual]]</f>
        <v>0</v>
      </c>
      <c r="F18" s="5" t="s">
        <v>39</v>
      </c>
      <c r="G18" s="14"/>
      <c r="H18" s="14"/>
      <c r="I18" s="14">
        <f>Variable_Expense1136[[#This Row],[Budget]]-Variable_Expense1136[[#This Row],[Actual ]]</f>
        <v>0</v>
      </c>
      <c r="N18" s="13"/>
      <c r="O18" s="13"/>
      <c r="P18" s="13"/>
    </row>
    <row r="19" spans="1:16" x14ac:dyDescent="0.25">
      <c r="A19" s="5" t="s">
        <v>20</v>
      </c>
      <c r="B19" s="9"/>
      <c r="C19" s="9"/>
      <c r="D19" s="9">
        <f>Fixed_Expense1035[[#This Row],[Budget]]-Fixed_Expense1035[[#This Row],[Actual]]</f>
        <v>0</v>
      </c>
      <c r="F19" s="5" t="s">
        <v>40</v>
      </c>
      <c r="G19" s="14"/>
      <c r="H19" s="14"/>
      <c r="I19" s="14">
        <f>Variable_Expense1136[[#This Row],[Budget]]-Variable_Expense1136[[#This Row],[Actual ]]</f>
        <v>0</v>
      </c>
      <c r="N19" s="13"/>
      <c r="O19" s="13"/>
      <c r="P19" s="13"/>
    </row>
    <row r="20" spans="1:16" x14ac:dyDescent="0.25">
      <c r="A20" s="5" t="s">
        <v>21</v>
      </c>
      <c r="B20" s="9"/>
      <c r="C20" s="9"/>
      <c r="D20" s="9">
        <f>Fixed_Expense1035[[#This Row],[Budget]]-Fixed_Expense1035[[#This Row],[Actual]]</f>
        <v>0</v>
      </c>
      <c r="F20" s="5" t="s">
        <v>41</v>
      </c>
      <c r="G20" s="14"/>
      <c r="H20" s="14"/>
      <c r="I20" s="14">
        <f>Variable_Expense1136[[#This Row],[Budget]]-Variable_Expense1136[[#This Row],[Actual ]]</f>
        <v>0</v>
      </c>
      <c r="N20" s="13"/>
      <c r="O20" s="13"/>
      <c r="P20" s="13"/>
    </row>
    <row r="21" spans="1:16" x14ac:dyDescent="0.25">
      <c r="A21" s="5" t="s">
        <v>11</v>
      </c>
      <c r="B21" s="9"/>
      <c r="C21" s="9"/>
      <c r="D21" s="9">
        <f>Fixed_Expense1035[[#This Row],[Budget]]-Fixed_Expense1035[[#This Row],[Actual]]</f>
        <v>0</v>
      </c>
      <c r="F21" s="5" t="s">
        <v>42</v>
      </c>
      <c r="G21" s="14"/>
      <c r="H21" s="14"/>
      <c r="I21" s="14">
        <f>Variable_Expense1136[[#This Row],[Budget]]-Variable_Expense1136[[#This Row],[Actual ]]</f>
        <v>0</v>
      </c>
      <c r="N21" s="13"/>
      <c r="O21" s="13"/>
      <c r="P21" s="13"/>
    </row>
    <row r="22" spans="1:16" x14ac:dyDescent="0.25">
      <c r="A22" s="5" t="s">
        <v>12</v>
      </c>
      <c r="B22" s="9"/>
      <c r="C22" s="9"/>
      <c r="D22" s="9">
        <f>Fixed_Expense1035[[#This Row],[Budget]]-Fixed_Expense1035[[#This Row],[Actual]]</f>
        <v>0</v>
      </c>
      <c r="F22" s="5" t="s">
        <v>43</v>
      </c>
      <c r="G22" s="14"/>
      <c r="H22" s="14"/>
      <c r="I22" s="14">
        <f>Variable_Expense1136[[#This Row],[Budget]]-Variable_Expense1136[[#This Row],[Actual ]]</f>
        <v>0</v>
      </c>
      <c r="N22" s="13"/>
      <c r="O22" s="13"/>
      <c r="P22" s="13"/>
    </row>
    <row r="23" spans="1:16" x14ac:dyDescent="0.25">
      <c r="A23" s="5" t="s">
        <v>13</v>
      </c>
      <c r="B23" s="9"/>
      <c r="C23" s="9"/>
      <c r="D23" s="9">
        <f>Fixed_Expense1035[[#This Row],[Budget]]-Fixed_Expense1035[[#This Row],[Actual]]</f>
        <v>0</v>
      </c>
      <c r="F23" s="5" t="s">
        <v>44</v>
      </c>
      <c r="G23" s="14"/>
      <c r="H23" s="14"/>
      <c r="I23" s="14">
        <f>Variable_Expense1136[[#This Row],[Budget]]-Variable_Expense1136[[#This Row],[Actual ]]</f>
        <v>0</v>
      </c>
      <c r="N23" s="13"/>
      <c r="O23" s="13"/>
      <c r="P23" s="13"/>
    </row>
    <row r="24" spans="1:16" x14ac:dyDescent="0.25">
      <c r="A24" s="5" t="s">
        <v>14</v>
      </c>
      <c r="B24" s="9"/>
      <c r="C24" s="9"/>
      <c r="D24" s="9">
        <f>Fixed_Expense1035[[#This Row],[Budget]]-Fixed_Expense1035[[#This Row],[Actual]]</f>
        <v>0</v>
      </c>
      <c r="F24" s="5" t="s">
        <v>45</v>
      </c>
      <c r="G24" s="14"/>
      <c r="H24" s="14"/>
      <c r="I24" s="14">
        <f>Variable_Expense1136[[#This Row],[Budget]]-Variable_Expense1136[[#This Row],[Actual ]]</f>
        <v>0</v>
      </c>
      <c r="N24" s="13"/>
      <c r="O24" s="13"/>
      <c r="P24" s="13"/>
    </row>
    <row r="25" spans="1:16" x14ac:dyDescent="0.25">
      <c r="A25" s="5" t="s">
        <v>23</v>
      </c>
      <c r="B25" s="9"/>
      <c r="C25" s="9"/>
      <c r="D25" s="9">
        <f>Fixed_Expense1035[[#This Row],[Budget]]-Fixed_Expense1035[[#This Row],[Actual]]</f>
        <v>0</v>
      </c>
      <c r="F25" s="5" t="s">
        <v>46</v>
      </c>
      <c r="G25" s="14"/>
      <c r="H25" s="14"/>
      <c r="I25" s="14">
        <f>Variable_Expense1136[[#This Row],[Budget]]-Variable_Expense1136[[#This Row],[Actual ]]</f>
        <v>0</v>
      </c>
      <c r="N25" s="13"/>
      <c r="O25" s="13"/>
      <c r="P25" s="13"/>
    </row>
    <row r="26" spans="1:16" x14ac:dyDescent="0.25">
      <c r="A26" s="5" t="s">
        <v>24</v>
      </c>
      <c r="B26" s="9"/>
      <c r="C26" s="9"/>
      <c r="D26" s="9">
        <f>Fixed_Expense1035[[#This Row],[Budget]]-Fixed_Expense1035[[#This Row],[Actual]]</f>
        <v>0</v>
      </c>
      <c r="F26" s="5" t="s">
        <v>47</v>
      </c>
      <c r="G26" s="14"/>
      <c r="H26" s="14"/>
      <c r="I26" s="14">
        <f>Variable_Expense1136[[#This Row],[Budget]]-Variable_Expense1136[[#This Row],[Actual ]]</f>
        <v>0</v>
      </c>
      <c r="N26" s="13"/>
      <c r="O26" s="13"/>
      <c r="P26" s="13"/>
    </row>
    <row r="27" spans="1:16" x14ac:dyDescent="0.25">
      <c r="A27" s="5" t="s">
        <v>25</v>
      </c>
      <c r="B27" s="9"/>
      <c r="C27" s="9"/>
      <c r="D27" s="9">
        <f>Fixed_Expense1035[[#This Row],[Budget]]-Fixed_Expense1035[[#This Row],[Actual]]</f>
        <v>0</v>
      </c>
      <c r="F27" s="5" t="s">
        <v>48</v>
      </c>
      <c r="G27" s="14"/>
      <c r="H27" s="14"/>
      <c r="I27" s="14">
        <f>Variable_Expense1136[[#This Row],[Budget]]-Variable_Expense1136[[#This Row],[Actual ]]</f>
        <v>0</v>
      </c>
      <c r="N27" s="13"/>
      <c r="O27" s="13"/>
      <c r="P27" s="13"/>
    </row>
    <row r="28" spans="1:16" x14ac:dyDescent="0.25">
      <c r="A28" s="5" t="s">
        <v>26</v>
      </c>
      <c r="B28" s="9"/>
      <c r="C28" s="9"/>
      <c r="D28" s="9">
        <f>Fixed_Expense1035[[#This Row],[Budget]]-Fixed_Expense1035[[#This Row],[Actual]]</f>
        <v>0</v>
      </c>
      <c r="F28" s="5" t="s">
        <v>49</v>
      </c>
      <c r="G28" s="14"/>
      <c r="H28" s="14"/>
      <c r="I28" s="14">
        <f>Variable_Expense1136[[#This Row],[Budget]]-Variable_Expense1136[[#This Row],[Actual ]]</f>
        <v>0</v>
      </c>
      <c r="N28" s="13"/>
      <c r="O28" s="13"/>
      <c r="P28" s="13"/>
    </row>
    <row r="29" spans="1:16" x14ac:dyDescent="0.25">
      <c r="A29" s="5" t="s">
        <v>27</v>
      </c>
      <c r="B29" s="9"/>
      <c r="C29" s="9"/>
      <c r="D29" s="9">
        <f>Fixed_Expense1035[[#This Row],[Budget]]-Fixed_Expense1035[[#This Row],[Actual]]</f>
        <v>0</v>
      </c>
      <c r="F29" s="5" t="s">
        <v>50</v>
      </c>
      <c r="G29" s="14"/>
      <c r="H29" s="14"/>
      <c r="I29" s="14">
        <f>Variable_Expense1136[[#This Row],[Budget]]-Variable_Expense1136[[#This Row],[Actual ]]</f>
        <v>0</v>
      </c>
      <c r="N29" s="13"/>
      <c r="O29" s="13"/>
      <c r="P29" s="13"/>
    </row>
    <row r="30" spans="1:16" x14ac:dyDescent="0.25">
      <c r="A30" s="5" t="s">
        <v>28</v>
      </c>
      <c r="B30" s="9"/>
      <c r="C30" s="9"/>
      <c r="D30" s="9">
        <f>Fixed_Expense1035[[#This Row],[Budget]]-Fixed_Expense1035[[#This Row],[Actual]]</f>
        <v>0</v>
      </c>
      <c r="F30" s="5" t="s">
        <v>51</v>
      </c>
      <c r="G30" s="14"/>
      <c r="H30" s="14"/>
      <c r="I30" s="14">
        <f>Variable_Expense1136[[#This Row],[Budget]]-Variable_Expense1136[[#This Row],[Actual ]]</f>
        <v>0</v>
      </c>
      <c r="N30" s="13"/>
      <c r="O30" s="13"/>
      <c r="P30" s="13"/>
    </row>
    <row r="31" spans="1:16" x14ac:dyDescent="0.25">
      <c r="A31" s="5" t="s">
        <v>29</v>
      </c>
      <c r="B31" s="9"/>
      <c r="C31" s="9"/>
      <c r="D31" s="9">
        <f>Fixed_Expense1035[[#This Row],[Budget]]-Fixed_Expense1035[[#This Row],[Actual]]</f>
        <v>0</v>
      </c>
      <c r="F31" s="5" t="s">
        <v>52</v>
      </c>
      <c r="G31" s="14"/>
      <c r="H31" s="14"/>
      <c r="I31" s="14">
        <f>Variable_Expense1136[[#This Row],[Budget]]-Variable_Expense1136[[#This Row],[Actual ]]</f>
        <v>0</v>
      </c>
    </row>
    <row r="32" spans="1:16" x14ac:dyDescent="0.25">
      <c r="A32" s="5" t="s">
        <v>30</v>
      </c>
      <c r="B32" s="9"/>
      <c r="C32" s="9"/>
      <c r="D32" s="9">
        <f>Fixed_Expense1035[[#This Row],[Budget]]-Fixed_Expense1035[[#This Row],[Actual]]</f>
        <v>0</v>
      </c>
      <c r="F32" s="5" t="s">
        <v>53</v>
      </c>
      <c r="G32" s="14"/>
      <c r="H32" s="14"/>
      <c r="I32" s="14">
        <f>Variable_Expense1136[[#This Row],[Budget]]-Variable_Expense1136[[#This Row],[Actual ]]</f>
        <v>0</v>
      </c>
    </row>
    <row r="33" spans="1:9" x14ac:dyDescent="0.25">
      <c r="A33" s="5" t="s">
        <v>31</v>
      </c>
      <c r="B33" s="9"/>
      <c r="C33" s="9"/>
      <c r="D33" s="9">
        <f>Fixed_Expense1035[[#This Row],[Budget]]-Fixed_Expense1035[[#This Row],[Actual]]</f>
        <v>0</v>
      </c>
      <c r="F33" s="5" t="s">
        <v>54</v>
      </c>
      <c r="G33" s="14"/>
      <c r="H33" s="14"/>
      <c r="I33" s="14">
        <f>Variable_Expense1136[[#This Row],[Budget]]-Variable_Expense1136[[#This Row],[Actual ]]</f>
        <v>0</v>
      </c>
    </row>
    <row r="34" spans="1:9" x14ac:dyDescent="0.25">
      <c r="A34" s="5" t="s">
        <v>32</v>
      </c>
      <c r="B34" s="9"/>
      <c r="C34" s="9"/>
      <c r="D34" s="9">
        <f>Fixed_Expense1035[[#This Row],[Budget]]-Fixed_Expense1035[[#This Row],[Actual]]</f>
        <v>0</v>
      </c>
      <c r="F34" s="5" t="s">
        <v>55</v>
      </c>
      <c r="G34" s="14"/>
      <c r="H34" s="14"/>
      <c r="I34" s="14">
        <f>Variable_Expense1136[[#This Row],[Budget]]-Variable_Expense1136[[#This Row],[Actual ]]</f>
        <v>0</v>
      </c>
    </row>
    <row r="35" spans="1:9" x14ac:dyDescent="0.25">
      <c r="A35" s="5" t="s">
        <v>33</v>
      </c>
      <c r="B35" s="9"/>
      <c r="C35" s="9"/>
      <c r="D35" s="9">
        <f>Fixed_Expense1035[[#This Row],[Budget]]-Fixed_Expense1035[[#This Row],[Actual]]</f>
        <v>0</v>
      </c>
      <c r="F35" s="5" t="s">
        <v>56</v>
      </c>
      <c r="G35" s="14"/>
      <c r="H35" s="14"/>
      <c r="I35" s="14">
        <f>Variable_Expense1136[[#This Row],[Budget]]-Variable_Expense1136[[#This Row],[Actual ]]</f>
        <v>0</v>
      </c>
    </row>
    <row r="36" spans="1:9" x14ac:dyDescent="0.25">
      <c r="A36" s="5" t="s">
        <v>34</v>
      </c>
      <c r="B36" s="9"/>
      <c r="C36" s="9"/>
      <c r="D36" s="9">
        <f>Fixed_Expense1035[[#This Row],[Budget]]-Fixed_Expense1035[[#This Row],[Actual]]</f>
        <v>0</v>
      </c>
      <c r="F36" s="5" t="s">
        <v>57</v>
      </c>
      <c r="G36" s="14"/>
      <c r="H36" s="14"/>
      <c r="I36" s="14">
        <f>Variable_Expense1136[[#This Row],[Budget]]-Variable_Expense1136[[#This Row],[Actual ]]</f>
        <v>0</v>
      </c>
    </row>
    <row r="37" spans="1:9" x14ac:dyDescent="0.25">
      <c r="A37" s="5" t="s">
        <v>35</v>
      </c>
      <c r="B37" s="9"/>
      <c r="C37" s="9"/>
      <c r="D37" s="9">
        <f>Fixed_Expense1035[[#This Row],[Budget]]-Fixed_Expense1035[[#This Row],[Actual]]</f>
        <v>0</v>
      </c>
      <c r="F37" s="5" t="s">
        <v>15</v>
      </c>
      <c r="G37" s="14"/>
      <c r="H37" s="14"/>
      <c r="I37" s="14">
        <f>Variable_Expense1136[[#This Row],[Budget]]-Variable_Expense1136[[#This Row],[Actual ]]</f>
        <v>0</v>
      </c>
    </row>
    <row r="38" spans="1:9" x14ac:dyDescent="0.25">
      <c r="A38" s="5" t="s">
        <v>36</v>
      </c>
      <c r="B38" s="9"/>
      <c r="C38" s="9"/>
      <c r="D38" s="9">
        <f>Fixed_Expense1035[[#This Row],[Budget]]-Fixed_Expense1035[[#This Row],[Actual]]</f>
        <v>0</v>
      </c>
      <c r="F38" s="5" t="s">
        <v>15</v>
      </c>
      <c r="G38" s="14"/>
      <c r="H38" s="14"/>
      <c r="I38" s="14">
        <f>Variable_Expense1136[[#This Row],[Budget]]-Variable_Expense1136[[#This Row],[Actual ]]</f>
        <v>0</v>
      </c>
    </row>
    <row r="39" spans="1:9" x14ac:dyDescent="0.25">
      <c r="A39" s="6" t="s">
        <v>15</v>
      </c>
      <c r="B39" s="10"/>
      <c r="C39" s="10"/>
      <c r="D39" s="10">
        <f>Fixed_Expense1035[[#This Row],[Budget]]-Fixed_Expense1035[[#This Row],[Actual]]</f>
        <v>0</v>
      </c>
      <c r="F39" s="5" t="s">
        <v>15</v>
      </c>
      <c r="G39" s="14"/>
      <c r="H39" s="14"/>
      <c r="I39" s="14">
        <f>Variable_Expense1136[[#This Row],[Budget]]-Variable_Expense1136[[#This Row],[Actual ]]</f>
        <v>0</v>
      </c>
    </row>
    <row r="40" spans="1:9" x14ac:dyDescent="0.25">
      <c r="A40" s="5" t="s">
        <v>6</v>
      </c>
      <c r="B40" s="17">
        <f>SUBTOTAL(109,Fixed_Expense1035[Budget])</f>
        <v>0</v>
      </c>
      <c r="C40" s="17">
        <f>SUBTOTAL(109,Fixed_Expense1035[Actual])</f>
        <v>0</v>
      </c>
      <c r="D40" s="17">
        <f>SUBTOTAL(109,Fixed_Expense1035[Difference])</f>
        <v>0</v>
      </c>
      <c r="F40" s="5" t="s">
        <v>6</v>
      </c>
      <c r="G40" s="17">
        <f>SUBTOTAL(109,Variable_Expense1136[Budget])</f>
        <v>0</v>
      </c>
      <c r="H40" s="17">
        <f>SUBTOTAL(109,Variable_Expense1136[[Actual ]])</f>
        <v>0</v>
      </c>
      <c r="I40" s="18">
        <f>SUBTOTAL(109,Variable_Expense1136[Difference])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19">
      <dataBar>
        <cfvo type="min"/>
        <cfvo type="max"/>
        <color rgb="FF638EC6"/>
      </dataBar>
      <extLst>
        <ext xmlns:x14="http://schemas.microsoft.com/office/spreadsheetml/2009/9/main" uri="{B025F937-C7B1-47D3-B67F-A62EFF666E3E}">
          <x14:id>{F28FB842-84C9-4952-ABAA-4C844F450299}</x14:id>
        </ext>
      </extLst>
    </cfRule>
  </conditionalFormatting>
  <conditionalFormatting sqref="B8:B10">
    <cfRule type="dataBar" priority="18">
      <dataBar>
        <cfvo type="min"/>
        <cfvo type="max"/>
        <color rgb="FF638EC6"/>
      </dataBar>
      <extLst>
        <ext xmlns:x14="http://schemas.microsoft.com/office/spreadsheetml/2009/9/main" uri="{B025F937-C7B1-47D3-B67F-A62EFF666E3E}">
          <x14:id>{D03ACDE0-ACE0-4ACE-ADDC-2F17F4A02867}</x14:id>
        </ext>
      </extLst>
    </cfRule>
  </conditionalFormatting>
  <conditionalFormatting sqref="C8:C10">
    <cfRule type="dataBar" priority="17">
      <dataBar>
        <cfvo type="min"/>
        <cfvo type="max"/>
        <color rgb="FF63C384"/>
      </dataBar>
      <extLst>
        <ext xmlns:x14="http://schemas.microsoft.com/office/spreadsheetml/2009/9/main" uri="{B025F937-C7B1-47D3-B67F-A62EFF666E3E}">
          <x14:id>{9EF97BEC-3CDE-46A7-B859-4F9D99554CC8}</x14:id>
        </ext>
      </extLst>
    </cfRule>
  </conditionalFormatting>
  <conditionalFormatting sqref="N17:N30">
    <cfRule type="dataBar" priority="14">
      <dataBar>
        <cfvo type="min"/>
        <cfvo type="max"/>
        <color rgb="FFFF555A"/>
      </dataBar>
      <extLst>
        <ext xmlns:x14="http://schemas.microsoft.com/office/spreadsheetml/2009/9/main" uri="{B025F937-C7B1-47D3-B67F-A62EFF666E3E}">
          <x14:id>{8304281A-E7DC-44E5-B165-AEF482D2671C}</x14:id>
        </ext>
      </extLst>
    </cfRule>
  </conditionalFormatting>
  <conditionalFormatting sqref="O17:O30">
    <cfRule type="dataBar" priority="13">
      <dataBar>
        <cfvo type="min"/>
        <cfvo type="max"/>
        <color rgb="FFFF555A"/>
      </dataBar>
      <extLst>
        <ext xmlns:x14="http://schemas.microsoft.com/office/spreadsheetml/2009/9/main" uri="{B025F937-C7B1-47D3-B67F-A62EFF666E3E}">
          <x14:id>{6F9D77A1-0FAB-4497-8766-8CAFBB486561}</x14:id>
        </ext>
      </extLst>
    </cfRule>
  </conditionalFormatting>
  <conditionalFormatting sqref="P17:P30 D16:D40">
    <cfRule type="cellIs" dxfId="628" priority="11" operator="greaterThan">
      <formula>0</formula>
    </cfRule>
    <cfRule type="cellIs" dxfId="627" priority="12"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{0617B0F1-6AC5-4F8C-8B11-941960B5F5F5}</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{644F3EE6-295E-4E8D-9884-AAB8873D08FE}</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{4843AEE7-29AC-44BE-9A2E-BF7A87C87DBD}</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{7886AC68-00DA-4932-920B-D8ADF5653EAF}</x14:id>
        </ext>
      </extLst>
    </cfRule>
  </conditionalFormatting>
  <conditionalFormatting sqref="D8:D11">
    <cfRule type="cellIs" dxfId="626" priority="15" operator="greaterThan">
      <formula>0</formula>
    </cfRule>
    <cfRule type="cellIs" dxfId="625" priority="16" operator="lessThan">
      <formula>0</formula>
    </cfRule>
  </conditionalFormatting>
  <conditionalFormatting sqref="I16:I40">
    <cfRule type="cellIs" dxfId="624" priority="7" operator="greaterThan">
      <formula>0</formula>
    </cfRule>
    <cfRule type="cellIs" dxfId="623" priority="8" operator="lessThan">
      <formula>0</formula>
    </cfRule>
  </conditionalFormatting>
  <conditionalFormatting sqref="B16:B40">
    <cfRule type="dataBar" priority="20">
      <dataBar>
        <cfvo type="min"/>
        <cfvo type="max"/>
        <color rgb="FFFF555A"/>
      </dataBar>
      <extLst>
        <ext xmlns:x14="http://schemas.microsoft.com/office/spreadsheetml/2009/9/main" uri="{B025F937-C7B1-47D3-B67F-A62EFF666E3E}">
          <x14:id>{F29647C5-5E72-4B11-8B33-894A81D7615A}</x14:id>
        </ext>
      </extLst>
    </cfRule>
  </conditionalFormatting>
  <conditionalFormatting sqref="C16:C40">
    <cfRule type="dataBar" priority="21">
      <dataBar>
        <cfvo type="min"/>
        <cfvo type="max"/>
        <color rgb="FFFF555A"/>
      </dataBar>
      <extLst>
        <ext xmlns:x14="http://schemas.microsoft.com/office/spreadsheetml/2009/9/main" uri="{B025F937-C7B1-47D3-B67F-A62EFF666E3E}">
          <x14:id>{8DA644AF-6F3C-4A8D-80E7-4F12310AF541}</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{C9423DC8-B71D-4616-9357-014FF02045BE}</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{957EF837-CA58-4249-A081-4CD3D4DE0A2B}</x14:id>
        </ext>
      </extLst>
    </cfRule>
  </conditionalFormatting>
  <conditionalFormatting sqref="I8:I11">
    <cfRule type="cellIs" dxfId="622" priority="1" operator="greaterThan">
      <formula>0</formula>
    </cfRule>
    <cfRule type="cellIs" dxfId="621" priority="2" operator="lessThan">
      <formula>0</formula>
    </cfRule>
  </conditionalFormatting>
  <pageMargins left="0.7" right="0.7" top="0.75" bottom="0.75" header="0.3" footer="0.3"/>
  <ignoredErrors>
    <ignoredError sqref="G8 H9 G10:H10"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F28FB842-84C9-4952-ABAA-4C844F450299}">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D03ACDE0-ACE0-4ACE-ADDC-2F17F4A02867}">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9EF97BEC-3CDE-46A7-B859-4F9D99554CC8}">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8304281A-E7DC-44E5-B165-AEF482D2671C}">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6F9D77A1-0FAB-4497-8766-8CAFBB486561}">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0617B0F1-6AC5-4F8C-8B11-941960B5F5F5}">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644F3EE6-295E-4E8D-9884-AAB8873D08FE}">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4843AEE7-29AC-44BE-9A2E-BF7A87C87DBD}">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7886AC68-00DA-4932-920B-D8ADF5653EAF}">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F29647C5-5E72-4B11-8B33-894A81D7615A}">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8DA644AF-6F3C-4A8D-80E7-4F12310AF541}">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C9423DC8-B71D-4616-9357-014FF02045BE}">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957EF837-CA58-4249-A081-4CD3D4DE0A2B}">
            <x14:dataBar minLength="0" maxLength="100" gradient="0">
              <x14:cfvo type="autoMin"/>
              <x14:cfvo type="autoMax"/>
              <x14:negativeFillColor rgb="FFFF0000"/>
              <x14:axisColor rgb="FF000000"/>
            </x14:dataBar>
          </x14:cfRule>
          <xm:sqref>H8:H11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A7DE4-ABCE-4FC9-886F-E564B432DAFB}">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Income13438[[#This Row],[Actual]]-Income13438[[#This Row],[Budget]]</f>
        <v>0</v>
      </c>
      <c r="F8" s="5" t="s">
        <v>61</v>
      </c>
      <c r="G8" s="9">
        <f>Income13438[[#Totals],[Budget]]</f>
        <v>0</v>
      </c>
      <c r="H8" s="9">
        <f>Income13438[[#Totals],[Actual]]</f>
        <v>0</v>
      </c>
      <c r="I8" s="9">
        <f>Budget_Summary3741[[#This Row],[Budget]]-Budget_Summary3741[[#This Row],[Actual]]</f>
        <v>0</v>
      </c>
    </row>
    <row r="9" spans="1:16" x14ac:dyDescent="0.25">
      <c r="A9" s="4" t="s">
        <v>4</v>
      </c>
      <c r="B9" s="7"/>
      <c r="C9" s="7"/>
      <c r="D9" s="8">
        <f>Income13438[[#This Row],[Actual]]-Income13438[[#This Row],[Budget]]</f>
        <v>0</v>
      </c>
      <c r="F9" s="5" t="s">
        <v>17</v>
      </c>
      <c r="G9" s="9">
        <f>Fixed_Expense103539[[#Totals],[Budget]]</f>
        <v>0</v>
      </c>
      <c r="H9" s="9">
        <f>Fixed_Expense103539[[#Totals],[Actual]]</f>
        <v>0</v>
      </c>
      <c r="I9" s="9">
        <f>Budget_Summary3741[[#This Row],[Budget]]-Budget_Summary3741[[#This Row],[Actual]]</f>
        <v>0</v>
      </c>
    </row>
    <row r="10" spans="1:16" x14ac:dyDescent="0.25">
      <c r="A10" s="4" t="s">
        <v>5</v>
      </c>
      <c r="B10" s="7"/>
      <c r="C10" s="7"/>
      <c r="D10" s="8">
        <f>Income13438[[#This Row],[Actual]]-Income13438[[#This Row],[Budget]]</f>
        <v>0</v>
      </c>
      <c r="F10" s="6" t="s">
        <v>37</v>
      </c>
      <c r="G10" s="10">
        <f>Variable_Expense113640[[#Totals],[Budget]]</f>
        <v>0</v>
      </c>
      <c r="H10" s="10">
        <f>Variable_Expense113640[[#Totals],[Actual ]]</f>
        <v>0</v>
      </c>
      <c r="I10" s="9">
        <f>Budget_Summary3741[[#This Row],[Budget]]-Budget_Summary3741[[#This Row],[Actual]]</f>
        <v>0</v>
      </c>
    </row>
    <row r="11" spans="1:16" x14ac:dyDescent="0.25">
      <c r="A11" s="5" t="s">
        <v>6</v>
      </c>
      <c r="B11" s="7">
        <f>SUBTOTAL(109,Income13438[Budget])</f>
        <v>0</v>
      </c>
      <c r="C11" s="7">
        <f>SUBTOTAL(109,Income13438[Actual])</f>
        <v>0</v>
      </c>
      <c r="D11" s="7">
        <f>SUBTOTAL(109,Income13438[Difference])</f>
        <v>0</v>
      </c>
      <c r="F11" s="5" t="s">
        <v>6</v>
      </c>
      <c r="G11" s="17">
        <f>G8-(G9+G10)</f>
        <v>0</v>
      </c>
      <c r="H11" s="17">
        <f>H8-(H9+H10)</f>
        <v>0</v>
      </c>
      <c r="I11" s="17">
        <f>SUBTOTAL(109,Budget_Summary3741[Difference])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Fixed_Expense103539[[#This Row],[Budget]]-Fixed_Expense103539[[#This Row],[Actual]]</f>
        <v>0</v>
      </c>
      <c r="F16" s="5" t="s">
        <v>9</v>
      </c>
      <c r="G16" s="14"/>
      <c r="H16" s="14"/>
      <c r="I16" s="14">
        <f>Variable_Expense113640[[#This Row],[Budget]]-Variable_Expense113640[[#This Row],[Actual ]]</f>
        <v>0</v>
      </c>
      <c r="N16" s="13"/>
      <c r="O16" s="13"/>
      <c r="P16" s="13"/>
    </row>
    <row r="17" spans="1:16" x14ac:dyDescent="0.25">
      <c r="A17" s="5" t="s">
        <v>19</v>
      </c>
      <c r="B17" s="9"/>
      <c r="C17" s="9"/>
      <c r="D17" s="9">
        <f>Fixed_Expense103539[[#This Row],[Budget]]-Fixed_Expense103539[[#This Row],[Actual]]</f>
        <v>0</v>
      </c>
      <c r="F17" s="5" t="s">
        <v>10</v>
      </c>
      <c r="G17" s="14"/>
      <c r="H17" s="14"/>
      <c r="I17" s="14">
        <f>Variable_Expense113640[[#This Row],[Budget]]-Variable_Expense113640[[#This Row],[Actual ]]</f>
        <v>0</v>
      </c>
      <c r="N17" s="13"/>
      <c r="O17" s="13"/>
      <c r="P17" s="13"/>
    </row>
    <row r="18" spans="1:16" x14ac:dyDescent="0.25">
      <c r="A18" s="5" t="s">
        <v>22</v>
      </c>
      <c r="B18" s="9"/>
      <c r="C18" s="9"/>
      <c r="D18" s="9">
        <f>Fixed_Expense103539[[#This Row],[Budget]]-Fixed_Expense103539[[#This Row],[Actual]]</f>
        <v>0</v>
      </c>
      <c r="F18" s="5" t="s">
        <v>39</v>
      </c>
      <c r="G18" s="14"/>
      <c r="H18" s="14"/>
      <c r="I18" s="14">
        <f>Variable_Expense113640[[#This Row],[Budget]]-Variable_Expense113640[[#This Row],[Actual ]]</f>
        <v>0</v>
      </c>
      <c r="N18" s="13"/>
      <c r="O18" s="13"/>
      <c r="P18" s="13"/>
    </row>
    <row r="19" spans="1:16" x14ac:dyDescent="0.25">
      <c r="A19" s="5" t="s">
        <v>20</v>
      </c>
      <c r="B19" s="9"/>
      <c r="C19" s="9"/>
      <c r="D19" s="9">
        <f>Fixed_Expense103539[[#This Row],[Budget]]-Fixed_Expense103539[[#This Row],[Actual]]</f>
        <v>0</v>
      </c>
      <c r="F19" s="5" t="s">
        <v>40</v>
      </c>
      <c r="G19" s="14"/>
      <c r="H19" s="14"/>
      <c r="I19" s="14">
        <f>Variable_Expense113640[[#This Row],[Budget]]-Variable_Expense113640[[#This Row],[Actual ]]</f>
        <v>0</v>
      </c>
      <c r="N19" s="13"/>
      <c r="O19" s="13"/>
      <c r="P19" s="13"/>
    </row>
    <row r="20" spans="1:16" x14ac:dyDescent="0.25">
      <c r="A20" s="5" t="s">
        <v>21</v>
      </c>
      <c r="B20" s="9"/>
      <c r="C20" s="9"/>
      <c r="D20" s="9">
        <f>Fixed_Expense103539[[#This Row],[Budget]]-Fixed_Expense103539[[#This Row],[Actual]]</f>
        <v>0</v>
      </c>
      <c r="F20" s="5" t="s">
        <v>41</v>
      </c>
      <c r="G20" s="14"/>
      <c r="H20" s="14"/>
      <c r="I20" s="14">
        <f>Variable_Expense113640[[#This Row],[Budget]]-Variable_Expense113640[[#This Row],[Actual ]]</f>
        <v>0</v>
      </c>
      <c r="N20" s="13"/>
      <c r="O20" s="13"/>
      <c r="P20" s="13"/>
    </row>
    <row r="21" spans="1:16" x14ac:dyDescent="0.25">
      <c r="A21" s="5" t="s">
        <v>11</v>
      </c>
      <c r="B21" s="9"/>
      <c r="C21" s="9"/>
      <c r="D21" s="9">
        <f>Fixed_Expense103539[[#This Row],[Budget]]-Fixed_Expense103539[[#This Row],[Actual]]</f>
        <v>0</v>
      </c>
      <c r="F21" s="5" t="s">
        <v>42</v>
      </c>
      <c r="G21" s="14"/>
      <c r="H21" s="14"/>
      <c r="I21" s="14">
        <f>Variable_Expense113640[[#This Row],[Budget]]-Variable_Expense113640[[#This Row],[Actual ]]</f>
        <v>0</v>
      </c>
      <c r="N21" s="13"/>
      <c r="O21" s="13"/>
      <c r="P21" s="13"/>
    </row>
    <row r="22" spans="1:16" x14ac:dyDescent="0.25">
      <c r="A22" s="5" t="s">
        <v>12</v>
      </c>
      <c r="B22" s="9"/>
      <c r="C22" s="9"/>
      <c r="D22" s="9">
        <f>Fixed_Expense103539[[#This Row],[Budget]]-Fixed_Expense103539[[#This Row],[Actual]]</f>
        <v>0</v>
      </c>
      <c r="F22" s="5" t="s">
        <v>43</v>
      </c>
      <c r="G22" s="14"/>
      <c r="H22" s="14"/>
      <c r="I22" s="14">
        <f>Variable_Expense113640[[#This Row],[Budget]]-Variable_Expense113640[[#This Row],[Actual ]]</f>
        <v>0</v>
      </c>
      <c r="N22" s="13"/>
      <c r="O22" s="13"/>
      <c r="P22" s="13"/>
    </row>
    <row r="23" spans="1:16" x14ac:dyDescent="0.25">
      <c r="A23" s="5" t="s">
        <v>13</v>
      </c>
      <c r="B23" s="9"/>
      <c r="C23" s="9"/>
      <c r="D23" s="9">
        <f>Fixed_Expense103539[[#This Row],[Budget]]-Fixed_Expense103539[[#This Row],[Actual]]</f>
        <v>0</v>
      </c>
      <c r="F23" s="5" t="s">
        <v>44</v>
      </c>
      <c r="G23" s="14"/>
      <c r="H23" s="14"/>
      <c r="I23" s="14">
        <f>Variable_Expense113640[[#This Row],[Budget]]-Variable_Expense113640[[#This Row],[Actual ]]</f>
        <v>0</v>
      </c>
      <c r="N23" s="13"/>
      <c r="O23" s="13"/>
      <c r="P23" s="13"/>
    </row>
    <row r="24" spans="1:16" x14ac:dyDescent="0.25">
      <c r="A24" s="5" t="s">
        <v>14</v>
      </c>
      <c r="B24" s="9"/>
      <c r="C24" s="9"/>
      <c r="D24" s="9">
        <f>Fixed_Expense103539[[#This Row],[Budget]]-Fixed_Expense103539[[#This Row],[Actual]]</f>
        <v>0</v>
      </c>
      <c r="F24" s="5" t="s">
        <v>45</v>
      </c>
      <c r="G24" s="14"/>
      <c r="H24" s="14"/>
      <c r="I24" s="14">
        <f>Variable_Expense113640[[#This Row],[Budget]]-Variable_Expense113640[[#This Row],[Actual ]]</f>
        <v>0</v>
      </c>
      <c r="N24" s="13"/>
      <c r="O24" s="13"/>
      <c r="P24" s="13"/>
    </row>
    <row r="25" spans="1:16" x14ac:dyDescent="0.25">
      <c r="A25" s="5" t="s">
        <v>23</v>
      </c>
      <c r="B25" s="9"/>
      <c r="C25" s="9"/>
      <c r="D25" s="9">
        <f>Fixed_Expense103539[[#This Row],[Budget]]-Fixed_Expense103539[[#This Row],[Actual]]</f>
        <v>0</v>
      </c>
      <c r="F25" s="5" t="s">
        <v>46</v>
      </c>
      <c r="G25" s="14"/>
      <c r="H25" s="14"/>
      <c r="I25" s="14">
        <f>Variable_Expense113640[[#This Row],[Budget]]-Variable_Expense113640[[#This Row],[Actual ]]</f>
        <v>0</v>
      </c>
      <c r="N25" s="13"/>
      <c r="O25" s="13"/>
      <c r="P25" s="13"/>
    </row>
    <row r="26" spans="1:16" x14ac:dyDescent="0.25">
      <c r="A26" s="5" t="s">
        <v>24</v>
      </c>
      <c r="B26" s="9"/>
      <c r="C26" s="9"/>
      <c r="D26" s="9">
        <f>Fixed_Expense103539[[#This Row],[Budget]]-Fixed_Expense103539[[#This Row],[Actual]]</f>
        <v>0</v>
      </c>
      <c r="F26" s="5" t="s">
        <v>47</v>
      </c>
      <c r="G26" s="14"/>
      <c r="H26" s="14"/>
      <c r="I26" s="14">
        <f>Variable_Expense113640[[#This Row],[Budget]]-Variable_Expense113640[[#This Row],[Actual ]]</f>
        <v>0</v>
      </c>
      <c r="N26" s="13"/>
      <c r="O26" s="13"/>
      <c r="P26" s="13"/>
    </row>
    <row r="27" spans="1:16" x14ac:dyDescent="0.25">
      <c r="A27" s="5" t="s">
        <v>25</v>
      </c>
      <c r="B27" s="9"/>
      <c r="C27" s="9"/>
      <c r="D27" s="9">
        <f>Fixed_Expense103539[[#This Row],[Budget]]-Fixed_Expense103539[[#This Row],[Actual]]</f>
        <v>0</v>
      </c>
      <c r="F27" s="5" t="s">
        <v>48</v>
      </c>
      <c r="G27" s="14"/>
      <c r="H27" s="14"/>
      <c r="I27" s="14">
        <f>Variable_Expense113640[[#This Row],[Budget]]-Variable_Expense113640[[#This Row],[Actual ]]</f>
        <v>0</v>
      </c>
      <c r="N27" s="13"/>
      <c r="O27" s="13"/>
      <c r="P27" s="13"/>
    </row>
    <row r="28" spans="1:16" x14ac:dyDescent="0.25">
      <c r="A28" s="5" t="s">
        <v>26</v>
      </c>
      <c r="B28" s="9"/>
      <c r="C28" s="9"/>
      <c r="D28" s="9">
        <f>Fixed_Expense103539[[#This Row],[Budget]]-Fixed_Expense103539[[#This Row],[Actual]]</f>
        <v>0</v>
      </c>
      <c r="F28" s="5" t="s">
        <v>49</v>
      </c>
      <c r="G28" s="14"/>
      <c r="H28" s="14"/>
      <c r="I28" s="14">
        <f>Variable_Expense113640[[#This Row],[Budget]]-Variable_Expense113640[[#This Row],[Actual ]]</f>
        <v>0</v>
      </c>
      <c r="N28" s="13"/>
      <c r="O28" s="13"/>
      <c r="P28" s="13"/>
    </row>
    <row r="29" spans="1:16" x14ac:dyDescent="0.25">
      <c r="A29" s="5" t="s">
        <v>27</v>
      </c>
      <c r="B29" s="9"/>
      <c r="C29" s="9"/>
      <c r="D29" s="9">
        <f>Fixed_Expense103539[[#This Row],[Budget]]-Fixed_Expense103539[[#This Row],[Actual]]</f>
        <v>0</v>
      </c>
      <c r="F29" s="5" t="s">
        <v>50</v>
      </c>
      <c r="G29" s="14"/>
      <c r="H29" s="14"/>
      <c r="I29" s="14">
        <f>Variable_Expense113640[[#This Row],[Budget]]-Variable_Expense113640[[#This Row],[Actual ]]</f>
        <v>0</v>
      </c>
      <c r="N29" s="13"/>
      <c r="O29" s="13"/>
      <c r="P29" s="13"/>
    </row>
    <row r="30" spans="1:16" x14ac:dyDescent="0.25">
      <c r="A30" s="5" t="s">
        <v>28</v>
      </c>
      <c r="B30" s="9"/>
      <c r="C30" s="9"/>
      <c r="D30" s="9">
        <f>Fixed_Expense103539[[#This Row],[Budget]]-Fixed_Expense103539[[#This Row],[Actual]]</f>
        <v>0</v>
      </c>
      <c r="F30" s="5" t="s">
        <v>51</v>
      </c>
      <c r="G30" s="14"/>
      <c r="H30" s="14"/>
      <c r="I30" s="14">
        <f>Variable_Expense113640[[#This Row],[Budget]]-Variable_Expense113640[[#This Row],[Actual ]]</f>
        <v>0</v>
      </c>
      <c r="N30" s="13"/>
      <c r="O30" s="13"/>
      <c r="P30" s="13"/>
    </row>
    <row r="31" spans="1:16" x14ac:dyDescent="0.25">
      <c r="A31" s="5" t="s">
        <v>29</v>
      </c>
      <c r="B31" s="9"/>
      <c r="C31" s="9"/>
      <c r="D31" s="9">
        <f>Fixed_Expense103539[[#This Row],[Budget]]-Fixed_Expense103539[[#This Row],[Actual]]</f>
        <v>0</v>
      </c>
      <c r="F31" s="5" t="s">
        <v>52</v>
      </c>
      <c r="G31" s="14"/>
      <c r="H31" s="14"/>
      <c r="I31" s="14">
        <f>Variable_Expense113640[[#This Row],[Budget]]-Variable_Expense113640[[#This Row],[Actual ]]</f>
        <v>0</v>
      </c>
    </row>
    <row r="32" spans="1:16" x14ac:dyDescent="0.25">
      <c r="A32" s="5" t="s">
        <v>30</v>
      </c>
      <c r="B32" s="9"/>
      <c r="C32" s="9"/>
      <c r="D32" s="9">
        <f>Fixed_Expense103539[[#This Row],[Budget]]-Fixed_Expense103539[[#This Row],[Actual]]</f>
        <v>0</v>
      </c>
      <c r="F32" s="5" t="s">
        <v>53</v>
      </c>
      <c r="G32" s="14"/>
      <c r="H32" s="14"/>
      <c r="I32" s="14">
        <f>Variable_Expense113640[[#This Row],[Budget]]-Variable_Expense113640[[#This Row],[Actual ]]</f>
        <v>0</v>
      </c>
    </row>
    <row r="33" spans="1:9" x14ac:dyDescent="0.25">
      <c r="A33" s="5" t="s">
        <v>31</v>
      </c>
      <c r="B33" s="9"/>
      <c r="C33" s="9"/>
      <c r="D33" s="9">
        <f>Fixed_Expense103539[[#This Row],[Budget]]-Fixed_Expense103539[[#This Row],[Actual]]</f>
        <v>0</v>
      </c>
      <c r="F33" s="5" t="s">
        <v>54</v>
      </c>
      <c r="G33" s="14"/>
      <c r="H33" s="14"/>
      <c r="I33" s="14">
        <f>Variable_Expense113640[[#This Row],[Budget]]-Variable_Expense113640[[#This Row],[Actual ]]</f>
        <v>0</v>
      </c>
    </row>
    <row r="34" spans="1:9" x14ac:dyDescent="0.25">
      <c r="A34" s="5" t="s">
        <v>32</v>
      </c>
      <c r="B34" s="9"/>
      <c r="C34" s="9"/>
      <c r="D34" s="9">
        <f>Fixed_Expense103539[[#This Row],[Budget]]-Fixed_Expense103539[[#This Row],[Actual]]</f>
        <v>0</v>
      </c>
      <c r="F34" s="5" t="s">
        <v>55</v>
      </c>
      <c r="G34" s="14"/>
      <c r="H34" s="14"/>
      <c r="I34" s="14">
        <f>Variable_Expense113640[[#This Row],[Budget]]-Variable_Expense113640[[#This Row],[Actual ]]</f>
        <v>0</v>
      </c>
    </row>
    <row r="35" spans="1:9" x14ac:dyDescent="0.25">
      <c r="A35" s="5" t="s">
        <v>33</v>
      </c>
      <c r="B35" s="9"/>
      <c r="C35" s="9"/>
      <c r="D35" s="9">
        <f>Fixed_Expense103539[[#This Row],[Budget]]-Fixed_Expense103539[[#This Row],[Actual]]</f>
        <v>0</v>
      </c>
      <c r="F35" s="5" t="s">
        <v>56</v>
      </c>
      <c r="G35" s="14"/>
      <c r="H35" s="14"/>
      <c r="I35" s="14">
        <f>Variable_Expense113640[[#This Row],[Budget]]-Variable_Expense113640[[#This Row],[Actual ]]</f>
        <v>0</v>
      </c>
    </row>
    <row r="36" spans="1:9" x14ac:dyDescent="0.25">
      <c r="A36" s="5" t="s">
        <v>34</v>
      </c>
      <c r="B36" s="9"/>
      <c r="C36" s="9"/>
      <c r="D36" s="9">
        <f>Fixed_Expense103539[[#This Row],[Budget]]-Fixed_Expense103539[[#This Row],[Actual]]</f>
        <v>0</v>
      </c>
      <c r="F36" s="5" t="s">
        <v>57</v>
      </c>
      <c r="G36" s="14"/>
      <c r="H36" s="14"/>
      <c r="I36" s="14">
        <f>Variable_Expense113640[[#This Row],[Budget]]-Variable_Expense113640[[#This Row],[Actual ]]</f>
        <v>0</v>
      </c>
    </row>
    <row r="37" spans="1:9" x14ac:dyDescent="0.25">
      <c r="A37" s="5" t="s">
        <v>35</v>
      </c>
      <c r="B37" s="9"/>
      <c r="C37" s="9"/>
      <c r="D37" s="9">
        <f>Fixed_Expense103539[[#This Row],[Budget]]-Fixed_Expense103539[[#This Row],[Actual]]</f>
        <v>0</v>
      </c>
      <c r="F37" s="5" t="s">
        <v>15</v>
      </c>
      <c r="G37" s="14"/>
      <c r="H37" s="14"/>
      <c r="I37" s="14">
        <f>Variable_Expense113640[[#This Row],[Budget]]-Variable_Expense113640[[#This Row],[Actual ]]</f>
        <v>0</v>
      </c>
    </row>
    <row r="38" spans="1:9" x14ac:dyDescent="0.25">
      <c r="A38" s="5" t="s">
        <v>36</v>
      </c>
      <c r="B38" s="9"/>
      <c r="C38" s="9"/>
      <c r="D38" s="9">
        <f>Fixed_Expense103539[[#This Row],[Budget]]-Fixed_Expense103539[[#This Row],[Actual]]</f>
        <v>0</v>
      </c>
      <c r="F38" s="5" t="s">
        <v>15</v>
      </c>
      <c r="G38" s="14"/>
      <c r="H38" s="14"/>
      <c r="I38" s="14">
        <f>Variable_Expense113640[[#This Row],[Budget]]-Variable_Expense113640[[#This Row],[Actual ]]</f>
        <v>0</v>
      </c>
    </row>
    <row r="39" spans="1:9" x14ac:dyDescent="0.25">
      <c r="A39" s="6" t="s">
        <v>15</v>
      </c>
      <c r="B39" s="10"/>
      <c r="C39" s="10"/>
      <c r="D39" s="10">
        <f>Fixed_Expense103539[[#This Row],[Budget]]-Fixed_Expense103539[[#This Row],[Actual]]</f>
        <v>0</v>
      </c>
      <c r="F39" s="5" t="s">
        <v>15</v>
      </c>
      <c r="G39" s="14"/>
      <c r="H39" s="14"/>
      <c r="I39" s="14">
        <f>Variable_Expense113640[[#This Row],[Budget]]-Variable_Expense113640[[#This Row],[Actual ]]</f>
        <v>0</v>
      </c>
    </row>
    <row r="40" spans="1:9" x14ac:dyDescent="0.25">
      <c r="A40" s="5" t="s">
        <v>6</v>
      </c>
      <c r="B40" s="17">
        <f>SUBTOTAL(109,Fixed_Expense103539[Budget])</f>
        <v>0</v>
      </c>
      <c r="C40" s="17">
        <f>SUBTOTAL(109,Fixed_Expense103539[Actual])</f>
        <v>0</v>
      </c>
      <c r="D40" s="17">
        <f>SUBTOTAL(109,Fixed_Expense103539[Difference])</f>
        <v>0</v>
      </c>
      <c r="F40" s="5" t="s">
        <v>6</v>
      </c>
      <c r="G40" s="17">
        <f>SUBTOTAL(109,Variable_Expense113640[Budget])</f>
        <v>0</v>
      </c>
      <c r="H40" s="17">
        <f>SUBTOTAL(109,Variable_Expense113640[[Actual ]])</f>
        <v>0</v>
      </c>
      <c r="I40" s="18">
        <f>SUBTOTAL(109,Variable_Expense113640[Difference])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19">
      <dataBar>
        <cfvo type="min"/>
        <cfvo type="max"/>
        <color rgb="FF638EC6"/>
      </dataBar>
      <extLst>
        <ext xmlns:x14="http://schemas.microsoft.com/office/spreadsheetml/2009/9/main" uri="{B025F937-C7B1-47D3-B67F-A62EFF666E3E}">
          <x14:id>{10B5CFEB-AFC0-421C-B37B-2C44C3A4175D}</x14:id>
        </ext>
      </extLst>
    </cfRule>
  </conditionalFormatting>
  <conditionalFormatting sqref="B8:B10">
    <cfRule type="dataBar" priority="18">
      <dataBar>
        <cfvo type="min"/>
        <cfvo type="max"/>
        <color rgb="FF638EC6"/>
      </dataBar>
      <extLst>
        <ext xmlns:x14="http://schemas.microsoft.com/office/spreadsheetml/2009/9/main" uri="{B025F937-C7B1-47D3-B67F-A62EFF666E3E}">
          <x14:id>{796BB5AD-9ED9-429B-9EEE-78390154E6C5}</x14:id>
        </ext>
      </extLst>
    </cfRule>
  </conditionalFormatting>
  <conditionalFormatting sqref="C8:C10">
    <cfRule type="dataBar" priority="17">
      <dataBar>
        <cfvo type="min"/>
        <cfvo type="max"/>
        <color rgb="FF63C384"/>
      </dataBar>
      <extLst>
        <ext xmlns:x14="http://schemas.microsoft.com/office/spreadsheetml/2009/9/main" uri="{B025F937-C7B1-47D3-B67F-A62EFF666E3E}">
          <x14:id>{104110A9-8FA0-44B0-B86D-41A792E9BB27}</x14:id>
        </ext>
      </extLst>
    </cfRule>
  </conditionalFormatting>
  <conditionalFormatting sqref="N17:N30">
    <cfRule type="dataBar" priority="14">
      <dataBar>
        <cfvo type="min"/>
        <cfvo type="max"/>
        <color rgb="FFFF555A"/>
      </dataBar>
      <extLst>
        <ext xmlns:x14="http://schemas.microsoft.com/office/spreadsheetml/2009/9/main" uri="{B025F937-C7B1-47D3-B67F-A62EFF666E3E}">
          <x14:id>{A6FEF50B-31C0-4989-8081-4573391E108D}</x14:id>
        </ext>
      </extLst>
    </cfRule>
  </conditionalFormatting>
  <conditionalFormatting sqref="O17:O30">
    <cfRule type="dataBar" priority="13">
      <dataBar>
        <cfvo type="min"/>
        <cfvo type="max"/>
        <color rgb="FFFF555A"/>
      </dataBar>
      <extLst>
        <ext xmlns:x14="http://schemas.microsoft.com/office/spreadsheetml/2009/9/main" uri="{B025F937-C7B1-47D3-B67F-A62EFF666E3E}">
          <x14:id>{C5295421-BEA4-46E3-AFF2-6A11C53B7A8B}</x14:id>
        </ext>
      </extLst>
    </cfRule>
  </conditionalFormatting>
  <conditionalFormatting sqref="P17:P30 D16:D40">
    <cfRule type="cellIs" dxfId="575" priority="11" operator="greaterThan">
      <formula>0</formula>
    </cfRule>
    <cfRule type="cellIs" dxfId="574" priority="12"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{07AE6303-E59D-413A-8717-A0A235730475}</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{A5901EC8-9F54-444D-B4D4-1A59F7C19983}</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{BB1593DB-E9F7-463F-8EFB-2DD4269E3981}</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{C8102BC8-855E-4E3F-A8F3-619E26B138A0}</x14:id>
        </ext>
      </extLst>
    </cfRule>
  </conditionalFormatting>
  <conditionalFormatting sqref="D8:D11">
    <cfRule type="cellIs" dxfId="573" priority="15" operator="greaterThan">
      <formula>0</formula>
    </cfRule>
    <cfRule type="cellIs" dxfId="572" priority="16" operator="lessThan">
      <formula>0</formula>
    </cfRule>
  </conditionalFormatting>
  <conditionalFormatting sqref="I16:I40">
    <cfRule type="cellIs" dxfId="571" priority="7" operator="greaterThan">
      <formula>0</formula>
    </cfRule>
    <cfRule type="cellIs" dxfId="570" priority="8" operator="lessThan">
      <formula>0</formula>
    </cfRule>
  </conditionalFormatting>
  <conditionalFormatting sqref="B16:B40">
    <cfRule type="dataBar" priority="20">
      <dataBar>
        <cfvo type="min"/>
        <cfvo type="max"/>
        <color rgb="FFFF555A"/>
      </dataBar>
      <extLst>
        <ext xmlns:x14="http://schemas.microsoft.com/office/spreadsheetml/2009/9/main" uri="{B025F937-C7B1-47D3-B67F-A62EFF666E3E}">
          <x14:id>{7B99B0A6-3E17-4FE5-ADCB-EE08B2830F11}</x14:id>
        </ext>
      </extLst>
    </cfRule>
  </conditionalFormatting>
  <conditionalFormatting sqref="C16:C40">
    <cfRule type="dataBar" priority="21">
      <dataBar>
        <cfvo type="min"/>
        <cfvo type="max"/>
        <color rgb="FFFF555A"/>
      </dataBar>
      <extLst>
        <ext xmlns:x14="http://schemas.microsoft.com/office/spreadsheetml/2009/9/main" uri="{B025F937-C7B1-47D3-B67F-A62EFF666E3E}">
          <x14:id>{C7096B2A-EDB7-4110-AD20-9451E5018006}</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{0F086BCC-40D1-4703-9C17-C416ADE3B496}</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{836EE857-62A8-4E73-8CDB-0D7F69D09E7E}</x14:id>
        </ext>
      </extLst>
    </cfRule>
  </conditionalFormatting>
  <conditionalFormatting sqref="I8:I11">
    <cfRule type="cellIs" dxfId="569" priority="1" operator="greaterThan">
      <formula>0</formula>
    </cfRule>
    <cfRule type="cellIs" dxfId="568" priority="2" operator="lessThan">
      <formula>0</formula>
    </cfRule>
  </conditionalFormatting>
  <pageMargins left="0.7" right="0.7" top="0.75" bottom="0.75" header="0.3" footer="0.3"/>
  <ignoredErrors>
    <ignoredError sqref="G8 H9 G10:H10"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10B5CFEB-AFC0-421C-B37B-2C44C3A4175D}">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796BB5AD-9ED9-429B-9EEE-78390154E6C5}">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104110A9-8FA0-44B0-B86D-41A792E9BB27}">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A6FEF50B-31C0-4989-8081-4573391E108D}">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C5295421-BEA4-46E3-AFF2-6A11C53B7A8B}">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07AE6303-E59D-413A-8717-A0A235730475}">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A5901EC8-9F54-444D-B4D4-1A59F7C19983}">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BB1593DB-E9F7-463F-8EFB-2DD4269E3981}">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C8102BC8-855E-4E3F-A8F3-619E26B138A0}">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7B99B0A6-3E17-4FE5-ADCB-EE08B2830F11}">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C7096B2A-EDB7-4110-AD20-9451E5018006}">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0F086BCC-40D1-4703-9C17-C416ADE3B496}">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836EE857-62A8-4E73-8CDB-0D7F69D09E7E}">
            <x14:dataBar minLength="0" maxLength="100" gradient="0">
              <x14:cfvo type="autoMin"/>
              <x14:cfvo type="autoMax"/>
              <x14:negativeFillColor rgb="FFFF0000"/>
              <x14:axisColor rgb="FF000000"/>
            </x14:dataBar>
          </x14:cfRule>
          <xm:sqref>H8:H11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3021-4037-445F-971E-56723D0E2334}">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Income1343842[[#This Row],[Actual]]-Income1343842[[#This Row],[Budget]]</f>
        <v>0</v>
      </c>
      <c r="F8" s="5" t="s">
        <v>61</v>
      </c>
      <c r="G8" s="9">
        <f>Income1343842[[#Totals],[Budget]]</f>
        <v>0</v>
      </c>
      <c r="H8" s="9">
        <f>Income1343842[[#Totals],[Actual]]</f>
        <v>0</v>
      </c>
      <c r="I8" s="9">
        <f>Budget_Summary374145[[#This Row],[Budget]]-Budget_Summary374145[[#This Row],[Actual]]</f>
        <v>0</v>
      </c>
    </row>
    <row r="9" spans="1:16" x14ac:dyDescent="0.25">
      <c r="A9" s="4" t="s">
        <v>4</v>
      </c>
      <c r="B9" s="7"/>
      <c r="C9" s="7"/>
      <c r="D9" s="8">
        <f>Income1343842[[#This Row],[Actual]]-Income1343842[[#This Row],[Budget]]</f>
        <v>0</v>
      </c>
      <c r="F9" s="5" t="s">
        <v>17</v>
      </c>
      <c r="G9" s="9">
        <f>Fixed_Expense10353943[[#Totals],[Budget]]</f>
        <v>0</v>
      </c>
      <c r="H9" s="9">
        <f>Fixed_Expense10353943[[#Totals],[Actual]]</f>
        <v>0</v>
      </c>
      <c r="I9" s="9">
        <f>Budget_Summary374145[[#This Row],[Budget]]-Budget_Summary374145[[#This Row],[Actual]]</f>
        <v>0</v>
      </c>
    </row>
    <row r="10" spans="1:16" x14ac:dyDescent="0.25">
      <c r="A10" s="4" t="s">
        <v>5</v>
      </c>
      <c r="B10" s="7"/>
      <c r="C10" s="7"/>
      <c r="D10" s="8">
        <f>Income1343842[[#This Row],[Actual]]-Income1343842[[#This Row],[Budget]]</f>
        <v>0</v>
      </c>
      <c r="F10" s="6" t="s">
        <v>37</v>
      </c>
      <c r="G10" s="10">
        <f>Variable_Expense11364044[[#Totals],[Budget]]</f>
        <v>0</v>
      </c>
      <c r="H10" s="10">
        <f>Variable_Expense11364044[[#Totals],[Actual ]]</f>
        <v>0</v>
      </c>
      <c r="I10" s="9">
        <f>Budget_Summary374145[[#This Row],[Budget]]-Budget_Summary374145[[#This Row],[Actual]]</f>
        <v>0</v>
      </c>
    </row>
    <row r="11" spans="1:16" x14ac:dyDescent="0.25">
      <c r="A11" s="5" t="s">
        <v>6</v>
      </c>
      <c r="B11" s="7">
        <f>SUBTOTAL(109,Income1343842[Budget])</f>
        <v>0</v>
      </c>
      <c r="C11" s="7">
        <f>SUBTOTAL(109,Income1343842[Actual])</f>
        <v>0</v>
      </c>
      <c r="D11" s="7">
        <f>SUBTOTAL(109,Income1343842[Difference])</f>
        <v>0</v>
      </c>
      <c r="F11" s="5" t="s">
        <v>6</v>
      </c>
      <c r="G11" s="17">
        <f>G8-(G9+G10)</f>
        <v>0</v>
      </c>
      <c r="H11" s="17">
        <f>H8-(H9+H10)</f>
        <v>0</v>
      </c>
      <c r="I11" s="17">
        <f>SUBTOTAL(109,Budget_Summary374145[Difference])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Fixed_Expense10353943[[#This Row],[Budget]]-Fixed_Expense10353943[[#This Row],[Actual]]</f>
        <v>0</v>
      </c>
      <c r="F16" s="5" t="s">
        <v>9</v>
      </c>
      <c r="G16" s="14"/>
      <c r="H16" s="14"/>
      <c r="I16" s="14">
        <f>Variable_Expense11364044[[#This Row],[Budget]]-Variable_Expense11364044[[#This Row],[Actual ]]</f>
        <v>0</v>
      </c>
      <c r="N16" s="13"/>
      <c r="O16" s="13"/>
      <c r="P16" s="13"/>
    </row>
    <row r="17" spans="1:16" x14ac:dyDescent="0.25">
      <c r="A17" s="5" t="s">
        <v>19</v>
      </c>
      <c r="B17" s="9"/>
      <c r="C17" s="9"/>
      <c r="D17" s="9">
        <f>Fixed_Expense10353943[[#This Row],[Budget]]-Fixed_Expense10353943[[#This Row],[Actual]]</f>
        <v>0</v>
      </c>
      <c r="F17" s="5" t="s">
        <v>10</v>
      </c>
      <c r="G17" s="14"/>
      <c r="H17" s="14"/>
      <c r="I17" s="14">
        <f>Variable_Expense11364044[[#This Row],[Budget]]-Variable_Expense11364044[[#This Row],[Actual ]]</f>
        <v>0</v>
      </c>
      <c r="N17" s="13"/>
      <c r="O17" s="13"/>
      <c r="P17" s="13"/>
    </row>
    <row r="18" spans="1:16" x14ac:dyDescent="0.25">
      <c r="A18" s="5" t="s">
        <v>22</v>
      </c>
      <c r="B18" s="9"/>
      <c r="C18" s="9"/>
      <c r="D18" s="9">
        <f>Fixed_Expense10353943[[#This Row],[Budget]]-Fixed_Expense10353943[[#This Row],[Actual]]</f>
        <v>0</v>
      </c>
      <c r="F18" s="5" t="s">
        <v>39</v>
      </c>
      <c r="G18" s="14"/>
      <c r="H18" s="14"/>
      <c r="I18" s="14">
        <f>Variable_Expense11364044[[#This Row],[Budget]]-Variable_Expense11364044[[#This Row],[Actual ]]</f>
        <v>0</v>
      </c>
      <c r="N18" s="13"/>
      <c r="O18" s="13"/>
      <c r="P18" s="13"/>
    </row>
    <row r="19" spans="1:16" x14ac:dyDescent="0.25">
      <c r="A19" s="5" t="s">
        <v>20</v>
      </c>
      <c r="B19" s="9"/>
      <c r="C19" s="9"/>
      <c r="D19" s="9">
        <f>Fixed_Expense10353943[[#This Row],[Budget]]-Fixed_Expense10353943[[#This Row],[Actual]]</f>
        <v>0</v>
      </c>
      <c r="F19" s="5" t="s">
        <v>40</v>
      </c>
      <c r="G19" s="14"/>
      <c r="H19" s="14"/>
      <c r="I19" s="14">
        <f>Variable_Expense11364044[[#This Row],[Budget]]-Variable_Expense11364044[[#This Row],[Actual ]]</f>
        <v>0</v>
      </c>
      <c r="N19" s="13"/>
      <c r="O19" s="13"/>
      <c r="P19" s="13"/>
    </row>
    <row r="20" spans="1:16" x14ac:dyDescent="0.25">
      <c r="A20" s="5" t="s">
        <v>21</v>
      </c>
      <c r="B20" s="9"/>
      <c r="C20" s="9"/>
      <c r="D20" s="9">
        <f>Fixed_Expense10353943[[#This Row],[Budget]]-Fixed_Expense10353943[[#This Row],[Actual]]</f>
        <v>0</v>
      </c>
      <c r="F20" s="5" t="s">
        <v>41</v>
      </c>
      <c r="G20" s="14"/>
      <c r="H20" s="14"/>
      <c r="I20" s="14">
        <f>Variable_Expense11364044[[#This Row],[Budget]]-Variable_Expense11364044[[#This Row],[Actual ]]</f>
        <v>0</v>
      </c>
      <c r="N20" s="13"/>
      <c r="O20" s="13"/>
      <c r="P20" s="13"/>
    </row>
    <row r="21" spans="1:16" x14ac:dyDescent="0.25">
      <c r="A21" s="5" t="s">
        <v>11</v>
      </c>
      <c r="B21" s="9"/>
      <c r="C21" s="9"/>
      <c r="D21" s="9">
        <f>Fixed_Expense10353943[[#This Row],[Budget]]-Fixed_Expense10353943[[#This Row],[Actual]]</f>
        <v>0</v>
      </c>
      <c r="F21" s="5" t="s">
        <v>42</v>
      </c>
      <c r="G21" s="14"/>
      <c r="H21" s="14"/>
      <c r="I21" s="14">
        <f>Variable_Expense11364044[[#This Row],[Budget]]-Variable_Expense11364044[[#This Row],[Actual ]]</f>
        <v>0</v>
      </c>
      <c r="N21" s="13"/>
      <c r="O21" s="13"/>
      <c r="P21" s="13"/>
    </row>
    <row r="22" spans="1:16" x14ac:dyDescent="0.25">
      <c r="A22" s="5" t="s">
        <v>12</v>
      </c>
      <c r="B22" s="9"/>
      <c r="C22" s="9"/>
      <c r="D22" s="9">
        <f>Fixed_Expense10353943[[#This Row],[Budget]]-Fixed_Expense10353943[[#This Row],[Actual]]</f>
        <v>0</v>
      </c>
      <c r="F22" s="5" t="s">
        <v>43</v>
      </c>
      <c r="G22" s="14"/>
      <c r="H22" s="14"/>
      <c r="I22" s="14">
        <f>Variable_Expense11364044[[#This Row],[Budget]]-Variable_Expense11364044[[#This Row],[Actual ]]</f>
        <v>0</v>
      </c>
      <c r="N22" s="13"/>
      <c r="O22" s="13"/>
      <c r="P22" s="13"/>
    </row>
    <row r="23" spans="1:16" x14ac:dyDescent="0.25">
      <c r="A23" s="5" t="s">
        <v>13</v>
      </c>
      <c r="B23" s="9"/>
      <c r="C23" s="9"/>
      <c r="D23" s="9">
        <f>Fixed_Expense10353943[[#This Row],[Budget]]-Fixed_Expense10353943[[#This Row],[Actual]]</f>
        <v>0</v>
      </c>
      <c r="F23" s="5" t="s">
        <v>44</v>
      </c>
      <c r="G23" s="14"/>
      <c r="H23" s="14"/>
      <c r="I23" s="14">
        <f>Variable_Expense11364044[[#This Row],[Budget]]-Variable_Expense11364044[[#This Row],[Actual ]]</f>
        <v>0</v>
      </c>
      <c r="N23" s="13"/>
      <c r="O23" s="13"/>
      <c r="P23" s="13"/>
    </row>
    <row r="24" spans="1:16" x14ac:dyDescent="0.25">
      <c r="A24" s="5" t="s">
        <v>14</v>
      </c>
      <c r="B24" s="9"/>
      <c r="C24" s="9"/>
      <c r="D24" s="9">
        <f>Fixed_Expense10353943[[#This Row],[Budget]]-Fixed_Expense10353943[[#This Row],[Actual]]</f>
        <v>0</v>
      </c>
      <c r="F24" s="5" t="s">
        <v>45</v>
      </c>
      <c r="G24" s="14"/>
      <c r="H24" s="14"/>
      <c r="I24" s="14">
        <f>Variable_Expense11364044[[#This Row],[Budget]]-Variable_Expense11364044[[#This Row],[Actual ]]</f>
        <v>0</v>
      </c>
      <c r="N24" s="13"/>
      <c r="O24" s="13"/>
      <c r="P24" s="13"/>
    </row>
    <row r="25" spans="1:16" x14ac:dyDescent="0.25">
      <c r="A25" s="5" t="s">
        <v>23</v>
      </c>
      <c r="B25" s="9"/>
      <c r="C25" s="9"/>
      <c r="D25" s="9">
        <f>Fixed_Expense10353943[[#This Row],[Budget]]-Fixed_Expense10353943[[#This Row],[Actual]]</f>
        <v>0</v>
      </c>
      <c r="F25" s="5" t="s">
        <v>46</v>
      </c>
      <c r="G25" s="14"/>
      <c r="H25" s="14"/>
      <c r="I25" s="14">
        <f>Variable_Expense11364044[[#This Row],[Budget]]-Variable_Expense11364044[[#This Row],[Actual ]]</f>
        <v>0</v>
      </c>
      <c r="N25" s="13"/>
      <c r="O25" s="13"/>
      <c r="P25" s="13"/>
    </row>
    <row r="26" spans="1:16" x14ac:dyDescent="0.25">
      <c r="A26" s="5" t="s">
        <v>24</v>
      </c>
      <c r="B26" s="9"/>
      <c r="C26" s="9"/>
      <c r="D26" s="9">
        <f>Fixed_Expense10353943[[#This Row],[Budget]]-Fixed_Expense10353943[[#This Row],[Actual]]</f>
        <v>0</v>
      </c>
      <c r="F26" s="5" t="s">
        <v>47</v>
      </c>
      <c r="G26" s="14"/>
      <c r="H26" s="14"/>
      <c r="I26" s="14">
        <f>Variable_Expense11364044[[#This Row],[Budget]]-Variable_Expense11364044[[#This Row],[Actual ]]</f>
        <v>0</v>
      </c>
      <c r="N26" s="13"/>
      <c r="O26" s="13"/>
      <c r="P26" s="13"/>
    </row>
    <row r="27" spans="1:16" x14ac:dyDescent="0.25">
      <c r="A27" s="5" t="s">
        <v>25</v>
      </c>
      <c r="B27" s="9"/>
      <c r="C27" s="9"/>
      <c r="D27" s="9">
        <f>Fixed_Expense10353943[[#This Row],[Budget]]-Fixed_Expense10353943[[#This Row],[Actual]]</f>
        <v>0</v>
      </c>
      <c r="F27" s="5" t="s">
        <v>48</v>
      </c>
      <c r="G27" s="14"/>
      <c r="H27" s="14"/>
      <c r="I27" s="14">
        <f>Variable_Expense11364044[[#This Row],[Budget]]-Variable_Expense11364044[[#This Row],[Actual ]]</f>
        <v>0</v>
      </c>
      <c r="N27" s="13"/>
      <c r="O27" s="13"/>
      <c r="P27" s="13"/>
    </row>
    <row r="28" spans="1:16" x14ac:dyDescent="0.25">
      <c r="A28" s="5" t="s">
        <v>26</v>
      </c>
      <c r="B28" s="9"/>
      <c r="C28" s="9"/>
      <c r="D28" s="9">
        <f>Fixed_Expense10353943[[#This Row],[Budget]]-Fixed_Expense10353943[[#This Row],[Actual]]</f>
        <v>0</v>
      </c>
      <c r="F28" s="5" t="s">
        <v>49</v>
      </c>
      <c r="G28" s="14"/>
      <c r="H28" s="14"/>
      <c r="I28" s="14">
        <f>Variable_Expense11364044[[#This Row],[Budget]]-Variable_Expense11364044[[#This Row],[Actual ]]</f>
        <v>0</v>
      </c>
      <c r="N28" s="13"/>
      <c r="O28" s="13"/>
      <c r="P28" s="13"/>
    </row>
    <row r="29" spans="1:16" x14ac:dyDescent="0.25">
      <c r="A29" s="5" t="s">
        <v>27</v>
      </c>
      <c r="B29" s="9"/>
      <c r="C29" s="9"/>
      <c r="D29" s="9">
        <f>Fixed_Expense10353943[[#This Row],[Budget]]-Fixed_Expense10353943[[#This Row],[Actual]]</f>
        <v>0</v>
      </c>
      <c r="F29" s="5" t="s">
        <v>50</v>
      </c>
      <c r="G29" s="14"/>
      <c r="H29" s="14"/>
      <c r="I29" s="14">
        <f>Variable_Expense11364044[[#This Row],[Budget]]-Variable_Expense11364044[[#This Row],[Actual ]]</f>
        <v>0</v>
      </c>
      <c r="N29" s="13"/>
      <c r="O29" s="13"/>
      <c r="P29" s="13"/>
    </row>
    <row r="30" spans="1:16" x14ac:dyDescent="0.25">
      <c r="A30" s="5" t="s">
        <v>28</v>
      </c>
      <c r="B30" s="9"/>
      <c r="C30" s="9"/>
      <c r="D30" s="9">
        <f>Fixed_Expense10353943[[#This Row],[Budget]]-Fixed_Expense10353943[[#This Row],[Actual]]</f>
        <v>0</v>
      </c>
      <c r="F30" s="5" t="s">
        <v>51</v>
      </c>
      <c r="G30" s="14"/>
      <c r="H30" s="14"/>
      <c r="I30" s="14">
        <f>Variable_Expense11364044[[#This Row],[Budget]]-Variable_Expense11364044[[#This Row],[Actual ]]</f>
        <v>0</v>
      </c>
      <c r="N30" s="13"/>
      <c r="O30" s="13"/>
      <c r="P30" s="13"/>
    </row>
    <row r="31" spans="1:16" x14ac:dyDescent="0.25">
      <c r="A31" s="5" t="s">
        <v>29</v>
      </c>
      <c r="B31" s="9"/>
      <c r="C31" s="9"/>
      <c r="D31" s="9">
        <f>Fixed_Expense10353943[[#This Row],[Budget]]-Fixed_Expense10353943[[#This Row],[Actual]]</f>
        <v>0</v>
      </c>
      <c r="F31" s="5" t="s">
        <v>52</v>
      </c>
      <c r="G31" s="14"/>
      <c r="H31" s="14"/>
      <c r="I31" s="14">
        <f>Variable_Expense11364044[[#This Row],[Budget]]-Variable_Expense11364044[[#This Row],[Actual ]]</f>
        <v>0</v>
      </c>
    </row>
    <row r="32" spans="1:16" x14ac:dyDescent="0.25">
      <c r="A32" s="5" t="s">
        <v>30</v>
      </c>
      <c r="B32" s="9"/>
      <c r="C32" s="9"/>
      <c r="D32" s="9">
        <f>Fixed_Expense10353943[[#This Row],[Budget]]-Fixed_Expense10353943[[#This Row],[Actual]]</f>
        <v>0</v>
      </c>
      <c r="F32" s="5" t="s">
        <v>53</v>
      </c>
      <c r="G32" s="14"/>
      <c r="H32" s="14"/>
      <c r="I32" s="14">
        <f>Variable_Expense11364044[[#This Row],[Budget]]-Variable_Expense11364044[[#This Row],[Actual ]]</f>
        <v>0</v>
      </c>
    </row>
    <row r="33" spans="1:9" x14ac:dyDescent="0.25">
      <c r="A33" s="5" t="s">
        <v>31</v>
      </c>
      <c r="B33" s="9"/>
      <c r="C33" s="9"/>
      <c r="D33" s="9">
        <f>Fixed_Expense10353943[[#This Row],[Budget]]-Fixed_Expense10353943[[#This Row],[Actual]]</f>
        <v>0</v>
      </c>
      <c r="F33" s="5" t="s">
        <v>54</v>
      </c>
      <c r="G33" s="14"/>
      <c r="H33" s="14"/>
      <c r="I33" s="14">
        <f>Variable_Expense11364044[[#This Row],[Budget]]-Variable_Expense11364044[[#This Row],[Actual ]]</f>
        <v>0</v>
      </c>
    </row>
    <row r="34" spans="1:9" x14ac:dyDescent="0.25">
      <c r="A34" s="5" t="s">
        <v>32</v>
      </c>
      <c r="B34" s="9"/>
      <c r="C34" s="9"/>
      <c r="D34" s="9">
        <f>Fixed_Expense10353943[[#This Row],[Budget]]-Fixed_Expense10353943[[#This Row],[Actual]]</f>
        <v>0</v>
      </c>
      <c r="F34" s="5" t="s">
        <v>55</v>
      </c>
      <c r="G34" s="14"/>
      <c r="H34" s="14"/>
      <c r="I34" s="14">
        <f>Variable_Expense11364044[[#This Row],[Budget]]-Variable_Expense11364044[[#This Row],[Actual ]]</f>
        <v>0</v>
      </c>
    </row>
    <row r="35" spans="1:9" x14ac:dyDescent="0.25">
      <c r="A35" s="5" t="s">
        <v>33</v>
      </c>
      <c r="B35" s="9"/>
      <c r="C35" s="9"/>
      <c r="D35" s="9">
        <f>Fixed_Expense10353943[[#This Row],[Budget]]-Fixed_Expense10353943[[#This Row],[Actual]]</f>
        <v>0</v>
      </c>
      <c r="F35" s="5" t="s">
        <v>56</v>
      </c>
      <c r="G35" s="14"/>
      <c r="H35" s="14"/>
      <c r="I35" s="14">
        <f>Variable_Expense11364044[[#This Row],[Budget]]-Variable_Expense11364044[[#This Row],[Actual ]]</f>
        <v>0</v>
      </c>
    </row>
    <row r="36" spans="1:9" x14ac:dyDescent="0.25">
      <c r="A36" s="5" t="s">
        <v>34</v>
      </c>
      <c r="B36" s="9"/>
      <c r="C36" s="9"/>
      <c r="D36" s="9">
        <f>Fixed_Expense10353943[[#This Row],[Budget]]-Fixed_Expense10353943[[#This Row],[Actual]]</f>
        <v>0</v>
      </c>
      <c r="F36" s="5" t="s">
        <v>57</v>
      </c>
      <c r="G36" s="14"/>
      <c r="H36" s="14"/>
      <c r="I36" s="14">
        <f>Variable_Expense11364044[[#This Row],[Budget]]-Variable_Expense11364044[[#This Row],[Actual ]]</f>
        <v>0</v>
      </c>
    </row>
    <row r="37" spans="1:9" x14ac:dyDescent="0.25">
      <c r="A37" s="5" t="s">
        <v>35</v>
      </c>
      <c r="B37" s="9"/>
      <c r="C37" s="9"/>
      <c r="D37" s="9">
        <f>Fixed_Expense10353943[[#This Row],[Budget]]-Fixed_Expense10353943[[#This Row],[Actual]]</f>
        <v>0</v>
      </c>
      <c r="F37" s="5" t="s">
        <v>15</v>
      </c>
      <c r="G37" s="14"/>
      <c r="H37" s="14"/>
      <c r="I37" s="14">
        <f>Variable_Expense11364044[[#This Row],[Budget]]-Variable_Expense11364044[[#This Row],[Actual ]]</f>
        <v>0</v>
      </c>
    </row>
    <row r="38" spans="1:9" x14ac:dyDescent="0.25">
      <c r="A38" s="5" t="s">
        <v>36</v>
      </c>
      <c r="B38" s="9"/>
      <c r="C38" s="9"/>
      <c r="D38" s="9">
        <f>Fixed_Expense10353943[[#This Row],[Budget]]-Fixed_Expense10353943[[#This Row],[Actual]]</f>
        <v>0</v>
      </c>
      <c r="F38" s="5" t="s">
        <v>15</v>
      </c>
      <c r="G38" s="14"/>
      <c r="H38" s="14"/>
      <c r="I38" s="14">
        <f>Variable_Expense11364044[[#This Row],[Budget]]-Variable_Expense11364044[[#This Row],[Actual ]]</f>
        <v>0</v>
      </c>
    </row>
    <row r="39" spans="1:9" x14ac:dyDescent="0.25">
      <c r="A39" s="6" t="s">
        <v>15</v>
      </c>
      <c r="B39" s="10"/>
      <c r="C39" s="10"/>
      <c r="D39" s="10">
        <f>Fixed_Expense10353943[[#This Row],[Budget]]-Fixed_Expense10353943[[#This Row],[Actual]]</f>
        <v>0</v>
      </c>
      <c r="F39" s="5" t="s">
        <v>15</v>
      </c>
      <c r="G39" s="14"/>
      <c r="H39" s="14"/>
      <c r="I39" s="14">
        <f>Variable_Expense11364044[[#This Row],[Budget]]-Variable_Expense11364044[[#This Row],[Actual ]]</f>
        <v>0</v>
      </c>
    </row>
    <row r="40" spans="1:9" x14ac:dyDescent="0.25">
      <c r="A40" s="5" t="s">
        <v>6</v>
      </c>
      <c r="B40" s="17">
        <f>SUBTOTAL(109,Fixed_Expense10353943[Budget])</f>
        <v>0</v>
      </c>
      <c r="C40" s="17">
        <f>SUBTOTAL(109,Fixed_Expense10353943[Actual])</f>
        <v>0</v>
      </c>
      <c r="D40" s="17">
        <f>SUBTOTAL(109,Fixed_Expense10353943[Difference])</f>
        <v>0</v>
      </c>
      <c r="F40" s="5" t="s">
        <v>6</v>
      </c>
      <c r="G40" s="17">
        <f>SUBTOTAL(109,Variable_Expense11364044[Budget])</f>
        <v>0</v>
      </c>
      <c r="H40" s="17">
        <f>SUBTOTAL(109,Variable_Expense11364044[[Actual ]])</f>
        <v>0</v>
      </c>
      <c r="I40" s="18">
        <f>SUBTOTAL(109,Variable_Expense11364044[Difference])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19">
      <dataBar>
        <cfvo type="min"/>
        <cfvo type="max"/>
        <color rgb="FF638EC6"/>
      </dataBar>
      <extLst>
        <ext xmlns:x14="http://schemas.microsoft.com/office/spreadsheetml/2009/9/main" uri="{B025F937-C7B1-47D3-B67F-A62EFF666E3E}">
          <x14:id>{F227EB37-BBBA-4807-82F1-6F6EA362F115}</x14:id>
        </ext>
      </extLst>
    </cfRule>
  </conditionalFormatting>
  <conditionalFormatting sqref="B8:B10">
    <cfRule type="dataBar" priority="18">
      <dataBar>
        <cfvo type="min"/>
        <cfvo type="max"/>
        <color rgb="FF638EC6"/>
      </dataBar>
      <extLst>
        <ext xmlns:x14="http://schemas.microsoft.com/office/spreadsheetml/2009/9/main" uri="{B025F937-C7B1-47D3-B67F-A62EFF666E3E}">
          <x14:id>{3A0B939D-2310-45D9-B46A-0173C2AAD7F2}</x14:id>
        </ext>
      </extLst>
    </cfRule>
  </conditionalFormatting>
  <conditionalFormatting sqref="C8:C10">
    <cfRule type="dataBar" priority="17">
      <dataBar>
        <cfvo type="min"/>
        <cfvo type="max"/>
        <color rgb="FF63C384"/>
      </dataBar>
      <extLst>
        <ext xmlns:x14="http://schemas.microsoft.com/office/spreadsheetml/2009/9/main" uri="{B025F937-C7B1-47D3-B67F-A62EFF666E3E}">
          <x14:id>{A9C6E5F9-E3E5-487E-BB6F-8B6E4DC35D46}</x14:id>
        </ext>
      </extLst>
    </cfRule>
  </conditionalFormatting>
  <conditionalFormatting sqref="N17:N30">
    <cfRule type="dataBar" priority="14">
      <dataBar>
        <cfvo type="min"/>
        <cfvo type="max"/>
        <color rgb="FFFF555A"/>
      </dataBar>
      <extLst>
        <ext xmlns:x14="http://schemas.microsoft.com/office/spreadsheetml/2009/9/main" uri="{B025F937-C7B1-47D3-B67F-A62EFF666E3E}">
          <x14:id>{82C171EC-AD9D-4211-922E-2F4B8C67EDB3}</x14:id>
        </ext>
      </extLst>
    </cfRule>
  </conditionalFormatting>
  <conditionalFormatting sqref="O17:O30">
    <cfRule type="dataBar" priority="13">
      <dataBar>
        <cfvo type="min"/>
        <cfvo type="max"/>
        <color rgb="FFFF555A"/>
      </dataBar>
      <extLst>
        <ext xmlns:x14="http://schemas.microsoft.com/office/spreadsheetml/2009/9/main" uri="{B025F937-C7B1-47D3-B67F-A62EFF666E3E}">
          <x14:id>{D67AE7AF-1A72-42F4-9D3D-BFE9A12F28F5}</x14:id>
        </ext>
      </extLst>
    </cfRule>
  </conditionalFormatting>
  <conditionalFormatting sqref="P17:P30 D16:D40">
    <cfRule type="cellIs" dxfId="522" priority="11" operator="greaterThan">
      <formula>0</formula>
    </cfRule>
    <cfRule type="cellIs" dxfId="521" priority="12"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{C1D4E6DF-DC51-4CF8-A937-878FCE258DCB}</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{5BF5FF76-490C-4921-B07D-57B7E94CDBC9}</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{4EB9BC7A-0B08-4070-B842-1A9E09F872A6}</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{AFF3DDCB-2DE2-48CB-B1FF-6509BF5484CC}</x14:id>
        </ext>
      </extLst>
    </cfRule>
  </conditionalFormatting>
  <conditionalFormatting sqref="D8:D11">
    <cfRule type="cellIs" dxfId="520" priority="15" operator="greaterThan">
      <formula>0</formula>
    </cfRule>
    <cfRule type="cellIs" dxfId="519" priority="16" operator="lessThan">
      <formula>0</formula>
    </cfRule>
  </conditionalFormatting>
  <conditionalFormatting sqref="I16:I40">
    <cfRule type="cellIs" dxfId="518" priority="7" operator="greaterThan">
      <formula>0</formula>
    </cfRule>
    <cfRule type="cellIs" dxfId="517" priority="8" operator="lessThan">
      <formula>0</formula>
    </cfRule>
  </conditionalFormatting>
  <conditionalFormatting sqref="B16:B40">
    <cfRule type="dataBar" priority="20">
      <dataBar>
        <cfvo type="min"/>
        <cfvo type="max"/>
        <color rgb="FFFF555A"/>
      </dataBar>
      <extLst>
        <ext xmlns:x14="http://schemas.microsoft.com/office/spreadsheetml/2009/9/main" uri="{B025F937-C7B1-47D3-B67F-A62EFF666E3E}">
          <x14:id>{5971F8D3-5FA6-4E98-BD8C-7E5BA41EF9BE}</x14:id>
        </ext>
      </extLst>
    </cfRule>
  </conditionalFormatting>
  <conditionalFormatting sqref="C16:C40">
    <cfRule type="dataBar" priority="21">
      <dataBar>
        <cfvo type="min"/>
        <cfvo type="max"/>
        <color rgb="FFFF555A"/>
      </dataBar>
      <extLst>
        <ext xmlns:x14="http://schemas.microsoft.com/office/spreadsheetml/2009/9/main" uri="{B025F937-C7B1-47D3-B67F-A62EFF666E3E}">
          <x14:id>{BF5333B2-B0CE-4141-82F9-148CCF5B03D9}</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{8B7A1427-D265-4739-A7F5-38FED1B413B3}</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{2C177AA4-59AA-48F5-A59C-13ECC90E95DE}</x14:id>
        </ext>
      </extLst>
    </cfRule>
  </conditionalFormatting>
  <conditionalFormatting sqref="I8:I11">
    <cfRule type="cellIs" dxfId="516" priority="1" operator="greaterThan">
      <formula>0</formula>
    </cfRule>
    <cfRule type="cellIs" dxfId="515" priority="2" operator="lessThan">
      <formula>0</formula>
    </cfRule>
  </conditionalFormatting>
  <pageMargins left="0.7" right="0.7" top="0.75" bottom="0.75" header="0.3" footer="0.3"/>
  <ignoredErrors>
    <ignoredError sqref="G8 H9 G10:H10"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F227EB37-BBBA-4807-82F1-6F6EA362F115}">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3A0B939D-2310-45D9-B46A-0173C2AAD7F2}">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A9C6E5F9-E3E5-487E-BB6F-8B6E4DC35D46}">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82C171EC-AD9D-4211-922E-2F4B8C67EDB3}">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D67AE7AF-1A72-42F4-9D3D-BFE9A12F28F5}">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C1D4E6DF-DC51-4CF8-A937-878FCE258DCB}">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5BF5FF76-490C-4921-B07D-57B7E94CDBC9}">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4EB9BC7A-0B08-4070-B842-1A9E09F872A6}">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AFF3DDCB-2DE2-48CB-B1FF-6509BF5484CC}">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5971F8D3-5FA6-4E98-BD8C-7E5BA41EF9BE}">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BF5333B2-B0CE-4141-82F9-148CCF5B03D9}">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8B7A1427-D265-4739-A7F5-38FED1B413B3}">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2C177AA4-59AA-48F5-A59C-13ECC90E95DE}">
            <x14:dataBar minLength="0" maxLength="100" gradient="0">
              <x14:cfvo type="autoMin"/>
              <x14:cfvo type="autoMax"/>
              <x14:negativeFillColor rgb="FFFF0000"/>
              <x14:axisColor rgb="FF000000"/>
            </x14:dataBar>
          </x14:cfRule>
          <xm:sqref>H8:H11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5424E-F449-4A81-8983-F0AFD0C520E2}">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Income134384246[[#This Row],[Actual]]-Income134384246[[#This Row],[Budget]]</f>
        <v>0</v>
      </c>
      <c r="F8" s="5" t="s">
        <v>61</v>
      </c>
      <c r="G8" s="9">
        <f>Income134384246[[#Totals],[Budget]]</f>
        <v>0</v>
      </c>
      <c r="H8" s="9">
        <f>Income134384246[[#Totals],[Actual]]</f>
        <v>0</v>
      </c>
      <c r="I8" s="9">
        <f>Budget_Summary37414549[[#This Row],[Budget]]-Budget_Summary37414549[[#This Row],[Actual]]</f>
        <v>0</v>
      </c>
    </row>
    <row r="9" spans="1:16" x14ac:dyDescent="0.25">
      <c r="A9" s="4" t="s">
        <v>4</v>
      </c>
      <c r="B9" s="7"/>
      <c r="C9" s="7"/>
      <c r="D9" s="8">
        <f>Income134384246[[#This Row],[Actual]]-Income134384246[[#This Row],[Budget]]</f>
        <v>0</v>
      </c>
      <c r="F9" s="5" t="s">
        <v>17</v>
      </c>
      <c r="G9" s="9">
        <f>Fixed_Expense1035394347[[#Totals],[Budget]]</f>
        <v>0</v>
      </c>
      <c r="H9" s="9">
        <f>Fixed_Expense1035394347[[#Totals],[Actual]]</f>
        <v>0</v>
      </c>
      <c r="I9" s="9">
        <f>Budget_Summary37414549[[#This Row],[Budget]]-Budget_Summary37414549[[#This Row],[Actual]]</f>
        <v>0</v>
      </c>
    </row>
    <row r="10" spans="1:16" x14ac:dyDescent="0.25">
      <c r="A10" s="4" t="s">
        <v>5</v>
      </c>
      <c r="B10" s="7"/>
      <c r="C10" s="7"/>
      <c r="D10" s="8">
        <f>Income134384246[[#This Row],[Actual]]-Income134384246[[#This Row],[Budget]]</f>
        <v>0</v>
      </c>
      <c r="F10" s="6" t="s">
        <v>37</v>
      </c>
      <c r="G10" s="10">
        <f>Variable_Expense1136404448[[#Totals],[Budget]]</f>
        <v>0</v>
      </c>
      <c r="H10" s="10">
        <f>Variable_Expense1136404448[[#Totals],[Actual ]]</f>
        <v>0</v>
      </c>
      <c r="I10" s="9">
        <f>Budget_Summary37414549[[#This Row],[Budget]]-Budget_Summary37414549[[#This Row],[Actual]]</f>
        <v>0</v>
      </c>
    </row>
    <row r="11" spans="1:16" x14ac:dyDescent="0.25">
      <c r="A11" s="5" t="s">
        <v>6</v>
      </c>
      <c r="B11" s="7">
        <f>SUBTOTAL(109,Income134384246[Budget])</f>
        <v>0</v>
      </c>
      <c r="C11" s="7">
        <f>SUBTOTAL(109,Income134384246[Actual])</f>
        <v>0</v>
      </c>
      <c r="D11" s="7">
        <f>SUBTOTAL(109,Income134384246[Difference])</f>
        <v>0</v>
      </c>
      <c r="F11" s="5" t="s">
        <v>6</v>
      </c>
      <c r="G11" s="17">
        <f>G8-(G9+G10)</f>
        <v>0</v>
      </c>
      <c r="H11" s="17">
        <f>H8-(H9+H10)</f>
        <v>0</v>
      </c>
      <c r="I11" s="17">
        <f>SUBTOTAL(109,Budget_Summary37414549[Difference])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Fixed_Expense1035394347[[#This Row],[Budget]]-Fixed_Expense1035394347[[#This Row],[Actual]]</f>
        <v>0</v>
      </c>
      <c r="F16" s="5" t="s">
        <v>9</v>
      </c>
      <c r="G16" s="14"/>
      <c r="H16" s="14"/>
      <c r="I16" s="14">
        <f>Variable_Expense1136404448[[#This Row],[Budget]]-Variable_Expense1136404448[[#This Row],[Actual ]]</f>
        <v>0</v>
      </c>
      <c r="N16" s="13"/>
      <c r="O16" s="13"/>
      <c r="P16" s="13"/>
    </row>
    <row r="17" spans="1:16" x14ac:dyDescent="0.25">
      <c r="A17" s="5" t="s">
        <v>19</v>
      </c>
      <c r="B17" s="9"/>
      <c r="C17" s="9"/>
      <c r="D17" s="9">
        <f>Fixed_Expense1035394347[[#This Row],[Budget]]-Fixed_Expense1035394347[[#This Row],[Actual]]</f>
        <v>0</v>
      </c>
      <c r="F17" s="5" t="s">
        <v>10</v>
      </c>
      <c r="G17" s="14"/>
      <c r="H17" s="14"/>
      <c r="I17" s="14">
        <f>Variable_Expense1136404448[[#This Row],[Budget]]-Variable_Expense1136404448[[#This Row],[Actual ]]</f>
        <v>0</v>
      </c>
      <c r="N17" s="13"/>
      <c r="O17" s="13"/>
      <c r="P17" s="13"/>
    </row>
    <row r="18" spans="1:16" x14ac:dyDescent="0.25">
      <c r="A18" s="5" t="s">
        <v>22</v>
      </c>
      <c r="B18" s="9"/>
      <c r="C18" s="9"/>
      <c r="D18" s="9">
        <f>Fixed_Expense1035394347[[#This Row],[Budget]]-Fixed_Expense1035394347[[#This Row],[Actual]]</f>
        <v>0</v>
      </c>
      <c r="F18" s="5" t="s">
        <v>39</v>
      </c>
      <c r="G18" s="14"/>
      <c r="H18" s="14"/>
      <c r="I18" s="14">
        <f>Variable_Expense1136404448[[#This Row],[Budget]]-Variable_Expense1136404448[[#This Row],[Actual ]]</f>
        <v>0</v>
      </c>
      <c r="N18" s="13"/>
      <c r="O18" s="13"/>
      <c r="P18" s="13"/>
    </row>
    <row r="19" spans="1:16" x14ac:dyDescent="0.25">
      <c r="A19" s="5" t="s">
        <v>20</v>
      </c>
      <c r="B19" s="9"/>
      <c r="C19" s="9"/>
      <c r="D19" s="9">
        <f>Fixed_Expense1035394347[[#This Row],[Budget]]-Fixed_Expense1035394347[[#This Row],[Actual]]</f>
        <v>0</v>
      </c>
      <c r="F19" s="5" t="s">
        <v>40</v>
      </c>
      <c r="G19" s="14"/>
      <c r="H19" s="14"/>
      <c r="I19" s="14">
        <f>Variable_Expense1136404448[[#This Row],[Budget]]-Variable_Expense1136404448[[#This Row],[Actual ]]</f>
        <v>0</v>
      </c>
      <c r="N19" s="13"/>
      <c r="O19" s="13"/>
      <c r="P19" s="13"/>
    </row>
    <row r="20" spans="1:16" x14ac:dyDescent="0.25">
      <c r="A20" s="5" t="s">
        <v>21</v>
      </c>
      <c r="B20" s="9"/>
      <c r="C20" s="9"/>
      <c r="D20" s="9">
        <f>Fixed_Expense1035394347[[#This Row],[Budget]]-Fixed_Expense1035394347[[#This Row],[Actual]]</f>
        <v>0</v>
      </c>
      <c r="F20" s="5" t="s">
        <v>41</v>
      </c>
      <c r="G20" s="14"/>
      <c r="H20" s="14"/>
      <c r="I20" s="14">
        <f>Variable_Expense1136404448[[#This Row],[Budget]]-Variable_Expense1136404448[[#This Row],[Actual ]]</f>
        <v>0</v>
      </c>
      <c r="N20" s="13"/>
      <c r="O20" s="13"/>
      <c r="P20" s="13"/>
    </row>
    <row r="21" spans="1:16" x14ac:dyDescent="0.25">
      <c r="A21" s="5" t="s">
        <v>11</v>
      </c>
      <c r="B21" s="9"/>
      <c r="C21" s="9"/>
      <c r="D21" s="9">
        <f>Fixed_Expense1035394347[[#This Row],[Budget]]-Fixed_Expense1035394347[[#This Row],[Actual]]</f>
        <v>0</v>
      </c>
      <c r="F21" s="5" t="s">
        <v>42</v>
      </c>
      <c r="G21" s="14"/>
      <c r="H21" s="14"/>
      <c r="I21" s="14">
        <f>Variable_Expense1136404448[[#This Row],[Budget]]-Variable_Expense1136404448[[#This Row],[Actual ]]</f>
        <v>0</v>
      </c>
      <c r="N21" s="13"/>
      <c r="O21" s="13"/>
      <c r="P21" s="13"/>
    </row>
    <row r="22" spans="1:16" x14ac:dyDescent="0.25">
      <c r="A22" s="5" t="s">
        <v>12</v>
      </c>
      <c r="B22" s="9"/>
      <c r="C22" s="9"/>
      <c r="D22" s="9">
        <f>Fixed_Expense1035394347[[#This Row],[Budget]]-Fixed_Expense1035394347[[#This Row],[Actual]]</f>
        <v>0</v>
      </c>
      <c r="F22" s="5" t="s">
        <v>43</v>
      </c>
      <c r="G22" s="14"/>
      <c r="H22" s="14"/>
      <c r="I22" s="14">
        <f>Variable_Expense1136404448[[#This Row],[Budget]]-Variable_Expense1136404448[[#This Row],[Actual ]]</f>
        <v>0</v>
      </c>
      <c r="N22" s="13"/>
      <c r="O22" s="13"/>
      <c r="P22" s="13"/>
    </row>
    <row r="23" spans="1:16" x14ac:dyDescent="0.25">
      <c r="A23" s="5" t="s">
        <v>13</v>
      </c>
      <c r="B23" s="9"/>
      <c r="C23" s="9"/>
      <c r="D23" s="9">
        <f>Fixed_Expense1035394347[[#This Row],[Budget]]-Fixed_Expense1035394347[[#This Row],[Actual]]</f>
        <v>0</v>
      </c>
      <c r="F23" s="5" t="s">
        <v>44</v>
      </c>
      <c r="G23" s="14"/>
      <c r="H23" s="14"/>
      <c r="I23" s="14">
        <f>Variable_Expense1136404448[[#This Row],[Budget]]-Variable_Expense1136404448[[#This Row],[Actual ]]</f>
        <v>0</v>
      </c>
      <c r="N23" s="13"/>
      <c r="O23" s="13"/>
      <c r="P23" s="13"/>
    </row>
    <row r="24" spans="1:16" x14ac:dyDescent="0.25">
      <c r="A24" s="5" t="s">
        <v>14</v>
      </c>
      <c r="B24" s="9"/>
      <c r="C24" s="9"/>
      <c r="D24" s="9">
        <f>Fixed_Expense1035394347[[#This Row],[Budget]]-Fixed_Expense1035394347[[#This Row],[Actual]]</f>
        <v>0</v>
      </c>
      <c r="F24" s="5" t="s">
        <v>45</v>
      </c>
      <c r="G24" s="14"/>
      <c r="H24" s="14"/>
      <c r="I24" s="14">
        <f>Variable_Expense1136404448[[#This Row],[Budget]]-Variable_Expense1136404448[[#This Row],[Actual ]]</f>
        <v>0</v>
      </c>
      <c r="N24" s="13"/>
      <c r="O24" s="13"/>
      <c r="P24" s="13"/>
    </row>
    <row r="25" spans="1:16" x14ac:dyDescent="0.25">
      <c r="A25" s="5" t="s">
        <v>23</v>
      </c>
      <c r="B25" s="9"/>
      <c r="C25" s="9"/>
      <c r="D25" s="9">
        <f>Fixed_Expense1035394347[[#This Row],[Budget]]-Fixed_Expense1035394347[[#This Row],[Actual]]</f>
        <v>0</v>
      </c>
      <c r="F25" s="5" t="s">
        <v>46</v>
      </c>
      <c r="G25" s="14"/>
      <c r="H25" s="14"/>
      <c r="I25" s="14">
        <f>Variable_Expense1136404448[[#This Row],[Budget]]-Variable_Expense1136404448[[#This Row],[Actual ]]</f>
        <v>0</v>
      </c>
      <c r="N25" s="13"/>
      <c r="O25" s="13"/>
      <c r="P25" s="13"/>
    </row>
    <row r="26" spans="1:16" x14ac:dyDescent="0.25">
      <c r="A26" s="5" t="s">
        <v>24</v>
      </c>
      <c r="B26" s="9"/>
      <c r="C26" s="9"/>
      <c r="D26" s="9">
        <f>Fixed_Expense1035394347[[#This Row],[Budget]]-Fixed_Expense1035394347[[#This Row],[Actual]]</f>
        <v>0</v>
      </c>
      <c r="F26" s="5" t="s">
        <v>47</v>
      </c>
      <c r="G26" s="14"/>
      <c r="H26" s="14"/>
      <c r="I26" s="14">
        <f>Variable_Expense1136404448[[#This Row],[Budget]]-Variable_Expense1136404448[[#This Row],[Actual ]]</f>
        <v>0</v>
      </c>
      <c r="N26" s="13"/>
      <c r="O26" s="13"/>
      <c r="P26" s="13"/>
    </row>
    <row r="27" spans="1:16" x14ac:dyDescent="0.25">
      <c r="A27" s="5" t="s">
        <v>25</v>
      </c>
      <c r="B27" s="9"/>
      <c r="C27" s="9"/>
      <c r="D27" s="9">
        <f>Fixed_Expense1035394347[[#This Row],[Budget]]-Fixed_Expense1035394347[[#This Row],[Actual]]</f>
        <v>0</v>
      </c>
      <c r="F27" s="5" t="s">
        <v>48</v>
      </c>
      <c r="G27" s="14"/>
      <c r="H27" s="14"/>
      <c r="I27" s="14">
        <f>Variable_Expense1136404448[[#This Row],[Budget]]-Variable_Expense1136404448[[#This Row],[Actual ]]</f>
        <v>0</v>
      </c>
      <c r="N27" s="13"/>
      <c r="O27" s="13"/>
      <c r="P27" s="13"/>
    </row>
    <row r="28" spans="1:16" x14ac:dyDescent="0.25">
      <c r="A28" s="5" t="s">
        <v>26</v>
      </c>
      <c r="B28" s="9"/>
      <c r="C28" s="9"/>
      <c r="D28" s="9">
        <f>Fixed_Expense1035394347[[#This Row],[Budget]]-Fixed_Expense1035394347[[#This Row],[Actual]]</f>
        <v>0</v>
      </c>
      <c r="F28" s="5" t="s">
        <v>49</v>
      </c>
      <c r="G28" s="14"/>
      <c r="H28" s="14"/>
      <c r="I28" s="14">
        <f>Variable_Expense1136404448[[#This Row],[Budget]]-Variable_Expense1136404448[[#This Row],[Actual ]]</f>
        <v>0</v>
      </c>
      <c r="N28" s="13"/>
      <c r="O28" s="13"/>
      <c r="P28" s="13"/>
    </row>
    <row r="29" spans="1:16" x14ac:dyDescent="0.25">
      <c r="A29" s="5" t="s">
        <v>27</v>
      </c>
      <c r="B29" s="9"/>
      <c r="C29" s="9"/>
      <c r="D29" s="9">
        <f>Fixed_Expense1035394347[[#This Row],[Budget]]-Fixed_Expense1035394347[[#This Row],[Actual]]</f>
        <v>0</v>
      </c>
      <c r="F29" s="5" t="s">
        <v>50</v>
      </c>
      <c r="G29" s="14"/>
      <c r="H29" s="14"/>
      <c r="I29" s="14">
        <f>Variable_Expense1136404448[[#This Row],[Budget]]-Variable_Expense1136404448[[#This Row],[Actual ]]</f>
        <v>0</v>
      </c>
      <c r="N29" s="13"/>
      <c r="O29" s="13"/>
      <c r="P29" s="13"/>
    </row>
    <row r="30" spans="1:16" x14ac:dyDescent="0.25">
      <c r="A30" s="5" t="s">
        <v>28</v>
      </c>
      <c r="B30" s="9"/>
      <c r="C30" s="9"/>
      <c r="D30" s="9">
        <f>Fixed_Expense1035394347[[#This Row],[Budget]]-Fixed_Expense1035394347[[#This Row],[Actual]]</f>
        <v>0</v>
      </c>
      <c r="F30" s="5" t="s">
        <v>51</v>
      </c>
      <c r="G30" s="14"/>
      <c r="H30" s="14"/>
      <c r="I30" s="14">
        <f>Variable_Expense1136404448[[#This Row],[Budget]]-Variable_Expense1136404448[[#This Row],[Actual ]]</f>
        <v>0</v>
      </c>
      <c r="N30" s="13"/>
      <c r="O30" s="13"/>
      <c r="P30" s="13"/>
    </row>
    <row r="31" spans="1:16" x14ac:dyDescent="0.25">
      <c r="A31" s="5" t="s">
        <v>29</v>
      </c>
      <c r="B31" s="9"/>
      <c r="C31" s="9"/>
      <c r="D31" s="9">
        <f>Fixed_Expense1035394347[[#This Row],[Budget]]-Fixed_Expense1035394347[[#This Row],[Actual]]</f>
        <v>0</v>
      </c>
      <c r="F31" s="5" t="s">
        <v>52</v>
      </c>
      <c r="G31" s="14"/>
      <c r="H31" s="14"/>
      <c r="I31" s="14">
        <f>Variable_Expense1136404448[[#This Row],[Budget]]-Variable_Expense1136404448[[#This Row],[Actual ]]</f>
        <v>0</v>
      </c>
    </row>
    <row r="32" spans="1:16" x14ac:dyDescent="0.25">
      <c r="A32" s="5" t="s">
        <v>30</v>
      </c>
      <c r="B32" s="9"/>
      <c r="C32" s="9"/>
      <c r="D32" s="9">
        <f>Fixed_Expense1035394347[[#This Row],[Budget]]-Fixed_Expense1035394347[[#This Row],[Actual]]</f>
        <v>0</v>
      </c>
      <c r="F32" s="5" t="s">
        <v>53</v>
      </c>
      <c r="G32" s="14"/>
      <c r="H32" s="14"/>
      <c r="I32" s="14">
        <f>Variable_Expense1136404448[[#This Row],[Budget]]-Variable_Expense1136404448[[#This Row],[Actual ]]</f>
        <v>0</v>
      </c>
    </row>
    <row r="33" spans="1:9" x14ac:dyDescent="0.25">
      <c r="A33" s="5" t="s">
        <v>31</v>
      </c>
      <c r="B33" s="9"/>
      <c r="C33" s="9"/>
      <c r="D33" s="9">
        <f>Fixed_Expense1035394347[[#This Row],[Budget]]-Fixed_Expense1035394347[[#This Row],[Actual]]</f>
        <v>0</v>
      </c>
      <c r="F33" s="5" t="s">
        <v>54</v>
      </c>
      <c r="G33" s="14"/>
      <c r="H33" s="14"/>
      <c r="I33" s="14">
        <f>Variable_Expense1136404448[[#This Row],[Budget]]-Variable_Expense1136404448[[#This Row],[Actual ]]</f>
        <v>0</v>
      </c>
    </row>
    <row r="34" spans="1:9" x14ac:dyDescent="0.25">
      <c r="A34" s="5" t="s">
        <v>32</v>
      </c>
      <c r="B34" s="9"/>
      <c r="C34" s="9"/>
      <c r="D34" s="9">
        <f>Fixed_Expense1035394347[[#This Row],[Budget]]-Fixed_Expense1035394347[[#This Row],[Actual]]</f>
        <v>0</v>
      </c>
      <c r="F34" s="5" t="s">
        <v>55</v>
      </c>
      <c r="G34" s="14"/>
      <c r="H34" s="14"/>
      <c r="I34" s="14">
        <f>Variable_Expense1136404448[[#This Row],[Budget]]-Variable_Expense1136404448[[#This Row],[Actual ]]</f>
        <v>0</v>
      </c>
    </row>
    <row r="35" spans="1:9" x14ac:dyDescent="0.25">
      <c r="A35" s="5" t="s">
        <v>33</v>
      </c>
      <c r="B35" s="9"/>
      <c r="C35" s="9"/>
      <c r="D35" s="9">
        <f>Fixed_Expense1035394347[[#This Row],[Budget]]-Fixed_Expense1035394347[[#This Row],[Actual]]</f>
        <v>0</v>
      </c>
      <c r="F35" s="5" t="s">
        <v>56</v>
      </c>
      <c r="G35" s="14"/>
      <c r="H35" s="14"/>
      <c r="I35" s="14">
        <f>Variable_Expense1136404448[[#This Row],[Budget]]-Variable_Expense1136404448[[#This Row],[Actual ]]</f>
        <v>0</v>
      </c>
    </row>
    <row r="36" spans="1:9" x14ac:dyDescent="0.25">
      <c r="A36" s="5" t="s">
        <v>34</v>
      </c>
      <c r="B36" s="9"/>
      <c r="C36" s="9"/>
      <c r="D36" s="9">
        <f>Fixed_Expense1035394347[[#This Row],[Budget]]-Fixed_Expense1035394347[[#This Row],[Actual]]</f>
        <v>0</v>
      </c>
      <c r="F36" s="5" t="s">
        <v>57</v>
      </c>
      <c r="G36" s="14"/>
      <c r="H36" s="14"/>
      <c r="I36" s="14">
        <f>Variable_Expense1136404448[[#This Row],[Budget]]-Variable_Expense1136404448[[#This Row],[Actual ]]</f>
        <v>0</v>
      </c>
    </row>
    <row r="37" spans="1:9" x14ac:dyDescent="0.25">
      <c r="A37" s="5" t="s">
        <v>35</v>
      </c>
      <c r="B37" s="9"/>
      <c r="C37" s="9"/>
      <c r="D37" s="9">
        <f>Fixed_Expense1035394347[[#This Row],[Budget]]-Fixed_Expense1035394347[[#This Row],[Actual]]</f>
        <v>0</v>
      </c>
      <c r="F37" s="5" t="s">
        <v>15</v>
      </c>
      <c r="G37" s="14"/>
      <c r="H37" s="14"/>
      <c r="I37" s="14">
        <f>Variable_Expense1136404448[[#This Row],[Budget]]-Variable_Expense1136404448[[#This Row],[Actual ]]</f>
        <v>0</v>
      </c>
    </row>
    <row r="38" spans="1:9" x14ac:dyDescent="0.25">
      <c r="A38" s="5" t="s">
        <v>36</v>
      </c>
      <c r="B38" s="9"/>
      <c r="C38" s="9"/>
      <c r="D38" s="9">
        <f>Fixed_Expense1035394347[[#This Row],[Budget]]-Fixed_Expense1035394347[[#This Row],[Actual]]</f>
        <v>0</v>
      </c>
      <c r="F38" s="5" t="s">
        <v>15</v>
      </c>
      <c r="G38" s="14"/>
      <c r="H38" s="14"/>
      <c r="I38" s="14">
        <f>Variable_Expense1136404448[[#This Row],[Budget]]-Variable_Expense1136404448[[#This Row],[Actual ]]</f>
        <v>0</v>
      </c>
    </row>
    <row r="39" spans="1:9" x14ac:dyDescent="0.25">
      <c r="A39" s="6" t="s">
        <v>15</v>
      </c>
      <c r="B39" s="10"/>
      <c r="C39" s="10"/>
      <c r="D39" s="10">
        <f>Fixed_Expense1035394347[[#This Row],[Budget]]-Fixed_Expense1035394347[[#This Row],[Actual]]</f>
        <v>0</v>
      </c>
      <c r="F39" s="5" t="s">
        <v>15</v>
      </c>
      <c r="G39" s="14"/>
      <c r="H39" s="14"/>
      <c r="I39" s="14">
        <f>Variable_Expense1136404448[[#This Row],[Budget]]-Variable_Expense1136404448[[#This Row],[Actual ]]</f>
        <v>0</v>
      </c>
    </row>
    <row r="40" spans="1:9" x14ac:dyDescent="0.25">
      <c r="A40" s="5" t="s">
        <v>6</v>
      </c>
      <c r="B40" s="17">
        <f>SUBTOTAL(109,Fixed_Expense1035394347[Budget])</f>
        <v>0</v>
      </c>
      <c r="C40" s="17">
        <f>SUBTOTAL(109,Fixed_Expense1035394347[Actual])</f>
        <v>0</v>
      </c>
      <c r="D40" s="17">
        <f>SUBTOTAL(109,Fixed_Expense1035394347[Difference])</f>
        <v>0</v>
      </c>
      <c r="F40" s="5" t="s">
        <v>6</v>
      </c>
      <c r="G40" s="17">
        <f>SUBTOTAL(109,Variable_Expense1136404448[Budget])</f>
        <v>0</v>
      </c>
      <c r="H40" s="17">
        <f>SUBTOTAL(109,Variable_Expense1136404448[[Actual ]])</f>
        <v>0</v>
      </c>
      <c r="I40" s="18">
        <f>SUBTOTAL(109,Variable_Expense1136404448[Difference])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19">
      <dataBar>
        <cfvo type="min"/>
        <cfvo type="max"/>
        <color rgb="FF638EC6"/>
      </dataBar>
      <extLst>
        <ext xmlns:x14="http://schemas.microsoft.com/office/spreadsheetml/2009/9/main" uri="{B025F937-C7B1-47D3-B67F-A62EFF666E3E}">
          <x14:id>{7AE16299-5DB5-4C84-8834-1F21C9A9042C}</x14:id>
        </ext>
      </extLst>
    </cfRule>
  </conditionalFormatting>
  <conditionalFormatting sqref="B8:B10">
    <cfRule type="dataBar" priority="18">
      <dataBar>
        <cfvo type="min"/>
        <cfvo type="max"/>
        <color rgb="FF638EC6"/>
      </dataBar>
      <extLst>
        <ext xmlns:x14="http://schemas.microsoft.com/office/spreadsheetml/2009/9/main" uri="{B025F937-C7B1-47D3-B67F-A62EFF666E3E}">
          <x14:id>{C893BDFE-F57C-4540-B516-4516FFC05CB2}</x14:id>
        </ext>
      </extLst>
    </cfRule>
  </conditionalFormatting>
  <conditionalFormatting sqref="C8:C10">
    <cfRule type="dataBar" priority="17">
      <dataBar>
        <cfvo type="min"/>
        <cfvo type="max"/>
        <color rgb="FF63C384"/>
      </dataBar>
      <extLst>
        <ext xmlns:x14="http://schemas.microsoft.com/office/spreadsheetml/2009/9/main" uri="{B025F937-C7B1-47D3-B67F-A62EFF666E3E}">
          <x14:id>{71AE8151-459C-4CC9-A18E-5D9360F3B48D}</x14:id>
        </ext>
      </extLst>
    </cfRule>
  </conditionalFormatting>
  <conditionalFormatting sqref="N17:N30">
    <cfRule type="dataBar" priority="14">
      <dataBar>
        <cfvo type="min"/>
        <cfvo type="max"/>
        <color rgb="FFFF555A"/>
      </dataBar>
      <extLst>
        <ext xmlns:x14="http://schemas.microsoft.com/office/spreadsheetml/2009/9/main" uri="{B025F937-C7B1-47D3-B67F-A62EFF666E3E}">
          <x14:id>{3B6F44FB-89C1-4B9A-A9AA-BA8FB9CD3AC0}</x14:id>
        </ext>
      </extLst>
    </cfRule>
  </conditionalFormatting>
  <conditionalFormatting sqref="O17:O30">
    <cfRule type="dataBar" priority="13">
      <dataBar>
        <cfvo type="min"/>
        <cfvo type="max"/>
        <color rgb="FFFF555A"/>
      </dataBar>
      <extLst>
        <ext xmlns:x14="http://schemas.microsoft.com/office/spreadsheetml/2009/9/main" uri="{B025F937-C7B1-47D3-B67F-A62EFF666E3E}">
          <x14:id>{B17D81B8-7995-4C59-AECE-F4E8562B6976}</x14:id>
        </ext>
      </extLst>
    </cfRule>
  </conditionalFormatting>
  <conditionalFormatting sqref="P17:P30 D16:D40">
    <cfRule type="cellIs" dxfId="469" priority="11" operator="greaterThan">
      <formula>0</formula>
    </cfRule>
    <cfRule type="cellIs" dxfId="468" priority="12"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{100887F4-8BAC-40EC-BFAE-6CC13D4375CA}</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{983AFB60-A259-4AD9-9510-05F63074446F}</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{53CECB40-D86E-4A1E-9EDE-49E9E0187358}</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{67F0218D-E4E5-43DE-8E10-584D2994038A}</x14:id>
        </ext>
      </extLst>
    </cfRule>
  </conditionalFormatting>
  <conditionalFormatting sqref="D8:D11">
    <cfRule type="cellIs" dxfId="467" priority="15" operator="greaterThan">
      <formula>0</formula>
    </cfRule>
    <cfRule type="cellIs" dxfId="466" priority="16" operator="lessThan">
      <formula>0</formula>
    </cfRule>
  </conditionalFormatting>
  <conditionalFormatting sqref="I16:I40">
    <cfRule type="cellIs" dxfId="465" priority="7" operator="greaterThan">
      <formula>0</formula>
    </cfRule>
    <cfRule type="cellIs" dxfId="464" priority="8" operator="lessThan">
      <formula>0</formula>
    </cfRule>
  </conditionalFormatting>
  <conditionalFormatting sqref="B16:B40">
    <cfRule type="dataBar" priority="20">
      <dataBar>
        <cfvo type="min"/>
        <cfvo type="max"/>
        <color rgb="FFFF555A"/>
      </dataBar>
      <extLst>
        <ext xmlns:x14="http://schemas.microsoft.com/office/spreadsheetml/2009/9/main" uri="{B025F937-C7B1-47D3-B67F-A62EFF666E3E}">
          <x14:id>{1F014EE6-5094-45DD-A030-EB2319C39ECD}</x14:id>
        </ext>
      </extLst>
    </cfRule>
  </conditionalFormatting>
  <conditionalFormatting sqref="C16:C40">
    <cfRule type="dataBar" priority="21">
      <dataBar>
        <cfvo type="min"/>
        <cfvo type="max"/>
        <color rgb="FFFF555A"/>
      </dataBar>
      <extLst>
        <ext xmlns:x14="http://schemas.microsoft.com/office/spreadsheetml/2009/9/main" uri="{B025F937-C7B1-47D3-B67F-A62EFF666E3E}">
          <x14:id>{7FE55279-02A2-4702-90BF-015C9A9709C0}</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{500DCA79-4C7A-4B89-A0CF-B21BD7A3663A}</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{6131F256-876B-4ADC-9695-A3D0E8911322}</x14:id>
        </ext>
      </extLst>
    </cfRule>
  </conditionalFormatting>
  <conditionalFormatting sqref="I8:I11">
    <cfRule type="cellIs" dxfId="463" priority="1" operator="greaterThan">
      <formula>0</formula>
    </cfRule>
    <cfRule type="cellIs" dxfId="462" priority="2" operator="lessThan">
      <formula>0</formula>
    </cfRule>
  </conditionalFormatting>
  <pageMargins left="0.7" right="0.7" top="0.75" bottom="0.75" header="0.3" footer="0.3"/>
  <ignoredErrors>
    <ignoredError sqref="G8 H9 G10:H10"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7AE16299-5DB5-4C84-8834-1F21C9A9042C}">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C893BDFE-F57C-4540-B516-4516FFC05CB2}">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71AE8151-459C-4CC9-A18E-5D9360F3B48D}">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3B6F44FB-89C1-4B9A-A9AA-BA8FB9CD3AC0}">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B17D81B8-7995-4C59-AECE-F4E8562B6976}">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100887F4-8BAC-40EC-BFAE-6CC13D4375CA}">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983AFB60-A259-4AD9-9510-05F63074446F}">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53CECB40-D86E-4A1E-9EDE-49E9E0187358}">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67F0218D-E4E5-43DE-8E10-584D2994038A}">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1F014EE6-5094-45DD-A030-EB2319C39ECD}">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7FE55279-02A2-4702-90BF-015C9A9709C0}">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500DCA79-4C7A-4B89-A0CF-B21BD7A3663A}">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6131F256-876B-4ADC-9695-A3D0E8911322}">
            <x14:dataBar minLength="0" maxLength="100" gradient="0">
              <x14:cfvo type="autoMin"/>
              <x14:cfvo type="autoMax"/>
              <x14:negativeFillColor rgb="FFFF0000"/>
              <x14:axisColor rgb="FF000000"/>
            </x14:dataBar>
          </x14:cfRule>
          <xm:sqref>H8:H11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29351-DFD1-485B-B858-76A6D1CD4EE1}">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Income13438424650[[#This Row],[Actual]]-Income13438424650[[#This Row],[Budget]]</f>
        <v>0</v>
      </c>
      <c r="F8" s="5" t="s">
        <v>61</v>
      </c>
      <c r="G8" s="9">
        <f>Income13438424650[[#Totals],[Budget]]</f>
        <v>0</v>
      </c>
      <c r="H8" s="9">
        <f>Income13438424650[[#Totals],[Actual]]</f>
        <v>0</v>
      </c>
      <c r="I8" s="9">
        <f>Budget_Summary3741454953[[#This Row],[Budget]]-Budget_Summary3741454953[[#This Row],[Actual]]</f>
        <v>0</v>
      </c>
    </row>
    <row r="9" spans="1:16" x14ac:dyDescent="0.25">
      <c r="A9" s="4" t="s">
        <v>4</v>
      </c>
      <c r="B9" s="7"/>
      <c r="C9" s="7"/>
      <c r="D9" s="8">
        <f>Income13438424650[[#This Row],[Actual]]-Income13438424650[[#This Row],[Budget]]</f>
        <v>0</v>
      </c>
      <c r="F9" s="5" t="s">
        <v>17</v>
      </c>
      <c r="G9" s="9">
        <f>Fixed_Expense103539434751[[#Totals],[Budget]]</f>
        <v>0</v>
      </c>
      <c r="H9" s="9">
        <f>Fixed_Expense103539434751[[#Totals],[Actual]]</f>
        <v>0</v>
      </c>
      <c r="I9" s="9">
        <f>Budget_Summary3741454953[[#This Row],[Budget]]-Budget_Summary3741454953[[#This Row],[Actual]]</f>
        <v>0</v>
      </c>
    </row>
    <row r="10" spans="1:16" x14ac:dyDescent="0.25">
      <c r="A10" s="4" t="s">
        <v>5</v>
      </c>
      <c r="B10" s="7"/>
      <c r="C10" s="7"/>
      <c r="D10" s="8">
        <f>Income13438424650[[#This Row],[Actual]]-Income13438424650[[#This Row],[Budget]]</f>
        <v>0</v>
      </c>
      <c r="F10" s="6" t="s">
        <v>37</v>
      </c>
      <c r="G10" s="10">
        <f>Variable_Expense113640444852[[#Totals],[Budget]]</f>
        <v>0</v>
      </c>
      <c r="H10" s="10">
        <f>Variable_Expense113640444852[[#Totals],[Actual ]]</f>
        <v>0</v>
      </c>
      <c r="I10" s="9">
        <f>Budget_Summary3741454953[[#This Row],[Budget]]-Budget_Summary3741454953[[#This Row],[Actual]]</f>
        <v>0</v>
      </c>
    </row>
    <row r="11" spans="1:16" x14ac:dyDescent="0.25">
      <c r="A11" s="5" t="s">
        <v>6</v>
      </c>
      <c r="B11" s="7">
        <f>SUBTOTAL(109,Income13438424650[Budget])</f>
        <v>0</v>
      </c>
      <c r="C11" s="7">
        <f>SUBTOTAL(109,Income13438424650[Actual])</f>
        <v>0</v>
      </c>
      <c r="D11" s="7">
        <f>SUBTOTAL(109,Income13438424650[Difference])</f>
        <v>0</v>
      </c>
      <c r="F11" s="5" t="s">
        <v>6</v>
      </c>
      <c r="G11" s="17">
        <f>G8-(G9+G10)</f>
        <v>0</v>
      </c>
      <c r="H11" s="17">
        <f>H8-(H9+H10)</f>
        <v>0</v>
      </c>
      <c r="I11" s="17">
        <f>SUBTOTAL(109,Budget_Summary3741454953[Difference])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Fixed_Expense103539434751[[#This Row],[Budget]]-Fixed_Expense103539434751[[#This Row],[Actual]]</f>
        <v>0</v>
      </c>
      <c r="F16" s="5" t="s">
        <v>9</v>
      </c>
      <c r="G16" s="14"/>
      <c r="H16" s="14"/>
      <c r="I16" s="14">
        <f>Variable_Expense113640444852[[#This Row],[Budget]]-Variable_Expense113640444852[[#This Row],[Actual ]]</f>
        <v>0</v>
      </c>
      <c r="N16" s="13"/>
      <c r="O16" s="13"/>
      <c r="P16" s="13"/>
    </row>
    <row r="17" spans="1:16" x14ac:dyDescent="0.25">
      <c r="A17" s="5" t="s">
        <v>19</v>
      </c>
      <c r="B17" s="9"/>
      <c r="C17" s="9"/>
      <c r="D17" s="9">
        <f>Fixed_Expense103539434751[[#This Row],[Budget]]-Fixed_Expense103539434751[[#This Row],[Actual]]</f>
        <v>0</v>
      </c>
      <c r="F17" s="5" t="s">
        <v>10</v>
      </c>
      <c r="G17" s="14"/>
      <c r="H17" s="14"/>
      <c r="I17" s="14">
        <f>Variable_Expense113640444852[[#This Row],[Budget]]-Variable_Expense113640444852[[#This Row],[Actual ]]</f>
        <v>0</v>
      </c>
      <c r="N17" s="13"/>
      <c r="O17" s="13"/>
      <c r="P17" s="13"/>
    </row>
    <row r="18" spans="1:16" x14ac:dyDescent="0.25">
      <c r="A18" s="5" t="s">
        <v>22</v>
      </c>
      <c r="B18" s="9"/>
      <c r="C18" s="9"/>
      <c r="D18" s="9">
        <f>Fixed_Expense103539434751[[#This Row],[Budget]]-Fixed_Expense103539434751[[#This Row],[Actual]]</f>
        <v>0</v>
      </c>
      <c r="F18" s="5" t="s">
        <v>39</v>
      </c>
      <c r="G18" s="14"/>
      <c r="H18" s="14"/>
      <c r="I18" s="14">
        <f>Variable_Expense113640444852[[#This Row],[Budget]]-Variable_Expense113640444852[[#This Row],[Actual ]]</f>
        <v>0</v>
      </c>
      <c r="N18" s="13"/>
      <c r="O18" s="13"/>
      <c r="P18" s="13"/>
    </row>
    <row r="19" spans="1:16" x14ac:dyDescent="0.25">
      <c r="A19" s="5" t="s">
        <v>20</v>
      </c>
      <c r="B19" s="9"/>
      <c r="C19" s="9"/>
      <c r="D19" s="9">
        <f>Fixed_Expense103539434751[[#This Row],[Budget]]-Fixed_Expense103539434751[[#This Row],[Actual]]</f>
        <v>0</v>
      </c>
      <c r="F19" s="5" t="s">
        <v>40</v>
      </c>
      <c r="G19" s="14"/>
      <c r="H19" s="14"/>
      <c r="I19" s="14">
        <f>Variable_Expense113640444852[[#This Row],[Budget]]-Variable_Expense113640444852[[#This Row],[Actual ]]</f>
        <v>0</v>
      </c>
      <c r="N19" s="13"/>
      <c r="O19" s="13"/>
      <c r="P19" s="13"/>
    </row>
    <row r="20" spans="1:16" x14ac:dyDescent="0.25">
      <c r="A20" s="5" t="s">
        <v>21</v>
      </c>
      <c r="B20" s="9"/>
      <c r="C20" s="9"/>
      <c r="D20" s="9">
        <f>Fixed_Expense103539434751[[#This Row],[Budget]]-Fixed_Expense103539434751[[#This Row],[Actual]]</f>
        <v>0</v>
      </c>
      <c r="F20" s="5" t="s">
        <v>41</v>
      </c>
      <c r="G20" s="14"/>
      <c r="H20" s="14"/>
      <c r="I20" s="14">
        <f>Variable_Expense113640444852[[#This Row],[Budget]]-Variable_Expense113640444852[[#This Row],[Actual ]]</f>
        <v>0</v>
      </c>
      <c r="N20" s="13"/>
      <c r="O20" s="13"/>
      <c r="P20" s="13"/>
    </row>
    <row r="21" spans="1:16" x14ac:dyDescent="0.25">
      <c r="A21" s="5" t="s">
        <v>11</v>
      </c>
      <c r="B21" s="9"/>
      <c r="C21" s="9"/>
      <c r="D21" s="9">
        <f>Fixed_Expense103539434751[[#This Row],[Budget]]-Fixed_Expense103539434751[[#This Row],[Actual]]</f>
        <v>0</v>
      </c>
      <c r="F21" s="5" t="s">
        <v>42</v>
      </c>
      <c r="G21" s="14"/>
      <c r="H21" s="14"/>
      <c r="I21" s="14">
        <f>Variable_Expense113640444852[[#This Row],[Budget]]-Variable_Expense113640444852[[#This Row],[Actual ]]</f>
        <v>0</v>
      </c>
      <c r="N21" s="13"/>
      <c r="O21" s="13"/>
      <c r="P21" s="13"/>
    </row>
    <row r="22" spans="1:16" x14ac:dyDescent="0.25">
      <c r="A22" s="5" t="s">
        <v>12</v>
      </c>
      <c r="B22" s="9"/>
      <c r="C22" s="9"/>
      <c r="D22" s="9">
        <f>Fixed_Expense103539434751[[#This Row],[Budget]]-Fixed_Expense103539434751[[#This Row],[Actual]]</f>
        <v>0</v>
      </c>
      <c r="F22" s="5" t="s">
        <v>43</v>
      </c>
      <c r="G22" s="14"/>
      <c r="H22" s="14"/>
      <c r="I22" s="14">
        <f>Variable_Expense113640444852[[#This Row],[Budget]]-Variable_Expense113640444852[[#This Row],[Actual ]]</f>
        <v>0</v>
      </c>
      <c r="N22" s="13"/>
      <c r="O22" s="13"/>
      <c r="P22" s="13"/>
    </row>
    <row r="23" spans="1:16" x14ac:dyDescent="0.25">
      <c r="A23" s="5" t="s">
        <v>13</v>
      </c>
      <c r="B23" s="9"/>
      <c r="C23" s="9"/>
      <c r="D23" s="9">
        <f>Fixed_Expense103539434751[[#This Row],[Budget]]-Fixed_Expense103539434751[[#This Row],[Actual]]</f>
        <v>0</v>
      </c>
      <c r="F23" s="5" t="s">
        <v>44</v>
      </c>
      <c r="G23" s="14"/>
      <c r="H23" s="14"/>
      <c r="I23" s="14">
        <f>Variable_Expense113640444852[[#This Row],[Budget]]-Variable_Expense113640444852[[#This Row],[Actual ]]</f>
        <v>0</v>
      </c>
      <c r="N23" s="13"/>
      <c r="O23" s="13"/>
      <c r="P23" s="13"/>
    </row>
    <row r="24" spans="1:16" x14ac:dyDescent="0.25">
      <c r="A24" s="5" t="s">
        <v>14</v>
      </c>
      <c r="B24" s="9"/>
      <c r="C24" s="9"/>
      <c r="D24" s="9">
        <f>Fixed_Expense103539434751[[#This Row],[Budget]]-Fixed_Expense103539434751[[#This Row],[Actual]]</f>
        <v>0</v>
      </c>
      <c r="F24" s="5" t="s">
        <v>45</v>
      </c>
      <c r="G24" s="14"/>
      <c r="H24" s="14"/>
      <c r="I24" s="14">
        <f>Variable_Expense113640444852[[#This Row],[Budget]]-Variable_Expense113640444852[[#This Row],[Actual ]]</f>
        <v>0</v>
      </c>
      <c r="N24" s="13"/>
      <c r="O24" s="13"/>
      <c r="P24" s="13"/>
    </row>
    <row r="25" spans="1:16" x14ac:dyDescent="0.25">
      <c r="A25" s="5" t="s">
        <v>23</v>
      </c>
      <c r="B25" s="9"/>
      <c r="C25" s="9"/>
      <c r="D25" s="9">
        <f>Fixed_Expense103539434751[[#This Row],[Budget]]-Fixed_Expense103539434751[[#This Row],[Actual]]</f>
        <v>0</v>
      </c>
      <c r="F25" s="5" t="s">
        <v>46</v>
      </c>
      <c r="G25" s="14"/>
      <c r="H25" s="14"/>
      <c r="I25" s="14">
        <f>Variable_Expense113640444852[[#This Row],[Budget]]-Variable_Expense113640444852[[#This Row],[Actual ]]</f>
        <v>0</v>
      </c>
      <c r="N25" s="13"/>
      <c r="O25" s="13"/>
      <c r="P25" s="13"/>
    </row>
    <row r="26" spans="1:16" x14ac:dyDescent="0.25">
      <c r="A26" s="5" t="s">
        <v>24</v>
      </c>
      <c r="B26" s="9"/>
      <c r="C26" s="9"/>
      <c r="D26" s="9">
        <f>Fixed_Expense103539434751[[#This Row],[Budget]]-Fixed_Expense103539434751[[#This Row],[Actual]]</f>
        <v>0</v>
      </c>
      <c r="F26" s="5" t="s">
        <v>47</v>
      </c>
      <c r="G26" s="14"/>
      <c r="H26" s="14"/>
      <c r="I26" s="14">
        <f>Variable_Expense113640444852[[#This Row],[Budget]]-Variable_Expense113640444852[[#This Row],[Actual ]]</f>
        <v>0</v>
      </c>
      <c r="N26" s="13"/>
      <c r="O26" s="13"/>
      <c r="P26" s="13"/>
    </row>
    <row r="27" spans="1:16" x14ac:dyDescent="0.25">
      <c r="A27" s="5" t="s">
        <v>25</v>
      </c>
      <c r="B27" s="9"/>
      <c r="C27" s="9"/>
      <c r="D27" s="9">
        <f>Fixed_Expense103539434751[[#This Row],[Budget]]-Fixed_Expense103539434751[[#This Row],[Actual]]</f>
        <v>0</v>
      </c>
      <c r="F27" s="5" t="s">
        <v>48</v>
      </c>
      <c r="G27" s="14"/>
      <c r="H27" s="14"/>
      <c r="I27" s="14">
        <f>Variable_Expense113640444852[[#This Row],[Budget]]-Variable_Expense113640444852[[#This Row],[Actual ]]</f>
        <v>0</v>
      </c>
      <c r="N27" s="13"/>
      <c r="O27" s="13"/>
      <c r="P27" s="13"/>
    </row>
    <row r="28" spans="1:16" x14ac:dyDescent="0.25">
      <c r="A28" s="5" t="s">
        <v>26</v>
      </c>
      <c r="B28" s="9"/>
      <c r="C28" s="9"/>
      <c r="D28" s="9">
        <f>Fixed_Expense103539434751[[#This Row],[Budget]]-Fixed_Expense103539434751[[#This Row],[Actual]]</f>
        <v>0</v>
      </c>
      <c r="F28" s="5" t="s">
        <v>49</v>
      </c>
      <c r="G28" s="14"/>
      <c r="H28" s="14"/>
      <c r="I28" s="14">
        <f>Variable_Expense113640444852[[#This Row],[Budget]]-Variable_Expense113640444852[[#This Row],[Actual ]]</f>
        <v>0</v>
      </c>
      <c r="N28" s="13"/>
      <c r="O28" s="13"/>
      <c r="P28" s="13"/>
    </row>
    <row r="29" spans="1:16" x14ac:dyDescent="0.25">
      <c r="A29" s="5" t="s">
        <v>27</v>
      </c>
      <c r="B29" s="9"/>
      <c r="C29" s="9"/>
      <c r="D29" s="9">
        <f>Fixed_Expense103539434751[[#This Row],[Budget]]-Fixed_Expense103539434751[[#This Row],[Actual]]</f>
        <v>0</v>
      </c>
      <c r="F29" s="5" t="s">
        <v>50</v>
      </c>
      <c r="G29" s="14"/>
      <c r="H29" s="14"/>
      <c r="I29" s="14">
        <f>Variable_Expense113640444852[[#This Row],[Budget]]-Variable_Expense113640444852[[#This Row],[Actual ]]</f>
        <v>0</v>
      </c>
      <c r="N29" s="13"/>
      <c r="O29" s="13"/>
      <c r="P29" s="13"/>
    </row>
    <row r="30" spans="1:16" x14ac:dyDescent="0.25">
      <c r="A30" s="5" t="s">
        <v>28</v>
      </c>
      <c r="B30" s="9"/>
      <c r="C30" s="9"/>
      <c r="D30" s="9">
        <f>Fixed_Expense103539434751[[#This Row],[Budget]]-Fixed_Expense103539434751[[#This Row],[Actual]]</f>
        <v>0</v>
      </c>
      <c r="F30" s="5" t="s">
        <v>51</v>
      </c>
      <c r="G30" s="14"/>
      <c r="H30" s="14"/>
      <c r="I30" s="14">
        <f>Variable_Expense113640444852[[#This Row],[Budget]]-Variable_Expense113640444852[[#This Row],[Actual ]]</f>
        <v>0</v>
      </c>
      <c r="N30" s="13"/>
      <c r="O30" s="13"/>
      <c r="P30" s="13"/>
    </row>
    <row r="31" spans="1:16" x14ac:dyDescent="0.25">
      <c r="A31" s="5" t="s">
        <v>29</v>
      </c>
      <c r="B31" s="9"/>
      <c r="C31" s="9"/>
      <c r="D31" s="9">
        <f>Fixed_Expense103539434751[[#This Row],[Budget]]-Fixed_Expense103539434751[[#This Row],[Actual]]</f>
        <v>0</v>
      </c>
      <c r="F31" s="5" t="s">
        <v>52</v>
      </c>
      <c r="G31" s="14"/>
      <c r="H31" s="14"/>
      <c r="I31" s="14">
        <f>Variable_Expense113640444852[[#This Row],[Budget]]-Variable_Expense113640444852[[#This Row],[Actual ]]</f>
        <v>0</v>
      </c>
    </row>
    <row r="32" spans="1:16" x14ac:dyDescent="0.25">
      <c r="A32" s="5" t="s">
        <v>30</v>
      </c>
      <c r="B32" s="9"/>
      <c r="C32" s="9"/>
      <c r="D32" s="9">
        <f>Fixed_Expense103539434751[[#This Row],[Budget]]-Fixed_Expense103539434751[[#This Row],[Actual]]</f>
        <v>0</v>
      </c>
      <c r="F32" s="5" t="s">
        <v>53</v>
      </c>
      <c r="G32" s="14"/>
      <c r="H32" s="14"/>
      <c r="I32" s="14">
        <f>Variable_Expense113640444852[[#This Row],[Budget]]-Variable_Expense113640444852[[#This Row],[Actual ]]</f>
        <v>0</v>
      </c>
    </row>
    <row r="33" spans="1:9" x14ac:dyDescent="0.25">
      <c r="A33" s="5" t="s">
        <v>31</v>
      </c>
      <c r="B33" s="9"/>
      <c r="C33" s="9"/>
      <c r="D33" s="9">
        <f>Fixed_Expense103539434751[[#This Row],[Budget]]-Fixed_Expense103539434751[[#This Row],[Actual]]</f>
        <v>0</v>
      </c>
      <c r="F33" s="5" t="s">
        <v>54</v>
      </c>
      <c r="G33" s="14"/>
      <c r="H33" s="14"/>
      <c r="I33" s="14">
        <f>Variable_Expense113640444852[[#This Row],[Budget]]-Variable_Expense113640444852[[#This Row],[Actual ]]</f>
        <v>0</v>
      </c>
    </row>
    <row r="34" spans="1:9" x14ac:dyDescent="0.25">
      <c r="A34" s="5" t="s">
        <v>32</v>
      </c>
      <c r="B34" s="9"/>
      <c r="C34" s="9"/>
      <c r="D34" s="9">
        <f>Fixed_Expense103539434751[[#This Row],[Budget]]-Fixed_Expense103539434751[[#This Row],[Actual]]</f>
        <v>0</v>
      </c>
      <c r="F34" s="5" t="s">
        <v>55</v>
      </c>
      <c r="G34" s="14"/>
      <c r="H34" s="14"/>
      <c r="I34" s="14">
        <f>Variable_Expense113640444852[[#This Row],[Budget]]-Variable_Expense113640444852[[#This Row],[Actual ]]</f>
        <v>0</v>
      </c>
    </row>
    <row r="35" spans="1:9" x14ac:dyDescent="0.25">
      <c r="A35" s="5" t="s">
        <v>33</v>
      </c>
      <c r="B35" s="9"/>
      <c r="C35" s="9"/>
      <c r="D35" s="9">
        <f>Fixed_Expense103539434751[[#This Row],[Budget]]-Fixed_Expense103539434751[[#This Row],[Actual]]</f>
        <v>0</v>
      </c>
      <c r="F35" s="5" t="s">
        <v>56</v>
      </c>
      <c r="G35" s="14"/>
      <c r="H35" s="14"/>
      <c r="I35" s="14">
        <f>Variable_Expense113640444852[[#This Row],[Budget]]-Variable_Expense113640444852[[#This Row],[Actual ]]</f>
        <v>0</v>
      </c>
    </row>
    <row r="36" spans="1:9" x14ac:dyDescent="0.25">
      <c r="A36" s="5" t="s">
        <v>34</v>
      </c>
      <c r="B36" s="9"/>
      <c r="C36" s="9"/>
      <c r="D36" s="9">
        <f>Fixed_Expense103539434751[[#This Row],[Budget]]-Fixed_Expense103539434751[[#This Row],[Actual]]</f>
        <v>0</v>
      </c>
      <c r="F36" s="5" t="s">
        <v>57</v>
      </c>
      <c r="G36" s="14"/>
      <c r="H36" s="14"/>
      <c r="I36" s="14">
        <f>Variable_Expense113640444852[[#This Row],[Budget]]-Variable_Expense113640444852[[#This Row],[Actual ]]</f>
        <v>0</v>
      </c>
    </row>
    <row r="37" spans="1:9" x14ac:dyDescent="0.25">
      <c r="A37" s="5" t="s">
        <v>35</v>
      </c>
      <c r="B37" s="9"/>
      <c r="C37" s="9"/>
      <c r="D37" s="9">
        <f>Fixed_Expense103539434751[[#This Row],[Budget]]-Fixed_Expense103539434751[[#This Row],[Actual]]</f>
        <v>0</v>
      </c>
      <c r="F37" s="5" t="s">
        <v>15</v>
      </c>
      <c r="G37" s="14"/>
      <c r="H37" s="14"/>
      <c r="I37" s="14">
        <f>Variable_Expense113640444852[[#This Row],[Budget]]-Variable_Expense113640444852[[#This Row],[Actual ]]</f>
        <v>0</v>
      </c>
    </row>
    <row r="38" spans="1:9" x14ac:dyDescent="0.25">
      <c r="A38" s="5" t="s">
        <v>36</v>
      </c>
      <c r="B38" s="9"/>
      <c r="C38" s="9"/>
      <c r="D38" s="9">
        <f>Fixed_Expense103539434751[[#This Row],[Budget]]-Fixed_Expense103539434751[[#This Row],[Actual]]</f>
        <v>0</v>
      </c>
      <c r="F38" s="5" t="s">
        <v>15</v>
      </c>
      <c r="G38" s="14"/>
      <c r="H38" s="14"/>
      <c r="I38" s="14">
        <f>Variable_Expense113640444852[[#This Row],[Budget]]-Variable_Expense113640444852[[#This Row],[Actual ]]</f>
        <v>0</v>
      </c>
    </row>
    <row r="39" spans="1:9" x14ac:dyDescent="0.25">
      <c r="A39" s="6" t="s">
        <v>15</v>
      </c>
      <c r="B39" s="10"/>
      <c r="C39" s="10"/>
      <c r="D39" s="10">
        <f>Fixed_Expense103539434751[[#This Row],[Budget]]-Fixed_Expense103539434751[[#This Row],[Actual]]</f>
        <v>0</v>
      </c>
      <c r="F39" s="5" t="s">
        <v>15</v>
      </c>
      <c r="G39" s="14"/>
      <c r="H39" s="14"/>
      <c r="I39" s="14">
        <f>Variable_Expense113640444852[[#This Row],[Budget]]-Variable_Expense113640444852[[#This Row],[Actual ]]</f>
        <v>0</v>
      </c>
    </row>
    <row r="40" spans="1:9" x14ac:dyDescent="0.25">
      <c r="A40" s="5" t="s">
        <v>6</v>
      </c>
      <c r="B40" s="17">
        <f>SUBTOTAL(109,Fixed_Expense103539434751[Budget])</f>
        <v>0</v>
      </c>
      <c r="C40" s="17">
        <f>SUBTOTAL(109,Fixed_Expense103539434751[Actual])</f>
        <v>0</v>
      </c>
      <c r="D40" s="17">
        <f>SUBTOTAL(109,Fixed_Expense103539434751[Difference])</f>
        <v>0</v>
      </c>
      <c r="F40" s="5" t="s">
        <v>6</v>
      </c>
      <c r="G40" s="17">
        <f>SUBTOTAL(109,Variable_Expense113640444852[Budget])</f>
        <v>0</v>
      </c>
      <c r="H40" s="17">
        <f>SUBTOTAL(109,Variable_Expense113640444852[[Actual ]])</f>
        <v>0</v>
      </c>
      <c r="I40" s="18">
        <f>SUBTOTAL(109,Variable_Expense113640444852[Difference])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19">
      <dataBar>
        <cfvo type="min"/>
        <cfvo type="max"/>
        <color rgb="FF638EC6"/>
      </dataBar>
      <extLst>
        <ext xmlns:x14="http://schemas.microsoft.com/office/spreadsheetml/2009/9/main" uri="{B025F937-C7B1-47D3-B67F-A62EFF666E3E}">
          <x14:id>{130E57F2-3864-4AEA-BFE0-16A237818426}</x14:id>
        </ext>
      </extLst>
    </cfRule>
  </conditionalFormatting>
  <conditionalFormatting sqref="B8:B10">
    <cfRule type="dataBar" priority="18">
      <dataBar>
        <cfvo type="min"/>
        <cfvo type="max"/>
        <color rgb="FF638EC6"/>
      </dataBar>
      <extLst>
        <ext xmlns:x14="http://schemas.microsoft.com/office/spreadsheetml/2009/9/main" uri="{B025F937-C7B1-47D3-B67F-A62EFF666E3E}">
          <x14:id>{9F321C9A-274F-434D-BC1C-F4143EA0B672}</x14:id>
        </ext>
      </extLst>
    </cfRule>
  </conditionalFormatting>
  <conditionalFormatting sqref="C8:C10">
    <cfRule type="dataBar" priority="17">
      <dataBar>
        <cfvo type="min"/>
        <cfvo type="max"/>
        <color rgb="FF63C384"/>
      </dataBar>
      <extLst>
        <ext xmlns:x14="http://schemas.microsoft.com/office/spreadsheetml/2009/9/main" uri="{B025F937-C7B1-47D3-B67F-A62EFF666E3E}">
          <x14:id>{A9CB3D55-3AB1-46C7-BE09-AB4DCC015D65}</x14:id>
        </ext>
      </extLst>
    </cfRule>
  </conditionalFormatting>
  <conditionalFormatting sqref="N17:N30">
    <cfRule type="dataBar" priority="14">
      <dataBar>
        <cfvo type="min"/>
        <cfvo type="max"/>
        <color rgb="FFFF555A"/>
      </dataBar>
      <extLst>
        <ext xmlns:x14="http://schemas.microsoft.com/office/spreadsheetml/2009/9/main" uri="{B025F937-C7B1-47D3-B67F-A62EFF666E3E}">
          <x14:id>{6F4E33D7-81B6-4898-BC79-2AB19E684B7F}</x14:id>
        </ext>
      </extLst>
    </cfRule>
  </conditionalFormatting>
  <conditionalFormatting sqref="O17:O30">
    <cfRule type="dataBar" priority="13">
      <dataBar>
        <cfvo type="min"/>
        <cfvo type="max"/>
        <color rgb="FFFF555A"/>
      </dataBar>
      <extLst>
        <ext xmlns:x14="http://schemas.microsoft.com/office/spreadsheetml/2009/9/main" uri="{B025F937-C7B1-47D3-B67F-A62EFF666E3E}">
          <x14:id>{598743B1-DA1A-4E6E-9617-02E7E4F52DA6}</x14:id>
        </ext>
      </extLst>
    </cfRule>
  </conditionalFormatting>
  <conditionalFormatting sqref="P17:P30 D16:D40">
    <cfRule type="cellIs" dxfId="416" priority="11" operator="greaterThan">
      <formula>0</formula>
    </cfRule>
    <cfRule type="cellIs" dxfId="415" priority="12"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{4B91611C-78E9-406D-BC23-4ED4BB7270EC}</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{116B874D-AA7B-4DC6-84BC-D8850B3661BB}</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{AB37ECCB-4B91-4E54-8811-14D3C77B5DC4}</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{540DBDAE-899E-4403-88D9-DBA37C6EF820}</x14:id>
        </ext>
      </extLst>
    </cfRule>
  </conditionalFormatting>
  <conditionalFormatting sqref="D8:D11">
    <cfRule type="cellIs" dxfId="414" priority="15" operator="greaterThan">
      <formula>0</formula>
    </cfRule>
    <cfRule type="cellIs" dxfId="413" priority="16" operator="lessThan">
      <formula>0</formula>
    </cfRule>
  </conditionalFormatting>
  <conditionalFormatting sqref="I16:I40">
    <cfRule type="cellIs" dxfId="412" priority="7" operator="greaterThan">
      <formula>0</formula>
    </cfRule>
    <cfRule type="cellIs" dxfId="411" priority="8" operator="lessThan">
      <formula>0</formula>
    </cfRule>
  </conditionalFormatting>
  <conditionalFormatting sqref="B16:B40">
    <cfRule type="dataBar" priority="20">
      <dataBar>
        <cfvo type="min"/>
        <cfvo type="max"/>
        <color rgb="FFFF555A"/>
      </dataBar>
      <extLst>
        <ext xmlns:x14="http://schemas.microsoft.com/office/spreadsheetml/2009/9/main" uri="{B025F937-C7B1-47D3-B67F-A62EFF666E3E}">
          <x14:id>{BEFB6373-7FD1-423A-ACCB-BB45DAA0EFB4}</x14:id>
        </ext>
      </extLst>
    </cfRule>
  </conditionalFormatting>
  <conditionalFormatting sqref="C16:C40">
    <cfRule type="dataBar" priority="21">
      <dataBar>
        <cfvo type="min"/>
        <cfvo type="max"/>
        <color rgb="FFFF555A"/>
      </dataBar>
      <extLst>
        <ext xmlns:x14="http://schemas.microsoft.com/office/spreadsheetml/2009/9/main" uri="{B025F937-C7B1-47D3-B67F-A62EFF666E3E}">
          <x14:id>{887BDB50-E77E-4CE1-ADDA-7C78A0F70C71}</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{83653BA9-4B4E-4BC1-88AE-F5813054451F}</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{BB041D13-F6D7-4BEB-B530-91A07096F7A0}</x14:id>
        </ext>
      </extLst>
    </cfRule>
  </conditionalFormatting>
  <conditionalFormatting sqref="I8:I11">
    <cfRule type="cellIs" dxfId="410" priority="1" operator="greaterThan">
      <formula>0</formula>
    </cfRule>
    <cfRule type="cellIs" dxfId="409" priority="2" operator="lessThan">
      <formula>0</formula>
    </cfRule>
  </conditionalFormatting>
  <pageMargins left="0.7" right="0.7" top="0.75" bottom="0.75" header="0.3" footer="0.3"/>
  <ignoredErrors>
    <ignoredError sqref="G8 H9 G10:H10"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130E57F2-3864-4AEA-BFE0-16A237818426}">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9F321C9A-274F-434D-BC1C-F4143EA0B672}">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A9CB3D55-3AB1-46C7-BE09-AB4DCC015D65}">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6F4E33D7-81B6-4898-BC79-2AB19E684B7F}">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598743B1-DA1A-4E6E-9617-02E7E4F52DA6}">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4B91611C-78E9-406D-BC23-4ED4BB7270EC}">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116B874D-AA7B-4DC6-84BC-D8850B3661BB}">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AB37ECCB-4B91-4E54-8811-14D3C77B5DC4}">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540DBDAE-899E-4403-88D9-DBA37C6EF820}">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BEFB6373-7FD1-423A-ACCB-BB45DAA0EFB4}">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887BDB50-E77E-4CE1-ADDA-7C78A0F70C71}">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83653BA9-4B4E-4BC1-88AE-F5813054451F}">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BB041D13-F6D7-4BEB-B530-91A07096F7A0}">
            <x14:dataBar minLength="0" maxLength="100" gradient="0">
              <x14:cfvo type="autoMin"/>
              <x14:cfvo type="autoMax"/>
              <x14:negativeFillColor rgb="FFFF0000"/>
              <x14:axisColor rgb="FF000000"/>
            </x14:dataBar>
          </x14:cfRule>
          <xm:sqref>H8:H11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2770F-DC14-4B25-8DEF-14C7E09E1283}">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Income1343842465054[[#This Row],[Actual]]-Income1343842465054[[#This Row],[Budget]]</f>
        <v>0</v>
      </c>
      <c r="F8" s="5" t="s">
        <v>61</v>
      </c>
      <c r="G8" s="9">
        <f>Income1343842465054[[#Totals],[Budget]]</f>
        <v>0</v>
      </c>
      <c r="H8" s="9">
        <f>Income1343842465054[[#Totals],[Actual]]</f>
        <v>0</v>
      </c>
      <c r="I8" s="9">
        <f>Budget_Summary374145495357[[#This Row],[Budget]]-Budget_Summary374145495357[[#This Row],[Actual]]</f>
        <v>0</v>
      </c>
    </row>
    <row r="9" spans="1:16" x14ac:dyDescent="0.25">
      <c r="A9" s="4" t="s">
        <v>4</v>
      </c>
      <c r="B9" s="7"/>
      <c r="C9" s="7"/>
      <c r="D9" s="8">
        <f>Income1343842465054[[#This Row],[Actual]]-Income1343842465054[[#This Row],[Budget]]</f>
        <v>0</v>
      </c>
      <c r="F9" s="5" t="s">
        <v>17</v>
      </c>
      <c r="G9" s="9">
        <f>Fixed_Expense10353943475155[[#Totals],[Budget]]</f>
        <v>0</v>
      </c>
      <c r="H9" s="9">
        <f>Fixed_Expense10353943475155[[#Totals],[Actual]]</f>
        <v>0</v>
      </c>
      <c r="I9" s="9">
        <f>Budget_Summary374145495357[[#This Row],[Budget]]-Budget_Summary374145495357[[#This Row],[Actual]]</f>
        <v>0</v>
      </c>
    </row>
    <row r="10" spans="1:16" x14ac:dyDescent="0.25">
      <c r="A10" s="4" t="s">
        <v>5</v>
      </c>
      <c r="B10" s="7"/>
      <c r="C10" s="7"/>
      <c r="D10" s="8">
        <f>Income1343842465054[[#This Row],[Actual]]-Income1343842465054[[#This Row],[Budget]]</f>
        <v>0</v>
      </c>
      <c r="F10" s="6" t="s">
        <v>37</v>
      </c>
      <c r="G10" s="10">
        <f>Variable_Expense11364044485256[[#Totals],[Budget]]</f>
        <v>0</v>
      </c>
      <c r="H10" s="10">
        <f>Variable_Expense11364044485256[[#Totals],[Actual ]]</f>
        <v>0</v>
      </c>
      <c r="I10" s="9">
        <f>Budget_Summary374145495357[[#This Row],[Budget]]-Budget_Summary374145495357[[#This Row],[Actual]]</f>
        <v>0</v>
      </c>
    </row>
    <row r="11" spans="1:16" x14ac:dyDescent="0.25">
      <c r="A11" s="5" t="s">
        <v>6</v>
      </c>
      <c r="B11" s="7">
        <f>SUBTOTAL(109,Income1343842465054[Budget])</f>
        <v>0</v>
      </c>
      <c r="C11" s="7">
        <f>SUBTOTAL(109,Income1343842465054[Actual])</f>
        <v>0</v>
      </c>
      <c r="D11" s="7">
        <f>SUBTOTAL(109,Income1343842465054[Difference])</f>
        <v>0</v>
      </c>
      <c r="F11" s="5" t="s">
        <v>6</v>
      </c>
      <c r="G11" s="17">
        <f>G8-(G9+G10)</f>
        <v>0</v>
      </c>
      <c r="H11" s="17">
        <f>H8-(H9+H10)</f>
        <v>0</v>
      </c>
      <c r="I11" s="17">
        <f>SUBTOTAL(109,Budget_Summary374145495357[Difference])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Fixed_Expense10353943475155[[#This Row],[Budget]]-Fixed_Expense10353943475155[[#This Row],[Actual]]</f>
        <v>0</v>
      </c>
      <c r="F16" s="5" t="s">
        <v>9</v>
      </c>
      <c r="G16" s="14"/>
      <c r="H16" s="14"/>
      <c r="I16" s="14">
        <f>Variable_Expense11364044485256[[#This Row],[Budget]]-Variable_Expense11364044485256[[#This Row],[Actual ]]</f>
        <v>0</v>
      </c>
      <c r="N16" s="13"/>
      <c r="O16" s="13"/>
      <c r="P16" s="13"/>
    </row>
    <row r="17" spans="1:16" x14ac:dyDescent="0.25">
      <c r="A17" s="5" t="s">
        <v>19</v>
      </c>
      <c r="B17" s="9"/>
      <c r="C17" s="9"/>
      <c r="D17" s="9">
        <f>Fixed_Expense10353943475155[[#This Row],[Budget]]-Fixed_Expense10353943475155[[#This Row],[Actual]]</f>
        <v>0</v>
      </c>
      <c r="F17" s="5" t="s">
        <v>10</v>
      </c>
      <c r="G17" s="14"/>
      <c r="H17" s="14"/>
      <c r="I17" s="14">
        <f>Variable_Expense11364044485256[[#This Row],[Budget]]-Variable_Expense11364044485256[[#This Row],[Actual ]]</f>
        <v>0</v>
      </c>
      <c r="N17" s="13"/>
      <c r="O17" s="13"/>
      <c r="P17" s="13"/>
    </row>
    <row r="18" spans="1:16" x14ac:dyDescent="0.25">
      <c r="A18" s="5" t="s">
        <v>22</v>
      </c>
      <c r="B18" s="9"/>
      <c r="C18" s="9"/>
      <c r="D18" s="9">
        <f>Fixed_Expense10353943475155[[#This Row],[Budget]]-Fixed_Expense10353943475155[[#This Row],[Actual]]</f>
        <v>0</v>
      </c>
      <c r="F18" s="5" t="s">
        <v>39</v>
      </c>
      <c r="G18" s="14"/>
      <c r="H18" s="14"/>
      <c r="I18" s="14">
        <f>Variable_Expense11364044485256[[#This Row],[Budget]]-Variable_Expense11364044485256[[#This Row],[Actual ]]</f>
        <v>0</v>
      </c>
      <c r="N18" s="13"/>
      <c r="O18" s="13"/>
      <c r="P18" s="13"/>
    </row>
    <row r="19" spans="1:16" x14ac:dyDescent="0.25">
      <c r="A19" s="5" t="s">
        <v>20</v>
      </c>
      <c r="B19" s="9"/>
      <c r="C19" s="9"/>
      <c r="D19" s="9">
        <f>Fixed_Expense10353943475155[[#This Row],[Budget]]-Fixed_Expense10353943475155[[#This Row],[Actual]]</f>
        <v>0</v>
      </c>
      <c r="F19" s="5" t="s">
        <v>40</v>
      </c>
      <c r="G19" s="14"/>
      <c r="H19" s="14"/>
      <c r="I19" s="14">
        <f>Variable_Expense11364044485256[[#This Row],[Budget]]-Variable_Expense11364044485256[[#This Row],[Actual ]]</f>
        <v>0</v>
      </c>
      <c r="N19" s="13"/>
      <c r="O19" s="13"/>
      <c r="P19" s="13"/>
    </row>
    <row r="20" spans="1:16" x14ac:dyDescent="0.25">
      <c r="A20" s="5" t="s">
        <v>21</v>
      </c>
      <c r="B20" s="9"/>
      <c r="C20" s="9"/>
      <c r="D20" s="9">
        <f>Fixed_Expense10353943475155[[#This Row],[Budget]]-Fixed_Expense10353943475155[[#This Row],[Actual]]</f>
        <v>0</v>
      </c>
      <c r="F20" s="5" t="s">
        <v>41</v>
      </c>
      <c r="G20" s="14"/>
      <c r="H20" s="14"/>
      <c r="I20" s="14">
        <f>Variable_Expense11364044485256[[#This Row],[Budget]]-Variable_Expense11364044485256[[#This Row],[Actual ]]</f>
        <v>0</v>
      </c>
      <c r="N20" s="13"/>
      <c r="O20" s="13"/>
      <c r="P20" s="13"/>
    </row>
    <row r="21" spans="1:16" x14ac:dyDescent="0.25">
      <c r="A21" s="5" t="s">
        <v>11</v>
      </c>
      <c r="B21" s="9"/>
      <c r="C21" s="9"/>
      <c r="D21" s="9">
        <f>Fixed_Expense10353943475155[[#This Row],[Budget]]-Fixed_Expense10353943475155[[#This Row],[Actual]]</f>
        <v>0</v>
      </c>
      <c r="F21" s="5" t="s">
        <v>42</v>
      </c>
      <c r="G21" s="14"/>
      <c r="H21" s="14"/>
      <c r="I21" s="14">
        <f>Variable_Expense11364044485256[[#This Row],[Budget]]-Variable_Expense11364044485256[[#This Row],[Actual ]]</f>
        <v>0</v>
      </c>
      <c r="N21" s="13"/>
      <c r="O21" s="13"/>
      <c r="P21" s="13"/>
    </row>
    <row r="22" spans="1:16" x14ac:dyDescent="0.25">
      <c r="A22" s="5" t="s">
        <v>12</v>
      </c>
      <c r="B22" s="9"/>
      <c r="C22" s="9"/>
      <c r="D22" s="9">
        <f>Fixed_Expense10353943475155[[#This Row],[Budget]]-Fixed_Expense10353943475155[[#This Row],[Actual]]</f>
        <v>0</v>
      </c>
      <c r="F22" s="5" t="s">
        <v>43</v>
      </c>
      <c r="G22" s="14"/>
      <c r="H22" s="14"/>
      <c r="I22" s="14">
        <f>Variable_Expense11364044485256[[#This Row],[Budget]]-Variable_Expense11364044485256[[#This Row],[Actual ]]</f>
        <v>0</v>
      </c>
      <c r="N22" s="13"/>
      <c r="O22" s="13"/>
      <c r="P22" s="13"/>
    </row>
    <row r="23" spans="1:16" x14ac:dyDescent="0.25">
      <c r="A23" s="5" t="s">
        <v>13</v>
      </c>
      <c r="B23" s="9"/>
      <c r="C23" s="9"/>
      <c r="D23" s="9">
        <f>Fixed_Expense10353943475155[[#This Row],[Budget]]-Fixed_Expense10353943475155[[#This Row],[Actual]]</f>
        <v>0</v>
      </c>
      <c r="F23" s="5" t="s">
        <v>44</v>
      </c>
      <c r="G23" s="14"/>
      <c r="H23" s="14"/>
      <c r="I23" s="14">
        <f>Variable_Expense11364044485256[[#This Row],[Budget]]-Variable_Expense11364044485256[[#This Row],[Actual ]]</f>
        <v>0</v>
      </c>
      <c r="N23" s="13"/>
      <c r="O23" s="13"/>
      <c r="P23" s="13"/>
    </row>
    <row r="24" spans="1:16" x14ac:dyDescent="0.25">
      <c r="A24" s="5" t="s">
        <v>14</v>
      </c>
      <c r="B24" s="9"/>
      <c r="C24" s="9"/>
      <c r="D24" s="9">
        <f>Fixed_Expense10353943475155[[#This Row],[Budget]]-Fixed_Expense10353943475155[[#This Row],[Actual]]</f>
        <v>0</v>
      </c>
      <c r="F24" s="5" t="s">
        <v>45</v>
      </c>
      <c r="G24" s="14"/>
      <c r="H24" s="14"/>
      <c r="I24" s="14">
        <f>Variable_Expense11364044485256[[#This Row],[Budget]]-Variable_Expense11364044485256[[#This Row],[Actual ]]</f>
        <v>0</v>
      </c>
      <c r="N24" s="13"/>
      <c r="O24" s="13"/>
      <c r="P24" s="13"/>
    </row>
    <row r="25" spans="1:16" x14ac:dyDescent="0.25">
      <c r="A25" s="5" t="s">
        <v>23</v>
      </c>
      <c r="B25" s="9"/>
      <c r="C25" s="9"/>
      <c r="D25" s="9">
        <f>Fixed_Expense10353943475155[[#This Row],[Budget]]-Fixed_Expense10353943475155[[#This Row],[Actual]]</f>
        <v>0</v>
      </c>
      <c r="F25" s="5" t="s">
        <v>46</v>
      </c>
      <c r="G25" s="14"/>
      <c r="H25" s="14"/>
      <c r="I25" s="14">
        <f>Variable_Expense11364044485256[[#This Row],[Budget]]-Variable_Expense11364044485256[[#This Row],[Actual ]]</f>
        <v>0</v>
      </c>
      <c r="N25" s="13"/>
      <c r="O25" s="13"/>
      <c r="P25" s="13"/>
    </row>
    <row r="26" spans="1:16" x14ac:dyDescent="0.25">
      <c r="A26" s="5" t="s">
        <v>24</v>
      </c>
      <c r="B26" s="9"/>
      <c r="C26" s="9"/>
      <c r="D26" s="9">
        <f>Fixed_Expense10353943475155[[#This Row],[Budget]]-Fixed_Expense10353943475155[[#This Row],[Actual]]</f>
        <v>0</v>
      </c>
      <c r="F26" s="5" t="s">
        <v>47</v>
      </c>
      <c r="G26" s="14"/>
      <c r="H26" s="14"/>
      <c r="I26" s="14">
        <f>Variable_Expense11364044485256[[#This Row],[Budget]]-Variable_Expense11364044485256[[#This Row],[Actual ]]</f>
        <v>0</v>
      </c>
      <c r="N26" s="13"/>
      <c r="O26" s="13"/>
      <c r="P26" s="13"/>
    </row>
    <row r="27" spans="1:16" x14ac:dyDescent="0.25">
      <c r="A27" s="5" t="s">
        <v>25</v>
      </c>
      <c r="B27" s="9"/>
      <c r="C27" s="9"/>
      <c r="D27" s="9">
        <f>Fixed_Expense10353943475155[[#This Row],[Budget]]-Fixed_Expense10353943475155[[#This Row],[Actual]]</f>
        <v>0</v>
      </c>
      <c r="F27" s="5" t="s">
        <v>48</v>
      </c>
      <c r="G27" s="14"/>
      <c r="H27" s="14"/>
      <c r="I27" s="14">
        <f>Variable_Expense11364044485256[[#This Row],[Budget]]-Variable_Expense11364044485256[[#This Row],[Actual ]]</f>
        <v>0</v>
      </c>
      <c r="N27" s="13"/>
      <c r="O27" s="13"/>
      <c r="P27" s="13"/>
    </row>
    <row r="28" spans="1:16" x14ac:dyDescent="0.25">
      <c r="A28" s="5" t="s">
        <v>26</v>
      </c>
      <c r="B28" s="9"/>
      <c r="C28" s="9"/>
      <c r="D28" s="9">
        <f>Fixed_Expense10353943475155[[#This Row],[Budget]]-Fixed_Expense10353943475155[[#This Row],[Actual]]</f>
        <v>0</v>
      </c>
      <c r="F28" s="5" t="s">
        <v>49</v>
      </c>
      <c r="G28" s="14"/>
      <c r="H28" s="14"/>
      <c r="I28" s="14">
        <f>Variable_Expense11364044485256[[#This Row],[Budget]]-Variable_Expense11364044485256[[#This Row],[Actual ]]</f>
        <v>0</v>
      </c>
      <c r="N28" s="13"/>
      <c r="O28" s="13"/>
      <c r="P28" s="13"/>
    </row>
    <row r="29" spans="1:16" x14ac:dyDescent="0.25">
      <c r="A29" s="5" t="s">
        <v>27</v>
      </c>
      <c r="B29" s="9"/>
      <c r="C29" s="9"/>
      <c r="D29" s="9">
        <f>Fixed_Expense10353943475155[[#This Row],[Budget]]-Fixed_Expense10353943475155[[#This Row],[Actual]]</f>
        <v>0</v>
      </c>
      <c r="F29" s="5" t="s">
        <v>50</v>
      </c>
      <c r="G29" s="14"/>
      <c r="H29" s="14"/>
      <c r="I29" s="14">
        <f>Variable_Expense11364044485256[[#This Row],[Budget]]-Variable_Expense11364044485256[[#This Row],[Actual ]]</f>
        <v>0</v>
      </c>
      <c r="N29" s="13"/>
      <c r="O29" s="13"/>
      <c r="P29" s="13"/>
    </row>
    <row r="30" spans="1:16" x14ac:dyDescent="0.25">
      <c r="A30" s="5" t="s">
        <v>28</v>
      </c>
      <c r="B30" s="9"/>
      <c r="C30" s="9"/>
      <c r="D30" s="9">
        <f>Fixed_Expense10353943475155[[#This Row],[Budget]]-Fixed_Expense10353943475155[[#This Row],[Actual]]</f>
        <v>0</v>
      </c>
      <c r="F30" s="5" t="s">
        <v>51</v>
      </c>
      <c r="G30" s="14"/>
      <c r="H30" s="14"/>
      <c r="I30" s="14">
        <f>Variable_Expense11364044485256[[#This Row],[Budget]]-Variable_Expense11364044485256[[#This Row],[Actual ]]</f>
        <v>0</v>
      </c>
      <c r="N30" s="13"/>
      <c r="O30" s="13"/>
      <c r="P30" s="13"/>
    </row>
    <row r="31" spans="1:16" x14ac:dyDescent="0.25">
      <c r="A31" s="5" t="s">
        <v>29</v>
      </c>
      <c r="B31" s="9"/>
      <c r="C31" s="9"/>
      <c r="D31" s="9">
        <f>Fixed_Expense10353943475155[[#This Row],[Budget]]-Fixed_Expense10353943475155[[#This Row],[Actual]]</f>
        <v>0</v>
      </c>
      <c r="F31" s="5" t="s">
        <v>52</v>
      </c>
      <c r="G31" s="14"/>
      <c r="H31" s="14"/>
      <c r="I31" s="14">
        <f>Variable_Expense11364044485256[[#This Row],[Budget]]-Variable_Expense11364044485256[[#This Row],[Actual ]]</f>
        <v>0</v>
      </c>
    </row>
    <row r="32" spans="1:16" x14ac:dyDescent="0.25">
      <c r="A32" s="5" t="s">
        <v>30</v>
      </c>
      <c r="B32" s="9"/>
      <c r="C32" s="9"/>
      <c r="D32" s="9">
        <f>Fixed_Expense10353943475155[[#This Row],[Budget]]-Fixed_Expense10353943475155[[#This Row],[Actual]]</f>
        <v>0</v>
      </c>
      <c r="F32" s="5" t="s">
        <v>53</v>
      </c>
      <c r="G32" s="14"/>
      <c r="H32" s="14"/>
      <c r="I32" s="14">
        <f>Variable_Expense11364044485256[[#This Row],[Budget]]-Variable_Expense11364044485256[[#This Row],[Actual ]]</f>
        <v>0</v>
      </c>
    </row>
    <row r="33" spans="1:9" x14ac:dyDescent="0.25">
      <c r="A33" s="5" t="s">
        <v>31</v>
      </c>
      <c r="B33" s="9"/>
      <c r="C33" s="9"/>
      <c r="D33" s="9">
        <f>Fixed_Expense10353943475155[[#This Row],[Budget]]-Fixed_Expense10353943475155[[#This Row],[Actual]]</f>
        <v>0</v>
      </c>
      <c r="F33" s="5" t="s">
        <v>54</v>
      </c>
      <c r="G33" s="14"/>
      <c r="H33" s="14"/>
      <c r="I33" s="14">
        <f>Variable_Expense11364044485256[[#This Row],[Budget]]-Variable_Expense11364044485256[[#This Row],[Actual ]]</f>
        <v>0</v>
      </c>
    </row>
    <row r="34" spans="1:9" x14ac:dyDescent="0.25">
      <c r="A34" s="5" t="s">
        <v>32</v>
      </c>
      <c r="B34" s="9"/>
      <c r="C34" s="9"/>
      <c r="D34" s="9">
        <f>Fixed_Expense10353943475155[[#This Row],[Budget]]-Fixed_Expense10353943475155[[#This Row],[Actual]]</f>
        <v>0</v>
      </c>
      <c r="F34" s="5" t="s">
        <v>55</v>
      </c>
      <c r="G34" s="14"/>
      <c r="H34" s="14"/>
      <c r="I34" s="14">
        <f>Variable_Expense11364044485256[[#This Row],[Budget]]-Variable_Expense11364044485256[[#This Row],[Actual ]]</f>
        <v>0</v>
      </c>
    </row>
    <row r="35" spans="1:9" x14ac:dyDescent="0.25">
      <c r="A35" s="5" t="s">
        <v>33</v>
      </c>
      <c r="B35" s="9"/>
      <c r="C35" s="9"/>
      <c r="D35" s="9">
        <f>Fixed_Expense10353943475155[[#This Row],[Budget]]-Fixed_Expense10353943475155[[#This Row],[Actual]]</f>
        <v>0</v>
      </c>
      <c r="F35" s="5" t="s">
        <v>56</v>
      </c>
      <c r="G35" s="14"/>
      <c r="H35" s="14"/>
      <c r="I35" s="14">
        <f>Variable_Expense11364044485256[[#This Row],[Budget]]-Variable_Expense11364044485256[[#This Row],[Actual ]]</f>
        <v>0</v>
      </c>
    </row>
    <row r="36" spans="1:9" x14ac:dyDescent="0.25">
      <c r="A36" s="5" t="s">
        <v>34</v>
      </c>
      <c r="B36" s="9"/>
      <c r="C36" s="9"/>
      <c r="D36" s="9">
        <f>Fixed_Expense10353943475155[[#This Row],[Budget]]-Fixed_Expense10353943475155[[#This Row],[Actual]]</f>
        <v>0</v>
      </c>
      <c r="F36" s="5" t="s">
        <v>57</v>
      </c>
      <c r="G36" s="14"/>
      <c r="H36" s="14"/>
      <c r="I36" s="14">
        <f>Variable_Expense11364044485256[[#This Row],[Budget]]-Variable_Expense11364044485256[[#This Row],[Actual ]]</f>
        <v>0</v>
      </c>
    </row>
    <row r="37" spans="1:9" x14ac:dyDescent="0.25">
      <c r="A37" s="5" t="s">
        <v>35</v>
      </c>
      <c r="B37" s="9"/>
      <c r="C37" s="9"/>
      <c r="D37" s="9">
        <f>Fixed_Expense10353943475155[[#This Row],[Budget]]-Fixed_Expense10353943475155[[#This Row],[Actual]]</f>
        <v>0</v>
      </c>
      <c r="F37" s="5" t="s">
        <v>15</v>
      </c>
      <c r="G37" s="14"/>
      <c r="H37" s="14"/>
      <c r="I37" s="14">
        <f>Variable_Expense11364044485256[[#This Row],[Budget]]-Variable_Expense11364044485256[[#This Row],[Actual ]]</f>
        <v>0</v>
      </c>
    </row>
    <row r="38" spans="1:9" x14ac:dyDescent="0.25">
      <c r="A38" s="5" t="s">
        <v>36</v>
      </c>
      <c r="B38" s="9"/>
      <c r="C38" s="9"/>
      <c r="D38" s="9">
        <f>Fixed_Expense10353943475155[[#This Row],[Budget]]-Fixed_Expense10353943475155[[#This Row],[Actual]]</f>
        <v>0</v>
      </c>
      <c r="F38" s="5" t="s">
        <v>15</v>
      </c>
      <c r="G38" s="14"/>
      <c r="H38" s="14"/>
      <c r="I38" s="14">
        <f>Variable_Expense11364044485256[[#This Row],[Budget]]-Variable_Expense11364044485256[[#This Row],[Actual ]]</f>
        <v>0</v>
      </c>
    </row>
    <row r="39" spans="1:9" x14ac:dyDescent="0.25">
      <c r="A39" s="6" t="s">
        <v>15</v>
      </c>
      <c r="B39" s="10"/>
      <c r="C39" s="10"/>
      <c r="D39" s="10">
        <f>Fixed_Expense10353943475155[[#This Row],[Budget]]-Fixed_Expense10353943475155[[#This Row],[Actual]]</f>
        <v>0</v>
      </c>
      <c r="F39" s="5" t="s">
        <v>15</v>
      </c>
      <c r="G39" s="14"/>
      <c r="H39" s="14"/>
      <c r="I39" s="14">
        <f>Variable_Expense11364044485256[[#This Row],[Budget]]-Variable_Expense11364044485256[[#This Row],[Actual ]]</f>
        <v>0</v>
      </c>
    </row>
    <row r="40" spans="1:9" x14ac:dyDescent="0.25">
      <c r="A40" s="5" t="s">
        <v>6</v>
      </c>
      <c r="B40" s="17">
        <f>SUBTOTAL(109,Fixed_Expense10353943475155[Budget])</f>
        <v>0</v>
      </c>
      <c r="C40" s="17">
        <f>SUBTOTAL(109,Fixed_Expense10353943475155[Actual])</f>
        <v>0</v>
      </c>
      <c r="D40" s="17">
        <f>SUBTOTAL(109,Fixed_Expense10353943475155[Difference])</f>
        <v>0</v>
      </c>
      <c r="F40" s="5" t="s">
        <v>6</v>
      </c>
      <c r="G40" s="17">
        <f>SUBTOTAL(109,Variable_Expense11364044485256[Budget])</f>
        <v>0</v>
      </c>
      <c r="H40" s="17">
        <f>SUBTOTAL(109,Variable_Expense11364044485256[[Actual ]])</f>
        <v>0</v>
      </c>
      <c r="I40" s="18">
        <f>SUBTOTAL(109,Variable_Expense11364044485256[Difference])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19">
      <dataBar>
        <cfvo type="min"/>
        <cfvo type="max"/>
        <color rgb="FF638EC6"/>
      </dataBar>
      <extLst>
        <ext xmlns:x14="http://schemas.microsoft.com/office/spreadsheetml/2009/9/main" uri="{B025F937-C7B1-47D3-B67F-A62EFF666E3E}">
          <x14:id>{13A6C903-8A75-42AB-A7EA-AD47AA8B438F}</x14:id>
        </ext>
      </extLst>
    </cfRule>
  </conditionalFormatting>
  <conditionalFormatting sqref="B8:B10">
    <cfRule type="dataBar" priority="18">
      <dataBar>
        <cfvo type="min"/>
        <cfvo type="max"/>
        <color rgb="FF638EC6"/>
      </dataBar>
      <extLst>
        <ext xmlns:x14="http://schemas.microsoft.com/office/spreadsheetml/2009/9/main" uri="{B025F937-C7B1-47D3-B67F-A62EFF666E3E}">
          <x14:id>{02F82C93-2042-4D5E-AD0F-54106D5D0F48}</x14:id>
        </ext>
      </extLst>
    </cfRule>
  </conditionalFormatting>
  <conditionalFormatting sqref="C8:C10">
    <cfRule type="dataBar" priority="17">
      <dataBar>
        <cfvo type="min"/>
        <cfvo type="max"/>
        <color rgb="FF63C384"/>
      </dataBar>
      <extLst>
        <ext xmlns:x14="http://schemas.microsoft.com/office/spreadsheetml/2009/9/main" uri="{B025F937-C7B1-47D3-B67F-A62EFF666E3E}">
          <x14:id>{AB6DE023-30D8-4DC1-A561-B13BD3FDE3DB}</x14:id>
        </ext>
      </extLst>
    </cfRule>
  </conditionalFormatting>
  <conditionalFormatting sqref="N17:N30">
    <cfRule type="dataBar" priority="14">
      <dataBar>
        <cfvo type="min"/>
        <cfvo type="max"/>
        <color rgb="FFFF555A"/>
      </dataBar>
      <extLst>
        <ext xmlns:x14="http://schemas.microsoft.com/office/spreadsheetml/2009/9/main" uri="{B025F937-C7B1-47D3-B67F-A62EFF666E3E}">
          <x14:id>{CCA14A9C-DF87-48FC-AAA4-63B8EA2DBFDB}</x14:id>
        </ext>
      </extLst>
    </cfRule>
  </conditionalFormatting>
  <conditionalFormatting sqref="O17:O30">
    <cfRule type="dataBar" priority="13">
      <dataBar>
        <cfvo type="min"/>
        <cfvo type="max"/>
        <color rgb="FFFF555A"/>
      </dataBar>
      <extLst>
        <ext xmlns:x14="http://schemas.microsoft.com/office/spreadsheetml/2009/9/main" uri="{B025F937-C7B1-47D3-B67F-A62EFF666E3E}">
          <x14:id>{986C6FA7-7229-4F13-BDBB-7742F97128E6}</x14:id>
        </ext>
      </extLst>
    </cfRule>
  </conditionalFormatting>
  <conditionalFormatting sqref="P17:P30 D16:D40">
    <cfRule type="cellIs" dxfId="363" priority="11" operator="greaterThan">
      <formula>0</formula>
    </cfRule>
    <cfRule type="cellIs" dxfId="362" priority="12"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{3B9AE2DA-EA04-47A0-9487-FB9E5E55D7D6}</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{3B8EBFDC-58E1-4216-8F16-0847508E9AC6}</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{E39A8C28-ACC9-40A2-AF32-0676E4CA87AB}</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{26020C20-D7C7-4B64-B8D9-D5224B9EC85D}</x14:id>
        </ext>
      </extLst>
    </cfRule>
  </conditionalFormatting>
  <conditionalFormatting sqref="D8:D11">
    <cfRule type="cellIs" dxfId="361" priority="15" operator="greaterThan">
      <formula>0</formula>
    </cfRule>
    <cfRule type="cellIs" dxfId="360" priority="16" operator="lessThan">
      <formula>0</formula>
    </cfRule>
  </conditionalFormatting>
  <conditionalFormatting sqref="I16:I40">
    <cfRule type="cellIs" dxfId="359" priority="7" operator="greaterThan">
      <formula>0</formula>
    </cfRule>
    <cfRule type="cellIs" dxfId="358" priority="8" operator="lessThan">
      <formula>0</formula>
    </cfRule>
  </conditionalFormatting>
  <conditionalFormatting sqref="B16:B40">
    <cfRule type="dataBar" priority="20">
      <dataBar>
        <cfvo type="min"/>
        <cfvo type="max"/>
        <color rgb="FFFF555A"/>
      </dataBar>
      <extLst>
        <ext xmlns:x14="http://schemas.microsoft.com/office/spreadsheetml/2009/9/main" uri="{B025F937-C7B1-47D3-B67F-A62EFF666E3E}">
          <x14:id>{2FCBE169-387B-4B65-91D9-A2F096E26501}</x14:id>
        </ext>
      </extLst>
    </cfRule>
  </conditionalFormatting>
  <conditionalFormatting sqref="C16:C40">
    <cfRule type="dataBar" priority="21">
      <dataBar>
        <cfvo type="min"/>
        <cfvo type="max"/>
        <color rgb="FFFF555A"/>
      </dataBar>
      <extLst>
        <ext xmlns:x14="http://schemas.microsoft.com/office/spreadsheetml/2009/9/main" uri="{B025F937-C7B1-47D3-B67F-A62EFF666E3E}">
          <x14:id>{CA2FF6F0-8BF5-4854-9F41-74DC6725F5A7}</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{832AD9EB-A78A-4F68-AF69-0B0028D8504C}</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{2D1F87A4-5BFF-48DE-86B3-57E2A0202BDB}</x14:id>
        </ext>
      </extLst>
    </cfRule>
  </conditionalFormatting>
  <conditionalFormatting sqref="I8:I11">
    <cfRule type="cellIs" dxfId="357" priority="1" operator="greaterThan">
      <formula>0</formula>
    </cfRule>
    <cfRule type="cellIs" dxfId="356" priority="2" operator="lessThan">
      <formula>0</formula>
    </cfRule>
  </conditionalFormatting>
  <pageMargins left="0.7" right="0.7" top="0.75" bottom="0.75" header="0.3" footer="0.3"/>
  <ignoredErrors>
    <ignoredError sqref="G8 H9 G10:H10"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13A6C903-8A75-42AB-A7EA-AD47AA8B438F}">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02F82C93-2042-4D5E-AD0F-54106D5D0F48}">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AB6DE023-30D8-4DC1-A561-B13BD3FDE3DB}">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CCA14A9C-DF87-48FC-AAA4-63B8EA2DBFDB}">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986C6FA7-7229-4F13-BDBB-7742F97128E6}">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3B9AE2DA-EA04-47A0-9487-FB9E5E55D7D6}">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3B8EBFDC-58E1-4216-8F16-0847508E9AC6}">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E39A8C28-ACC9-40A2-AF32-0676E4CA87AB}">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26020C20-D7C7-4B64-B8D9-D5224B9EC85D}">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2FCBE169-387B-4B65-91D9-A2F096E26501}">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CA2FF6F0-8BF5-4854-9F41-74DC6725F5A7}">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832AD9EB-A78A-4F68-AF69-0B0028D8504C}">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2D1F87A4-5BFF-48DE-86B3-57E2A0202BDB}">
            <x14:dataBar minLength="0" maxLength="100" gradient="0">
              <x14:cfvo type="autoMin"/>
              <x14:cfvo type="autoMax"/>
              <x14:negativeFillColor rgb="FFFF0000"/>
              <x14:axisColor rgb="FF000000"/>
            </x14:dataBar>
          </x14:cfRule>
          <xm:sqref>H8:H11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2C2E1-7093-4A8E-A01A-5AF6E5993A6D}">
  <dimension ref="A1:P41"/>
  <sheetViews>
    <sheetView showGridLines="0" topLeftCell="A4" workbookViewId="0">
      <selection activeCell="A4" sqref="A4"/>
    </sheetView>
  </sheetViews>
  <sheetFormatPr defaultRowHeight="15" x14ac:dyDescent="0.25"/>
  <cols>
    <col min="1" max="1" width="32.140625" customWidth="1"/>
    <col min="2" max="2" width="12.5703125" customWidth="1"/>
    <col min="3" max="3" width="12.7109375" customWidth="1"/>
    <col min="4" max="4" width="12.5703125" customWidth="1"/>
    <col min="5" max="5" width="3.7109375" customWidth="1"/>
    <col min="6" max="6" width="21.42578125" bestFit="1" customWidth="1"/>
    <col min="7" max="8" width="13.7109375" style="11" customWidth="1"/>
    <col min="9" max="9" width="14" style="11" customWidth="1"/>
    <col min="13" max="13" width="22.7109375" bestFit="1" customWidth="1"/>
    <col min="14" max="14" width="11" bestFit="1" customWidth="1"/>
    <col min="15" max="15" width="10.5703125" bestFit="1" customWidth="1"/>
    <col min="16" max="16" width="14.140625" bestFit="1" customWidth="1"/>
  </cols>
  <sheetData>
    <row r="1" spans="1:16" x14ac:dyDescent="0.25">
      <c r="A1" s="32" t="s">
        <v>16</v>
      </c>
      <c r="B1" s="33"/>
      <c r="C1" s="33"/>
      <c r="D1" s="33"/>
    </row>
    <row r="2" spans="1:16" x14ac:dyDescent="0.25">
      <c r="A2" s="33"/>
      <c r="B2" s="33"/>
      <c r="C2" s="33"/>
      <c r="D2" s="33"/>
    </row>
    <row r="3" spans="1:16" x14ac:dyDescent="0.25">
      <c r="A3" s="33"/>
      <c r="B3" s="33"/>
      <c r="C3" s="33"/>
      <c r="D3" s="33"/>
    </row>
    <row r="5" spans="1:16" x14ac:dyDescent="0.25">
      <c r="A5" s="34" t="s">
        <v>0</v>
      </c>
      <c r="B5" s="35"/>
      <c r="C5" s="35"/>
      <c r="D5" s="35"/>
      <c r="F5" s="34" t="s">
        <v>59</v>
      </c>
      <c r="G5" s="34"/>
      <c r="H5" s="34"/>
      <c r="I5" s="34"/>
    </row>
    <row r="6" spans="1:16" x14ac:dyDescent="0.25">
      <c r="A6" s="35"/>
      <c r="B6" s="35"/>
      <c r="C6" s="35"/>
      <c r="D6" s="35"/>
      <c r="F6" s="34"/>
      <c r="G6" s="34"/>
      <c r="H6" s="34"/>
      <c r="I6" s="34"/>
    </row>
    <row r="7" spans="1:16" x14ac:dyDescent="0.25">
      <c r="A7" s="1" t="s">
        <v>0</v>
      </c>
      <c r="B7" s="2" t="s">
        <v>1</v>
      </c>
      <c r="C7" s="2" t="s">
        <v>2</v>
      </c>
      <c r="D7" s="3" t="s">
        <v>7</v>
      </c>
      <c r="F7" t="s">
        <v>60</v>
      </c>
      <c r="G7" s="11" t="s">
        <v>1</v>
      </c>
      <c r="H7" s="11" t="s">
        <v>2</v>
      </c>
      <c r="I7" s="11" t="s">
        <v>7</v>
      </c>
      <c r="K7" s="16"/>
    </row>
    <row r="8" spans="1:16" x14ac:dyDescent="0.25">
      <c r="A8" s="4" t="s">
        <v>3</v>
      </c>
      <c r="B8" s="7"/>
      <c r="C8" s="7"/>
      <c r="D8" s="8">
        <f>Income134384246505458[[#This Row],[Actual]]-Income134384246505458[[#This Row],[Budget]]</f>
        <v>0</v>
      </c>
      <c r="F8" s="5" t="s">
        <v>61</v>
      </c>
      <c r="G8" s="9">
        <f>Income134384246505458[[#Totals],[Budget]]</f>
        <v>0</v>
      </c>
      <c r="H8" s="9">
        <f>Income134384246505458[[#Totals],[Actual]]</f>
        <v>0</v>
      </c>
      <c r="I8" s="9">
        <f>Budget_Summary37414549535761[[#This Row],[Budget]]-Budget_Summary37414549535761[[#This Row],[Actual]]</f>
        <v>0</v>
      </c>
    </row>
    <row r="9" spans="1:16" x14ac:dyDescent="0.25">
      <c r="A9" s="4" t="s">
        <v>4</v>
      </c>
      <c r="B9" s="7"/>
      <c r="C9" s="7"/>
      <c r="D9" s="8">
        <f>Income134384246505458[[#This Row],[Actual]]-Income134384246505458[[#This Row],[Budget]]</f>
        <v>0</v>
      </c>
      <c r="F9" s="5" t="s">
        <v>17</v>
      </c>
      <c r="G9" s="9">
        <f>Fixed_Expense1035394347515559[[#Totals],[Budget]]</f>
        <v>0</v>
      </c>
      <c r="H9" s="9">
        <f>Fixed_Expense1035394347515559[[#Totals],[Actual]]</f>
        <v>0</v>
      </c>
      <c r="I9" s="9">
        <f>Budget_Summary37414549535761[[#This Row],[Budget]]-Budget_Summary37414549535761[[#This Row],[Actual]]</f>
        <v>0</v>
      </c>
    </row>
    <row r="10" spans="1:16" x14ac:dyDescent="0.25">
      <c r="A10" s="4" t="s">
        <v>5</v>
      </c>
      <c r="B10" s="7"/>
      <c r="C10" s="7"/>
      <c r="D10" s="8">
        <f>Income134384246505458[[#This Row],[Actual]]-Income134384246505458[[#This Row],[Budget]]</f>
        <v>0</v>
      </c>
      <c r="F10" s="6" t="s">
        <v>37</v>
      </c>
      <c r="G10" s="10">
        <f>Variable_Expense1136404448525660[[#Totals],[Budget]]</f>
        <v>0</v>
      </c>
      <c r="H10" s="10">
        <f>Variable_Expense1136404448525660[[#Totals],[Actual ]]</f>
        <v>0</v>
      </c>
      <c r="I10" s="9">
        <f>Budget_Summary37414549535761[[#This Row],[Budget]]-Budget_Summary37414549535761[[#This Row],[Actual]]</f>
        <v>0</v>
      </c>
    </row>
    <row r="11" spans="1:16" x14ac:dyDescent="0.25">
      <c r="A11" s="5" t="s">
        <v>6</v>
      </c>
      <c r="B11" s="7">
        <f>SUBTOTAL(109,Income134384246505458[Budget])</f>
        <v>0</v>
      </c>
      <c r="C11" s="7">
        <f>SUBTOTAL(109,Income134384246505458[Actual])</f>
        <v>0</v>
      </c>
      <c r="D11" s="7">
        <f>SUBTOTAL(109,Income134384246505458[Difference])</f>
        <v>0</v>
      </c>
      <c r="F11" s="5" t="s">
        <v>6</v>
      </c>
      <c r="G11" s="17">
        <f>G8-(G9+G10)</f>
        <v>0</v>
      </c>
      <c r="H11" s="17">
        <f>H8-(H9+H10)</f>
        <v>0</v>
      </c>
      <c r="I11" s="17">
        <f>SUBTOTAL(109,Budget_Summary37414549535761[Difference])</f>
        <v>0</v>
      </c>
    </row>
    <row r="12" spans="1:16" x14ac:dyDescent="0.25">
      <c r="B12" s="15"/>
      <c r="C12" s="15"/>
      <c r="D12" s="15"/>
      <c r="G12" s="13"/>
      <c r="H12" s="13"/>
      <c r="I12" s="13"/>
    </row>
    <row r="13" spans="1:16" ht="15" customHeight="1" x14ac:dyDescent="0.4">
      <c r="A13" s="34" t="s">
        <v>17</v>
      </c>
      <c r="B13" s="34"/>
      <c r="C13" s="34"/>
      <c r="D13" s="34"/>
      <c r="F13" s="34" t="s">
        <v>37</v>
      </c>
      <c r="G13" s="34"/>
      <c r="H13" s="34"/>
      <c r="I13" s="34"/>
      <c r="J13" s="12"/>
    </row>
    <row r="14" spans="1:16" ht="15" customHeight="1" x14ac:dyDescent="0.4">
      <c r="A14" s="34"/>
      <c r="B14" s="34"/>
      <c r="C14" s="34"/>
      <c r="D14" s="34"/>
      <c r="F14" s="34"/>
      <c r="G14" s="34"/>
      <c r="H14" s="34"/>
      <c r="I14" s="34"/>
      <c r="J14" s="12"/>
    </row>
    <row r="15" spans="1:16" x14ac:dyDescent="0.25">
      <c r="A15" t="s">
        <v>18</v>
      </c>
      <c r="B15" t="s">
        <v>1</v>
      </c>
      <c r="C15" t="s">
        <v>2</v>
      </c>
      <c r="D15" t="s">
        <v>7</v>
      </c>
      <c r="F15" t="s">
        <v>38</v>
      </c>
      <c r="G15" s="11" t="s">
        <v>1</v>
      </c>
      <c r="H15" s="11" t="s">
        <v>58</v>
      </c>
      <c r="I15" s="11" t="s">
        <v>7</v>
      </c>
    </row>
    <row r="16" spans="1:16" x14ac:dyDescent="0.25">
      <c r="A16" s="5" t="s">
        <v>8</v>
      </c>
      <c r="B16" s="9"/>
      <c r="C16" s="9"/>
      <c r="D16" s="9">
        <f>Fixed_Expense1035394347515559[[#This Row],[Budget]]-Fixed_Expense1035394347515559[[#This Row],[Actual]]</f>
        <v>0</v>
      </c>
      <c r="F16" s="5" t="s">
        <v>9</v>
      </c>
      <c r="G16" s="14"/>
      <c r="H16" s="14"/>
      <c r="I16" s="14">
        <f>Variable_Expense1136404448525660[[#This Row],[Budget]]-Variable_Expense1136404448525660[[#This Row],[Actual ]]</f>
        <v>0</v>
      </c>
      <c r="N16" s="13"/>
      <c r="O16" s="13"/>
      <c r="P16" s="13"/>
    </row>
    <row r="17" spans="1:16" x14ac:dyDescent="0.25">
      <c r="A17" s="5" t="s">
        <v>19</v>
      </c>
      <c r="B17" s="9"/>
      <c r="C17" s="9"/>
      <c r="D17" s="9">
        <f>Fixed_Expense1035394347515559[[#This Row],[Budget]]-Fixed_Expense1035394347515559[[#This Row],[Actual]]</f>
        <v>0</v>
      </c>
      <c r="F17" s="5" t="s">
        <v>10</v>
      </c>
      <c r="G17" s="14"/>
      <c r="H17" s="14"/>
      <c r="I17" s="14">
        <f>Variable_Expense1136404448525660[[#This Row],[Budget]]-Variable_Expense1136404448525660[[#This Row],[Actual ]]</f>
        <v>0</v>
      </c>
      <c r="N17" s="13"/>
      <c r="O17" s="13"/>
      <c r="P17" s="13"/>
    </row>
    <row r="18" spans="1:16" x14ac:dyDescent="0.25">
      <c r="A18" s="5" t="s">
        <v>22</v>
      </c>
      <c r="B18" s="9"/>
      <c r="C18" s="9"/>
      <c r="D18" s="9">
        <f>Fixed_Expense1035394347515559[[#This Row],[Budget]]-Fixed_Expense1035394347515559[[#This Row],[Actual]]</f>
        <v>0</v>
      </c>
      <c r="F18" s="5" t="s">
        <v>39</v>
      </c>
      <c r="G18" s="14"/>
      <c r="H18" s="14"/>
      <c r="I18" s="14">
        <f>Variable_Expense1136404448525660[[#This Row],[Budget]]-Variable_Expense1136404448525660[[#This Row],[Actual ]]</f>
        <v>0</v>
      </c>
      <c r="N18" s="13"/>
      <c r="O18" s="13"/>
      <c r="P18" s="13"/>
    </row>
    <row r="19" spans="1:16" x14ac:dyDescent="0.25">
      <c r="A19" s="5" t="s">
        <v>20</v>
      </c>
      <c r="B19" s="9"/>
      <c r="C19" s="9"/>
      <c r="D19" s="9">
        <f>Fixed_Expense1035394347515559[[#This Row],[Budget]]-Fixed_Expense1035394347515559[[#This Row],[Actual]]</f>
        <v>0</v>
      </c>
      <c r="F19" s="5" t="s">
        <v>40</v>
      </c>
      <c r="G19" s="14"/>
      <c r="H19" s="14"/>
      <c r="I19" s="14">
        <f>Variable_Expense1136404448525660[[#This Row],[Budget]]-Variable_Expense1136404448525660[[#This Row],[Actual ]]</f>
        <v>0</v>
      </c>
      <c r="N19" s="13"/>
      <c r="O19" s="13"/>
      <c r="P19" s="13"/>
    </row>
    <row r="20" spans="1:16" x14ac:dyDescent="0.25">
      <c r="A20" s="5" t="s">
        <v>21</v>
      </c>
      <c r="B20" s="9"/>
      <c r="C20" s="9"/>
      <c r="D20" s="9">
        <f>Fixed_Expense1035394347515559[[#This Row],[Budget]]-Fixed_Expense1035394347515559[[#This Row],[Actual]]</f>
        <v>0</v>
      </c>
      <c r="F20" s="5" t="s">
        <v>41</v>
      </c>
      <c r="G20" s="14"/>
      <c r="H20" s="14"/>
      <c r="I20" s="14">
        <f>Variable_Expense1136404448525660[[#This Row],[Budget]]-Variable_Expense1136404448525660[[#This Row],[Actual ]]</f>
        <v>0</v>
      </c>
      <c r="N20" s="13"/>
      <c r="O20" s="13"/>
      <c r="P20" s="13"/>
    </row>
    <row r="21" spans="1:16" x14ac:dyDescent="0.25">
      <c r="A21" s="5" t="s">
        <v>11</v>
      </c>
      <c r="B21" s="9"/>
      <c r="C21" s="9"/>
      <c r="D21" s="9">
        <f>Fixed_Expense1035394347515559[[#This Row],[Budget]]-Fixed_Expense1035394347515559[[#This Row],[Actual]]</f>
        <v>0</v>
      </c>
      <c r="F21" s="5" t="s">
        <v>42</v>
      </c>
      <c r="G21" s="14"/>
      <c r="H21" s="14"/>
      <c r="I21" s="14">
        <f>Variable_Expense1136404448525660[[#This Row],[Budget]]-Variable_Expense1136404448525660[[#This Row],[Actual ]]</f>
        <v>0</v>
      </c>
      <c r="N21" s="13"/>
      <c r="O21" s="13"/>
      <c r="P21" s="13"/>
    </row>
    <row r="22" spans="1:16" x14ac:dyDescent="0.25">
      <c r="A22" s="5" t="s">
        <v>12</v>
      </c>
      <c r="B22" s="9"/>
      <c r="C22" s="9"/>
      <c r="D22" s="9">
        <f>Fixed_Expense1035394347515559[[#This Row],[Budget]]-Fixed_Expense1035394347515559[[#This Row],[Actual]]</f>
        <v>0</v>
      </c>
      <c r="F22" s="5" t="s">
        <v>43</v>
      </c>
      <c r="G22" s="14"/>
      <c r="H22" s="14"/>
      <c r="I22" s="14">
        <f>Variable_Expense1136404448525660[[#This Row],[Budget]]-Variable_Expense1136404448525660[[#This Row],[Actual ]]</f>
        <v>0</v>
      </c>
      <c r="N22" s="13"/>
      <c r="O22" s="13"/>
      <c r="P22" s="13"/>
    </row>
    <row r="23" spans="1:16" x14ac:dyDescent="0.25">
      <c r="A23" s="5" t="s">
        <v>13</v>
      </c>
      <c r="B23" s="9"/>
      <c r="C23" s="9"/>
      <c r="D23" s="9">
        <f>Fixed_Expense1035394347515559[[#This Row],[Budget]]-Fixed_Expense1035394347515559[[#This Row],[Actual]]</f>
        <v>0</v>
      </c>
      <c r="F23" s="5" t="s">
        <v>44</v>
      </c>
      <c r="G23" s="14"/>
      <c r="H23" s="14"/>
      <c r="I23" s="14">
        <f>Variable_Expense1136404448525660[[#This Row],[Budget]]-Variable_Expense1136404448525660[[#This Row],[Actual ]]</f>
        <v>0</v>
      </c>
      <c r="N23" s="13"/>
      <c r="O23" s="13"/>
      <c r="P23" s="13"/>
    </row>
    <row r="24" spans="1:16" x14ac:dyDescent="0.25">
      <c r="A24" s="5" t="s">
        <v>14</v>
      </c>
      <c r="B24" s="9"/>
      <c r="C24" s="9"/>
      <c r="D24" s="9">
        <f>Fixed_Expense1035394347515559[[#This Row],[Budget]]-Fixed_Expense1035394347515559[[#This Row],[Actual]]</f>
        <v>0</v>
      </c>
      <c r="F24" s="5" t="s">
        <v>45</v>
      </c>
      <c r="G24" s="14"/>
      <c r="H24" s="14"/>
      <c r="I24" s="14">
        <f>Variable_Expense1136404448525660[[#This Row],[Budget]]-Variable_Expense1136404448525660[[#This Row],[Actual ]]</f>
        <v>0</v>
      </c>
      <c r="N24" s="13"/>
      <c r="O24" s="13"/>
      <c r="P24" s="13"/>
    </row>
    <row r="25" spans="1:16" x14ac:dyDescent="0.25">
      <c r="A25" s="5" t="s">
        <v>23</v>
      </c>
      <c r="B25" s="9"/>
      <c r="C25" s="9"/>
      <c r="D25" s="9">
        <f>Fixed_Expense1035394347515559[[#This Row],[Budget]]-Fixed_Expense1035394347515559[[#This Row],[Actual]]</f>
        <v>0</v>
      </c>
      <c r="F25" s="5" t="s">
        <v>46</v>
      </c>
      <c r="G25" s="14"/>
      <c r="H25" s="14"/>
      <c r="I25" s="14">
        <f>Variable_Expense1136404448525660[[#This Row],[Budget]]-Variable_Expense1136404448525660[[#This Row],[Actual ]]</f>
        <v>0</v>
      </c>
      <c r="N25" s="13"/>
      <c r="O25" s="13"/>
      <c r="P25" s="13"/>
    </row>
    <row r="26" spans="1:16" x14ac:dyDescent="0.25">
      <c r="A26" s="5" t="s">
        <v>24</v>
      </c>
      <c r="B26" s="9"/>
      <c r="C26" s="9"/>
      <c r="D26" s="9">
        <f>Fixed_Expense1035394347515559[[#This Row],[Budget]]-Fixed_Expense1035394347515559[[#This Row],[Actual]]</f>
        <v>0</v>
      </c>
      <c r="F26" s="5" t="s">
        <v>47</v>
      </c>
      <c r="G26" s="14"/>
      <c r="H26" s="14"/>
      <c r="I26" s="14">
        <f>Variable_Expense1136404448525660[[#This Row],[Budget]]-Variable_Expense1136404448525660[[#This Row],[Actual ]]</f>
        <v>0</v>
      </c>
      <c r="N26" s="13"/>
      <c r="O26" s="13"/>
      <c r="P26" s="13"/>
    </row>
    <row r="27" spans="1:16" x14ac:dyDescent="0.25">
      <c r="A27" s="5" t="s">
        <v>25</v>
      </c>
      <c r="B27" s="9"/>
      <c r="C27" s="9"/>
      <c r="D27" s="9">
        <f>Fixed_Expense1035394347515559[[#This Row],[Budget]]-Fixed_Expense1035394347515559[[#This Row],[Actual]]</f>
        <v>0</v>
      </c>
      <c r="F27" s="5" t="s">
        <v>48</v>
      </c>
      <c r="G27" s="14"/>
      <c r="H27" s="14"/>
      <c r="I27" s="14">
        <f>Variable_Expense1136404448525660[[#This Row],[Budget]]-Variable_Expense1136404448525660[[#This Row],[Actual ]]</f>
        <v>0</v>
      </c>
      <c r="N27" s="13"/>
      <c r="O27" s="13"/>
      <c r="P27" s="13"/>
    </row>
    <row r="28" spans="1:16" x14ac:dyDescent="0.25">
      <c r="A28" s="5" t="s">
        <v>26</v>
      </c>
      <c r="B28" s="9"/>
      <c r="C28" s="9"/>
      <c r="D28" s="9">
        <f>Fixed_Expense1035394347515559[[#This Row],[Budget]]-Fixed_Expense1035394347515559[[#This Row],[Actual]]</f>
        <v>0</v>
      </c>
      <c r="F28" s="5" t="s">
        <v>49</v>
      </c>
      <c r="G28" s="14"/>
      <c r="H28" s="14"/>
      <c r="I28" s="14">
        <f>Variable_Expense1136404448525660[[#This Row],[Budget]]-Variable_Expense1136404448525660[[#This Row],[Actual ]]</f>
        <v>0</v>
      </c>
      <c r="N28" s="13"/>
      <c r="O28" s="13"/>
      <c r="P28" s="13"/>
    </row>
    <row r="29" spans="1:16" x14ac:dyDescent="0.25">
      <c r="A29" s="5" t="s">
        <v>27</v>
      </c>
      <c r="B29" s="9"/>
      <c r="C29" s="9"/>
      <c r="D29" s="9">
        <f>Fixed_Expense1035394347515559[[#This Row],[Budget]]-Fixed_Expense1035394347515559[[#This Row],[Actual]]</f>
        <v>0</v>
      </c>
      <c r="F29" s="5" t="s">
        <v>50</v>
      </c>
      <c r="G29" s="14"/>
      <c r="H29" s="14"/>
      <c r="I29" s="14">
        <f>Variable_Expense1136404448525660[[#This Row],[Budget]]-Variable_Expense1136404448525660[[#This Row],[Actual ]]</f>
        <v>0</v>
      </c>
      <c r="N29" s="13"/>
      <c r="O29" s="13"/>
      <c r="P29" s="13"/>
    </row>
    <row r="30" spans="1:16" x14ac:dyDescent="0.25">
      <c r="A30" s="5" t="s">
        <v>28</v>
      </c>
      <c r="B30" s="9"/>
      <c r="C30" s="9"/>
      <c r="D30" s="9">
        <f>Fixed_Expense1035394347515559[[#This Row],[Budget]]-Fixed_Expense1035394347515559[[#This Row],[Actual]]</f>
        <v>0</v>
      </c>
      <c r="F30" s="5" t="s">
        <v>51</v>
      </c>
      <c r="G30" s="14"/>
      <c r="H30" s="14"/>
      <c r="I30" s="14">
        <f>Variable_Expense1136404448525660[[#This Row],[Budget]]-Variable_Expense1136404448525660[[#This Row],[Actual ]]</f>
        <v>0</v>
      </c>
      <c r="N30" s="13"/>
      <c r="O30" s="13"/>
      <c r="P30" s="13"/>
    </row>
    <row r="31" spans="1:16" x14ac:dyDescent="0.25">
      <c r="A31" s="5" t="s">
        <v>29</v>
      </c>
      <c r="B31" s="9"/>
      <c r="C31" s="9"/>
      <c r="D31" s="9">
        <f>Fixed_Expense1035394347515559[[#This Row],[Budget]]-Fixed_Expense1035394347515559[[#This Row],[Actual]]</f>
        <v>0</v>
      </c>
      <c r="F31" s="5" t="s">
        <v>52</v>
      </c>
      <c r="G31" s="14"/>
      <c r="H31" s="14"/>
      <c r="I31" s="14">
        <f>Variable_Expense1136404448525660[[#This Row],[Budget]]-Variable_Expense1136404448525660[[#This Row],[Actual ]]</f>
        <v>0</v>
      </c>
    </row>
    <row r="32" spans="1:16" x14ac:dyDescent="0.25">
      <c r="A32" s="5" t="s">
        <v>30</v>
      </c>
      <c r="B32" s="9"/>
      <c r="C32" s="9"/>
      <c r="D32" s="9">
        <f>Fixed_Expense1035394347515559[[#This Row],[Budget]]-Fixed_Expense1035394347515559[[#This Row],[Actual]]</f>
        <v>0</v>
      </c>
      <c r="F32" s="5" t="s">
        <v>53</v>
      </c>
      <c r="G32" s="14"/>
      <c r="H32" s="14"/>
      <c r="I32" s="14">
        <f>Variable_Expense1136404448525660[[#This Row],[Budget]]-Variable_Expense1136404448525660[[#This Row],[Actual ]]</f>
        <v>0</v>
      </c>
    </row>
    <row r="33" spans="1:9" x14ac:dyDescent="0.25">
      <c r="A33" s="5" t="s">
        <v>31</v>
      </c>
      <c r="B33" s="9"/>
      <c r="C33" s="9"/>
      <c r="D33" s="9">
        <f>Fixed_Expense1035394347515559[[#This Row],[Budget]]-Fixed_Expense1035394347515559[[#This Row],[Actual]]</f>
        <v>0</v>
      </c>
      <c r="F33" s="5" t="s">
        <v>54</v>
      </c>
      <c r="G33" s="14"/>
      <c r="H33" s="14"/>
      <c r="I33" s="14">
        <f>Variable_Expense1136404448525660[[#This Row],[Budget]]-Variable_Expense1136404448525660[[#This Row],[Actual ]]</f>
        <v>0</v>
      </c>
    </row>
    <row r="34" spans="1:9" x14ac:dyDescent="0.25">
      <c r="A34" s="5" t="s">
        <v>32</v>
      </c>
      <c r="B34" s="9"/>
      <c r="C34" s="9"/>
      <c r="D34" s="9">
        <f>Fixed_Expense1035394347515559[[#This Row],[Budget]]-Fixed_Expense1035394347515559[[#This Row],[Actual]]</f>
        <v>0</v>
      </c>
      <c r="F34" s="5" t="s">
        <v>55</v>
      </c>
      <c r="G34" s="14"/>
      <c r="H34" s="14"/>
      <c r="I34" s="14">
        <f>Variable_Expense1136404448525660[[#This Row],[Budget]]-Variable_Expense1136404448525660[[#This Row],[Actual ]]</f>
        <v>0</v>
      </c>
    </row>
    <row r="35" spans="1:9" x14ac:dyDescent="0.25">
      <c r="A35" s="5" t="s">
        <v>33</v>
      </c>
      <c r="B35" s="9"/>
      <c r="C35" s="9"/>
      <c r="D35" s="9">
        <f>Fixed_Expense1035394347515559[[#This Row],[Budget]]-Fixed_Expense1035394347515559[[#This Row],[Actual]]</f>
        <v>0</v>
      </c>
      <c r="F35" s="5" t="s">
        <v>56</v>
      </c>
      <c r="G35" s="14"/>
      <c r="H35" s="14"/>
      <c r="I35" s="14">
        <f>Variable_Expense1136404448525660[[#This Row],[Budget]]-Variable_Expense1136404448525660[[#This Row],[Actual ]]</f>
        <v>0</v>
      </c>
    </row>
    <row r="36" spans="1:9" x14ac:dyDescent="0.25">
      <c r="A36" s="5" t="s">
        <v>34</v>
      </c>
      <c r="B36" s="9"/>
      <c r="C36" s="9"/>
      <c r="D36" s="9">
        <f>Fixed_Expense1035394347515559[[#This Row],[Budget]]-Fixed_Expense1035394347515559[[#This Row],[Actual]]</f>
        <v>0</v>
      </c>
      <c r="F36" s="5" t="s">
        <v>57</v>
      </c>
      <c r="G36" s="14"/>
      <c r="H36" s="14"/>
      <c r="I36" s="14">
        <f>Variable_Expense1136404448525660[[#This Row],[Budget]]-Variable_Expense1136404448525660[[#This Row],[Actual ]]</f>
        <v>0</v>
      </c>
    </row>
    <row r="37" spans="1:9" x14ac:dyDescent="0.25">
      <c r="A37" s="5" t="s">
        <v>35</v>
      </c>
      <c r="B37" s="9"/>
      <c r="C37" s="9"/>
      <c r="D37" s="9">
        <f>Fixed_Expense1035394347515559[[#This Row],[Budget]]-Fixed_Expense1035394347515559[[#This Row],[Actual]]</f>
        <v>0</v>
      </c>
      <c r="F37" s="5" t="s">
        <v>15</v>
      </c>
      <c r="G37" s="14"/>
      <c r="H37" s="14"/>
      <c r="I37" s="14">
        <f>Variable_Expense1136404448525660[[#This Row],[Budget]]-Variable_Expense1136404448525660[[#This Row],[Actual ]]</f>
        <v>0</v>
      </c>
    </row>
    <row r="38" spans="1:9" x14ac:dyDescent="0.25">
      <c r="A38" s="5" t="s">
        <v>36</v>
      </c>
      <c r="B38" s="9"/>
      <c r="C38" s="9"/>
      <c r="D38" s="9">
        <f>Fixed_Expense1035394347515559[[#This Row],[Budget]]-Fixed_Expense1035394347515559[[#This Row],[Actual]]</f>
        <v>0</v>
      </c>
      <c r="F38" s="5" t="s">
        <v>15</v>
      </c>
      <c r="G38" s="14"/>
      <c r="H38" s="14"/>
      <c r="I38" s="14">
        <f>Variable_Expense1136404448525660[[#This Row],[Budget]]-Variable_Expense1136404448525660[[#This Row],[Actual ]]</f>
        <v>0</v>
      </c>
    </row>
    <row r="39" spans="1:9" x14ac:dyDescent="0.25">
      <c r="A39" s="6" t="s">
        <v>15</v>
      </c>
      <c r="B39" s="10"/>
      <c r="C39" s="10"/>
      <c r="D39" s="10">
        <f>Fixed_Expense1035394347515559[[#This Row],[Budget]]-Fixed_Expense1035394347515559[[#This Row],[Actual]]</f>
        <v>0</v>
      </c>
      <c r="F39" s="5" t="s">
        <v>15</v>
      </c>
      <c r="G39" s="14"/>
      <c r="H39" s="14"/>
      <c r="I39" s="14">
        <f>Variable_Expense1136404448525660[[#This Row],[Budget]]-Variable_Expense1136404448525660[[#This Row],[Actual ]]</f>
        <v>0</v>
      </c>
    </row>
    <row r="40" spans="1:9" x14ac:dyDescent="0.25">
      <c r="A40" s="5" t="s">
        <v>6</v>
      </c>
      <c r="B40" s="17">
        <f>SUBTOTAL(109,Fixed_Expense1035394347515559[Budget])</f>
        <v>0</v>
      </c>
      <c r="C40" s="17">
        <f>SUBTOTAL(109,Fixed_Expense1035394347515559[Actual])</f>
        <v>0</v>
      </c>
      <c r="D40" s="17">
        <f>SUBTOTAL(109,Fixed_Expense1035394347515559[Difference])</f>
        <v>0</v>
      </c>
      <c r="F40" s="5" t="s">
        <v>6</v>
      </c>
      <c r="G40" s="17">
        <f>SUBTOTAL(109,Variable_Expense1136404448525660[Budget])</f>
        <v>0</v>
      </c>
      <c r="H40" s="17">
        <f>SUBTOTAL(109,Variable_Expense1136404448525660[[Actual ]])</f>
        <v>0</v>
      </c>
      <c r="I40" s="18">
        <f>SUBTOTAL(109,Variable_Expense1136404448525660[Difference])</f>
        <v>0</v>
      </c>
    </row>
    <row r="41" spans="1:9" x14ac:dyDescent="0.25">
      <c r="B41" s="13"/>
      <c r="C41" s="13"/>
      <c r="D41" s="13"/>
    </row>
  </sheetData>
  <mergeCells count="5">
    <mergeCell ref="A1:D3"/>
    <mergeCell ref="A5:D6"/>
    <mergeCell ref="F5:I6"/>
    <mergeCell ref="A13:D14"/>
    <mergeCell ref="F13:I14"/>
  </mergeCells>
  <conditionalFormatting sqref="A7:D7 A8:A10">
    <cfRule type="dataBar" priority="19">
      <dataBar>
        <cfvo type="min"/>
        <cfvo type="max"/>
        <color rgb="FF638EC6"/>
      </dataBar>
      <extLst>
        <ext xmlns:x14="http://schemas.microsoft.com/office/spreadsheetml/2009/9/main" uri="{B025F937-C7B1-47D3-B67F-A62EFF666E3E}">
          <x14:id>{2A5BABA4-D91A-4815-9BDC-02E5D5515A13}</x14:id>
        </ext>
      </extLst>
    </cfRule>
  </conditionalFormatting>
  <conditionalFormatting sqref="B8:B10">
    <cfRule type="dataBar" priority="18">
      <dataBar>
        <cfvo type="min"/>
        <cfvo type="max"/>
        <color rgb="FF638EC6"/>
      </dataBar>
      <extLst>
        <ext xmlns:x14="http://schemas.microsoft.com/office/spreadsheetml/2009/9/main" uri="{B025F937-C7B1-47D3-B67F-A62EFF666E3E}">
          <x14:id>{88C74A5D-897A-4220-B49B-C496C23C2DCF}</x14:id>
        </ext>
      </extLst>
    </cfRule>
  </conditionalFormatting>
  <conditionalFormatting sqref="C8:C10">
    <cfRule type="dataBar" priority="17">
      <dataBar>
        <cfvo type="min"/>
        <cfvo type="max"/>
        <color rgb="FF63C384"/>
      </dataBar>
      <extLst>
        <ext xmlns:x14="http://schemas.microsoft.com/office/spreadsheetml/2009/9/main" uri="{B025F937-C7B1-47D3-B67F-A62EFF666E3E}">
          <x14:id>{EF139FA8-FDD4-4613-9BC7-970AD244CF0A}</x14:id>
        </ext>
      </extLst>
    </cfRule>
  </conditionalFormatting>
  <conditionalFormatting sqref="N17:N30">
    <cfRule type="dataBar" priority="14">
      <dataBar>
        <cfvo type="min"/>
        <cfvo type="max"/>
        <color rgb="FFFF555A"/>
      </dataBar>
      <extLst>
        <ext xmlns:x14="http://schemas.microsoft.com/office/spreadsheetml/2009/9/main" uri="{B025F937-C7B1-47D3-B67F-A62EFF666E3E}">
          <x14:id>{037D74B9-3369-4692-9371-DB1D50548E6D}</x14:id>
        </ext>
      </extLst>
    </cfRule>
  </conditionalFormatting>
  <conditionalFormatting sqref="O17:O30">
    <cfRule type="dataBar" priority="13">
      <dataBar>
        <cfvo type="min"/>
        <cfvo type="max"/>
        <color rgb="FFFF555A"/>
      </dataBar>
      <extLst>
        <ext xmlns:x14="http://schemas.microsoft.com/office/spreadsheetml/2009/9/main" uri="{B025F937-C7B1-47D3-B67F-A62EFF666E3E}">
          <x14:id>{984CA59C-3E0D-48A8-8B55-EEF1CE1FC206}</x14:id>
        </ext>
      </extLst>
    </cfRule>
  </conditionalFormatting>
  <conditionalFormatting sqref="P17:P30 D16:D40">
    <cfRule type="cellIs" dxfId="310" priority="11" operator="greaterThan">
      <formula>0</formula>
    </cfRule>
    <cfRule type="cellIs" dxfId="309" priority="12" operator="lessThan">
      <formula>0</formula>
    </cfRule>
  </conditionalFormatting>
  <conditionalFormatting sqref="G16:G40">
    <cfRule type="dataBar" priority="10">
      <dataBar>
        <cfvo type="min"/>
        <cfvo type="max"/>
        <color rgb="FFFFB628"/>
      </dataBar>
      <extLst>
        <ext xmlns:x14="http://schemas.microsoft.com/office/spreadsheetml/2009/9/main" uri="{B025F937-C7B1-47D3-B67F-A62EFF666E3E}">
          <x14:id>{81B546CB-A959-44F7-8C22-9E7EC074E1D0}</x14:id>
        </ext>
      </extLst>
    </cfRule>
  </conditionalFormatting>
  <conditionalFormatting sqref="H16:H40">
    <cfRule type="dataBar" priority="9">
      <dataBar>
        <cfvo type="min"/>
        <cfvo type="max"/>
        <color rgb="FFFFB628"/>
      </dataBar>
      <extLst>
        <ext xmlns:x14="http://schemas.microsoft.com/office/spreadsheetml/2009/9/main" uri="{B025F937-C7B1-47D3-B67F-A62EFF666E3E}">
          <x14:id>{5BD2E9CF-DE74-4E0E-9211-6232650BE5F8}</x14:id>
        </ext>
      </extLst>
    </cfRule>
  </conditionalFormatting>
  <conditionalFormatting sqref="B8:B11">
    <cfRule type="dataBar" priority="6">
      <dataBar>
        <cfvo type="min"/>
        <cfvo type="max"/>
        <color rgb="FF638EC6"/>
      </dataBar>
      <extLst>
        <ext xmlns:x14="http://schemas.microsoft.com/office/spreadsheetml/2009/9/main" uri="{B025F937-C7B1-47D3-B67F-A62EFF666E3E}">
          <x14:id>{13EED6D9-D098-43B5-AD88-58284675EA2F}</x14:id>
        </ext>
      </extLst>
    </cfRule>
  </conditionalFormatting>
  <conditionalFormatting sqref="C8:C11">
    <cfRule type="dataBar" priority="5">
      <dataBar>
        <cfvo type="min"/>
        <cfvo type="max"/>
        <color rgb="FF638EC6"/>
      </dataBar>
      <extLst>
        <ext xmlns:x14="http://schemas.microsoft.com/office/spreadsheetml/2009/9/main" uri="{B025F937-C7B1-47D3-B67F-A62EFF666E3E}">
          <x14:id>{7EA12CC1-CA17-458E-8026-8627F78D1857}</x14:id>
        </ext>
      </extLst>
    </cfRule>
  </conditionalFormatting>
  <conditionalFormatting sqref="D8:D11">
    <cfRule type="cellIs" dxfId="308" priority="15" operator="greaterThan">
      <formula>0</formula>
    </cfRule>
    <cfRule type="cellIs" dxfId="307" priority="16" operator="lessThan">
      <formula>0</formula>
    </cfRule>
  </conditionalFormatting>
  <conditionalFormatting sqref="I16:I40">
    <cfRule type="cellIs" dxfId="306" priority="7" operator="greaterThan">
      <formula>0</formula>
    </cfRule>
    <cfRule type="cellIs" dxfId="305" priority="8" operator="lessThan">
      <formula>0</formula>
    </cfRule>
  </conditionalFormatting>
  <conditionalFormatting sqref="B16:B40">
    <cfRule type="dataBar" priority="20">
      <dataBar>
        <cfvo type="min"/>
        <cfvo type="max"/>
        <color rgb="FFFF555A"/>
      </dataBar>
      <extLst>
        <ext xmlns:x14="http://schemas.microsoft.com/office/spreadsheetml/2009/9/main" uri="{B025F937-C7B1-47D3-B67F-A62EFF666E3E}">
          <x14:id>{A39E8CA9-155A-4F98-AB7D-013B9B22C1EA}</x14:id>
        </ext>
      </extLst>
    </cfRule>
  </conditionalFormatting>
  <conditionalFormatting sqref="C16:C40">
    <cfRule type="dataBar" priority="21">
      <dataBar>
        <cfvo type="min"/>
        <cfvo type="max"/>
        <color rgb="FFFF555A"/>
      </dataBar>
      <extLst>
        <ext xmlns:x14="http://schemas.microsoft.com/office/spreadsheetml/2009/9/main" uri="{B025F937-C7B1-47D3-B67F-A62EFF666E3E}">
          <x14:id>{916BB716-A659-4D33-97A3-C602CCF67C3C}</x14:id>
        </ext>
      </extLst>
    </cfRule>
  </conditionalFormatting>
  <conditionalFormatting sqref="G8:G11">
    <cfRule type="dataBar" priority="4">
      <dataBar>
        <cfvo type="min"/>
        <cfvo type="max"/>
        <color rgb="FF63C384"/>
      </dataBar>
      <extLst>
        <ext xmlns:x14="http://schemas.microsoft.com/office/spreadsheetml/2009/9/main" uri="{B025F937-C7B1-47D3-B67F-A62EFF666E3E}">
          <x14:id>{1A1659C0-4434-4360-A806-E660ACF79A13}</x14:id>
        </ext>
      </extLst>
    </cfRule>
  </conditionalFormatting>
  <conditionalFormatting sqref="H8:H11">
    <cfRule type="dataBar" priority="3">
      <dataBar>
        <cfvo type="min"/>
        <cfvo type="max"/>
        <color rgb="FF63C384"/>
      </dataBar>
      <extLst>
        <ext xmlns:x14="http://schemas.microsoft.com/office/spreadsheetml/2009/9/main" uri="{B025F937-C7B1-47D3-B67F-A62EFF666E3E}">
          <x14:id>{D32E08EE-44D3-43E7-A433-06AEF27DC2C3}</x14:id>
        </ext>
      </extLst>
    </cfRule>
  </conditionalFormatting>
  <conditionalFormatting sqref="I8:I11">
    <cfRule type="cellIs" dxfId="304" priority="1" operator="greaterThan">
      <formula>0</formula>
    </cfRule>
    <cfRule type="cellIs" dxfId="303" priority="2" operator="lessThan">
      <formula>0</formula>
    </cfRule>
  </conditionalFormatting>
  <pageMargins left="0.7" right="0.7" top="0.75" bottom="0.75" header="0.3" footer="0.3"/>
  <ignoredErrors>
    <ignoredError sqref="G8 H9 G10:H10" calculatedColumn="1"/>
  </ignoredErrors>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2A5BABA4-D91A-4815-9BDC-02E5D5515A13}">
            <x14:dataBar minLength="0" maxLength="100" gradient="0">
              <x14:cfvo type="autoMin"/>
              <x14:cfvo type="autoMax"/>
              <x14:negativeFillColor rgb="FFFF0000"/>
              <x14:axisColor rgb="FF000000"/>
            </x14:dataBar>
          </x14:cfRule>
          <xm:sqref>A7:D7 A8:A10</xm:sqref>
        </x14:conditionalFormatting>
        <x14:conditionalFormatting xmlns:xm="http://schemas.microsoft.com/office/excel/2006/main">
          <x14:cfRule type="dataBar" id="{88C74A5D-897A-4220-B49B-C496C23C2DCF}">
            <x14:dataBar minLength="0" maxLength="100" gradient="0">
              <x14:cfvo type="autoMin"/>
              <x14:cfvo type="autoMax"/>
              <x14:negativeFillColor rgb="FFFF0000"/>
              <x14:axisColor rgb="FF000000"/>
            </x14:dataBar>
          </x14:cfRule>
          <xm:sqref>B8:B10</xm:sqref>
        </x14:conditionalFormatting>
        <x14:conditionalFormatting xmlns:xm="http://schemas.microsoft.com/office/excel/2006/main">
          <x14:cfRule type="dataBar" id="{EF139FA8-FDD4-4613-9BC7-970AD244CF0A}">
            <x14:dataBar minLength="0" maxLength="100" gradient="0">
              <x14:cfvo type="autoMin"/>
              <x14:cfvo type="autoMax"/>
              <x14:negativeFillColor rgb="FFFF0000"/>
              <x14:axisColor rgb="FF000000"/>
            </x14:dataBar>
          </x14:cfRule>
          <xm:sqref>C8:C10</xm:sqref>
        </x14:conditionalFormatting>
        <x14:conditionalFormatting xmlns:xm="http://schemas.microsoft.com/office/excel/2006/main">
          <x14:cfRule type="dataBar" id="{037D74B9-3369-4692-9371-DB1D50548E6D}">
            <x14:dataBar minLength="0" maxLength="100" gradient="0">
              <x14:cfvo type="autoMin"/>
              <x14:cfvo type="autoMax"/>
              <x14:negativeFillColor rgb="FFFF0000"/>
              <x14:axisColor rgb="FF000000"/>
            </x14:dataBar>
          </x14:cfRule>
          <xm:sqref>N17:N30</xm:sqref>
        </x14:conditionalFormatting>
        <x14:conditionalFormatting xmlns:xm="http://schemas.microsoft.com/office/excel/2006/main">
          <x14:cfRule type="dataBar" id="{984CA59C-3E0D-48A8-8B55-EEF1CE1FC206}">
            <x14:dataBar minLength="0" maxLength="100" gradient="0">
              <x14:cfvo type="autoMin"/>
              <x14:cfvo type="autoMax"/>
              <x14:negativeFillColor rgb="FFFF0000"/>
              <x14:axisColor rgb="FF000000"/>
            </x14:dataBar>
          </x14:cfRule>
          <xm:sqref>O17:O30</xm:sqref>
        </x14:conditionalFormatting>
        <x14:conditionalFormatting xmlns:xm="http://schemas.microsoft.com/office/excel/2006/main">
          <x14:cfRule type="dataBar" id="{81B546CB-A959-44F7-8C22-9E7EC074E1D0}">
            <x14:dataBar minLength="0" maxLength="100" gradient="0">
              <x14:cfvo type="autoMin"/>
              <x14:cfvo type="autoMax"/>
              <x14:negativeFillColor rgb="FFFF0000"/>
              <x14:axisColor rgb="FF000000"/>
            </x14:dataBar>
          </x14:cfRule>
          <xm:sqref>G16:G40</xm:sqref>
        </x14:conditionalFormatting>
        <x14:conditionalFormatting xmlns:xm="http://schemas.microsoft.com/office/excel/2006/main">
          <x14:cfRule type="dataBar" id="{5BD2E9CF-DE74-4E0E-9211-6232650BE5F8}">
            <x14:dataBar minLength="0" maxLength="100" gradient="0">
              <x14:cfvo type="autoMin"/>
              <x14:cfvo type="autoMax"/>
              <x14:negativeFillColor rgb="FFFF0000"/>
              <x14:axisColor rgb="FF000000"/>
            </x14:dataBar>
          </x14:cfRule>
          <xm:sqref>H16:H40</xm:sqref>
        </x14:conditionalFormatting>
        <x14:conditionalFormatting xmlns:xm="http://schemas.microsoft.com/office/excel/2006/main">
          <x14:cfRule type="dataBar" id="{13EED6D9-D098-43B5-AD88-58284675EA2F}">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7EA12CC1-CA17-458E-8026-8627F78D1857}">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A39E8CA9-155A-4F98-AB7D-013B9B22C1EA}">
            <x14:dataBar minLength="0" maxLength="100" gradient="0">
              <x14:cfvo type="autoMin"/>
              <x14:cfvo type="autoMax"/>
              <x14:negativeFillColor rgb="FFFF0000"/>
              <x14:axisColor rgb="FF000000"/>
            </x14:dataBar>
          </x14:cfRule>
          <xm:sqref>B16:B40</xm:sqref>
        </x14:conditionalFormatting>
        <x14:conditionalFormatting xmlns:xm="http://schemas.microsoft.com/office/excel/2006/main">
          <x14:cfRule type="dataBar" id="{916BB716-A659-4D33-97A3-C602CCF67C3C}">
            <x14:dataBar minLength="0" maxLength="100" gradient="0">
              <x14:cfvo type="autoMin"/>
              <x14:cfvo type="autoMax"/>
              <x14:negativeFillColor rgb="FFFF0000"/>
              <x14:axisColor rgb="FF000000"/>
            </x14:dataBar>
          </x14:cfRule>
          <xm:sqref>C16:C40</xm:sqref>
        </x14:conditionalFormatting>
        <x14:conditionalFormatting xmlns:xm="http://schemas.microsoft.com/office/excel/2006/main">
          <x14:cfRule type="dataBar" id="{1A1659C0-4434-4360-A806-E660ACF79A13}">
            <x14:dataBar minLength="0" maxLength="100" gradient="0">
              <x14:cfvo type="autoMin"/>
              <x14:cfvo type="autoMax"/>
              <x14:negativeFillColor rgb="FFFF0000"/>
              <x14:axisColor rgb="FF000000"/>
            </x14:dataBar>
          </x14:cfRule>
          <xm:sqref>G8:G11</xm:sqref>
        </x14:conditionalFormatting>
        <x14:conditionalFormatting xmlns:xm="http://schemas.microsoft.com/office/excel/2006/main">
          <x14:cfRule type="dataBar" id="{D32E08EE-44D3-43E7-A433-06AEF27DC2C3}">
            <x14:dataBar minLength="0" maxLength="100" gradient="0">
              <x14:cfvo type="autoMin"/>
              <x14:cfvo type="autoMax"/>
              <x14:negativeFillColor rgb="FFFF0000"/>
              <x14:axisColor rgb="FF000000"/>
            </x14:dataBar>
          </x14:cfRule>
          <xm:sqref>H8:H11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Help</vt:lpstr>
      <vt:lpstr>January</vt:lpstr>
      <vt:lpstr>February</vt:lpstr>
      <vt:lpstr>March</vt:lpstr>
      <vt:lpstr>April</vt:lpstr>
      <vt:lpstr>May</vt:lpstr>
      <vt:lpstr>June</vt:lpstr>
      <vt:lpstr>July</vt:lpstr>
      <vt:lpstr>August</vt:lpstr>
      <vt:lpstr>September</vt:lpstr>
      <vt:lpstr>October</vt:lpstr>
      <vt:lpstr>November</vt:lpstr>
      <vt:lpstr>December</vt:lpstr>
      <vt:lpstr>Running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Lee</dc:creator>
  <cp:lastModifiedBy>Patrick Lee</cp:lastModifiedBy>
  <dcterms:created xsi:type="dcterms:W3CDTF">2023-02-26T18:18:31Z</dcterms:created>
  <dcterms:modified xsi:type="dcterms:W3CDTF">2023-02-27T02:47:29Z</dcterms:modified>
</cp:coreProperties>
</file>