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43" documentId="13_ncr:1_{9DFDFEE8-78F7-4C04-B87C-99924EE6CC37}" xr6:coauthVersionLast="47" xr6:coauthVersionMax="47" xr10:uidLastSave="{CA74C42E-3B4D-4467-BA19-5086F98025C6}"/>
  <bookViews>
    <workbookView xWindow="-120" yWindow="-120" windowWidth="29040" windowHeight="15720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K351" i="7" s="1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K108" i="7" s="1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G756" i="4" l="1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<sst xmlns="http://schemas.openxmlformats.org/spreadsheetml/2006/main" count="87474" uniqueCount="29973">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</sst>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2918650</v>
      </c>
      <c r="D31" s="26">
        <f>IFERROR('Linha 1'!S757,"")</f>
        <v>697480</v>
      </c>
      <c r="E31" s="26">
        <f>IFERROR('Linha 2'!S757,"")</f>
        <v>328850</v>
      </c>
      <c r="F31" s="26">
        <f>IFERROR('Linha 3'!S757,"")</f>
        <v>841740</v>
      </c>
      <c r="G31" s="27">
        <f t="shared" si="0"/>
        <v>1868070</v>
      </c>
      <c r="H31" s="21">
        <f>IFERROR('Linha 1'!T757+'Linha 2'!T757+'Linha 3'!T757,0)</f>
        <v>727.3694999999999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1">
        <f t="shared" ref="C35:G35" si="2">IFERROR(SUM(C4:C34),"")</f>
        <v>105254460</v>
      </c>
      <c r="D35" s="31">
        <f t="shared" si="2"/>
        <v>31931100</v>
      </c>
      <c r="E35" s="31">
        <f t="shared" si="2"/>
        <v>18625020</v>
      </c>
      <c r="F35" s="31">
        <f t="shared" si="2"/>
        <v>43360320</v>
      </c>
      <c r="G35" s="31">
        <f t="shared" si="2"/>
        <v>93916440</v>
      </c>
      <c r="H35" s="32">
        <f>IFERROR(SUM(H4:H34),"")</f>
        <v>13058.630209371893</v>
      </c>
      <c r="I35" s="32">
        <f>IFERROR(SUM(I4:I34),"")</f>
        <v>14531.98</v>
      </c>
      <c r="J35" s="33">
        <f>IFERROR(IF(OR(H35="",I35="",H35=0,I35=0),"",MIN(H35,I35)/MAX(H35,I35)),"")</f>
        <v>0.89861327977136585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6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6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6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6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6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6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6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6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6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6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6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6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6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6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6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6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6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6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6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6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6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6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6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6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6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6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6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6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6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6"/>
      <c r="N61" s="40"/>
      <c r="O61" s="40"/>
      <c r="P61" s="40" t="s">
        <v>228</v>
      </c>
      <c r="Q61" s="40"/>
      <c r="R61" s="40"/>
    </row>
    <row r="62" spans="1:18" ht="15" customHeight="1">
      <c r="M62" s="176"/>
      <c r="N62" s="37"/>
      <c r="O62" s="37"/>
      <c r="P62" s="37" t="s">
        <v>229</v>
      </c>
      <c r="Q62" s="37"/>
      <c r="R62" s="37"/>
    </row>
    <row r="63" spans="1:18" ht="15" customHeight="1">
      <c r="M63" s="176"/>
      <c r="N63" s="40"/>
      <c r="O63" s="40"/>
      <c r="P63" s="40" t="s">
        <v>230</v>
      </c>
      <c r="Q63" s="40"/>
      <c r="R63" s="40"/>
    </row>
    <row r="64" spans="1:18" ht="15" customHeight="1">
      <c r="M64" s="176"/>
      <c r="N64" s="37"/>
      <c r="O64" s="37"/>
      <c r="P64" s="37" t="s">
        <v>231</v>
      </c>
      <c r="Q64" s="37"/>
      <c r="R64" s="37"/>
    </row>
    <row r="65" spans="13:18" ht="15" customHeight="1">
      <c r="M65" s="176"/>
      <c r="N65" s="40"/>
      <c r="O65" s="40"/>
      <c r="P65" s="40" t="s">
        <v>232</v>
      </c>
      <c r="Q65" s="40"/>
      <c r="R65" s="40"/>
    </row>
    <row r="66" spans="13:18" ht="15" customHeight="1">
      <c r="M66" s="176"/>
      <c r="N66" s="37"/>
      <c r="O66" s="37"/>
      <c r="P66" s="37" t="s">
        <v>233</v>
      </c>
      <c r="Q66" s="37"/>
      <c r="R66" s="37"/>
    </row>
    <row r="67" spans="13:18" ht="15" customHeight="1">
      <c r="M67" s="176"/>
      <c r="N67" s="40"/>
      <c r="O67" s="40"/>
      <c r="P67" s="40" t="s">
        <v>234</v>
      </c>
      <c r="Q67" s="40"/>
      <c r="R67" s="40"/>
    </row>
    <row r="68" spans="13:18" ht="15" customHeight="1">
      <c r="M68" s="176"/>
      <c r="N68" s="37"/>
      <c r="O68" s="37"/>
      <c r="P68" s="37" t="s">
        <v>235</v>
      </c>
      <c r="Q68" s="37"/>
      <c r="R68" s="37"/>
    </row>
    <row r="69" spans="13:18" ht="15" customHeight="1">
      <c r="M69" s="176"/>
      <c r="N69" s="40"/>
      <c r="O69" s="40"/>
      <c r="P69" s="40" t="s">
        <v>236</v>
      </c>
      <c r="Q69" s="40"/>
      <c r="R69" s="40"/>
    </row>
    <row r="70" spans="13:18" ht="15" customHeight="1">
      <c r="M70" s="176"/>
      <c r="N70" s="37"/>
      <c r="O70" s="37"/>
      <c r="P70" s="37" t="s">
        <v>237</v>
      </c>
      <c r="Q70" s="37"/>
      <c r="R70" s="37"/>
    </row>
    <row r="71" spans="13:18" ht="15" customHeight="1">
      <c r="M71" s="176"/>
      <c r="N71" s="40"/>
      <c r="O71" s="40"/>
      <c r="P71" s="40" t="s">
        <v>238</v>
      </c>
      <c r="Q71" s="40"/>
      <c r="R71" s="40"/>
    </row>
    <row r="72" spans="13:18" ht="15" customHeight="1">
      <c r="M72" s="176"/>
      <c r="N72" s="37"/>
      <c r="O72" s="37"/>
      <c r="P72" s="37" t="s">
        <v>239</v>
      </c>
      <c r="Q72" s="37"/>
      <c r="R72" s="37"/>
    </row>
    <row r="73" spans="13:18" ht="15" customHeight="1">
      <c r="M73" s="176"/>
      <c r="N73" s="40"/>
      <c r="O73" s="40"/>
      <c r="P73" s="40" t="s">
        <v>240</v>
      </c>
      <c r="Q73" s="40"/>
      <c r="R73" s="40"/>
    </row>
    <row r="74" spans="13:18" ht="15" customHeight="1">
      <c r="M74" s="176"/>
      <c r="N74" s="37"/>
      <c r="O74" s="37"/>
      <c r="P74" s="37" t="s">
        <v>241</v>
      </c>
      <c r="Q74" s="37"/>
      <c r="R74" s="37"/>
    </row>
    <row r="75" spans="13:18" ht="15" customHeight="1">
      <c r="M75" s="176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8" t="s">
        <v>254</v>
      </c>
      <c r="B4" s="178"/>
      <c r="C4" s="178"/>
      <c r="D4" s="17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8" t="s">
        <v>254</v>
      </c>
      <c r="B7" s="178"/>
      <c r="C7" s="178"/>
      <c r="D7" s="17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8" t="s">
        <v>254</v>
      </c>
      <c r="B10" s="178"/>
      <c r="C10" s="178"/>
      <c r="D10" s="17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8" t="s">
        <v>254</v>
      </c>
      <c r="B13" s="178"/>
      <c r="C13" s="178"/>
      <c r="D13" s="17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8" t="s">
        <v>254</v>
      </c>
      <c r="B16" s="178"/>
      <c r="C16" s="178"/>
      <c r="D16" s="178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8" t="s">
        <v>254</v>
      </c>
      <c r="B19" s="178"/>
      <c r="C19" s="178"/>
      <c r="D19" s="17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8" t="s">
        <v>254</v>
      </c>
      <c r="B22" s="178"/>
      <c r="C22" s="178"/>
      <c r="D22" s="17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8" t="s">
        <v>254</v>
      </c>
      <c r="B25" s="178"/>
      <c r="C25" s="178"/>
      <c r="D25" s="17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8" t="s">
        <v>254</v>
      </c>
      <c r="B28" s="178"/>
      <c r="C28" s="178"/>
      <c r="D28" s="17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8" t="s">
        <v>254</v>
      </c>
      <c r="B31" s="178"/>
      <c r="C31" s="178"/>
      <c r="D31" s="17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8" t="s">
        <v>254</v>
      </c>
      <c r="B34" s="178"/>
      <c r="C34" s="178"/>
      <c r="D34" s="17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8" t="s">
        <v>254</v>
      </c>
      <c r="B37" s="178"/>
      <c r="C37" s="178"/>
      <c r="D37" s="17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8" t="s">
        <v>254</v>
      </c>
      <c r="B40" s="178"/>
      <c r="C40" s="178"/>
      <c r="D40" s="17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8" t="s">
        <v>254</v>
      </c>
      <c r="B43" s="178"/>
      <c r="C43" s="178"/>
      <c r="D43" s="17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8" t="s">
        <v>254</v>
      </c>
      <c r="B46" s="178"/>
      <c r="C46" s="178"/>
      <c r="D46" s="17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8" t="s">
        <v>254</v>
      </c>
      <c r="B49" s="178"/>
      <c r="C49" s="178"/>
      <c r="D49" s="17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8" t="s">
        <v>254</v>
      </c>
      <c r="B52" s="178"/>
      <c r="C52" s="178"/>
      <c r="D52" s="17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8" t="s">
        <v>254</v>
      </c>
      <c r="B55" s="178"/>
      <c r="C55" s="178"/>
      <c r="D55" s="178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8" t="s">
        <v>254</v>
      </c>
      <c r="B58" s="178"/>
      <c r="C58" s="178"/>
      <c r="D58" s="178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8" t="s">
        <v>254</v>
      </c>
      <c r="B61" s="178"/>
      <c r="C61" s="178"/>
      <c r="D61" s="178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8" t="s">
        <v>254</v>
      </c>
      <c r="B64" s="178"/>
      <c r="C64" s="178"/>
      <c r="D64" s="178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8" t="s">
        <v>254</v>
      </c>
      <c r="B67" s="178"/>
      <c r="C67" s="178"/>
      <c r="D67" s="17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8" t="s">
        <v>254</v>
      </c>
      <c r="B70" s="178"/>
      <c r="C70" s="178"/>
      <c r="D70" s="17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8" t="s">
        <v>254</v>
      </c>
      <c r="B73" s="178"/>
      <c r="C73" s="178"/>
      <c r="D73" s="17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8" t="s">
        <v>254</v>
      </c>
      <c r="B76" s="178"/>
      <c r="C76" s="178"/>
      <c r="D76" s="17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8" t="s">
        <v>254</v>
      </c>
      <c r="B79" s="178"/>
      <c r="C79" s="178"/>
      <c r="D79" s="17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8" t="s">
        <v>254</v>
      </c>
      <c r="B82" s="178"/>
      <c r="C82" s="178"/>
      <c r="D82" s="17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8" t="s">
        <v>254</v>
      </c>
      <c r="B85" s="178"/>
      <c r="C85" s="178"/>
      <c r="D85" s="17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8" t="s">
        <v>254</v>
      </c>
      <c r="B88" s="178"/>
      <c r="C88" s="178"/>
      <c r="D88" s="17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8" t="s">
        <v>254</v>
      </c>
      <c r="B91" s="178"/>
      <c r="C91" s="178"/>
      <c r="D91" s="17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8" t="s">
        <v>254</v>
      </c>
      <c r="B94" s="178"/>
      <c r="C94" s="178"/>
      <c r="D94" s="17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20" activePane="bottomLeft" state="frozen"/>
      <selection pane="bottomLeft" activeCell="F748" sqref="F748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98</v>
      </c>
      <c r="G756" s="2">
        <f>SUM(G744:G755)</f>
        <v>490</v>
      </c>
      <c r="H756" s="87"/>
      <c r="I756" s="87"/>
      <c r="J756" s="87"/>
      <c r="K756" s="87"/>
      <c r="L756" s="87"/>
      <c r="M756" s="88">
        <f ca="1">IFERROR(SUM(M744:M755),"")</f>
        <v>6.3194444444444442E-2</v>
      </c>
      <c r="N756" s="2" t="s">
        <v>266</v>
      </c>
      <c r="O756" s="89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466</v>
      </c>
      <c r="G757" s="1">
        <f>G743+G756</f>
        <v>2330</v>
      </c>
      <c r="H757" s="91"/>
      <c r="I757" s="91"/>
      <c r="J757" s="91"/>
      <c r="K757" s="91"/>
      <c r="L757" s="91"/>
      <c r="M757" s="92">
        <f ca="1">IFERROR(M743+M756,"")</f>
        <v>0.13888888888888901</v>
      </c>
      <c r="N757" s="1" t="s">
        <v>269</v>
      </c>
      <c r="O757" s="97">
        <f>IFERROR(O743+O756,"")</f>
        <v>2918650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13" activePane="bottomLeft" state="frozen"/>
      <selection pane="bottomLeft" activeCell="G749" sqref="G74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0.86150972222094424</v>
      </c>
      <c r="R53" s="95" t="s">
        <v>328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1.000398611109832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1.0851208333320548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0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/>
      <c r="Q744" s="81">
        <f t="shared" ref="Q744:Q755" ca="1" si="222">IFERROR(IF(O744="","",IF(P744="",MOD(NOW()-O744,1),IF(P744&gt;=O744,P744-O744,P744+1-O744))),"")</f>
        <v>3.9861111145000905E-4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0"/>
        <v>0</v>
      </c>
      <c r="K745" s="84">
        <f t="shared" si="221"/>
        <v>50.400000000000006</v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0"/>
        <v>0</v>
      </c>
      <c r="K746" s="79">
        <f t="shared" si="221"/>
        <v>67.2</v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0"/>
        <v>0</v>
      </c>
      <c r="K747" s="84">
        <f t="shared" si="221"/>
        <v>58.800000000000004</v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14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0"/>
        <v>0</v>
      </c>
      <c r="K748" s="79">
        <f t="shared" si="221"/>
        <v>58.800000000000004</v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65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273.00000000000006</v>
      </c>
      <c r="L756" s="87"/>
      <c r="M756" s="87"/>
      <c r="N756" s="87"/>
      <c r="O756" s="87"/>
      <c r="P756" s="87"/>
      <c r="Q756" s="88">
        <f ca="1">IFERROR(SUM(Q744:Q755),"")</f>
        <v>3.9861111145000905E-4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255</v>
      </c>
      <c r="H757" s="127">
        <f>IFERROR(H743+H756,"")</f>
        <v>697.4799999999999</v>
      </c>
      <c r="I757" s="129"/>
      <c r="J757" s="130">
        <f>IFERROR(J743+J756,"")</f>
        <v>292.94159999999994</v>
      </c>
      <c r="K757" s="1">
        <f>K743+K756</f>
        <v>1071.0000000000002</v>
      </c>
      <c r="L757" s="91"/>
      <c r="M757" s="91"/>
      <c r="N757" s="91"/>
      <c r="O757" s="91"/>
      <c r="P757" s="91"/>
      <c r="Q757" s="92">
        <f ca="1">IFERROR(Q743+Q756,"")</f>
        <v>0.10387083333367209</v>
      </c>
      <c r="R757" s="1" t="s">
        <v>269</v>
      </c>
      <c r="S757" s="97">
        <f>IFERROR(S743+S756,"")</f>
        <v>697480</v>
      </c>
      <c r="T757" s="137">
        <f>IFERROR(J757,"")</f>
        <v>292.94159999999994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3" activePane="bottomLeft" state="frozen"/>
      <selection pane="bottomLeft" activeCell="G748" sqref="G74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25.200000000000003</v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46.2</v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58.800000000000004</v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/>
      <c r="H748" s="107" t="str">
        <f>IFERROR(IF($G748="","",$G748*$S$756/$G$756/Cadastro!$E$33),"")</f>
        <v/>
      </c>
      <c r="I748" s="109">
        <f>IFERROR(IF($D748="","",VLOOKUP($D748,Cadastro!$C$4:$G$20,5,FALSE())),"")</f>
        <v>0.6</v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44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184.8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114</v>
      </c>
      <c r="H757" s="127">
        <f>IFERROR(H743+H756,"")</f>
        <v>328.84999999999997</v>
      </c>
      <c r="I757" s="129"/>
      <c r="J757" s="130">
        <f>IFERROR(J743+J756,"")</f>
        <v>80.897099999999995</v>
      </c>
      <c r="K757" s="1">
        <f>K743+K756</f>
        <v>478.8</v>
      </c>
      <c r="L757" s="91"/>
      <c r="M757" s="91"/>
      <c r="N757" s="91"/>
      <c r="O757" s="91"/>
      <c r="P757" s="91"/>
      <c r="Q757" s="92">
        <f ca="1">IFERROR(Q743+Q756,"")</f>
        <v>8.1249999999999933E-2</v>
      </c>
      <c r="R757" s="1" t="s">
        <v>269</v>
      </c>
      <c r="S757" s="97">
        <f>IFERROR(S743+S756,"")</f>
        <v>328850</v>
      </c>
      <c r="T757" s="137">
        <f>IFERROR(J757,"")</f>
        <v>80.897099999999995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8" activePane="bottomLeft" state="frozen"/>
      <selection pane="bottomLeft" activeCell="G748" sqref="G748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0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9"/>
        <v>0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9"/>
        <v>0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9"/>
        <v>0</v>
      </c>
      <c r="K747" s="84">
        <f t="shared" si="220"/>
        <v>46.2</v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/>
      <c r="H748" s="107" t="str">
        <f>IFERROR(IF($G748="","",$G748*$S$756/$G$756/Cadastro!$E$33),"")</f>
        <v/>
      </c>
      <c r="I748" s="109">
        <f>IFERROR(IF($D748="","",VLOOKUP($D748,Cadastro!$C$4:$G$20,5,FALSE())),"")</f>
        <v>0.6</v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66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277.2</v>
      </c>
      <c r="L756" s="87"/>
      <c r="M756" s="87"/>
      <c r="N756" s="87"/>
      <c r="O756" s="155"/>
      <c r="P756" s="155"/>
      <c r="Q756" s="88">
        <f ca="1">IFERROR(SUM(Q744:Q755),"")</f>
        <v>3.3333333333333326E-2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239</v>
      </c>
      <c r="H757" s="127">
        <f>IFERROR(H743+H756,"")</f>
        <v>841.74</v>
      </c>
      <c r="I757" s="129"/>
      <c r="J757" s="130">
        <f>IFERROR(J743+J756,"")</f>
        <v>353.5308</v>
      </c>
      <c r="K757" s="1">
        <f>K743+K756</f>
        <v>1003.8</v>
      </c>
      <c r="L757" s="91"/>
      <c r="M757" s="91"/>
      <c r="N757" s="91"/>
      <c r="O757" s="156"/>
      <c r="P757" s="156"/>
      <c r="Q757" s="92">
        <f ca="1">IFERROR(Q743+Q756,"")</f>
        <v>0.10624999999999946</v>
      </c>
      <c r="R757" s="1" t="s">
        <v>269</v>
      </c>
      <c r="S757" s="97">
        <f>IFERROR(S743+S756,"")</f>
        <v>841740</v>
      </c>
      <c r="T757" s="137">
        <f>IFERROR(J757,"")</f>
        <v>353.5308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2026-08-29T03:35:51Z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