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/Development/JPM-SFQ/"/>
    </mc:Choice>
  </mc:AlternateContent>
  <xr:revisionPtr revIDLastSave="0" documentId="13_ncr:1_{1AB0C979-9534-9340-BA0C-E398A8E88AD4}" xr6:coauthVersionLast="37" xr6:coauthVersionMax="37" xr10:uidLastSave="{00000000-0000-0000-0000-000000000000}"/>
  <bookViews>
    <workbookView xWindow="5420" yWindow="2260" windowWidth="28620" windowHeight="15740" activeTab="1" xr2:uid="{2F303FE1-8CBF-2940-AE79-DEDE95F99BE1}"/>
  </bookViews>
  <sheets>
    <sheet name="SFQ Conversions" sheetId="1" r:id="rId1"/>
    <sheet name="JPM Design" sheetId="2" r:id="rId2"/>
  </sheets>
  <definedNames>
    <definedName name="phi0">0.00000000000000207</definedName>
    <definedName name="pi">3.14159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J5" i="1" l="1"/>
  <c r="J4" i="1"/>
  <c r="G12" i="1" s="1"/>
  <c r="G13" i="1" s="1"/>
  <c r="G3" i="1"/>
  <c r="G4" i="1" s="1"/>
  <c r="G11" i="1" l="1"/>
  <c r="C16" i="1"/>
  <c r="J8" i="1"/>
  <c r="C19" i="1" s="1"/>
  <c r="J3" i="1"/>
  <c r="H20" i="2"/>
  <c r="H18" i="2"/>
  <c r="I13" i="2"/>
  <c r="D9" i="2"/>
  <c r="B9" i="2" s="1"/>
  <c r="I12" i="2"/>
  <c r="H6" i="2"/>
  <c r="I10" i="2"/>
  <c r="H16" i="2" s="1"/>
  <c r="I11" i="2"/>
  <c r="B8" i="2"/>
  <c r="D8" i="2" s="1"/>
  <c r="H17" i="2" l="1"/>
  <c r="H19" i="2" s="1"/>
  <c r="H21" i="2" s="1"/>
  <c r="D8" i="1"/>
  <c r="D3" i="1"/>
  <c r="D4" i="1" l="1"/>
  <c r="C14" i="1"/>
  <c r="C15" i="1"/>
  <c r="J7" i="1"/>
  <c r="D7" i="1" s="1"/>
  <c r="C18" i="1" l="1"/>
  <c r="J6" i="1"/>
  <c r="D6" i="1" s="1"/>
  <c r="C17" i="1" l="1"/>
  <c r="A9" i="2"/>
</calcChain>
</file>

<file path=xl/sharedStrings.xml><?xml version="1.0" encoding="utf-8"?>
<sst xmlns="http://schemas.openxmlformats.org/spreadsheetml/2006/main" count="82" uniqueCount="59">
  <si>
    <t>Quantity</t>
  </si>
  <si>
    <t>Unit</t>
  </si>
  <si>
    <t>pscan unit</t>
  </si>
  <si>
    <t>Property</t>
  </si>
  <si>
    <t>Current</t>
  </si>
  <si>
    <t>Inductance</t>
  </si>
  <si>
    <t>Capacitance</t>
  </si>
  <si>
    <t>Resistance</t>
  </si>
  <si>
    <t>Voltage</t>
  </si>
  <si>
    <t>pH</t>
  </si>
  <si>
    <t>uA</t>
  </si>
  <si>
    <t>fF</t>
  </si>
  <si>
    <t>Ohm</t>
  </si>
  <si>
    <t>mV</t>
  </si>
  <si>
    <t>Time</t>
  </si>
  <si>
    <t>ps</t>
  </si>
  <si>
    <t>Diameter (um)</t>
  </si>
  <si>
    <t>C (pF)</t>
  </si>
  <si>
    <t>Ic (uA)</t>
  </si>
  <si>
    <t>Junctions</t>
  </si>
  <si>
    <t>Side (μm)</t>
  </si>
  <si>
    <t>Area (μm^2)</t>
  </si>
  <si>
    <t>I0</t>
  </si>
  <si>
    <t>I1B</t>
  </si>
  <si>
    <t>I2</t>
  </si>
  <si>
    <t>Shunt Cap</t>
  </si>
  <si>
    <t>Layer</t>
  </si>
  <si>
    <t>Value</t>
  </si>
  <si>
    <t>Target Value</t>
  </si>
  <si>
    <t>Critical Current (uA)</t>
  </si>
  <si>
    <t>Inductance (nH)</t>
  </si>
  <si>
    <t>Dependent Params</t>
  </si>
  <si>
    <t>Ind. Param</t>
  </si>
  <si>
    <t>BetaL</t>
  </si>
  <si>
    <t>Real Units</t>
  </si>
  <si>
    <t>h</t>
  </si>
  <si>
    <t>e</t>
  </si>
  <si>
    <t>phi0</t>
  </si>
  <si>
    <t>Constant</t>
  </si>
  <si>
    <t>Capactiance (fF)</t>
  </si>
  <si>
    <t>Capacitance (pF)</t>
  </si>
  <si>
    <t>Layer Cap(fF/μm^2)</t>
  </si>
  <si>
    <t>Cap (ff/um^2)</t>
  </si>
  <si>
    <t>Ang. Freq. Max (rad*GHz)</t>
  </si>
  <si>
    <t>Frequency Max (GHz)</t>
  </si>
  <si>
    <t>d2u/dd2</t>
  </si>
  <si>
    <t>Ej</t>
  </si>
  <si>
    <t>Ctot</t>
  </si>
  <si>
    <t>Loaded Cap (fF)</t>
  </si>
  <si>
    <t>Ca(pf/um^2)</t>
  </si>
  <si>
    <t>Jc (uA/um^2)</t>
  </si>
  <si>
    <t>Vu (V)</t>
  </si>
  <si>
    <t>PSCAN Scalar</t>
  </si>
  <si>
    <t>Real to PSCAN</t>
  </si>
  <si>
    <t>PSCAN to real</t>
  </si>
  <si>
    <t>Iu (A)</t>
  </si>
  <si>
    <t>Independent Variables</t>
  </si>
  <si>
    <t>PSCAN Scalars</t>
  </si>
  <si>
    <t>PSCAN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</si>
</sst>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8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4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Font="1"/>
    <xf numFmtId="0" fontId="1" fillId="0" borderId="1" xfId="1"/>
    <xf numFmtId="0" fontId="3" fillId="3" borderId="0" xfId="0" applyFont="1" applyFill="1"/>
    <xf numFmtId="0" fontId="0" fillId="3" borderId="0" xfId="0" applyFill="1"/>
    <xf numFmtId="11" fontId="0" fillId="0" borderId="0" xfId="0" applyNumberFormat="1"/>
    <xf numFmtId="2" fontId="0" fillId="0" borderId="0" xfId="0" applyNumberFormat="1"/>
    <xf numFmtId="0" fontId="2" fillId="2" borderId="6" xfId="0" applyFont="1" applyFill="1" applyBorder="1"/>
    <xf numFmtId="0" fontId="0" fillId="4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11" fontId="0" fillId="0" borderId="3" xfId="0" applyNumberFormat="1" applyFont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4" borderId="10" xfId="0" applyFont="1" applyFill="1" applyBorder="1"/>
    <xf numFmtId="0" fontId="0" fillId="4" borderId="9" xfId="0" applyNumberFormat="1" applyFont="1" applyFill="1" applyBorder="1"/>
    <xf numFmtId="0" fontId="4" fillId="0" borderId="11" xfId="0" applyFont="1" applyBorder="1"/>
    <xf numFmtId="0" fontId="4" fillId="0" borderId="12" xfId="0" applyFont="1" applyBorder="1"/>
  </cellXfs>
  <cellStyles count="2">
    <cellStyle name="Heading 1" xfId="1" builtinId="16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 outline="0">
        <left/>
        <right/>
        <top/>
        <bottom style="thin">
          <color theme="4" tint="0.39997558519241921"/>
        </bottom>
      </border>
    </dxf>
    <dxf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0CAF3DC-9F04-0549-8A8D-DCDA2968EB85}" name="Table2" displayName="Table2" ref="A2:D8" totalsRowShown="0">
  <autoFilter ref="A2:D8" xr:uid="{E308D5BF-CFEB-A243-9DBB-9AF7B900B0B1}">
    <filterColumn colId="0" hiddenButton="1"/>
    <filterColumn colId="1" hiddenButton="1"/>
    <filterColumn colId="2" hiddenButton="1"/>
    <filterColumn colId="3" hiddenButton="1"/>
  </autoFilter>
  <tableColumns count="4">
    <tableColumn id="1" xr3:uid="{C65014CC-F284-E64E-948B-39A54D165970}" name="Property"/>
    <tableColumn id="2" xr3:uid="{13B2519D-5A58-804B-9C35-98AB5948A56C}" name="Quantity" dataDxfId="9"/>
    <tableColumn id="3" xr3:uid="{FCB52C0A-16B5-294F-A139-6FE99D7DB698}" name="Unit"/>
    <tableColumn id="4" xr3:uid="{E7E2774B-4C96-444B-853F-5CC9D6BA06FC}" name="pscan unit" dataDxfId="8">
      <calculatedColumnFormula>Table2[[#This Row],[Quantity]]/#REF!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13954C-D418-FE45-8C18-DD23FF4627E1}" name="Table24" displayName="Table24" ref="A13:D19" totalsRowShown="0">
  <autoFilter ref="A13:D19" xr:uid="{CE92348D-F91B-2240-9ECB-75330AA81AF6}">
    <filterColumn colId="0" hiddenButton="1"/>
    <filterColumn colId="1" hiddenButton="1"/>
    <filterColumn colId="2" hiddenButton="1"/>
    <filterColumn colId="3" hiddenButton="1"/>
  </autoFilter>
  <tableColumns count="4">
    <tableColumn id="1" xr3:uid="{3D13412B-55C1-B642-BD8B-4E3C12D521B4}" name="Property"/>
    <tableColumn id="2" xr3:uid="{64C51D25-44E1-F041-9BF4-69F285334051}" name="pscan unit" dataDxfId="7"/>
    <tableColumn id="3" xr3:uid="{7B274B39-18B9-AE4F-9FC7-92EE3D341577}" name="Quantity"/>
    <tableColumn id="6" xr3:uid="{3E5A870D-D622-2B46-B731-8163F5CA32A3}" name="Unit" data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DC51DC-20B3-3E41-95D7-214F2199F942}" name="Table4" displayName="Table4" ref="F3:G5" headerRowCount="0" totalsRowShown="0">
  <tableColumns count="2">
    <tableColumn id="1" xr3:uid="{5B096D4A-FAB8-0749-98CE-C9D15392FC6B}" name="Column1"/>
    <tableColumn id="2" xr3:uid="{8185B97D-514E-7A47-B8C5-F2A3CE70828C}" name="Column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AFA741-D749-3D44-A3F7-6985D16AFEE5}" name="Table8" displayName="Table8" ref="F10:G13" headerRowCount="0" totalsRowShown="0" headerRowBorderDxfId="5" tableBorderDxfId="4" totalsRowBorderDxfId="3">
  <tableColumns count="2">
    <tableColumn id="1" xr3:uid="{F8B4AD81-D588-3344-B108-38FC21D239D1}" name="Column1" headerRowDxfId="2"/>
    <tableColumn id="2" xr3:uid="{4699D59D-E6F5-AE4E-A227-60B76FA929AF}" name="Column2" headerRowDxfId="1" dataDxfId="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8796E64-658B-1844-99BE-0A5DFDF803A7}" name="Table5" displayName="Table5" ref="A7:D9" totalsRowShown="0">
  <autoFilter ref="A7:D9" xr:uid="{E1494056-5C85-4D4D-A09D-8F2B53BEC0D3}">
    <filterColumn colId="0" hiddenButton="1"/>
    <filterColumn colId="1" hiddenButton="1"/>
    <filterColumn colId="2" hiddenButton="1"/>
    <filterColumn colId="3" hiddenButton="1"/>
  </autoFilter>
  <tableColumns count="4">
    <tableColumn id="1" xr3:uid="{E5521EE0-D428-1849-8A09-9BE70862A8B0}" name="Side (μm)"/>
    <tableColumn id="2" xr3:uid="{D9605433-23CC-1143-BB1E-BE830CE94075}" name="Area (μm^2)">
      <calculatedColumnFormula>Table5[Side (μm)]^2</calculatedColumnFormula>
    </tableColumn>
    <tableColumn id="3" xr3:uid="{6F674FFC-4E70-5E4F-8563-345923C71452}" name="Layer Cap(fF/μm^2)"/>
    <tableColumn id="4" xr3:uid="{D62E4643-2B55-9B41-AE34-65E1CDACC90C}" name="Capactiance (fF)">
      <calculatedColumnFormula>Table5[Layer Cap(fF/μm^2)]*Table5[Area (μm^2)]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D6CAB71-80A4-244B-90DF-F06AD90597D7}" name="Table6" displayName="Table6" ref="A2:B5" totalsRowShown="0">
  <autoFilter ref="A2:B5" xr:uid="{E1BB1D97-F92C-6E48-928F-B454BD09B98A}">
    <filterColumn colId="0" hiddenButton="1"/>
    <filterColumn colId="1" hiddenButton="1"/>
  </autoFilter>
  <tableColumns count="2">
    <tableColumn id="1" xr3:uid="{FD845EBE-0C61-C842-ADEE-E4453FBE9B37}" name="Layer"/>
    <tableColumn id="2" xr3:uid="{7F4321B1-CB5C-C24B-91E2-CD55ABD6827D}" name="Cap (ff/um^2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DD3EFA-598C-E34C-BC02-89ECDB4E5207}" name="Table7" displayName="Table7" ref="G9:I13" totalsRowShown="0">
  <autoFilter ref="G9:I13" xr:uid="{2CCA97A4-4F17-7148-9BEE-A6041626FC1A}">
    <filterColumn colId="0" hiddenButton="1"/>
    <filterColumn colId="1" hiddenButton="1"/>
    <filterColumn colId="2" hiddenButton="1"/>
  </autoFilter>
  <tableColumns count="3">
    <tableColumn id="1" xr3:uid="{2633738C-0868-724C-9A53-58B46A776990}" name="Ind. Param"/>
    <tableColumn id="2" xr3:uid="{DA06F9F6-E388-5147-A0C6-620AEC8729A6}" name="Target Value"/>
    <tableColumn id="4" xr3:uid="{536860C8-7B25-6741-BC48-0F6BAF154812}" name="Real Units"/>
  </tableColumns>
  <tableStyleInfo name="TableStyleMedium2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81681C7-04BD-D742-B7D5-FFF7C1FEB9A0}" name="Table10" displayName="Table10" ref="G3:H6" totalsRowShown="0">
  <autoFilter ref="G3:H6" xr:uid="{2EF22DE8-B1FB-DE48-8209-5E455DC08F07}">
    <filterColumn colId="0" hiddenButton="1"/>
    <filterColumn colId="1" hiddenButton="1"/>
  </autoFilter>
  <tableColumns count="2">
    <tableColumn id="1" xr3:uid="{A2F2F823-39F0-1442-8073-22E15E339E4B}" name="Constant"/>
    <tableColumn id="2" xr3:uid="{38D0E2F8-8B9E-F740-B515-1C9414C7A210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345CE-7C49-8E4E-884F-BFB6F8130103}">
  <dimension ref="A1:J19"/>
  <sheetViews>
    <sheetView zoomScale="167" zoomScaleNormal="167" workbookViewId="0">
      <selection activeCell="B6" sqref="B6"/>
    </sheetView>
  </sheetViews>
  <sheetFormatPr baseColWidth="10" defaultRowHeight="16" x14ac:dyDescent="0.2"/>
  <cols>
    <col min="1" max="1" width="17" customWidth="1"/>
    <col min="2" max="2" width="12.83203125" customWidth="1"/>
    <col min="3" max="3" width="12.1640625" bestFit="1" customWidth="1"/>
    <col min="4" max="4" width="17" customWidth="1"/>
    <col min="5" max="5" width="6.6640625" customWidth="1"/>
    <col min="6" max="6" width="13.1640625" customWidth="1"/>
    <col min="7" max="7" width="12.1640625" customWidth="1"/>
    <col min="8" max="8" width="6.1640625" customWidth="1"/>
    <col min="9" max="9" width="12.5" customWidth="1"/>
    <col min="10" max="10" width="13.33203125" customWidth="1"/>
  </cols>
  <sheetData>
    <row r="1" spans="1:10" ht="21" thickBot="1" x14ac:dyDescent="0.3">
      <c r="A1" s="8" t="s">
        <v>53</v>
      </c>
      <c r="F1" s="23" t="s">
        <v>56</v>
      </c>
      <c r="G1" s="23"/>
      <c r="I1" s="22" t="s">
        <v>57</v>
      </c>
      <c r="J1" s="22"/>
    </row>
    <row r="2" spans="1:10" ht="17" thickTop="1" x14ac:dyDescent="0.2">
      <c r="A2" s="7" t="s">
        <v>3</v>
      </c>
      <c r="B2" t="s">
        <v>0</v>
      </c>
      <c r="C2" t="s">
        <v>1</v>
      </c>
      <c r="D2" t="s">
        <v>2</v>
      </c>
      <c r="F2" s="15" t="s">
        <v>50</v>
      </c>
      <c r="G2" s="16">
        <v>1</v>
      </c>
      <c r="I2" s="1" t="s">
        <v>3</v>
      </c>
      <c r="J2" s="2" t="s">
        <v>52</v>
      </c>
    </row>
    <row r="3" spans="1:10" x14ac:dyDescent="0.2">
      <c r="A3" t="s">
        <v>14</v>
      </c>
      <c r="B3" s="10">
        <v>3.6520000000000001</v>
      </c>
      <c r="C3" t="s">
        <v>15</v>
      </c>
      <c r="D3">
        <f>Table2[[#This Row],[Quantity]]/J3/1000000000000</f>
        <v>0.99996275298622939</v>
      </c>
      <c r="F3" t="s">
        <v>49</v>
      </c>
      <c r="G3">
        <f>1/(24.7-2*LN(G2))</f>
        <v>4.048582995951417E-2</v>
      </c>
      <c r="I3" s="3" t="s">
        <v>14</v>
      </c>
      <c r="J3" s="4">
        <f>phi0/(2*pi*G4)</f>
        <v>3.6521360311610451E-12</v>
      </c>
    </row>
    <row r="4" spans="1:10" x14ac:dyDescent="0.2">
      <c r="A4" t="s">
        <v>4</v>
      </c>
      <c r="B4" s="10">
        <v>1</v>
      </c>
      <c r="C4" t="s">
        <v>10</v>
      </c>
      <c r="D4">
        <f>Table2[[#This Row],[Quantity]]/J4/1000000</f>
        <v>0.19999999999999998</v>
      </c>
      <c r="F4" t="s">
        <v>51</v>
      </c>
      <c r="G4">
        <f>SQRT(phi0*G2)/SQRT(2*pi*G3)*1000</f>
        <v>9.020775996967779E-5</v>
      </c>
      <c r="I4" s="3" t="s">
        <v>4</v>
      </c>
      <c r="J4" s="4">
        <f>G5</f>
        <v>5.0000000000000004E-6</v>
      </c>
    </row>
    <row r="5" spans="1:10" x14ac:dyDescent="0.2">
      <c r="A5" t="s">
        <v>5</v>
      </c>
      <c r="B5" s="10">
        <v>20</v>
      </c>
      <c r="C5" t="s">
        <v>9</v>
      </c>
      <c r="D5">
        <f>Table2[[#This Row],[Quantity]]/J5/1000000000000</f>
        <v>0.3035355220859704</v>
      </c>
      <c r="F5" t="s">
        <v>55</v>
      </c>
      <c r="G5" s="11">
        <v>5.0000000000000004E-6</v>
      </c>
      <c r="I5" s="3" t="s">
        <v>5</v>
      </c>
      <c r="J5" s="17">
        <f>0.00000000000000207 /(2*PI()) / (G5)</f>
        <v>6.5890146440044665E-11</v>
      </c>
    </row>
    <row r="6" spans="1:10" x14ac:dyDescent="0.2">
      <c r="A6" t="s">
        <v>6</v>
      </c>
      <c r="B6" s="10">
        <v>3000</v>
      </c>
      <c r="C6" t="s">
        <v>11</v>
      </c>
      <c r="D6">
        <f>Table2[[#This Row],[Quantity]]/J6/1000000000000000</f>
        <v>14.819999999999993</v>
      </c>
      <c r="I6" s="3" t="s">
        <v>6</v>
      </c>
      <c r="J6" s="4">
        <f>J3/J7</f>
        <v>2.0242914979757094E-13</v>
      </c>
    </row>
    <row r="7" spans="1:10" x14ac:dyDescent="0.2">
      <c r="A7" t="s">
        <v>7</v>
      </c>
      <c r="B7" s="10">
        <v>11</v>
      </c>
      <c r="C7" t="s">
        <v>12</v>
      </c>
      <c r="D7">
        <f>Table2[[#This Row],[Quantity]]/J7</f>
        <v>0.60970364432602653</v>
      </c>
      <c r="I7" s="3" t="s">
        <v>7</v>
      </c>
      <c r="J7" s="4">
        <f>J8/J4</f>
        <v>18.041551993935556</v>
      </c>
    </row>
    <row r="8" spans="1:10" x14ac:dyDescent="0.2">
      <c r="A8" t="s">
        <v>8</v>
      </c>
      <c r="B8" s="10">
        <v>0.09</v>
      </c>
      <c r="C8" t="s">
        <v>13</v>
      </c>
      <c r="D8">
        <f>Table2[[#This Row],[Quantity]]/J8/1000</f>
        <v>0.99769687253349781</v>
      </c>
      <c r="I8" s="5" t="s">
        <v>8</v>
      </c>
      <c r="J8" s="6">
        <f>G4</f>
        <v>9.020775996967779E-5</v>
      </c>
    </row>
    <row r="9" spans="1:10" ht="21" thickBot="1" x14ac:dyDescent="0.3">
      <c r="F9" s="8" t="s">
        <v>19</v>
      </c>
    </row>
    <row r="10" spans="1:10" ht="17" thickTop="1" x14ac:dyDescent="0.2">
      <c r="F10" s="18" t="s">
        <v>58</v>
      </c>
      <c r="G10" s="21">
        <v>0.2</v>
      </c>
    </row>
    <row r="11" spans="1:10" x14ac:dyDescent="0.2">
      <c r="F11" s="13" t="s">
        <v>18</v>
      </c>
      <c r="G11" s="14">
        <f>G10*J4*1000000</f>
        <v>1.0000000000000002</v>
      </c>
    </row>
    <row r="12" spans="1:10" ht="21" thickBot="1" x14ac:dyDescent="0.3">
      <c r="A12" s="8" t="s">
        <v>54</v>
      </c>
      <c r="F12" s="13" t="s">
        <v>16</v>
      </c>
      <c r="G12" s="14">
        <f>2*SQRT(G10*J4/(G2/1000000)/PI())</f>
        <v>1.1283791670955128</v>
      </c>
    </row>
    <row r="13" spans="1:10" ht="17" thickTop="1" x14ac:dyDescent="0.2">
      <c r="A13" t="s">
        <v>3</v>
      </c>
      <c r="B13" t="s">
        <v>2</v>
      </c>
      <c r="C13" t="s">
        <v>0</v>
      </c>
      <c r="D13" t="s">
        <v>1</v>
      </c>
      <c r="F13" s="19" t="s">
        <v>17</v>
      </c>
      <c r="G13" s="20">
        <f>(1/(24.7-2*LN(G2)))*PI()*(G12/2)^2</f>
        <v>4.0485829959514184E-2</v>
      </c>
    </row>
    <row r="14" spans="1:10" x14ac:dyDescent="0.2">
      <c r="A14" t="s">
        <v>14</v>
      </c>
      <c r="B14" s="9">
        <v>5000</v>
      </c>
      <c r="C14">
        <f>Table24[[#This Row],[pscan unit]]*J3*1000000000000</f>
        <v>18260.680155805228</v>
      </c>
      <c r="D14" t="s">
        <v>15</v>
      </c>
    </row>
    <row r="15" spans="1:10" x14ac:dyDescent="0.2">
      <c r="A15" t="s">
        <v>4</v>
      </c>
      <c r="B15" s="9">
        <v>1</v>
      </c>
      <c r="C15">
        <f>Table24[[#This Row],[pscan unit]]*J4*1000000</f>
        <v>5</v>
      </c>
      <c r="D15" t="s">
        <v>10</v>
      </c>
    </row>
    <row r="16" spans="1:10" x14ac:dyDescent="0.2">
      <c r="A16" t="s">
        <v>5</v>
      </c>
      <c r="B16" s="9">
        <v>0.1</v>
      </c>
      <c r="C16">
        <f>Table24[[#This Row],[pscan unit]]*J5/0.000000000001</f>
        <v>6.5890146440044672</v>
      </c>
      <c r="D16" t="s">
        <v>9</v>
      </c>
    </row>
    <row r="17" spans="1:4" x14ac:dyDescent="0.2">
      <c r="A17" t="s">
        <v>6</v>
      </c>
      <c r="B17" s="9">
        <v>1</v>
      </c>
      <c r="C17">
        <f>Table24[[#This Row],[pscan unit]]*J6*1000000000000000</f>
        <v>202.42914979757094</v>
      </c>
      <c r="D17" t="s">
        <v>11</v>
      </c>
    </row>
    <row r="18" spans="1:4" x14ac:dyDescent="0.2">
      <c r="A18" t="s">
        <v>7</v>
      </c>
      <c r="B18" s="9">
        <v>1</v>
      </c>
      <c r="C18">
        <f>Table24[[#This Row],[pscan unit]]*J7</f>
        <v>18.041551993935556</v>
      </c>
      <c r="D18" t="s">
        <v>12</v>
      </c>
    </row>
    <row r="19" spans="1:4" x14ac:dyDescent="0.2">
      <c r="A19" t="s">
        <v>8</v>
      </c>
      <c r="B19" s="9">
        <v>1</v>
      </c>
      <c r="C19">
        <f>Table24[[#This Row],[pscan unit]]*J8*1000</f>
        <v>9.0207759969677795E-2</v>
      </c>
      <c r="D19" t="s">
        <v>13</v>
      </c>
    </row>
  </sheetData>
  <mergeCells count="2">
    <mergeCell ref="I1:J1"/>
    <mergeCell ref="F1:G1"/>
  </mergeCells>
  <dataValidations disablePrompts="1" count="1">
    <dataValidation type="list" allowBlank="1" showInputMessage="1" showErrorMessage="1" sqref="G2" xr:uid="{0E77588F-26DA-C84F-ABBE-870D359F569C}">
      <formula1>"45, 10, 1"</formula1>
    </dataValidation>
  </dataValidations>
  <pageMargins left="0.7" right="0.7" top="0.75" bottom="0.75" header="0.3" footer="0.3"/>
  <pageSetup orientation="portrait" horizontalDpi="0" verticalDpi="0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8899A-65F5-FB45-9431-5BE6358E9CC0}">
  <dimension ref="A1:I21"/>
  <sheetViews>
    <sheetView tabSelected="1" zoomScale="140" zoomScaleNormal="140" workbookViewId="0">
      <selection activeCell="A9" sqref="A9"/>
    </sheetView>
  </sheetViews>
  <sheetFormatPr baseColWidth="10" defaultRowHeight="16" x14ac:dyDescent="0.2"/>
  <cols>
    <col min="2" max="2" width="12.6640625" customWidth="1"/>
    <col min="3" max="3" width="17.6640625" customWidth="1"/>
    <col min="4" max="4" width="14.6640625" customWidth="1"/>
    <col min="7" max="7" width="18.33203125" customWidth="1"/>
    <col min="8" max="8" width="13.1640625" customWidth="1"/>
    <col min="9" max="9" width="12.83203125" bestFit="1" customWidth="1"/>
  </cols>
  <sheetData>
    <row r="1" spans="1:9" x14ac:dyDescent="0.2">
      <c r="A1" t="s">
        <v>25</v>
      </c>
    </row>
    <row r="2" spans="1:9" x14ac:dyDescent="0.2">
      <c r="A2" t="s">
        <v>26</v>
      </c>
      <c r="B2" t="s">
        <v>42</v>
      </c>
    </row>
    <row r="3" spans="1:9" x14ac:dyDescent="0.2">
      <c r="A3" t="s">
        <v>22</v>
      </c>
      <c r="B3">
        <v>0.28000000000000003</v>
      </c>
      <c r="G3" t="s">
        <v>38</v>
      </c>
      <c r="H3" t="s">
        <v>27</v>
      </c>
    </row>
    <row r="4" spans="1:9" x14ac:dyDescent="0.2">
      <c r="A4" t="s">
        <v>23</v>
      </c>
      <c r="B4">
        <v>0.42</v>
      </c>
      <c r="G4" t="s">
        <v>35</v>
      </c>
      <c r="H4" s="11">
        <v>6.6259999999999998E-34</v>
      </c>
    </row>
    <row r="5" spans="1:9" x14ac:dyDescent="0.2">
      <c r="A5" t="s">
        <v>24</v>
      </c>
      <c r="B5">
        <v>0.08</v>
      </c>
      <c r="G5" t="s">
        <v>36</v>
      </c>
      <c r="H5" s="11">
        <v>1.5999999999999999E-19</v>
      </c>
    </row>
    <row r="6" spans="1:9" x14ac:dyDescent="0.2">
      <c r="G6" t="s">
        <v>37</v>
      </c>
      <c r="H6" s="11">
        <f>H4/(2*H5)</f>
        <v>2.070625E-15</v>
      </c>
    </row>
    <row r="7" spans="1:9" x14ac:dyDescent="0.2">
      <c r="A7" t="s">
        <v>20</v>
      </c>
      <c r="B7" t="s">
        <v>21</v>
      </c>
      <c r="C7" t="s">
        <v>41</v>
      </c>
      <c r="D7" t="s">
        <v>39</v>
      </c>
    </row>
    <row r="8" spans="1:9" x14ac:dyDescent="0.2">
      <c r="A8">
        <v>100</v>
      </c>
      <c r="B8">
        <f>Table5[Side (μm)]^2</f>
        <v>10000</v>
      </c>
      <c r="C8">
        <v>0.42</v>
      </c>
      <c r="D8">
        <f>Table5[Layer Cap(fF/μm^2)]*Table5[Area (μm^2)]</f>
        <v>4200</v>
      </c>
    </row>
    <row r="9" spans="1:9" x14ac:dyDescent="0.2">
      <c r="A9">
        <f>SQRT(Table5[[#This Row],[Area (μm^2)]])</f>
        <v>84.515425472851661</v>
      </c>
      <c r="B9">
        <f>Table5[[#This Row],[Capactiance (fF)]]/Table5[[#This Row],[Layer Cap(fF/μm^2)]]</f>
        <v>7142.8571428571431</v>
      </c>
      <c r="C9">
        <v>0.42</v>
      </c>
      <c r="D9">
        <f>H12*1000</f>
        <v>3000</v>
      </c>
      <c r="G9" t="s">
        <v>32</v>
      </c>
      <c r="H9" t="s">
        <v>28</v>
      </c>
      <c r="I9" t="s">
        <v>34</v>
      </c>
    </row>
    <row r="10" spans="1:9" x14ac:dyDescent="0.2">
      <c r="G10" t="s">
        <v>29</v>
      </c>
      <c r="H10">
        <v>1</v>
      </c>
      <c r="I10" s="11">
        <f>Table7[[#This Row],[Target Value]]*0.000001</f>
        <v>9.9999999999999995E-7</v>
      </c>
    </row>
    <row r="11" spans="1:9" x14ac:dyDescent="0.2">
      <c r="G11" t="s">
        <v>30</v>
      </c>
      <c r="H11">
        <v>1</v>
      </c>
      <c r="I11" s="11">
        <f>Table7[[#This Row],[Target Value]]*0.000000001</f>
        <v>1.0000000000000001E-9</v>
      </c>
    </row>
    <row r="12" spans="1:9" x14ac:dyDescent="0.2">
      <c r="G12" t="s">
        <v>40</v>
      </c>
      <c r="H12">
        <v>3</v>
      </c>
      <c r="I12" s="11">
        <f>Table7[[#This Row],[Target Value]]*0.000000000001</f>
        <v>3.0000000000000001E-12</v>
      </c>
    </row>
    <row r="13" spans="1:9" x14ac:dyDescent="0.2">
      <c r="G13" t="s">
        <v>48</v>
      </c>
      <c r="H13">
        <v>100</v>
      </c>
      <c r="I13">
        <f>Table7[[#This Row],[Target Value]]*0.000000000000001</f>
        <v>1E-13</v>
      </c>
    </row>
    <row r="15" spans="1:9" x14ac:dyDescent="0.2">
      <c r="G15" t="s">
        <v>31</v>
      </c>
    </row>
    <row r="16" spans="1:9" x14ac:dyDescent="0.2">
      <c r="G16" t="s">
        <v>33</v>
      </c>
      <c r="H16" s="12">
        <f>2*PI()*I10*I11/H6</f>
        <v>3.0344390255017619</v>
      </c>
    </row>
    <row r="17" spans="7:8" x14ac:dyDescent="0.2">
      <c r="G17" t="s">
        <v>46</v>
      </c>
      <c r="H17">
        <f>I10*H6/(2*PI())</f>
        <v>3.2955020403965579E-22</v>
      </c>
    </row>
    <row r="18" spans="7:8" x14ac:dyDescent="0.2">
      <c r="G18" t="s">
        <v>47</v>
      </c>
      <c r="H18" s="11">
        <f>I12+I13</f>
        <v>3.1000000000000001E-12</v>
      </c>
    </row>
    <row r="19" spans="7:8" x14ac:dyDescent="0.2">
      <c r="G19" t="s">
        <v>45</v>
      </c>
      <c r="H19">
        <f>(1/I11)*(H6/(2*PI()))^2 + H17</f>
        <v>4.3815354102223455E-22</v>
      </c>
    </row>
    <row r="20" spans="7:8" x14ac:dyDescent="0.2">
      <c r="G20" t="s">
        <v>43</v>
      </c>
      <c r="H20" s="11">
        <f>(2*PI()/H6)*SQRT((1/H18)*H19)/1000000000</f>
        <v>36.075364775844548</v>
      </c>
    </row>
    <row r="21" spans="7:8" x14ac:dyDescent="0.2">
      <c r="G21" t="s">
        <v>44</v>
      </c>
      <c r="H21" s="11">
        <f>H20/(2*PI())</f>
        <v>5.741572627918905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SFQ Conversions</vt:lpstr>
      <vt:lpstr>JPM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Jordan Howington</dc:creator>
  <cp:lastModifiedBy>Caleb Jordan Howington</cp:lastModifiedBy>
  <dcterms:created xsi:type="dcterms:W3CDTF">2018-06-26T19:27:25Z</dcterms:created>
  <dcterms:modified xsi:type="dcterms:W3CDTF">2018-09-27T18:44:12Z</dcterms:modified>
</cp:coreProperties>
</file>