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-7815" yWindow="1200" windowWidth="20490" windowHeight="6870" activeTab="3"/>
  </bookViews>
  <sheets>
    <sheet name="Drummond" sheetId="10" r:id="rId1"/>
    <sheet name="DrummondSQL" sheetId="11" r:id="rId2"/>
    <sheet name="InfoGard" sheetId="8" r:id="rId3"/>
    <sheet name="InfoGardSQL" sheetId="6" r:id="rId4"/>
    <sheet name="Lookup" sheetId="9" r:id="rId5"/>
  </sheets>
  <definedNames>
    <definedName name="_xlnm._FilterDatabase" localSheetId="1" hidden="1">DrummondSQL!$A$1:$H$1601</definedName>
    <definedName name="_xlnm._FilterDatabase" localSheetId="3" hidden="1">InfoGardSQL!$A$1:$H$1601</definedName>
  </definedNames>
  <calcPr calcId="152511"/>
</workbook>
</file>

<file path=xl/calcChain.xml><?xml version="1.0" encoding="utf-8"?>
<calcChain xmlns="http://schemas.openxmlformats.org/spreadsheetml/2006/main">
  <c r="B415" i="11" l="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F236" i="11" s="1"/>
  <c r="B235" i="11"/>
  <c r="B234" i="11"/>
  <c r="B233" i="11"/>
  <c r="B232" i="11"/>
  <c r="B231" i="11"/>
  <c r="B230" i="11"/>
  <c r="B229" i="11"/>
  <c r="B228" i="11"/>
  <c r="F228" i="11" s="1"/>
  <c r="B227" i="11"/>
  <c r="B226" i="11"/>
  <c r="B225" i="11"/>
  <c r="B224" i="11"/>
  <c r="B223" i="11"/>
  <c r="B222" i="11"/>
  <c r="B221" i="11"/>
  <c r="B220" i="11"/>
  <c r="F220" i="11" s="1"/>
  <c r="B219" i="11"/>
  <c r="B218" i="11"/>
  <c r="B217" i="11"/>
  <c r="B216" i="11"/>
  <c r="B215" i="11"/>
  <c r="B214" i="11"/>
  <c r="B213" i="11"/>
  <c r="B212" i="11"/>
  <c r="F212" i="11" s="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F120" i="11" s="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F104" i="11" s="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F88" i="11" s="1"/>
  <c r="B87" i="11"/>
  <c r="B86" i="11"/>
  <c r="B85" i="11"/>
  <c r="B84" i="11"/>
  <c r="B83" i="11"/>
  <c r="B82" i="11"/>
  <c r="B81" i="11"/>
  <c r="B80" i="11"/>
  <c r="F80" i="11" s="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F64" i="11" s="1"/>
  <c r="B63" i="11"/>
  <c r="B62" i="11"/>
  <c r="B61" i="11"/>
  <c r="B60" i="11"/>
  <c r="B59" i="11"/>
  <c r="B58" i="11"/>
  <c r="B57" i="11"/>
  <c r="B56" i="11"/>
  <c r="F56" i="11" s="1"/>
  <c r="B55" i="11"/>
  <c r="B54" i="11"/>
  <c r="B53" i="11"/>
  <c r="B52" i="11"/>
  <c r="B51" i="11"/>
  <c r="B50" i="11"/>
  <c r="B49" i="11"/>
  <c r="B48" i="11"/>
  <c r="F48" i="11" s="1"/>
  <c r="B47" i="11"/>
  <c r="B46" i="11"/>
  <c r="B45" i="11"/>
  <c r="B44" i="11"/>
  <c r="B43" i="11"/>
  <c r="B42" i="11"/>
  <c r="B41" i="11"/>
  <c r="B40" i="11"/>
  <c r="F40" i="11" s="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F20" i="11" s="1"/>
  <c r="B19" i="11"/>
  <c r="B18" i="11"/>
  <c r="B17" i="11"/>
  <c r="B16" i="11"/>
  <c r="F16" i="11" s="1"/>
  <c r="B15" i="11"/>
  <c r="B14" i="11"/>
  <c r="B13" i="11"/>
  <c r="B12" i="11"/>
  <c r="B11" i="11"/>
  <c r="B10" i="11"/>
  <c r="B9" i="11"/>
  <c r="B8" i="11"/>
  <c r="F8" i="11" s="1"/>
  <c r="B7" i="11"/>
  <c r="B6" i="11"/>
  <c r="B5" i="11"/>
  <c r="B4" i="11"/>
  <c r="B3" i="11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42" i="6"/>
  <c r="F405" i="11"/>
  <c r="F397" i="11"/>
  <c r="F389" i="11"/>
  <c r="F381" i="11"/>
  <c r="F373" i="11"/>
  <c r="F369" i="11"/>
  <c r="F365" i="11"/>
  <c r="F361" i="11"/>
  <c r="F353" i="11"/>
  <c r="F345" i="11"/>
  <c r="F341" i="11"/>
  <c r="F337" i="11"/>
  <c r="F329" i="11"/>
  <c r="F321" i="11"/>
  <c r="F313" i="11"/>
  <c r="F305" i="11"/>
  <c r="F301" i="11"/>
  <c r="F297" i="11"/>
  <c r="F293" i="11"/>
  <c r="F289" i="11"/>
  <c r="F285" i="11"/>
  <c r="F281" i="11"/>
  <c r="F277" i="11"/>
  <c r="F273" i="11"/>
  <c r="F269" i="11"/>
  <c r="F265" i="11"/>
  <c r="F261" i="11"/>
  <c r="F257" i="11"/>
  <c r="F253" i="11"/>
  <c r="F249" i="11"/>
  <c r="F245" i="11"/>
  <c r="F241" i="11"/>
  <c r="F169" i="11"/>
  <c r="F165" i="11"/>
  <c r="F157" i="11"/>
  <c r="F153" i="11"/>
  <c r="F149" i="11"/>
  <c r="F141" i="11"/>
  <c r="F137" i="11"/>
  <c r="F121" i="11"/>
  <c r="F105" i="11"/>
  <c r="F97" i="11"/>
  <c r="F89" i="11"/>
  <c r="F81" i="11"/>
  <c r="F73" i="11"/>
  <c r="F57" i="11"/>
  <c r="F49" i="11"/>
  <c r="F41" i="11"/>
  <c r="E13" i="11"/>
  <c r="E5" i="11"/>
  <c r="B2" i="11"/>
  <c r="F415" i="11"/>
  <c r="E415" i="11"/>
  <c r="D415" i="11"/>
  <c r="C415" i="11"/>
  <c r="A415" i="11"/>
  <c r="F414" i="11"/>
  <c r="E414" i="11"/>
  <c r="D414" i="11"/>
  <c r="C414" i="11"/>
  <c r="A414" i="11"/>
  <c r="F413" i="11"/>
  <c r="E413" i="11"/>
  <c r="D413" i="11"/>
  <c r="C413" i="11"/>
  <c r="A413" i="11"/>
  <c r="F412" i="11"/>
  <c r="E412" i="11"/>
  <c r="D412" i="11"/>
  <c r="C412" i="11"/>
  <c r="A412" i="11"/>
  <c r="F411" i="11"/>
  <c r="E411" i="11"/>
  <c r="D411" i="11"/>
  <c r="C411" i="11"/>
  <c r="A411" i="11"/>
  <c r="F410" i="11"/>
  <c r="E410" i="11"/>
  <c r="D410" i="11"/>
  <c r="C410" i="11"/>
  <c r="A410" i="11"/>
  <c r="F409" i="11"/>
  <c r="E409" i="11"/>
  <c r="D409" i="11"/>
  <c r="C409" i="11"/>
  <c r="A409" i="11"/>
  <c r="D408" i="11"/>
  <c r="C408" i="11"/>
  <c r="A408" i="11"/>
  <c r="D407" i="11"/>
  <c r="C407" i="11"/>
  <c r="F407" i="11"/>
  <c r="A407" i="11"/>
  <c r="E407" i="11" s="1"/>
  <c r="D406" i="11"/>
  <c r="C406" i="11"/>
  <c r="F406" i="11" s="1"/>
  <c r="A406" i="11"/>
  <c r="E406" i="11" s="1"/>
  <c r="D405" i="11"/>
  <c r="C405" i="11"/>
  <c r="A405" i="11"/>
  <c r="D404" i="11"/>
  <c r="C404" i="11"/>
  <c r="A404" i="11"/>
  <c r="D403" i="11"/>
  <c r="C403" i="11"/>
  <c r="F403" i="11"/>
  <c r="A403" i="11"/>
  <c r="E403" i="11" s="1"/>
  <c r="D402" i="11"/>
  <c r="C402" i="11"/>
  <c r="F402" i="11" s="1"/>
  <c r="A402" i="11"/>
  <c r="E402" i="11" s="1"/>
  <c r="D401" i="11"/>
  <c r="C401" i="11"/>
  <c r="F401" i="11"/>
  <c r="A401" i="11"/>
  <c r="D400" i="11"/>
  <c r="C400" i="11"/>
  <c r="F400" i="11" s="1"/>
  <c r="A400" i="11"/>
  <c r="D399" i="11"/>
  <c r="C399" i="11"/>
  <c r="F399" i="11"/>
  <c r="A399" i="11"/>
  <c r="E399" i="11" s="1"/>
  <c r="D398" i="11"/>
  <c r="C398" i="11"/>
  <c r="F398" i="11" s="1"/>
  <c r="A398" i="11"/>
  <c r="E398" i="11" s="1"/>
  <c r="D397" i="11"/>
  <c r="C397" i="11"/>
  <c r="A397" i="11"/>
  <c r="D396" i="11"/>
  <c r="C396" i="11"/>
  <c r="A396" i="11"/>
  <c r="D395" i="11"/>
  <c r="C395" i="11"/>
  <c r="F395" i="11"/>
  <c r="A395" i="11"/>
  <c r="E395" i="11" s="1"/>
  <c r="D394" i="11"/>
  <c r="C394" i="11"/>
  <c r="F394" i="11" s="1"/>
  <c r="A394" i="11"/>
  <c r="E394" i="11" s="1"/>
  <c r="F393" i="11"/>
  <c r="D393" i="11"/>
  <c r="C393" i="11"/>
  <c r="A393" i="11"/>
  <c r="D392" i="11"/>
  <c r="C392" i="11"/>
  <c r="A392" i="11"/>
  <c r="E392" i="11" s="1"/>
  <c r="D391" i="11"/>
  <c r="C391" i="11"/>
  <c r="F391" i="11"/>
  <c r="A391" i="11"/>
  <c r="E391" i="11" s="1"/>
  <c r="D390" i="11"/>
  <c r="C390" i="11"/>
  <c r="F390" i="11" s="1"/>
  <c r="A390" i="11"/>
  <c r="E390" i="11" s="1"/>
  <c r="D389" i="11"/>
  <c r="C389" i="11"/>
  <c r="A389" i="11"/>
  <c r="D388" i="11"/>
  <c r="C388" i="11"/>
  <c r="F388" i="11" s="1"/>
  <c r="A388" i="11"/>
  <c r="D387" i="11"/>
  <c r="C387" i="11"/>
  <c r="F387" i="11"/>
  <c r="A387" i="11"/>
  <c r="E387" i="11" s="1"/>
  <c r="D386" i="11"/>
  <c r="C386" i="11"/>
  <c r="F386" i="11" s="1"/>
  <c r="A386" i="11"/>
  <c r="E386" i="11" s="1"/>
  <c r="D385" i="11"/>
  <c r="C385" i="11"/>
  <c r="F385" i="11"/>
  <c r="A385" i="11"/>
  <c r="D384" i="11"/>
  <c r="C384" i="11"/>
  <c r="A384" i="11"/>
  <c r="D383" i="11"/>
  <c r="C383" i="11"/>
  <c r="F383" i="11"/>
  <c r="A383" i="11"/>
  <c r="E383" i="11" s="1"/>
  <c r="D382" i="11"/>
  <c r="C382" i="11"/>
  <c r="F382" i="11" s="1"/>
  <c r="A382" i="11"/>
  <c r="E382" i="11" s="1"/>
  <c r="D381" i="11"/>
  <c r="C381" i="11"/>
  <c r="A381" i="11"/>
  <c r="D380" i="11"/>
  <c r="C380" i="11"/>
  <c r="A380" i="11"/>
  <c r="E380" i="11" s="1"/>
  <c r="D379" i="11"/>
  <c r="C379" i="11"/>
  <c r="F379" i="11"/>
  <c r="A379" i="11"/>
  <c r="E379" i="11" s="1"/>
  <c r="D378" i="11"/>
  <c r="C378" i="11"/>
  <c r="F378" i="11" s="1"/>
  <c r="A378" i="11"/>
  <c r="E378" i="11" s="1"/>
  <c r="D377" i="11"/>
  <c r="C377" i="11"/>
  <c r="F377" i="11"/>
  <c r="A377" i="11"/>
  <c r="D376" i="11"/>
  <c r="C376" i="11"/>
  <c r="A376" i="11"/>
  <c r="D375" i="11"/>
  <c r="C375" i="11"/>
  <c r="F375" i="11"/>
  <c r="A375" i="11"/>
  <c r="E375" i="11" s="1"/>
  <c r="D374" i="11"/>
  <c r="C374" i="11"/>
  <c r="F374" i="11" s="1"/>
  <c r="A374" i="11"/>
  <c r="E374" i="11" s="1"/>
  <c r="D373" i="11"/>
  <c r="C373" i="11"/>
  <c r="A373" i="11"/>
  <c r="F372" i="11"/>
  <c r="D372" i="11"/>
  <c r="C372" i="11"/>
  <c r="A372" i="11"/>
  <c r="E372" i="11" s="1"/>
  <c r="F371" i="11"/>
  <c r="D371" i="11"/>
  <c r="C371" i="11"/>
  <c r="A371" i="11"/>
  <c r="E371" i="11" s="1"/>
  <c r="D370" i="11"/>
  <c r="C370" i="11"/>
  <c r="F370" i="11" s="1"/>
  <c r="A370" i="11"/>
  <c r="E370" i="11" s="1"/>
  <c r="D369" i="11"/>
  <c r="C369" i="11"/>
  <c r="A369" i="11"/>
  <c r="D368" i="11"/>
  <c r="C368" i="11"/>
  <c r="F368" i="11" s="1"/>
  <c r="A368" i="11"/>
  <c r="D367" i="11"/>
  <c r="C367" i="11"/>
  <c r="F367" i="11"/>
  <c r="A367" i="11"/>
  <c r="E367" i="11" s="1"/>
  <c r="D366" i="11"/>
  <c r="C366" i="11"/>
  <c r="F366" i="11" s="1"/>
  <c r="A366" i="11"/>
  <c r="E366" i="11" s="1"/>
  <c r="D365" i="11"/>
  <c r="C365" i="11"/>
  <c r="A365" i="11"/>
  <c r="E365" i="11" s="1"/>
  <c r="D364" i="11"/>
  <c r="C364" i="11"/>
  <c r="A364" i="11"/>
  <c r="D363" i="11"/>
  <c r="C363" i="11"/>
  <c r="F363" i="11"/>
  <c r="A363" i="11"/>
  <c r="E363" i="11" s="1"/>
  <c r="D362" i="11"/>
  <c r="C362" i="11"/>
  <c r="F362" i="11" s="1"/>
  <c r="A362" i="11"/>
  <c r="E362" i="11" s="1"/>
  <c r="D361" i="11"/>
  <c r="C361" i="11"/>
  <c r="A361" i="11"/>
  <c r="D360" i="11"/>
  <c r="C360" i="11"/>
  <c r="A360" i="11"/>
  <c r="D359" i="11"/>
  <c r="C359" i="11"/>
  <c r="F359" i="11"/>
  <c r="A359" i="11"/>
  <c r="E359" i="11" s="1"/>
  <c r="F358" i="11"/>
  <c r="D358" i="11"/>
  <c r="C358" i="11"/>
  <c r="A358" i="11"/>
  <c r="E358" i="11" s="1"/>
  <c r="F357" i="11"/>
  <c r="D357" i="11"/>
  <c r="C357" i="11"/>
  <c r="A357" i="11"/>
  <c r="D356" i="11"/>
  <c r="C356" i="11"/>
  <c r="A356" i="11"/>
  <c r="D355" i="11"/>
  <c r="C355" i="11"/>
  <c r="A355" i="11"/>
  <c r="E355" i="11" s="1"/>
  <c r="D354" i="11"/>
  <c r="C354" i="11"/>
  <c r="F354" i="11" s="1"/>
  <c r="A354" i="11"/>
  <c r="E354" i="11" s="1"/>
  <c r="D353" i="11"/>
  <c r="C353" i="11"/>
  <c r="A353" i="11"/>
  <c r="D352" i="11"/>
  <c r="C352" i="11"/>
  <c r="A352" i="11"/>
  <c r="D351" i="11"/>
  <c r="C351" i="11"/>
  <c r="F351" i="11"/>
  <c r="A351" i="11"/>
  <c r="E351" i="11" s="1"/>
  <c r="D350" i="11"/>
  <c r="C350" i="11"/>
  <c r="F350" i="11" s="1"/>
  <c r="A350" i="11"/>
  <c r="E350" i="11" s="1"/>
  <c r="F349" i="11"/>
  <c r="D349" i="11"/>
  <c r="C349" i="11"/>
  <c r="A349" i="11"/>
  <c r="E349" i="11" s="1"/>
  <c r="D348" i="11"/>
  <c r="C348" i="11"/>
  <c r="A348" i="11"/>
  <c r="E348" i="11" s="1"/>
  <c r="D347" i="11"/>
  <c r="C347" i="11"/>
  <c r="F347" i="11"/>
  <c r="A347" i="11"/>
  <c r="E347" i="11" s="1"/>
  <c r="D346" i="11"/>
  <c r="C346" i="11"/>
  <c r="F346" i="11" s="1"/>
  <c r="A346" i="11"/>
  <c r="E346" i="11" s="1"/>
  <c r="D345" i="11"/>
  <c r="C345" i="11"/>
  <c r="A345" i="11"/>
  <c r="D344" i="11"/>
  <c r="C344" i="11"/>
  <c r="F344" i="11" s="1"/>
  <c r="A344" i="11"/>
  <c r="D343" i="11"/>
  <c r="C343" i="11"/>
  <c r="F343" i="11"/>
  <c r="A343" i="11"/>
  <c r="E343" i="11" s="1"/>
  <c r="D342" i="11"/>
  <c r="C342" i="11"/>
  <c r="F342" i="11" s="1"/>
  <c r="A342" i="11"/>
  <c r="E342" i="11" s="1"/>
  <c r="D341" i="11"/>
  <c r="C341" i="11"/>
  <c r="A341" i="11"/>
  <c r="E341" i="11" s="1"/>
  <c r="D340" i="11"/>
  <c r="C340" i="11"/>
  <c r="A340" i="11"/>
  <c r="D339" i="11"/>
  <c r="C339" i="11"/>
  <c r="F339" i="11"/>
  <c r="A339" i="11"/>
  <c r="E339" i="11" s="1"/>
  <c r="D338" i="11"/>
  <c r="C338" i="11"/>
  <c r="F338" i="11" s="1"/>
  <c r="A338" i="11"/>
  <c r="E338" i="11" s="1"/>
  <c r="D337" i="11"/>
  <c r="C337" i="11"/>
  <c r="A337" i="11"/>
  <c r="F336" i="11"/>
  <c r="D336" i="11"/>
  <c r="C336" i="11"/>
  <c r="A336" i="11"/>
  <c r="E336" i="11" s="1"/>
  <c r="D335" i="11"/>
  <c r="C335" i="11"/>
  <c r="F335" i="11"/>
  <c r="A335" i="11"/>
  <c r="E335" i="11" s="1"/>
  <c r="D334" i="11"/>
  <c r="C334" i="11"/>
  <c r="F334" i="11" s="1"/>
  <c r="A334" i="11"/>
  <c r="E334" i="11" s="1"/>
  <c r="D333" i="11"/>
  <c r="C333" i="11"/>
  <c r="F333" i="11"/>
  <c r="A333" i="11"/>
  <c r="D332" i="11"/>
  <c r="C332" i="11"/>
  <c r="A332" i="11"/>
  <c r="D331" i="11"/>
  <c r="C331" i="11"/>
  <c r="F331" i="11"/>
  <c r="A331" i="11"/>
  <c r="E331" i="11" s="1"/>
  <c r="D330" i="11"/>
  <c r="C330" i="11"/>
  <c r="F330" i="11" s="1"/>
  <c r="A330" i="11"/>
  <c r="E330" i="11" s="1"/>
  <c r="D329" i="11"/>
  <c r="C329" i="11"/>
  <c r="A329" i="11"/>
  <c r="D328" i="11"/>
  <c r="C328" i="11"/>
  <c r="A328" i="11"/>
  <c r="D327" i="11"/>
  <c r="C327" i="11"/>
  <c r="F327" i="11"/>
  <c r="A327" i="11"/>
  <c r="E327" i="11" s="1"/>
  <c r="D326" i="11"/>
  <c r="C326" i="11"/>
  <c r="F326" i="11" s="1"/>
  <c r="A326" i="11"/>
  <c r="E326" i="11" s="1"/>
  <c r="D325" i="11"/>
  <c r="C325" i="11"/>
  <c r="F325" i="11"/>
  <c r="A325" i="11"/>
  <c r="D324" i="11"/>
  <c r="C324" i="11"/>
  <c r="F324" i="11" s="1"/>
  <c r="A324" i="11"/>
  <c r="D323" i="11"/>
  <c r="C323" i="11"/>
  <c r="F323" i="11"/>
  <c r="A323" i="11"/>
  <c r="E323" i="11" s="1"/>
  <c r="D322" i="11"/>
  <c r="C322" i="11"/>
  <c r="F322" i="11" s="1"/>
  <c r="A322" i="11"/>
  <c r="E322" i="11" s="1"/>
  <c r="D321" i="11"/>
  <c r="C321" i="11"/>
  <c r="A321" i="11"/>
  <c r="D320" i="11"/>
  <c r="C320" i="11"/>
  <c r="A320" i="11"/>
  <c r="F319" i="11"/>
  <c r="D319" i="11"/>
  <c r="C319" i="11"/>
  <c r="A319" i="11"/>
  <c r="E319" i="11" s="1"/>
  <c r="D318" i="11"/>
  <c r="C318" i="11"/>
  <c r="A318" i="11"/>
  <c r="E318" i="11" s="1"/>
  <c r="D317" i="11"/>
  <c r="C317" i="11"/>
  <c r="F317" i="11"/>
  <c r="A317" i="11"/>
  <c r="D316" i="11"/>
  <c r="C316" i="11"/>
  <c r="A316" i="11"/>
  <c r="E316" i="11" s="1"/>
  <c r="D315" i="11"/>
  <c r="C315" i="11"/>
  <c r="F315" i="11"/>
  <c r="A315" i="11"/>
  <c r="D314" i="11"/>
  <c r="C314" i="11"/>
  <c r="F314" i="11" s="1"/>
  <c r="A314" i="11"/>
  <c r="E314" i="11" s="1"/>
  <c r="D313" i="11"/>
  <c r="C313" i="11"/>
  <c r="A313" i="11"/>
  <c r="D312" i="11"/>
  <c r="C312" i="11"/>
  <c r="A312" i="11"/>
  <c r="F311" i="11"/>
  <c r="D311" i="11"/>
  <c r="C311" i="11"/>
  <c r="A311" i="11"/>
  <c r="E311" i="11" s="1"/>
  <c r="D310" i="11"/>
  <c r="C310" i="11"/>
  <c r="F310" i="11" s="1"/>
  <c r="A310" i="11"/>
  <c r="E310" i="11" s="1"/>
  <c r="D309" i="11"/>
  <c r="C309" i="11"/>
  <c r="F309" i="11"/>
  <c r="A309" i="11"/>
  <c r="F308" i="11"/>
  <c r="D308" i="11"/>
  <c r="C308" i="11"/>
  <c r="A308" i="11"/>
  <c r="E308" i="11" s="1"/>
  <c r="D307" i="11"/>
  <c r="C307" i="11"/>
  <c r="F307" i="11"/>
  <c r="A307" i="11"/>
  <c r="E307" i="11" s="1"/>
  <c r="D306" i="11"/>
  <c r="C306" i="11"/>
  <c r="F306" i="11" s="1"/>
  <c r="A306" i="11"/>
  <c r="E306" i="11" s="1"/>
  <c r="D305" i="11"/>
  <c r="C305" i="11"/>
  <c r="A305" i="11"/>
  <c r="E305" i="11" s="1"/>
  <c r="D304" i="11"/>
  <c r="C304" i="11"/>
  <c r="A304" i="11"/>
  <c r="D303" i="11"/>
  <c r="C303" i="11"/>
  <c r="F303" i="11"/>
  <c r="A303" i="11"/>
  <c r="E303" i="11" s="1"/>
  <c r="D302" i="11"/>
  <c r="C302" i="11"/>
  <c r="F302" i="11" s="1"/>
  <c r="A302" i="11"/>
  <c r="E302" i="11" s="1"/>
  <c r="D301" i="11"/>
  <c r="C301" i="11"/>
  <c r="A301" i="11"/>
  <c r="D300" i="11"/>
  <c r="C300" i="11"/>
  <c r="A300" i="11"/>
  <c r="D299" i="11"/>
  <c r="C299" i="11"/>
  <c r="F299" i="11"/>
  <c r="A299" i="11"/>
  <c r="E299" i="11" s="1"/>
  <c r="D298" i="11"/>
  <c r="C298" i="11"/>
  <c r="F298" i="11" s="1"/>
  <c r="A298" i="11"/>
  <c r="E298" i="11" s="1"/>
  <c r="D297" i="11"/>
  <c r="C297" i="11"/>
  <c r="A297" i="11"/>
  <c r="E297" i="11" s="1"/>
  <c r="D296" i="11"/>
  <c r="C296" i="11"/>
  <c r="A296" i="11"/>
  <c r="D295" i="11"/>
  <c r="C295" i="11"/>
  <c r="F295" i="11"/>
  <c r="A295" i="11"/>
  <c r="E295" i="11" s="1"/>
  <c r="D294" i="11"/>
  <c r="C294" i="11"/>
  <c r="F294" i="11" s="1"/>
  <c r="A294" i="11"/>
  <c r="E294" i="11" s="1"/>
  <c r="D293" i="11"/>
  <c r="C293" i="11"/>
  <c r="A293" i="11"/>
  <c r="D292" i="11"/>
  <c r="C292" i="11"/>
  <c r="A292" i="11"/>
  <c r="E292" i="11" s="1"/>
  <c r="D291" i="11"/>
  <c r="C291" i="11"/>
  <c r="F291" i="11"/>
  <c r="A291" i="11"/>
  <c r="E291" i="11" s="1"/>
  <c r="D290" i="11"/>
  <c r="C290" i="11"/>
  <c r="F290" i="11" s="1"/>
  <c r="A290" i="11"/>
  <c r="E290" i="11" s="1"/>
  <c r="D289" i="11"/>
  <c r="C289" i="11"/>
  <c r="A289" i="11"/>
  <c r="E289" i="11" s="1"/>
  <c r="D288" i="11"/>
  <c r="C288" i="11"/>
  <c r="A288" i="11"/>
  <c r="F287" i="11"/>
  <c r="D287" i="11"/>
  <c r="C287" i="11"/>
  <c r="A287" i="11"/>
  <c r="E287" i="11" s="1"/>
  <c r="F286" i="11"/>
  <c r="D286" i="11"/>
  <c r="C286" i="11"/>
  <c r="A286" i="11"/>
  <c r="E286" i="11" s="1"/>
  <c r="D285" i="11"/>
  <c r="C285" i="11"/>
  <c r="A285" i="11"/>
  <c r="D284" i="11"/>
  <c r="C284" i="11"/>
  <c r="A284" i="11"/>
  <c r="D283" i="11"/>
  <c r="C283" i="11"/>
  <c r="F283" i="11"/>
  <c r="A283" i="11"/>
  <c r="E283" i="11" s="1"/>
  <c r="D282" i="11"/>
  <c r="C282" i="11"/>
  <c r="A282" i="11"/>
  <c r="E282" i="11" s="1"/>
  <c r="D281" i="11"/>
  <c r="C281" i="11"/>
  <c r="A281" i="11"/>
  <c r="D280" i="11"/>
  <c r="C280" i="11"/>
  <c r="A280" i="11"/>
  <c r="E280" i="11" s="1"/>
  <c r="D279" i="11"/>
  <c r="C279" i="11"/>
  <c r="F279" i="11"/>
  <c r="A279" i="11"/>
  <c r="E279" i="11" s="1"/>
  <c r="D278" i="11"/>
  <c r="C278" i="11"/>
  <c r="A278" i="11"/>
  <c r="E278" i="11" s="1"/>
  <c r="D277" i="11"/>
  <c r="C277" i="11"/>
  <c r="A277" i="11"/>
  <c r="D276" i="11"/>
  <c r="C276" i="11"/>
  <c r="F276" i="11" s="1"/>
  <c r="A276" i="11"/>
  <c r="D275" i="11"/>
  <c r="C275" i="11"/>
  <c r="F275" i="11"/>
  <c r="A275" i="11"/>
  <c r="E275" i="11" s="1"/>
  <c r="D274" i="11"/>
  <c r="C274" i="11"/>
  <c r="A274" i="11"/>
  <c r="E274" i="11" s="1"/>
  <c r="D273" i="11"/>
  <c r="C273" i="11"/>
  <c r="A273" i="11"/>
  <c r="D272" i="11"/>
  <c r="C272" i="11"/>
  <c r="A272" i="11"/>
  <c r="D271" i="11"/>
  <c r="C271" i="11"/>
  <c r="F271" i="11"/>
  <c r="A271" i="11"/>
  <c r="E271" i="11" s="1"/>
  <c r="D270" i="11"/>
  <c r="C270" i="11"/>
  <c r="A270" i="11"/>
  <c r="E270" i="11" s="1"/>
  <c r="D269" i="11"/>
  <c r="C269" i="11"/>
  <c r="A269" i="11"/>
  <c r="D268" i="11"/>
  <c r="C268" i="11"/>
  <c r="A268" i="11"/>
  <c r="D267" i="11"/>
  <c r="C267" i="11"/>
  <c r="F267" i="11"/>
  <c r="A267" i="11"/>
  <c r="E267" i="11" s="1"/>
  <c r="D266" i="11"/>
  <c r="C266" i="11"/>
  <c r="A266" i="11"/>
  <c r="E266" i="11" s="1"/>
  <c r="D265" i="11"/>
  <c r="C265" i="11"/>
  <c r="A265" i="11"/>
  <c r="D264" i="11"/>
  <c r="C264" i="11"/>
  <c r="A264" i="11"/>
  <c r="E264" i="11" s="1"/>
  <c r="D263" i="11"/>
  <c r="C263" i="11"/>
  <c r="F263" i="11"/>
  <c r="A263" i="11"/>
  <c r="E263" i="11" s="1"/>
  <c r="D262" i="11"/>
  <c r="C262" i="11"/>
  <c r="A262" i="11"/>
  <c r="E262" i="11" s="1"/>
  <c r="D261" i="11"/>
  <c r="C261" i="11"/>
  <c r="A261" i="11"/>
  <c r="D260" i="11"/>
  <c r="C260" i="11"/>
  <c r="F260" i="11" s="1"/>
  <c r="A260" i="11"/>
  <c r="D259" i="11"/>
  <c r="C259" i="11"/>
  <c r="F259" i="11"/>
  <c r="A259" i="11"/>
  <c r="E259" i="11" s="1"/>
  <c r="D258" i="11"/>
  <c r="C258" i="11"/>
  <c r="A258" i="11"/>
  <c r="E258" i="11" s="1"/>
  <c r="D257" i="11"/>
  <c r="C257" i="11"/>
  <c r="A257" i="11"/>
  <c r="D256" i="11"/>
  <c r="C256" i="11"/>
  <c r="A256" i="11"/>
  <c r="D255" i="11"/>
  <c r="C255" i="11"/>
  <c r="F255" i="11"/>
  <c r="A255" i="11"/>
  <c r="E255" i="11" s="1"/>
  <c r="D254" i="11"/>
  <c r="C254" i="11"/>
  <c r="A254" i="11"/>
  <c r="E254" i="11" s="1"/>
  <c r="D253" i="11"/>
  <c r="C253" i="11"/>
  <c r="A253" i="11"/>
  <c r="D252" i="11"/>
  <c r="C252" i="11"/>
  <c r="A252" i="11"/>
  <c r="D251" i="11"/>
  <c r="C251" i="11"/>
  <c r="F251" i="11"/>
  <c r="A251" i="11"/>
  <c r="E251" i="11" s="1"/>
  <c r="D250" i="11"/>
  <c r="C250" i="11"/>
  <c r="A250" i="11"/>
  <c r="E250" i="11" s="1"/>
  <c r="D249" i="11"/>
  <c r="C249" i="11"/>
  <c r="A249" i="11"/>
  <c r="D248" i="11"/>
  <c r="C248" i="11"/>
  <c r="A248" i="11"/>
  <c r="E248" i="11" s="1"/>
  <c r="D247" i="11"/>
  <c r="C247" i="11"/>
  <c r="F247" i="11"/>
  <c r="A247" i="11"/>
  <c r="E247" i="11" s="1"/>
  <c r="D246" i="11"/>
  <c r="C246" i="11"/>
  <c r="A246" i="11"/>
  <c r="E246" i="11" s="1"/>
  <c r="D245" i="11"/>
  <c r="C245" i="11"/>
  <c r="A245" i="11"/>
  <c r="D244" i="11"/>
  <c r="C244" i="11"/>
  <c r="F244" i="11" s="1"/>
  <c r="A244" i="11"/>
  <c r="D243" i="11"/>
  <c r="C243" i="11"/>
  <c r="F243" i="11"/>
  <c r="A243" i="11"/>
  <c r="E243" i="11" s="1"/>
  <c r="D242" i="11"/>
  <c r="C242" i="11"/>
  <c r="A242" i="11"/>
  <c r="E242" i="11" s="1"/>
  <c r="D241" i="11"/>
  <c r="C241" i="11"/>
  <c r="A241" i="11"/>
  <c r="D240" i="11"/>
  <c r="C240" i="11"/>
  <c r="A240" i="11"/>
  <c r="D239" i="11"/>
  <c r="C239" i="11"/>
  <c r="F239" i="11" s="1"/>
  <c r="A239" i="11"/>
  <c r="E239" i="11" s="1"/>
  <c r="D238" i="11"/>
  <c r="C238" i="11"/>
  <c r="A238" i="11"/>
  <c r="E238" i="11" s="1"/>
  <c r="D237" i="11"/>
  <c r="C237" i="11"/>
  <c r="F237" i="11" s="1"/>
  <c r="A237" i="11"/>
  <c r="D236" i="11"/>
  <c r="C236" i="11"/>
  <c r="A236" i="11"/>
  <c r="D235" i="11"/>
  <c r="C235" i="11"/>
  <c r="F235" i="11" s="1"/>
  <c r="A235" i="11"/>
  <c r="E235" i="11" s="1"/>
  <c r="D234" i="11"/>
  <c r="C234" i="11"/>
  <c r="F234" i="11"/>
  <c r="A234" i="11"/>
  <c r="E234" i="11" s="1"/>
  <c r="D233" i="11"/>
  <c r="C233" i="11"/>
  <c r="A233" i="11"/>
  <c r="D232" i="11"/>
  <c r="C232" i="11"/>
  <c r="F232" i="11"/>
  <c r="A232" i="11"/>
  <c r="D231" i="11"/>
  <c r="C231" i="11"/>
  <c r="F231" i="11" s="1"/>
  <c r="A231" i="11"/>
  <c r="E231" i="11" s="1"/>
  <c r="D230" i="11"/>
  <c r="C230" i="11"/>
  <c r="F230" i="11"/>
  <c r="A230" i="11"/>
  <c r="E230" i="11" s="1"/>
  <c r="D229" i="11"/>
  <c r="C229" i="11"/>
  <c r="F229" i="11" s="1"/>
  <c r="A229" i="11"/>
  <c r="D228" i="11"/>
  <c r="C228" i="11"/>
  <c r="A228" i="11"/>
  <c r="D227" i="11"/>
  <c r="C227" i="11"/>
  <c r="F227" i="11" s="1"/>
  <c r="A227" i="11"/>
  <c r="E227" i="11" s="1"/>
  <c r="D226" i="11"/>
  <c r="C226" i="11"/>
  <c r="F226" i="11"/>
  <c r="A226" i="11"/>
  <c r="E226" i="11" s="1"/>
  <c r="D225" i="11"/>
  <c r="C225" i="11"/>
  <c r="A225" i="11"/>
  <c r="D224" i="11"/>
  <c r="C224" i="11"/>
  <c r="F224" i="11"/>
  <c r="A224" i="11"/>
  <c r="D223" i="11"/>
  <c r="C223" i="11"/>
  <c r="F223" i="11" s="1"/>
  <c r="A223" i="11"/>
  <c r="E223" i="11" s="1"/>
  <c r="D222" i="11"/>
  <c r="C222" i="11"/>
  <c r="F222" i="11"/>
  <c r="A222" i="11"/>
  <c r="E222" i="11" s="1"/>
  <c r="D221" i="11"/>
  <c r="C221" i="11"/>
  <c r="F221" i="11" s="1"/>
  <c r="A221" i="11"/>
  <c r="D220" i="11"/>
  <c r="C220" i="11"/>
  <c r="A220" i="11"/>
  <c r="D219" i="11"/>
  <c r="C219" i="11"/>
  <c r="F219" i="11" s="1"/>
  <c r="A219" i="11"/>
  <c r="E219" i="11" s="1"/>
  <c r="D218" i="11"/>
  <c r="C218" i="11"/>
  <c r="F218" i="11"/>
  <c r="A218" i="11"/>
  <c r="E218" i="11" s="1"/>
  <c r="D217" i="11"/>
  <c r="C217" i="11"/>
  <c r="A217" i="11"/>
  <c r="D216" i="11"/>
  <c r="C216" i="11"/>
  <c r="F216" i="11"/>
  <c r="A216" i="11"/>
  <c r="D215" i="11"/>
  <c r="C215" i="11"/>
  <c r="F215" i="11" s="1"/>
  <c r="A215" i="11"/>
  <c r="E215" i="11" s="1"/>
  <c r="D214" i="11"/>
  <c r="C214" i="11"/>
  <c r="F214" i="11"/>
  <c r="A214" i="11"/>
  <c r="E214" i="11" s="1"/>
  <c r="D213" i="11"/>
  <c r="C213" i="11"/>
  <c r="F213" i="11" s="1"/>
  <c r="A213" i="11"/>
  <c r="D212" i="11"/>
  <c r="C212" i="11"/>
  <c r="A212" i="11"/>
  <c r="D211" i="11"/>
  <c r="C211" i="11"/>
  <c r="F211" i="11" s="1"/>
  <c r="A211" i="11"/>
  <c r="E211" i="11" s="1"/>
  <c r="F210" i="11"/>
  <c r="D210" i="11"/>
  <c r="C210" i="11"/>
  <c r="A210" i="11"/>
  <c r="E210" i="11" s="1"/>
  <c r="D209" i="11"/>
  <c r="C209" i="11"/>
  <c r="A209" i="11"/>
  <c r="D208" i="11"/>
  <c r="C208" i="11"/>
  <c r="F208" i="11"/>
  <c r="A208" i="11"/>
  <c r="D207" i="11"/>
  <c r="C207" i="11"/>
  <c r="F207" i="11" s="1"/>
  <c r="A207" i="11"/>
  <c r="E207" i="11" s="1"/>
  <c r="D206" i="11"/>
  <c r="F206" i="11" s="1"/>
  <c r="C206" i="11"/>
  <c r="A206" i="11"/>
  <c r="E206" i="11" s="1"/>
  <c r="D205" i="11"/>
  <c r="C205" i="11"/>
  <c r="A205" i="11"/>
  <c r="E205" i="11" s="1"/>
  <c r="D204" i="11"/>
  <c r="C204" i="11"/>
  <c r="A204" i="11"/>
  <c r="D203" i="11"/>
  <c r="C203" i="11"/>
  <c r="F203" i="11" s="1"/>
  <c r="A203" i="11"/>
  <c r="E203" i="11" s="1"/>
  <c r="D202" i="11"/>
  <c r="F202" i="11" s="1"/>
  <c r="C202" i="11"/>
  <c r="A202" i="11"/>
  <c r="E202" i="11" s="1"/>
  <c r="D201" i="11"/>
  <c r="C201" i="11"/>
  <c r="A201" i="11"/>
  <c r="E201" i="11" s="1"/>
  <c r="D200" i="11"/>
  <c r="C200" i="11"/>
  <c r="A200" i="11"/>
  <c r="D199" i="11"/>
  <c r="C199" i="11"/>
  <c r="F199" i="11" s="1"/>
  <c r="A199" i="11"/>
  <c r="E199" i="11" s="1"/>
  <c r="D198" i="11"/>
  <c r="F198" i="11" s="1"/>
  <c r="C198" i="11"/>
  <c r="A198" i="11"/>
  <c r="E198" i="11" s="1"/>
  <c r="D197" i="11"/>
  <c r="C197" i="11"/>
  <c r="A197" i="11"/>
  <c r="E197" i="11" s="1"/>
  <c r="D196" i="11"/>
  <c r="C196" i="11"/>
  <c r="A196" i="11"/>
  <c r="D195" i="11"/>
  <c r="C195" i="11"/>
  <c r="F195" i="11" s="1"/>
  <c r="A195" i="11"/>
  <c r="E195" i="11" s="1"/>
  <c r="D194" i="11"/>
  <c r="F194" i="11" s="1"/>
  <c r="C194" i="11"/>
  <c r="A194" i="11"/>
  <c r="E194" i="11" s="1"/>
  <c r="D193" i="11"/>
  <c r="C193" i="11"/>
  <c r="A193" i="11"/>
  <c r="E193" i="11" s="1"/>
  <c r="D192" i="11"/>
  <c r="C192" i="11"/>
  <c r="A192" i="11"/>
  <c r="D191" i="11"/>
  <c r="C191" i="11"/>
  <c r="F191" i="11" s="1"/>
  <c r="A191" i="11"/>
  <c r="E191" i="11" s="1"/>
  <c r="D190" i="11"/>
  <c r="F190" i="11" s="1"/>
  <c r="C190" i="11"/>
  <c r="A190" i="11"/>
  <c r="E190" i="11" s="1"/>
  <c r="D189" i="11"/>
  <c r="C189" i="11"/>
  <c r="A189" i="11"/>
  <c r="E189" i="11" s="1"/>
  <c r="D188" i="11"/>
  <c r="C188" i="11"/>
  <c r="A188" i="11"/>
  <c r="D187" i="11"/>
  <c r="C187" i="11"/>
  <c r="F187" i="11" s="1"/>
  <c r="A187" i="11"/>
  <c r="E187" i="11" s="1"/>
  <c r="E186" i="11"/>
  <c r="D186" i="11"/>
  <c r="F186" i="11" s="1"/>
  <c r="C186" i="11"/>
  <c r="A186" i="11"/>
  <c r="D185" i="11"/>
  <c r="C185" i="11"/>
  <c r="F185" i="11" s="1"/>
  <c r="A185" i="11"/>
  <c r="D184" i="11"/>
  <c r="F184" i="11" s="1"/>
  <c r="C184" i="11"/>
  <c r="A184" i="11"/>
  <c r="D183" i="11"/>
  <c r="C183" i="11"/>
  <c r="F183" i="11" s="1"/>
  <c r="A183" i="11"/>
  <c r="E183" i="11" s="1"/>
  <c r="D182" i="11"/>
  <c r="F182" i="11" s="1"/>
  <c r="C182" i="11"/>
  <c r="A182" i="11"/>
  <c r="E182" i="11" s="1"/>
  <c r="D181" i="11"/>
  <c r="C181" i="11"/>
  <c r="F181" i="11" s="1"/>
  <c r="A181" i="11"/>
  <c r="D180" i="11"/>
  <c r="F180" i="11" s="1"/>
  <c r="C180" i="11"/>
  <c r="A180" i="11"/>
  <c r="D179" i="11"/>
  <c r="C179" i="11"/>
  <c r="F179" i="11" s="1"/>
  <c r="A179" i="11"/>
  <c r="E179" i="11" s="1"/>
  <c r="D178" i="11"/>
  <c r="F178" i="11" s="1"/>
  <c r="C178" i="11"/>
  <c r="A178" i="11"/>
  <c r="E178" i="11" s="1"/>
  <c r="D177" i="11"/>
  <c r="C177" i="11"/>
  <c r="F177" i="11" s="1"/>
  <c r="A177" i="11"/>
  <c r="D176" i="11"/>
  <c r="F176" i="11" s="1"/>
  <c r="C176" i="11"/>
  <c r="A176" i="11"/>
  <c r="F175" i="11"/>
  <c r="D175" i="11"/>
  <c r="C175" i="11"/>
  <c r="A175" i="11"/>
  <c r="E175" i="11" s="1"/>
  <c r="F174" i="11"/>
  <c r="E174" i="11"/>
  <c r="D174" i="11"/>
  <c r="C174" i="11"/>
  <c r="A174" i="11"/>
  <c r="F173" i="11"/>
  <c r="D173" i="11"/>
  <c r="C173" i="11"/>
  <c r="A173" i="11"/>
  <c r="D172" i="11"/>
  <c r="F172" i="11" s="1"/>
  <c r="C172" i="11"/>
  <c r="A172" i="11"/>
  <c r="D171" i="11"/>
  <c r="C171" i="11"/>
  <c r="F171" i="11" s="1"/>
  <c r="A171" i="11"/>
  <c r="D170" i="11"/>
  <c r="F170" i="11" s="1"/>
  <c r="C170" i="11"/>
  <c r="A170" i="11"/>
  <c r="E170" i="11" s="1"/>
  <c r="D169" i="11"/>
  <c r="C169" i="11"/>
  <c r="A169" i="11"/>
  <c r="D168" i="11"/>
  <c r="F168" i="11" s="1"/>
  <c r="C168" i="11"/>
  <c r="A168" i="11"/>
  <c r="D167" i="11"/>
  <c r="C167" i="11"/>
  <c r="F167" i="11" s="1"/>
  <c r="A167" i="11"/>
  <c r="D166" i="11"/>
  <c r="F166" i="11" s="1"/>
  <c r="C166" i="11"/>
  <c r="A166" i="11"/>
  <c r="E166" i="11" s="1"/>
  <c r="D165" i="11"/>
  <c r="C165" i="11"/>
  <c r="A165" i="11"/>
  <c r="D164" i="11"/>
  <c r="F164" i="11" s="1"/>
  <c r="C164" i="11"/>
  <c r="A164" i="11"/>
  <c r="D163" i="11"/>
  <c r="C163" i="11"/>
  <c r="F163" i="11" s="1"/>
  <c r="A163" i="11"/>
  <c r="E162" i="11"/>
  <c r="D162" i="11"/>
  <c r="F162" i="11" s="1"/>
  <c r="C162" i="11"/>
  <c r="A162" i="11"/>
  <c r="D161" i="11"/>
  <c r="C161" i="11"/>
  <c r="F161" i="11"/>
  <c r="A161" i="11"/>
  <c r="D160" i="11"/>
  <c r="C160" i="11"/>
  <c r="A160" i="11"/>
  <c r="E160" i="11" s="1"/>
  <c r="D159" i="11"/>
  <c r="C159" i="11"/>
  <c r="F159" i="11" s="1"/>
  <c r="A159" i="11"/>
  <c r="D158" i="11"/>
  <c r="F158" i="11" s="1"/>
  <c r="C158" i="11"/>
  <c r="A158" i="11"/>
  <c r="E158" i="11" s="1"/>
  <c r="D157" i="11"/>
  <c r="C157" i="11"/>
  <c r="A157" i="11"/>
  <c r="D156" i="11"/>
  <c r="C156" i="11"/>
  <c r="A156" i="11"/>
  <c r="E156" i="11" s="1"/>
  <c r="D155" i="11"/>
  <c r="C155" i="11"/>
  <c r="F155" i="11" s="1"/>
  <c r="A155" i="11"/>
  <c r="D154" i="11"/>
  <c r="F154" i="11" s="1"/>
  <c r="C154" i="11"/>
  <c r="A154" i="11"/>
  <c r="E154" i="11" s="1"/>
  <c r="D153" i="11"/>
  <c r="C153" i="11"/>
  <c r="A153" i="11"/>
  <c r="D152" i="11"/>
  <c r="C152" i="11"/>
  <c r="A152" i="11"/>
  <c r="E152" i="11" s="1"/>
  <c r="D151" i="11"/>
  <c r="C151" i="11"/>
  <c r="F151" i="11" s="1"/>
  <c r="A151" i="11"/>
  <c r="D150" i="11"/>
  <c r="F150" i="11" s="1"/>
  <c r="C150" i="11"/>
  <c r="A150" i="11"/>
  <c r="E150" i="11" s="1"/>
  <c r="D149" i="11"/>
  <c r="C149" i="11"/>
  <c r="A149" i="11"/>
  <c r="D148" i="11"/>
  <c r="C148" i="11"/>
  <c r="A148" i="11"/>
  <c r="E148" i="11" s="1"/>
  <c r="D147" i="11"/>
  <c r="C147" i="11"/>
  <c r="F147" i="11" s="1"/>
  <c r="A147" i="11"/>
  <c r="D146" i="11"/>
  <c r="F146" i="11" s="1"/>
  <c r="C146" i="11"/>
  <c r="A146" i="11"/>
  <c r="E146" i="11" s="1"/>
  <c r="D145" i="11"/>
  <c r="C145" i="11"/>
  <c r="F145" i="11"/>
  <c r="A145" i="11"/>
  <c r="D144" i="11"/>
  <c r="C144" i="11"/>
  <c r="A144" i="11"/>
  <c r="D143" i="11"/>
  <c r="C143" i="11"/>
  <c r="F143" i="11" s="1"/>
  <c r="A143" i="11"/>
  <c r="D142" i="11"/>
  <c r="F142" i="11" s="1"/>
  <c r="C142" i="11"/>
  <c r="A142" i="11"/>
  <c r="E142" i="11" s="1"/>
  <c r="D141" i="11"/>
  <c r="C141" i="11"/>
  <c r="A141" i="11"/>
  <c r="D140" i="11"/>
  <c r="C140" i="11"/>
  <c r="A140" i="11"/>
  <c r="D139" i="11"/>
  <c r="C139" i="11"/>
  <c r="F139" i="11" s="1"/>
  <c r="A139" i="11"/>
  <c r="D138" i="11"/>
  <c r="F138" i="11" s="1"/>
  <c r="C138" i="11"/>
  <c r="A138" i="11"/>
  <c r="E138" i="11" s="1"/>
  <c r="D137" i="11"/>
  <c r="C137" i="11"/>
  <c r="A137" i="11"/>
  <c r="F136" i="11"/>
  <c r="D136" i="11"/>
  <c r="C136" i="11"/>
  <c r="A136" i="11"/>
  <c r="F135" i="11"/>
  <c r="D135" i="11"/>
  <c r="C135" i="11"/>
  <c r="A135" i="11"/>
  <c r="E135" i="11" s="1"/>
  <c r="D134" i="11"/>
  <c r="F134" i="11" s="1"/>
  <c r="C134" i="11"/>
  <c r="A134" i="11"/>
  <c r="E134" i="11" s="1"/>
  <c r="D133" i="11"/>
  <c r="C133" i="11"/>
  <c r="F133" i="11" s="1"/>
  <c r="A133" i="11"/>
  <c r="D132" i="11"/>
  <c r="C132" i="11"/>
  <c r="A132" i="11"/>
  <c r="F131" i="11"/>
  <c r="D131" i="11"/>
  <c r="C131" i="11"/>
  <c r="A131" i="11"/>
  <c r="E131" i="11" s="1"/>
  <c r="D130" i="11"/>
  <c r="F130" i="11" s="1"/>
  <c r="C130" i="11"/>
  <c r="A130" i="11"/>
  <c r="E130" i="11" s="1"/>
  <c r="D129" i="11"/>
  <c r="C129" i="11"/>
  <c r="A129" i="11"/>
  <c r="D128" i="11"/>
  <c r="C128" i="11"/>
  <c r="A128" i="11"/>
  <c r="E128" i="11" s="1"/>
  <c r="F127" i="11"/>
  <c r="D127" i="11"/>
  <c r="C127" i="11"/>
  <c r="A127" i="11"/>
  <c r="E127" i="11" s="1"/>
  <c r="D126" i="11"/>
  <c r="C126" i="11"/>
  <c r="A126" i="11"/>
  <c r="D125" i="11"/>
  <c r="C125" i="11"/>
  <c r="A125" i="11"/>
  <c r="D124" i="11"/>
  <c r="C124" i="11"/>
  <c r="A124" i="11"/>
  <c r="D123" i="11"/>
  <c r="F123" i="11" s="1"/>
  <c r="C123" i="11"/>
  <c r="A123" i="11"/>
  <c r="D122" i="11"/>
  <c r="F122" i="11" s="1"/>
  <c r="C122" i="11"/>
  <c r="A122" i="11"/>
  <c r="E122" i="11" s="1"/>
  <c r="D121" i="11"/>
  <c r="C121" i="11"/>
  <c r="A121" i="11"/>
  <c r="E121" i="11" s="1"/>
  <c r="D120" i="11"/>
  <c r="C120" i="11"/>
  <c r="A120" i="11"/>
  <c r="D119" i="11"/>
  <c r="C119" i="11"/>
  <c r="A119" i="11"/>
  <c r="D118" i="11"/>
  <c r="C118" i="11"/>
  <c r="F118" i="11"/>
  <c r="A118" i="11"/>
  <c r="D117" i="11"/>
  <c r="C117" i="11"/>
  <c r="A117" i="11"/>
  <c r="D116" i="11"/>
  <c r="C116" i="11"/>
  <c r="A116" i="11"/>
  <c r="D115" i="11"/>
  <c r="F115" i="11" s="1"/>
  <c r="C115" i="11"/>
  <c r="A115" i="11"/>
  <c r="D114" i="11"/>
  <c r="F114" i="11" s="1"/>
  <c r="C114" i="11"/>
  <c r="A114" i="11"/>
  <c r="E114" i="11" s="1"/>
  <c r="F113" i="11"/>
  <c r="D113" i="11"/>
  <c r="C113" i="11"/>
  <c r="A113" i="11"/>
  <c r="D112" i="11"/>
  <c r="C112" i="11"/>
  <c r="F112" i="11"/>
  <c r="A112" i="11"/>
  <c r="D111" i="11"/>
  <c r="C111" i="11"/>
  <c r="A111" i="11"/>
  <c r="F110" i="11"/>
  <c r="D110" i="11"/>
  <c r="C110" i="11"/>
  <c r="A110" i="11"/>
  <c r="E110" i="11" s="1"/>
  <c r="D109" i="11"/>
  <c r="C109" i="11"/>
  <c r="F109" i="11" s="1"/>
  <c r="A109" i="11"/>
  <c r="D108" i="11"/>
  <c r="F108" i="11" s="1"/>
  <c r="C108" i="11"/>
  <c r="A108" i="11"/>
  <c r="D107" i="11"/>
  <c r="C107" i="11"/>
  <c r="A107" i="11"/>
  <c r="D106" i="11"/>
  <c r="F106" i="11" s="1"/>
  <c r="C106" i="11"/>
  <c r="A106" i="11"/>
  <c r="E106" i="11" s="1"/>
  <c r="D105" i="11"/>
  <c r="C105" i="11"/>
  <c r="A105" i="11"/>
  <c r="D104" i="11"/>
  <c r="C104" i="11"/>
  <c r="A104" i="11"/>
  <c r="D103" i="11"/>
  <c r="C103" i="11"/>
  <c r="F103" i="11" s="1"/>
  <c r="A103" i="11"/>
  <c r="F102" i="11"/>
  <c r="D102" i="11"/>
  <c r="C102" i="11"/>
  <c r="A102" i="11"/>
  <c r="E102" i="11" s="1"/>
  <c r="D101" i="11"/>
  <c r="C101" i="11"/>
  <c r="A101" i="11"/>
  <c r="E101" i="11" s="1"/>
  <c r="D100" i="11"/>
  <c r="C100" i="11"/>
  <c r="A100" i="11"/>
  <c r="E100" i="11" s="1"/>
  <c r="D99" i="11"/>
  <c r="F99" i="11" s="1"/>
  <c r="C99" i="11"/>
  <c r="A99" i="11"/>
  <c r="D98" i="11"/>
  <c r="F98" i="11" s="1"/>
  <c r="C98" i="11"/>
  <c r="A98" i="11"/>
  <c r="E98" i="11" s="1"/>
  <c r="D97" i="11"/>
  <c r="C97" i="11"/>
  <c r="A97" i="11"/>
  <c r="D96" i="11"/>
  <c r="C96" i="11"/>
  <c r="F96" i="11"/>
  <c r="A96" i="11"/>
  <c r="D95" i="11"/>
  <c r="C95" i="11"/>
  <c r="F95" i="11" s="1"/>
  <c r="A95" i="11"/>
  <c r="D94" i="11"/>
  <c r="C94" i="11"/>
  <c r="F94" i="11"/>
  <c r="A94" i="11"/>
  <c r="D93" i="11"/>
  <c r="C93" i="11"/>
  <c r="A93" i="11"/>
  <c r="D92" i="11"/>
  <c r="F92" i="11" s="1"/>
  <c r="C92" i="11"/>
  <c r="A92" i="11"/>
  <c r="D91" i="11"/>
  <c r="F91" i="11" s="1"/>
  <c r="C91" i="11"/>
  <c r="A91" i="11"/>
  <c r="D90" i="11"/>
  <c r="F90" i="11" s="1"/>
  <c r="C90" i="11"/>
  <c r="A90" i="11"/>
  <c r="E90" i="11" s="1"/>
  <c r="D89" i="11"/>
  <c r="C89" i="11"/>
  <c r="A89" i="11"/>
  <c r="E89" i="11" s="1"/>
  <c r="D88" i="11"/>
  <c r="C88" i="11"/>
  <c r="A88" i="11"/>
  <c r="F87" i="11"/>
  <c r="D87" i="11"/>
  <c r="C87" i="11"/>
  <c r="A87" i="11"/>
  <c r="F86" i="11"/>
  <c r="D86" i="11"/>
  <c r="C86" i="11"/>
  <c r="A86" i="11"/>
  <c r="D85" i="11"/>
  <c r="C85" i="11"/>
  <c r="A85" i="11"/>
  <c r="D84" i="11"/>
  <c r="C84" i="11"/>
  <c r="A84" i="11"/>
  <c r="F83" i="11"/>
  <c r="D83" i="11"/>
  <c r="C83" i="11"/>
  <c r="A83" i="11"/>
  <c r="D82" i="11"/>
  <c r="F82" i="11" s="1"/>
  <c r="C82" i="11"/>
  <c r="A82" i="11"/>
  <c r="E82" i="11" s="1"/>
  <c r="D81" i="11"/>
  <c r="C81" i="11"/>
  <c r="A81" i="11"/>
  <c r="D80" i="11"/>
  <c r="C80" i="11"/>
  <c r="A80" i="11"/>
  <c r="D79" i="11"/>
  <c r="C79" i="11"/>
  <c r="F79" i="11" s="1"/>
  <c r="A79" i="11"/>
  <c r="D78" i="11"/>
  <c r="C78" i="11"/>
  <c r="F78" i="11"/>
  <c r="A78" i="11"/>
  <c r="D77" i="11"/>
  <c r="C77" i="11"/>
  <c r="A77" i="11"/>
  <c r="D76" i="11"/>
  <c r="C76" i="11"/>
  <c r="A76" i="11"/>
  <c r="E76" i="11" s="1"/>
  <c r="D75" i="11"/>
  <c r="F75" i="11" s="1"/>
  <c r="C75" i="11"/>
  <c r="A75" i="11"/>
  <c r="D74" i="11"/>
  <c r="F74" i="11" s="1"/>
  <c r="C74" i="11"/>
  <c r="A74" i="11"/>
  <c r="E74" i="11" s="1"/>
  <c r="D73" i="11"/>
  <c r="C73" i="11"/>
  <c r="A73" i="11"/>
  <c r="E73" i="11" s="1"/>
  <c r="D72" i="11"/>
  <c r="C72" i="11"/>
  <c r="F72" i="11"/>
  <c r="A72" i="11"/>
  <c r="D71" i="11"/>
  <c r="C71" i="11"/>
  <c r="A71" i="11"/>
  <c r="D70" i="11"/>
  <c r="C70" i="11"/>
  <c r="F70" i="11"/>
  <c r="A70" i="11"/>
  <c r="D69" i="11"/>
  <c r="C69" i="11"/>
  <c r="A69" i="11"/>
  <c r="D68" i="11"/>
  <c r="F68" i="11" s="1"/>
  <c r="C68" i="11"/>
  <c r="A68" i="11"/>
  <c r="D67" i="11"/>
  <c r="C67" i="11"/>
  <c r="A67" i="11"/>
  <c r="D66" i="11"/>
  <c r="F66" i="11" s="1"/>
  <c r="C66" i="11"/>
  <c r="A66" i="11"/>
  <c r="E66" i="11" s="1"/>
  <c r="F65" i="11"/>
  <c r="D65" i="11"/>
  <c r="C65" i="11"/>
  <c r="A65" i="11"/>
  <c r="D64" i="11"/>
  <c r="C64" i="11"/>
  <c r="A64" i="11"/>
  <c r="E64" i="11" s="1"/>
  <c r="D63" i="11"/>
  <c r="C63" i="11"/>
  <c r="A63" i="11"/>
  <c r="F62" i="11"/>
  <c r="D62" i="11"/>
  <c r="C62" i="11"/>
  <c r="A62" i="11"/>
  <c r="E62" i="11" s="1"/>
  <c r="D61" i="11"/>
  <c r="C61" i="11"/>
  <c r="F61" i="11" s="1"/>
  <c r="A61" i="11"/>
  <c r="D60" i="11"/>
  <c r="C60" i="11"/>
  <c r="A60" i="11"/>
  <c r="D59" i="11"/>
  <c r="C59" i="11"/>
  <c r="A59" i="11"/>
  <c r="D58" i="11"/>
  <c r="F58" i="11" s="1"/>
  <c r="C58" i="11"/>
  <c r="A58" i="11"/>
  <c r="E58" i="11" s="1"/>
  <c r="D57" i="11"/>
  <c r="C57" i="11"/>
  <c r="A57" i="11"/>
  <c r="D56" i="11"/>
  <c r="C56" i="11"/>
  <c r="A56" i="11"/>
  <c r="F55" i="11"/>
  <c r="D55" i="11"/>
  <c r="C55" i="11"/>
  <c r="A55" i="11"/>
  <c r="F54" i="11"/>
  <c r="D54" i="11"/>
  <c r="C54" i="11"/>
  <c r="A54" i="11"/>
  <c r="E54" i="11" s="1"/>
  <c r="D53" i="11"/>
  <c r="C53" i="11"/>
  <c r="F53" i="11" s="1"/>
  <c r="A53" i="11"/>
  <c r="F52" i="11"/>
  <c r="D52" i="11"/>
  <c r="C52" i="11"/>
  <c r="A52" i="11"/>
  <c r="D51" i="11"/>
  <c r="C51" i="11"/>
  <c r="F51" i="11"/>
  <c r="A51" i="11"/>
  <c r="D50" i="11"/>
  <c r="F50" i="11" s="1"/>
  <c r="C50" i="11"/>
  <c r="A50" i="11"/>
  <c r="E50" i="11" s="1"/>
  <c r="D49" i="11"/>
  <c r="C49" i="11"/>
  <c r="A49" i="11"/>
  <c r="E49" i="11" s="1"/>
  <c r="D48" i="11"/>
  <c r="C48" i="11"/>
  <c r="A48" i="11"/>
  <c r="D47" i="11"/>
  <c r="C47" i="11"/>
  <c r="A47" i="11"/>
  <c r="F46" i="11"/>
  <c r="D46" i="11"/>
  <c r="C46" i="11"/>
  <c r="A46" i="11"/>
  <c r="E46" i="11" s="1"/>
  <c r="D45" i="11"/>
  <c r="C45" i="11"/>
  <c r="A45" i="11"/>
  <c r="F44" i="11"/>
  <c r="D44" i="11"/>
  <c r="C44" i="11"/>
  <c r="A44" i="11"/>
  <c r="D43" i="11"/>
  <c r="C43" i="11"/>
  <c r="F43" i="11"/>
  <c r="A43" i="11"/>
  <c r="D42" i="11"/>
  <c r="F42" i="11" s="1"/>
  <c r="C42" i="11"/>
  <c r="A42" i="11"/>
  <c r="E42" i="11" s="1"/>
  <c r="D41" i="11"/>
  <c r="C41" i="11"/>
  <c r="A41" i="11"/>
  <c r="D40" i="11"/>
  <c r="C40" i="11"/>
  <c r="A40" i="11"/>
  <c r="D39" i="11"/>
  <c r="C39" i="11"/>
  <c r="A39" i="11"/>
  <c r="F38" i="11"/>
  <c r="D38" i="11"/>
  <c r="C38" i="11"/>
  <c r="A38" i="11"/>
  <c r="E38" i="11" s="1"/>
  <c r="D37" i="11"/>
  <c r="C37" i="11"/>
  <c r="A37" i="11"/>
  <c r="D36" i="11"/>
  <c r="C36" i="11"/>
  <c r="A36" i="11"/>
  <c r="E36" i="11" s="1"/>
  <c r="D35" i="11"/>
  <c r="C35" i="11"/>
  <c r="F35" i="11"/>
  <c r="A35" i="11"/>
  <c r="F34" i="11"/>
  <c r="D34" i="11"/>
  <c r="C34" i="11"/>
  <c r="A34" i="11"/>
  <c r="D33" i="11"/>
  <c r="C33" i="11"/>
  <c r="A33" i="11"/>
  <c r="F32" i="11"/>
  <c r="D32" i="11"/>
  <c r="C32" i="11"/>
  <c r="A32" i="11"/>
  <c r="D31" i="11"/>
  <c r="C31" i="11"/>
  <c r="A31" i="11"/>
  <c r="D30" i="11"/>
  <c r="C30" i="11"/>
  <c r="F30" i="11"/>
  <c r="A30" i="11"/>
  <c r="E30" i="11" s="1"/>
  <c r="F29" i="11"/>
  <c r="D29" i="11"/>
  <c r="C29" i="11"/>
  <c r="A29" i="11"/>
  <c r="D28" i="11"/>
  <c r="C28" i="11"/>
  <c r="A28" i="11"/>
  <c r="D27" i="11"/>
  <c r="C27" i="11"/>
  <c r="F27" i="11"/>
  <c r="A27" i="11"/>
  <c r="D26" i="11"/>
  <c r="F26" i="11" s="1"/>
  <c r="C26" i="11"/>
  <c r="A26" i="11"/>
  <c r="E26" i="11" s="1"/>
  <c r="D25" i="11"/>
  <c r="C25" i="11"/>
  <c r="A25" i="11"/>
  <c r="F24" i="11"/>
  <c r="D24" i="11"/>
  <c r="C24" i="11"/>
  <c r="A24" i="11"/>
  <c r="E23" i="11"/>
  <c r="D23" i="11"/>
  <c r="C23" i="11"/>
  <c r="A23" i="11"/>
  <c r="D22" i="11"/>
  <c r="C22" i="11"/>
  <c r="F22" i="11" s="1"/>
  <c r="A22" i="11"/>
  <c r="D21" i="11"/>
  <c r="C21" i="11"/>
  <c r="A21" i="11"/>
  <c r="D20" i="11"/>
  <c r="C20" i="11"/>
  <c r="A20" i="11"/>
  <c r="D19" i="11"/>
  <c r="C19" i="11"/>
  <c r="A19" i="11"/>
  <c r="E19" i="11" s="1"/>
  <c r="D18" i="11"/>
  <c r="C18" i="11"/>
  <c r="F18" i="11" s="1"/>
  <c r="A18" i="11"/>
  <c r="D17" i="11"/>
  <c r="C17" i="11"/>
  <c r="A17" i="11"/>
  <c r="E17" i="11" s="1"/>
  <c r="D16" i="11"/>
  <c r="C16" i="11"/>
  <c r="A16" i="11"/>
  <c r="D15" i="11"/>
  <c r="C15" i="11"/>
  <c r="F15" i="11" s="1"/>
  <c r="A15" i="11"/>
  <c r="E15" i="11" s="1"/>
  <c r="D14" i="11"/>
  <c r="C14" i="11"/>
  <c r="F14" i="11" s="1"/>
  <c r="A14" i="11"/>
  <c r="E14" i="11" s="1"/>
  <c r="D13" i="11"/>
  <c r="C13" i="11"/>
  <c r="A13" i="11"/>
  <c r="D12" i="11"/>
  <c r="C12" i="11"/>
  <c r="A12" i="11"/>
  <c r="D11" i="11"/>
  <c r="C11" i="11"/>
  <c r="A11" i="11"/>
  <c r="E11" i="11" s="1"/>
  <c r="D10" i="11"/>
  <c r="C10" i="11"/>
  <c r="F10" i="11"/>
  <c r="A10" i="11"/>
  <c r="E10" i="11" s="1"/>
  <c r="D9" i="11"/>
  <c r="C9" i="11"/>
  <c r="A9" i="11"/>
  <c r="D8" i="11"/>
  <c r="C8" i="11"/>
  <c r="A8" i="11"/>
  <c r="E8" i="11" s="1"/>
  <c r="D7" i="11"/>
  <c r="C7" i="11"/>
  <c r="F7" i="11" s="1"/>
  <c r="A7" i="11"/>
  <c r="E7" i="11" s="1"/>
  <c r="E6" i="11"/>
  <c r="D6" i="11"/>
  <c r="C6" i="11"/>
  <c r="F6" i="11" s="1"/>
  <c r="A6" i="11"/>
  <c r="D5" i="11"/>
  <c r="C5" i="11"/>
  <c r="A5" i="11"/>
  <c r="D4" i="11"/>
  <c r="C4" i="11"/>
  <c r="F4" i="11" s="1"/>
  <c r="A4" i="11"/>
  <c r="D3" i="11"/>
  <c r="C3" i="11"/>
  <c r="A3" i="11"/>
  <c r="E3" i="11" s="1"/>
  <c r="F2" i="11"/>
  <c r="E2" i="11"/>
  <c r="D2" i="11"/>
  <c r="C2" i="11"/>
  <c r="A2" i="11"/>
  <c r="G407" i="10"/>
  <c r="G406" i="10"/>
  <c r="G405" i="10"/>
  <c r="G404" i="10"/>
  <c r="G403" i="10"/>
  <c r="G402" i="10"/>
  <c r="G401" i="10"/>
  <c r="G400" i="10"/>
  <c r="G399" i="10"/>
  <c r="G397" i="10"/>
  <c r="G396" i="10"/>
  <c r="G395" i="10"/>
  <c r="G392" i="10"/>
  <c r="G391" i="10"/>
  <c r="G390" i="10"/>
  <c r="G389" i="10"/>
  <c r="G388" i="10"/>
  <c r="G387" i="10"/>
  <c r="G385" i="10"/>
  <c r="G384" i="10"/>
  <c r="G382" i="10"/>
  <c r="G381" i="10"/>
  <c r="G380" i="10"/>
  <c r="G379" i="10"/>
  <c r="G376" i="10"/>
  <c r="G375" i="10"/>
  <c r="G374" i="10"/>
  <c r="G373" i="10"/>
  <c r="G370" i="10"/>
  <c r="G368" i="10"/>
  <c r="G367" i="10"/>
  <c r="G366" i="10"/>
  <c r="G365" i="10"/>
  <c r="G363" i="10"/>
  <c r="G362" i="10"/>
  <c r="G361" i="10"/>
  <c r="G360" i="10"/>
  <c r="G359" i="10"/>
  <c r="G356" i="10"/>
  <c r="G355" i="10"/>
  <c r="G354" i="10"/>
  <c r="G353" i="10"/>
  <c r="G352" i="10"/>
  <c r="G351" i="10"/>
  <c r="G350" i="10"/>
  <c r="G348" i="10"/>
  <c r="G347" i="10"/>
  <c r="G346" i="10"/>
  <c r="G345" i="10"/>
  <c r="G344" i="10"/>
  <c r="G343" i="10"/>
  <c r="G342" i="10"/>
  <c r="G341" i="10"/>
  <c r="G340" i="10"/>
  <c r="G339" i="10"/>
  <c r="G337" i="10"/>
  <c r="G334" i="10"/>
  <c r="G333" i="10"/>
  <c r="G332" i="10"/>
  <c r="G331" i="10"/>
  <c r="G330" i="10"/>
  <c r="G329" i="10"/>
  <c r="G328" i="10"/>
  <c r="G327" i="10"/>
  <c r="G326" i="10"/>
  <c r="G324" i="10"/>
  <c r="G323" i="10"/>
  <c r="G322" i="10"/>
  <c r="G321" i="10"/>
  <c r="G320" i="10"/>
  <c r="G319" i="10"/>
  <c r="G318" i="10"/>
  <c r="G315" i="10"/>
  <c r="G314" i="10"/>
  <c r="G313" i="10"/>
  <c r="G312" i="10"/>
  <c r="G311" i="10"/>
  <c r="G310" i="10"/>
  <c r="G309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3" i="10"/>
  <c r="G291" i="10"/>
  <c r="G289" i="10"/>
  <c r="G284" i="10"/>
  <c r="G283" i="10"/>
  <c r="G282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09" i="10"/>
  <c r="G208" i="10"/>
  <c r="G207" i="10"/>
  <c r="G206" i="10"/>
  <c r="G205" i="10"/>
  <c r="G204" i="10"/>
  <c r="G203" i="10"/>
  <c r="G201" i="10"/>
  <c r="G200" i="10"/>
  <c r="G199" i="10"/>
  <c r="G198" i="10"/>
  <c r="G197" i="10"/>
  <c r="G196" i="10"/>
  <c r="G195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7" i="10"/>
  <c r="G176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5" i="10"/>
  <c r="G134" i="10"/>
  <c r="G132" i="10"/>
  <c r="G97" i="10"/>
  <c r="G96" i="10"/>
  <c r="G95" i="10"/>
  <c r="G94" i="10"/>
  <c r="G93" i="10"/>
  <c r="G92" i="10"/>
  <c r="G91" i="10"/>
  <c r="G90" i="10"/>
  <c r="G88" i="10"/>
  <c r="G85" i="10"/>
  <c r="G84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3" i="10"/>
  <c r="G62" i="10"/>
  <c r="G61" i="10"/>
  <c r="G60" i="10"/>
  <c r="G59" i="10"/>
  <c r="G58" i="10"/>
  <c r="G57" i="10"/>
  <c r="G56" i="10"/>
  <c r="G54" i="10"/>
  <c r="G53" i="10"/>
  <c r="G51" i="10"/>
  <c r="G50" i="10"/>
  <c r="G49" i="10"/>
  <c r="G48" i="10"/>
  <c r="G47" i="10"/>
  <c r="G46" i="10"/>
  <c r="G45" i="10"/>
  <c r="G43" i="10"/>
  <c r="G42" i="10"/>
  <c r="G41" i="10"/>
  <c r="G40" i="10"/>
  <c r="G39" i="10"/>
  <c r="G38" i="10"/>
  <c r="G37" i="10"/>
  <c r="G36" i="10"/>
  <c r="G35" i="10"/>
  <c r="G33" i="10"/>
  <c r="G32" i="10"/>
  <c r="G31" i="10"/>
  <c r="G30" i="10"/>
  <c r="G28" i="10"/>
  <c r="G27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0" i="10"/>
  <c r="G9" i="10"/>
  <c r="G8" i="10"/>
  <c r="G7" i="10"/>
  <c r="G6" i="10"/>
  <c r="G3" i="10"/>
  <c r="G2" i="10"/>
  <c r="E34" i="11" l="1"/>
  <c r="E24" i="11"/>
  <c r="F28" i="11"/>
  <c r="E32" i="11"/>
  <c r="E40" i="11"/>
  <c r="E48" i="11"/>
  <c r="F60" i="11"/>
  <c r="E80" i="11"/>
  <c r="F84" i="11"/>
  <c r="E88" i="11"/>
  <c r="E104" i="11"/>
  <c r="E116" i="11"/>
  <c r="F124" i="11"/>
  <c r="E132" i="11"/>
  <c r="F140" i="11"/>
  <c r="F144" i="11"/>
  <c r="F188" i="11"/>
  <c r="F192" i="11"/>
  <c r="F196" i="11"/>
  <c r="F200" i="11"/>
  <c r="F204" i="11"/>
  <c r="E212" i="11"/>
  <c r="E220" i="11"/>
  <c r="E228" i="11"/>
  <c r="E236" i="11"/>
  <c r="F248" i="11"/>
  <c r="E252" i="11"/>
  <c r="F264" i="11"/>
  <c r="E268" i="11"/>
  <c r="F280" i="11"/>
  <c r="E284" i="11"/>
  <c r="E296" i="11"/>
  <c r="E328" i="11"/>
  <c r="F348" i="11"/>
  <c r="E360" i="11"/>
  <c r="F380" i="11"/>
  <c r="E384" i="11"/>
  <c r="F392" i="11"/>
  <c r="E404" i="11"/>
  <c r="E16" i="11"/>
  <c r="E56" i="11"/>
  <c r="E68" i="11"/>
  <c r="F76" i="11"/>
  <c r="E92" i="11"/>
  <c r="F100" i="11"/>
  <c r="E108" i="11"/>
  <c r="E120" i="11"/>
  <c r="F128" i="11"/>
  <c r="E136" i="11"/>
  <c r="F148" i="11"/>
  <c r="F152" i="11"/>
  <c r="F156" i="11"/>
  <c r="F160" i="11"/>
  <c r="E164" i="11"/>
  <c r="E168" i="11"/>
  <c r="E172" i="11"/>
  <c r="E176" i="11"/>
  <c r="E180" i="11"/>
  <c r="E184" i="11"/>
  <c r="E240" i="11"/>
  <c r="F252" i="11"/>
  <c r="E256" i="11"/>
  <c r="F268" i="11"/>
  <c r="E272" i="11"/>
  <c r="F284" i="11"/>
  <c r="E300" i="11"/>
  <c r="E320" i="11"/>
  <c r="F328" i="11"/>
  <c r="E332" i="11"/>
  <c r="E340" i="11"/>
  <c r="E352" i="11"/>
  <c r="E356" i="11"/>
  <c r="F360" i="11"/>
  <c r="E364" i="11"/>
  <c r="E376" i="11"/>
  <c r="F384" i="11"/>
  <c r="E396" i="11"/>
  <c r="F404" i="11"/>
  <c r="E408" i="11"/>
  <c r="E12" i="11"/>
  <c r="F36" i="11"/>
  <c r="E4" i="11"/>
  <c r="F12" i="11"/>
  <c r="E20" i="11"/>
  <c r="E28" i="11"/>
  <c r="E44" i="11"/>
  <c r="E52" i="11"/>
  <c r="E60" i="11"/>
  <c r="E72" i="11"/>
  <c r="E84" i="11"/>
  <c r="E96" i="11"/>
  <c r="E112" i="11"/>
  <c r="F116" i="11"/>
  <c r="E124" i="11"/>
  <c r="F132" i="11"/>
  <c r="E140" i="11"/>
  <c r="E144" i="11"/>
  <c r="E188" i="11"/>
  <c r="E192" i="11"/>
  <c r="E196" i="11"/>
  <c r="E200" i="11"/>
  <c r="E204" i="11"/>
  <c r="E208" i="11"/>
  <c r="E216" i="11"/>
  <c r="E224" i="11"/>
  <c r="E232" i="11"/>
  <c r="F240" i="11"/>
  <c r="E244" i="11"/>
  <c r="F256" i="11"/>
  <c r="E260" i="11"/>
  <c r="F272" i="11"/>
  <c r="E276" i="11"/>
  <c r="E288" i="11"/>
  <c r="E304" i="11"/>
  <c r="E312" i="11"/>
  <c r="E324" i="11"/>
  <c r="F332" i="11"/>
  <c r="F340" i="11"/>
  <c r="E344" i="11"/>
  <c r="F352" i="11"/>
  <c r="F356" i="11"/>
  <c r="F364" i="11"/>
  <c r="E368" i="11"/>
  <c r="F376" i="11"/>
  <c r="E388" i="11"/>
  <c r="F396" i="11"/>
  <c r="E400" i="11"/>
  <c r="F408" i="11"/>
  <c r="E9" i="11"/>
  <c r="F17" i="11"/>
  <c r="E21" i="11"/>
  <c r="F25" i="11"/>
  <c r="F33" i="11"/>
  <c r="E65" i="11"/>
  <c r="E77" i="11"/>
  <c r="E85" i="11"/>
  <c r="E93" i="11"/>
  <c r="F101" i="11"/>
  <c r="E113" i="11"/>
  <c r="E125" i="11"/>
  <c r="F189" i="11"/>
  <c r="F193" i="11"/>
  <c r="F197" i="11"/>
  <c r="F201" i="11"/>
  <c r="F205" i="11"/>
  <c r="E209" i="11"/>
  <c r="E217" i="11"/>
  <c r="E225" i="11"/>
  <c r="E233" i="11"/>
  <c r="E313" i="11"/>
  <c r="E321" i="11"/>
  <c r="E329" i="11"/>
  <c r="E373" i="11"/>
  <c r="E381" i="11"/>
  <c r="E389" i="11"/>
  <c r="E397" i="11"/>
  <c r="E405" i="11"/>
  <c r="F21" i="11"/>
  <c r="F37" i="11"/>
  <c r="E57" i="11"/>
  <c r="E69" i="11"/>
  <c r="F77" i="11"/>
  <c r="F85" i="11"/>
  <c r="F93" i="11"/>
  <c r="E105" i="11"/>
  <c r="E117" i="11"/>
  <c r="F125" i="11"/>
  <c r="F209" i="11"/>
  <c r="F217" i="11"/>
  <c r="F225" i="11"/>
  <c r="F233" i="11"/>
  <c r="E293" i="11"/>
  <c r="E301" i="11"/>
  <c r="E337" i="11"/>
  <c r="E345" i="11"/>
  <c r="E353" i="11"/>
  <c r="E361" i="11"/>
  <c r="E369" i="11"/>
  <c r="F9" i="11"/>
  <c r="E25" i="11"/>
  <c r="E33" i="11"/>
  <c r="E41" i="11"/>
  <c r="F45" i="11"/>
  <c r="E61" i="11"/>
  <c r="F69" i="11"/>
  <c r="E81" i="11"/>
  <c r="E97" i="11"/>
  <c r="E109" i="11"/>
  <c r="F117" i="11"/>
  <c r="F129" i="11"/>
  <c r="E173" i="11"/>
  <c r="E177" i="11"/>
  <c r="E181" i="11"/>
  <c r="E185" i="11"/>
  <c r="E213" i="11"/>
  <c r="E221" i="11"/>
  <c r="E229" i="11"/>
  <c r="E237" i="11"/>
  <c r="E241" i="11"/>
  <c r="E249" i="11"/>
  <c r="E257" i="11"/>
  <c r="E265" i="11"/>
  <c r="E273" i="11"/>
  <c r="E281" i="11"/>
  <c r="E309" i="11"/>
  <c r="E317" i="11"/>
  <c r="E325" i="11"/>
  <c r="E333" i="11"/>
  <c r="E357" i="11"/>
  <c r="E377" i="11"/>
  <c r="E385" i="11"/>
  <c r="E393" i="11"/>
  <c r="E401" i="11"/>
  <c r="F355" i="11"/>
  <c r="F67" i="11"/>
  <c r="F5" i="11"/>
  <c r="F13" i="11"/>
  <c r="F19" i="11"/>
  <c r="F23" i="11"/>
  <c r="F31" i="11"/>
  <c r="F59" i="11"/>
  <c r="F71" i="11"/>
  <c r="E78" i="11"/>
  <c r="E86" i="11"/>
  <c r="E94" i="11"/>
  <c r="F107" i="11"/>
  <c r="F119" i="11"/>
  <c r="E126" i="11"/>
  <c r="F3" i="11"/>
  <c r="F11" i="11"/>
  <c r="E18" i="11"/>
  <c r="E22" i="11"/>
  <c r="E27" i="11"/>
  <c r="F39" i="11"/>
  <c r="F47" i="11"/>
  <c r="F63" i="11"/>
  <c r="E70" i="11"/>
  <c r="F111" i="11"/>
  <c r="E118" i="11"/>
  <c r="E31" i="11"/>
  <c r="E39" i="11"/>
  <c r="E47" i="11"/>
  <c r="E55" i="11"/>
  <c r="E63" i="11"/>
  <c r="E71" i="11"/>
  <c r="E79" i="11"/>
  <c r="E87" i="11"/>
  <c r="E95" i="11"/>
  <c r="E103" i="11"/>
  <c r="E111" i="11"/>
  <c r="E119" i="11"/>
  <c r="E139" i="11"/>
  <c r="E143" i="11"/>
  <c r="E147" i="11"/>
  <c r="E151" i="11"/>
  <c r="E155" i="11"/>
  <c r="E159" i="11"/>
  <c r="E163" i="11"/>
  <c r="E167" i="11"/>
  <c r="E171" i="11"/>
  <c r="E245" i="11"/>
  <c r="E261" i="11"/>
  <c r="E277" i="11"/>
  <c r="E315" i="11"/>
  <c r="E29" i="11"/>
  <c r="E37" i="11"/>
  <c r="E45" i="11"/>
  <c r="E53" i="11"/>
  <c r="F126" i="11"/>
  <c r="E129" i="11"/>
  <c r="E133" i="11"/>
  <c r="E35" i="11"/>
  <c r="E43" i="11"/>
  <c r="E51" i="11"/>
  <c r="E59" i="11"/>
  <c r="E67" i="11"/>
  <c r="E75" i="11"/>
  <c r="E83" i="11"/>
  <c r="E91" i="11"/>
  <c r="E99" i="11"/>
  <c r="E107" i="11"/>
  <c r="E115" i="11"/>
  <c r="E123" i="11"/>
  <c r="E137" i="11"/>
  <c r="E141" i="11"/>
  <c r="E145" i="11"/>
  <c r="E149" i="11"/>
  <c r="E153" i="11"/>
  <c r="E157" i="11"/>
  <c r="E161" i="11"/>
  <c r="E165" i="11"/>
  <c r="E169" i="11"/>
  <c r="E253" i="11"/>
  <c r="E269" i="11"/>
  <c r="E285" i="11"/>
  <c r="F318" i="11"/>
  <c r="F238" i="11"/>
  <c r="F288" i="11"/>
  <c r="F292" i="11"/>
  <c r="F296" i="11"/>
  <c r="F300" i="11"/>
  <c r="F304" i="11"/>
  <c r="F242" i="11"/>
  <c r="F246" i="11"/>
  <c r="F250" i="11"/>
  <c r="F254" i="11"/>
  <c r="F258" i="11"/>
  <c r="F262" i="11"/>
  <c r="F266" i="11"/>
  <c r="F270" i="11"/>
  <c r="F274" i="11"/>
  <c r="F278" i="11"/>
  <c r="F282" i="11"/>
  <c r="F312" i="11"/>
  <c r="F316" i="11"/>
  <c r="F320" i="11"/>
  <c r="F42" i="6"/>
  <c r="F41" i="6"/>
  <c r="F1601" i="6" l="1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2" i="6"/>
  <c r="F1531" i="6"/>
  <c r="F1530" i="6"/>
  <c r="F1529" i="6"/>
  <c r="F1527" i="6"/>
  <c r="F1526" i="6"/>
  <c r="F1525" i="6"/>
  <c r="F1524" i="6"/>
  <c r="F1523" i="6"/>
  <c r="F1522" i="6"/>
  <c r="F1521" i="6"/>
  <c r="F1520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2" i="6"/>
  <c r="F1311" i="6"/>
  <c r="F1310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79" i="6"/>
  <c r="F1178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8" i="6"/>
  <c r="F1117" i="6"/>
  <c r="F1116" i="6"/>
  <c r="F1115" i="6"/>
  <c r="F1114" i="6"/>
  <c r="F1113" i="6"/>
  <c r="F1112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6" i="6"/>
  <c r="F935" i="6"/>
  <c r="F934" i="6"/>
  <c r="F933" i="6"/>
  <c r="F931" i="6"/>
  <c r="F930" i="6"/>
  <c r="F929" i="6"/>
  <c r="F928" i="6"/>
  <c r="F927" i="6"/>
  <c r="F926" i="6"/>
  <c r="F925" i="6"/>
  <c r="F924" i="6"/>
  <c r="F923" i="6"/>
  <c r="F922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0" i="6"/>
  <c r="F668" i="6"/>
  <c r="F667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1" i="6"/>
  <c r="F639" i="6"/>
  <c r="F638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7" i="6"/>
  <c r="F516" i="6"/>
  <c r="F515" i="6"/>
  <c r="F513" i="6"/>
  <c r="F512" i="6"/>
  <c r="F511" i="6"/>
  <c r="F510" i="6"/>
  <c r="F509" i="6"/>
  <c r="F508" i="6"/>
  <c r="F507" i="6"/>
  <c r="F506" i="6"/>
  <c r="F505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2" i="6"/>
  <c r="F461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4" i="6"/>
  <c r="F423" i="6"/>
  <c r="F422" i="6"/>
  <c r="F421" i="6"/>
  <c r="F420" i="6"/>
  <c r="F419" i="6"/>
  <c r="F418" i="6"/>
  <c r="F417" i="6"/>
  <c r="F415" i="6"/>
  <c r="F414" i="6"/>
  <c r="F413" i="6"/>
  <c r="F412" i="6"/>
  <c r="F411" i="6"/>
  <c r="F410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7" i="6"/>
  <c r="F336" i="6"/>
  <c r="F335" i="6"/>
  <c r="F334" i="6"/>
  <c r="F333" i="6"/>
  <c r="F332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5" i="6"/>
  <c r="F314" i="6"/>
  <c r="F313" i="6"/>
  <c r="F311" i="6"/>
  <c r="F310" i="6"/>
  <c r="F309" i="6"/>
  <c r="F308" i="6"/>
  <c r="F306" i="6"/>
  <c r="F305" i="6"/>
  <c r="F304" i="6"/>
  <c r="F303" i="6"/>
  <c r="F302" i="6"/>
  <c r="F301" i="6"/>
  <c r="F300" i="6"/>
  <c r="F299" i="6"/>
  <c r="F298" i="6"/>
  <c r="F297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4" i="6"/>
  <c r="F272" i="6"/>
  <c r="F271" i="6"/>
  <c r="F270" i="6"/>
  <c r="F269" i="6"/>
  <c r="F268" i="6"/>
  <c r="F267" i="6"/>
  <c r="F263" i="6"/>
  <c r="F262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59" i="6"/>
  <c r="F158" i="6"/>
  <c r="F157" i="6"/>
  <c r="F156" i="6"/>
  <c r="F155" i="6"/>
  <c r="F153" i="6"/>
  <c r="F152" i="6"/>
  <c r="F151" i="6"/>
  <c r="F150" i="6"/>
  <c r="F149" i="6"/>
  <c r="F148" i="6"/>
  <c r="F147" i="6"/>
  <c r="F146" i="6"/>
  <c r="F144" i="6"/>
  <c r="F143" i="6"/>
  <c r="F142" i="6"/>
  <c r="F141" i="6"/>
  <c r="F139" i="6"/>
  <c r="F138" i="6"/>
  <c r="F137" i="6"/>
  <c r="F136" i="6"/>
  <c r="F135" i="6"/>
  <c r="F134" i="6"/>
  <c r="F133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601" i="6"/>
  <c r="D1601" i="6"/>
  <c r="C1601" i="6"/>
  <c r="A1601" i="6"/>
  <c r="E1600" i="6"/>
  <c r="D1600" i="6"/>
  <c r="C1600" i="6"/>
  <c r="A1600" i="6"/>
  <c r="E1599" i="6"/>
  <c r="D1599" i="6"/>
  <c r="C1599" i="6"/>
  <c r="A1599" i="6"/>
  <c r="E1598" i="6"/>
  <c r="D1598" i="6"/>
  <c r="C1598" i="6"/>
  <c r="A1598" i="6"/>
  <c r="E1597" i="6"/>
  <c r="D1597" i="6"/>
  <c r="C1597" i="6"/>
  <c r="A1597" i="6"/>
  <c r="E1596" i="6"/>
  <c r="D1596" i="6"/>
  <c r="C1596" i="6"/>
  <c r="A1596" i="6"/>
  <c r="E1595" i="6"/>
  <c r="D1595" i="6"/>
  <c r="C1595" i="6"/>
  <c r="A1595" i="6"/>
  <c r="E1594" i="6"/>
  <c r="D1594" i="6"/>
  <c r="C1594" i="6"/>
  <c r="A1594" i="6"/>
  <c r="E1593" i="6"/>
  <c r="D1593" i="6"/>
  <c r="C1593" i="6"/>
  <c r="A1593" i="6"/>
  <c r="E1592" i="6"/>
  <c r="D1592" i="6"/>
  <c r="C1592" i="6"/>
  <c r="A1592" i="6"/>
  <c r="E1591" i="6"/>
  <c r="D1591" i="6"/>
  <c r="C1591" i="6"/>
  <c r="A1591" i="6"/>
  <c r="E1590" i="6"/>
  <c r="D1590" i="6"/>
  <c r="C1590" i="6"/>
  <c r="A1590" i="6"/>
  <c r="E1589" i="6"/>
  <c r="D1589" i="6"/>
  <c r="C1589" i="6"/>
  <c r="A1589" i="6"/>
  <c r="E1588" i="6"/>
  <c r="D1588" i="6"/>
  <c r="C1588" i="6"/>
  <c r="A1588" i="6"/>
  <c r="E1587" i="6"/>
  <c r="D1587" i="6"/>
  <c r="C1587" i="6"/>
  <c r="A1587" i="6"/>
  <c r="E1586" i="6"/>
  <c r="D1586" i="6"/>
  <c r="C1586" i="6"/>
  <c r="A1586" i="6"/>
  <c r="E1585" i="6"/>
  <c r="D1585" i="6"/>
  <c r="C1585" i="6"/>
  <c r="A1585" i="6"/>
  <c r="E1584" i="6"/>
  <c r="D1584" i="6"/>
  <c r="C1584" i="6"/>
  <c r="A1584" i="6"/>
  <c r="E1583" i="6"/>
  <c r="D1583" i="6"/>
  <c r="C1583" i="6"/>
  <c r="A1583" i="6"/>
  <c r="E1582" i="6"/>
  <c r="D1582" i="6"/>
  <c r="C1582" i="6"/>
  <c r="A1582" i="6"/>
  <c r="E1581" i="6"/>
  <c r="D1581" i="6"/>
  <c r="C1581" i="6"/>
  <c r="A1581" i="6"/>
  <c r="E1580" i="6"/>
  <c r="D1580" i="6"/>
  <c r="C1580" i="6"/>
  <c r="A1580" i="6"/>
  <c r="E1579" i="6"/>
  <c r="D1579" i="6"/>
  <c r="C1579" i="6"/>
  <c r="A1579" i="6"/>
  <c r="E1578" i="6"/>
  <c r="D1578" i="6"/>
  <c r="C1578" i="6"/>
  <c r="A1578" i="6"/>
  <c r="E1577" i="6"/>
  <c r="D1577" i="6"/>
  <c r="C1577" i="6"/>
  <c r="A1577" i="6"/>
  <c r="E1576" i="6"/>
  <c r="D1576" i="6"/>
  <c r="C1576" i="6"/>
  <c r="A1576" i="6"/>
  <c r="E1575" i="6"/>
  <c r="D1575" i="6"/>
  <c r="C1575" i="6"/>
  <c r="A1575" i="6"/>
  <c r="E1574" i="6"/>
  <c r="D1574" i="6"/>
  <c r="C1574" i="6"/>
  <c r="A1574" i="6"/>
  <c r="E1573" i="6"/>
  <c r="D1573" i="6"/>
  <c r="C1573" i="6"/>
  <c r="A1573" i="6"/>
  <c r="E1572" i="6"/>
  <c r="D1572" i="6"/>
  <c r="C1572" i="6"/>
  <c r="A1572" i="6"/>
  <c r="E1571" i="6"/>
  <c r="D1571" i="6"/>
  <c r="C1571" i="6"/>
  <c r="A1571" i="6"/>
  <c r="E1570" i="6"/>
  <c r="D1570" i="6"/>
  <c r="C1570" i="6"/>
  <c r="A1570" i="6"/>
  <c r="E1569" i="6"/>
  <c r="D1569" i="6"/>
  <c r="C1569" i="6"/>
  <c r="A1569" i="6"/>
  <c r="E1568" i="6"/>
  <c r="D1568" i="6"/>
  <c r="C1568" i="6"/>
  <c r="A1568" i="6"/>
  <c r="E1567" i="6"/>
  <c r="D1567" i="6"/>
  <c r="C1567" i="6"/>
  <c r="A1567" i="6"/>
  <c r="E1566" i="6"/>
  <c r="D1566" i="6"/>
  <c r="C1566" i="6"/>
  <c r="A1566" i="6"/>
  <c r="E1565" i="6"/>
  <c r="D1565" i="6"/>
  <c r="C1565" i="6"/>
  <c r="A1565" i="6"/>
  <c r="E1564" i="6"/>
  <c r="D1564" i="6"/>
  <c r="C1564" i="6"/>
  <c r="A1564" i="6"/>
  <c r="E1563" i="6"/>
  <c r="D1563" i="6"/>
  <c r="C1563" i="6"/>
  <c r="A1563" i="6"/>
  <c r="E1562" i="6"/>
  <c r="D1562" i="6"/>
  <c r="C1562" i="6"/>
  <c r="A1562" i="6"/>
  <c r="E1561" i="6"/>
  <c r="D1561" i="6"/>
  <c r="C1561" i="6"/>
  <c r="A1561" i="6"/>
  <c r="E1560" i="6"/>
  <c r="D1560" i="6"/>
  <c r="C1560" i="6"/>
  <c r="A1560" i="6"/>
  <c r="E1559" i="6"/>
  <c r="D1559" i="6"/>
  <c r="C1559" i="6"/>
  <c r="A1559" i="6"/>
  <c r="E1558" i="6"/>
  <c r="D1558" i="6"/>
  <c r="C1558" i="6"/>
  <c r="A1558" i="6"/>
  <c r="E1557" i="6"/>
  <c r="D1557" i="6"/>
  <c r="C1557" i="6"/>
  <c r="A1557" i="6"/>
  <c r="E1556" i="6"/>
  <c r="D1556" i="6"/>
  <c r="C1556" i="6"/>
  <c r="A1556" i="6"/>
  <c r="E1555" i="6"/>
  <c r="D1555" i="6"/>
  <c r="C1555" i="6"/>
  <c r="A1555" i="6"/>
  <c r="E1554" i="6"/>
  <c r="D1554" i="6"/>
  <c r="C1554" i="6"/>
  <c r="A1554" i="6"/>
  <c r="E1553" i="6"/>
  <c r="D1553" i="6"/>
  <c r="C1553" i="6"/>
  <c r="A1553" i="6"/>
  <c r="E1552" i="6"/>
  <c r="D1552" i="6"/>
  <c r="C1552" i="6"/>
  <c r="A1552" i="6"/>
  <c r="E1551" i="6"/>
  <c r="D1551" i="6"/>
  <c r="C1551" i="6"/>
  <c r="A1551" i="6"/>
  <c r="E1550" i="6"/>
  <c r="D1550" i="6"/>
  <c r="C1550" i="6"/>
  <c r="A1550" i="6"/>
  <c r="E1549" i="6"/>
  <c r="D1549" i="6"/>
  <c r="C1549" i="6"/>
  <c r="A1549" i="6"/>
  <c r="E1548" i="6"/>
  <c r="D1548" i="6"/>
  <c r="C1548" i="6"/>
  <c r="A1548" i="6"/>
  <c r="E1547" i="6"/>
  <c r="D1547" i="6"/>
  <c r="C1547" i="6"/>
  <c r="A1547" i="6"/>
  <c r="E1546" i="6"/>
  <c r="D1546" i="6"/>
  <c r="C1546" i="6"/>
  <c r="A1546" i="6"/>
  <c r="E1545" i="6"/>
  <c r="D1545" i="6"/>
  <c r="C1545" i="6"/>
  <c r="A1545" i="6"/>
  <c r="E1544" i="6"/>
  <c r="D1544" i="6"/>
  <c r="C1544" i="6"/>
  <c r="A1544" i="6"/>
  <c r="E1543" i="6"/>
  <c r="D1543" i="6"/>
  <c r="C1543" i="6"/>
  <c r="A1543" i="6"/>
  <c r="E1542" i="6"/>
  <c r="D1542" i="6"/>
  <c r="C1542" i="6"/>
  <c r="A1542" i="6"/>
  <c r="E1541" i="6"/>
  <c r="D1541" i="6"/>
  <c r="C1541" i="6"/>
  <c r="A1541" i="6"/>
  <c r="E1540" i="6"/>
  <c r="D1540" i="6"/>
  <c r="C1540" i="6"/>
  <c r="A1540" i="6"/>
  <c r="E1539" i="6"/>
  <c r="D1539" i="6"/>
  <c r="C1539" i="6"/>
  <c r="A1539" i="6"/>
  <c r="E1538" i="6"/>
  <c r="D1538" i="6"/>
  <c r="C1538" i="6"/>
  <c r="A1538" i="6"/>
  <c r="E1537" i="6"/>
  <c r="D1537" i="6"/>
  <c r="C1537" i="6"/>
  <c r="A1537" i="6"/>
  <c r="E1536" i="6"/>
  <c r="D1536" i="6"/>
  <c r="C1536" i="6"/>
  <c r="A1536" i="6"/>
  <c r="E1535" i="6"/>
  <c r="D1535" i="6"/>
  <c r="C1535" i="6"/>
  <c r="A1535" i="6"/>
  <c r="E1534" i="6"/>
  <c r="D1534" i="6"/>
  <c r="C1534" i="6"/>
  <c r="A1534" i="6"/>
  <c r="D1533" i="6"/>
  <c r="C1533" i="6"/>
  <c r="F1533" i="6" s="1"/>
  <c r="A1533" i="6"/>
  <c r="E1532" i="6"/>
  <c r="D1532" i="6"/>
  <c r="C1532" i="6"/>
  <c r="A1532" i="6"/>
  <c r="E1531" i="6"/>
  <c r="D1531" i="6"/>
  <c r="C1531" i="6"/>
  <c r="A1531" i="6"/>
  <c r="E1530" i="6"/>
  <c r="D1530" i="6"/>
  <c r="C1530" i="6"/>
  <c r="A1530" i="6"/>
  <c r="E1529" i="6"/>
  <c r="D1529" i="6"/>
  <c r="C1529" i="6"/>
  <c r="A1529" i="6"/>
  <c r="D1528" i="6"/>
  <c r="C1528" i="6"/>
  <c r="F1528" i="6" s="1"/>
  <c r="A1528" i="6"/>
  <c r="E1527" i="6"/>
  <c r="D1527" i="6"/>
  <c r="C1527" i="6"/>
  <c r="A1527" i="6"/>
  <c r="E1526" i="6"/>
  <c r="D1526" i="6"/>
  <c r="C1526" i="6"/>
  <c r="A1526" i="6"/>
  <c r="E1525" i="6"/>
  <c r="D1525" i="6"/>
  <c r="C1525" i="6"/>
  <c r="A1525" i="6"/>
  <c r="E1524" i="6"/>
  <c r="D1524" i="6"/>
  <c r="C1524" i="6"/>
  <c r="A1524" i="6"/>
  <c r="E1523" i="6"/>
  <c r="D1523" i="6"/>
  <c r="C1523" i="6"/>
  <c r="A1523" i="6"/>
  <c r="E1522" i="6"/>
  <c r="D1522" i="6"/>
  <c r="C1522" i="6"/>
  <c r="A1522" i="6"/>
  <c r="E1521" i="6"/>
  <c r="D1521" i="6"/>
  <c r="C1521" i="6"/>
  <c r="A1521" i="6"/>
  <c r="E1520" i="6"/>
  <c r="D1520" i="6"/>
  <c r="C1520" i="6"/>
  <c r="A1520" i="6"/>
  <c r="D1519" i="6"/>
  <c r="C1519" i="6"/>
  <c r="F1519" i="6" s="1"/>
  <c r="A1519" i="6"/>
  <c r="E1518" i="6"/>
  <c r="D1518" i="6"/>
  <c r="C1518" i="6"/>
  <c r="A1518" i="6"/>
  <c r="E1517" i="6"/>
  <c r="D1517" i="6"/>
  <c r="C1517" i="6"/>
  <c r="A1517" i="6"/>
  <c r="E1516" i="6"/>
  <c r="D1516" i="6"/>
  <c r="C1516" i="6"/>
  <c r="A1516" i="6"/>
  <c r="E1515" i="6"/>
  <c r="D1515" i="6"/>
  <c r="C1515" i="6"/>
  <c r="A1515" i="6"/>
  <c r="E1514" i="6"/>
  <c r="D1514" i="6"/>
  <c r="C1514" i="6"/>
  <c r="A1514" i="6"/>
  <c r="E1513" i="6"/>
  <c r="D1513" i="6"/>
  <c r="C1513" i="6"/>
  <c r="A1513" i="6"/>
  <c r="E1512" i="6"/>
  <c r="D1512" i="6"/>
  <c r="C1512" i="6"/>
  <c r="A1512" i="6"/>
  <c r="E1511" i="6"/>
  <c r="D1511" i="6"/>
  <c r="C1511" i="6"/>
  <c r="A1511" i="6"/>
  <c r="E1510" i="6"/>
  <c r="D1510" i="6"/>
  <c r="C1510" i="6"/>
  <c r="A1510" i="6"/>
  <c r="E1509" i="6"/>
  <c r="D1509" i="6"/>
  <c r="C1509" i="6"/>
  <c r="A1509" i="6"/>
  <c r="E1508" i="6"/>
  <c r="D1508" i="6"/>
  <c r="C1508" i="6"/>
  <c r="A1508" i="6"/>
  <c r="E1507" i="6"/>
  <c r="D1507" i="6"/>
  <c r="C1507" i="6"/>
  <c r="A1507" i="6"/>
  <c r="E1506" i="6"/>
  <c r="D1506" i="6"/>
  <c r="C1506" i="6"/>
  <c r="A1506" i="6"/>
  <c r="E1505" i="6"/>
  <c r="D1505" i="6"/>
  <c r="C1505" i="6"/>
  <c r="A1505" i="6"/>
  <c r="E1504" i="6"/>
  <c r="D1504" i="6"/>
  <c r="C1504" i="6"/>
  <c r="A1504" i="6"/>
  <c r="E1503" i="6"/>
  <c r="D1503" i="6"/>
  <c r="C1503" i="6"/>
  <c r="A1503" i="6"/>
  <c r="D1502" i="6"/>
  <c r="C1502" i="6"/>
  <c r="F1502" i="6" s="1"/>
  <c r="A1502" i="6"/>
  <c r="E1501" i="6"/>
  <c r="D1501" i="6"/>
  <c r="C1501" i="6"/>
  <c r="A1501" i="6"/>
  <c r="E1500" i="6"/>
  <c r="D1500" i="6"/>
  <c r="C1500" i="6"/>
  <c r="A1500" i="6"/>
  <c r="E1499" i="6"/>
  <c r="D1499" i="6"/>
  <c r="C1499" i="6"/>
  <c r="A1499" i="6"/>
  <c r="E1498" i="6"/>
  <c r="D1498" i="6"/>
  <c r="C1498" i="6"/>
  <c r="A1498" i="6"/>
  <c r="E1497" i="6"/>
  <c r="D1497" i="6"/>
  <c r="C1497" i="6"/>
  <c r="A1497" i="6"/>
  <c r="E1496" i="6"/>
  <c r="D1496" i="6"/>
  <c r="C1496" i="6"/>
  <c r="A1496" i="6"/>
  <c r="E1495" i="6"/>
  <c r="D1495" i="6"/>
  <c r="C1495" i="6"/>
  <c r="A1495" i="6"/>
  <c r="E1494" i="6"/>
  <c r="D1494" i="6"/>
  <c r="C1494" i="6"/>
  <c r="A1494" i="6"/>
  <c r="E1493" i="6"/>
  <c r="D1493" i="6"/>
  <c r="C1493" i="6"/>
  <c r="A1493" i="6"/>
  <c r="E1492" i="6"/>
  <c r="D1492" i="6"/>
  <c r="C1492" i="6"/>
  <c r="A1492" i="6"/>
  <c r="E1491" i="6"/>
  <c r="D1491" i="6"/>
  <c r="C1491" i="6"/>
  <c r="A1491" i="6"/>
  <c r="E1490" i="6"/>
  <c r="D1490" i="6"/>
  <c r="C1490" i="6"/>
  <c r="A1490" i="6"/>
  <c r="E1489" i="6"/>
  <c r="D1489" i="6"/>
  <c r="C1489" i="6"/>
  <c r="A1489" i="6"/>
  <c r="E1488" i="6"/>
  <c r="D1488" i="6"/>
  <c r="C1488" i="6"/>
  <c r="A1488" i="6"/>
  <c r="E1487" i="6"/>
  <c r="D1487" i="6"/>
  <c r="C1487" i="6"/>
  <c r="A1487" i="6"/>
  <c r="E1486" i="6"/>
  <c r="D1486" i="6"/>
  <c r="C1486" i="6"/>
  <c r="A1486" i="6"/>
  <c r="E1485" i="6"/>
  <c r="D1485" i="6"/>
  <c r="C1485" i="6"/>
  <c r="A1485" i="6"/>
  <c r="E1484" i="6"/>
  <c r="D1484" i="6"/>
  <c r="C1484" i="6"/>
  <c r="A1484" i="6"/>
  <c r="E1483" i="6"/>
  <c r="D1483" i="6"/>
  <c r="C1483" i="6"/>
  <c r="A1483" i="6"/>
  <c r="E1482" i="6"/>
  <c r="D1482" i="6"/>
  <c r="C1482" i="6"/>
  <c r="A1482" i="6"/>
  <c r="E1481" i="6"/>
  <c r="D1481" i="6"/>
  <c r="C1481" i="6"/>
  <c r="A1481" i="6"/>
  <c r="E1480" i="6"/>
  <c r="D1480" i="6"/>
  <c r="C1480" i="6"/>
  <c r="A1480" i="6"/>
  <c r="E1479" i="6"/>
  <c r="D1479" i="6"/>
  <c r="C1479" i="6"/>
  <c r="A1479" i="6"/>
  <c r="E1478" i="6"/>
  <c r="D1478" i="6"/>
  <c r="C1478" i="6"/>
  <c r="A1478" i="6"/>
  <c r="E1477" i="6"/>
  <c r="D1477" i="6"/>
  <c r="C1477" i="6"/>
  <c r="A1477" i="6"/>
  <c r="E1476" i="6"/>
  <c r="D1476" i="6"/>
  <c r="C1476" i="6"/>
  <c r="A1476" i="6"/>
  <c r="E1475" i="6"/>
  <c r="D1475" i="6"/>
  <c r="C1475" i="6"/>
  <c r="A1475" i="6"/>
  <c r="E1474" i="6"/>
  <c r="D1474" i="6"/>
  <c r="C1474" i="6"/>
  <c r="A1474" i="6"/>
  <c r="E1473" i="6"/>
  <c r="D1473" i="6"/>
  <c r="C1473" i="6"/>
  <c r="A1473" i="6"/>
  <c r="E1472" i="6"/>
  <c r="D1472" i="6"/>
  <c r="C1472" i="6"/>
  <c r="A1472" i="6"/>
  <c r="D1471" i="6"/>
  <c r="C1471" i="6"/>
  <c r="F1471" i="6" s="1"/>
  <c r="A1471" i="6"/>
  <c r="E1470" i="6"/>
  <c r="D1470" i="6"/>
  <c r="C1470" i="6"/>
  <c r="A1470" i="6"/>
  <c r="E1469" i="6"/>
  <c r="D1469" i="6"/>
  <c r="C1469" i="6"/>
  <c r="A1469" i="6"/>
  <c r="E1468" i="6"/>
  <c r="D1468" i="6"/>
  <c r="C1468" i="6"/>
  <c r="A1468" i="6"/>
  <c r="E1467" i="6"/>
  <c r="D1467" i="6"/>
  <c r="C1467" i="6"/>
  <c r="A1467" i="6"/>
  <c r="E1466" i="6"/>
  <c r="D1466" i="6"/>
  <c r="C1466" i="6"/>
  <c r="A1466" i="6"/>
  <c r="E1465" i="6"/>
  <c r="D1465" i="6"/>
  <c r="C1465" i="6"/>
  <c r="A1465" i="6"/>
  <c r="E1464" i="6"/>
  <c r="D1464" i="6"/>
  <c r="C1464" i="6"/>
  <c r="A1464" i="6"/>
  <c r="E1463" i="6"/>
  <c r="D1463" i="6"/>
  <c r="C1463" i="6"/>
  <c r="A1463" i="6"/>
  <c r="E1462" i="6"/>
  <c r="D1462" i="6"/>
  <c r="C1462" i="6"/>
  <c r="A1462" i="6"/>
  <c r="E1461" i="6"/>
  <c r="D1461" i="6"/>
  <c r="C1461" i="6"/>
  <c r="A1461" i="6"/>
  <c r="E1460" i="6"/>
  <c r="D1460" i="6"/>
  <c r="C1460" i="6"/>
  <c r="A1460" i="6"/>
  <c r="E1459" i="6"/>
  <c r="D1459" i="6"/>
  <c r="C1459" i="6"/>
  <c r="A1459" i="6"/>
  <c r="E1458" i="6"/>
  <c r="D1458" i="6"/>
  <c r="C1458" i="6"/>
  <c r="A1458" i="6"/>
  <c r="E1457" i="6"/>
  <c r="D1457" i="6"/>
  <c r="C1457" i="6"/>
  <c r="A1457" i="6"/>
  <c r="E1456" i="6"/>
  <c r="D1456" i="6"/>
  <c r="C1456" i="6"/>
  <c r="A1456" i="6"/>
  <c r="E1455" i="6"/>
  <c r="D1455" i="6"/>
  <c r="C1455" i="6"/>
  <c r="A1455" i="6"/>
  <c r="E1454" i="6"/>
  <c r="D1454" i="6"/>
  <c r="C1454" i="6"/>
  <c r="A1454" i="6"/>
  <c r="E1453" i="6"/>
  <c r="D1453" i="6"/>
  <c r="C1453" i="6"/>
  <c r="A1453" i="6"/>
  <c r="E1452" i="6"/>
  <c r="D1452" i="6"/>
  <c r="C1452" i="6"/>
  <c r="A1452" i="6"/>
  <c r="E1451" i="6"/>
  <c r="D1451" i="6"/>
  <c r="C1451" i="6"/>
  <c r="A1451" i="6"/>
  <c r="D1450" i="6"/>
  <c r="C1450" i="6"/>
  <c r="F1450" i="6" s="1"/>
  <c r="A1450" i="6"/>
  <c r="D1449" i="6"/>
  <c r="C1449" i="6"/>
  <c r="F1449" i="6" s="1"/>
  <c r="A1449" i="6"/>
  <c r="E1448" i="6"/>
  <c r="D1448" i="6"/>
  <c r="C1448" i="6"/>
  <c r="A1448" i="6"/>
  <c r="E1447" i="6"/>
  <c r="D1447" i="6"/>
  <c r="C1447" i="6"/>
  <c r="A1447" i="6"/>
  <c r="E1446" i="6"/>
  <c r="D1446" i="6"/>
  <c r="C1446" i="6"/>
  <c r="A1446" i="6"/>
  <c r="E1445" i="6"/>
  <c r="D1445" i="6"/>
  <c r="C1445" i="6"/>
  <c r="A1445" i="6"/>
  <c r="E1444" i="6"/>
  <c r="D1444" i="6"/>
  <c r="C1444" i="6"/>
  <c r="A1444" i="6"/>
  <c r="E1443" i="6"/>
  <c r="D1443" i="6"/>
  <c r="C1443" i="6"/>
  <c r="A1443" i="6"/>
  <c r="E1442" i="6"/>
  <c r="D1442" i="6"/>
  <c r="C1442" i="6"/>
  <c r="A1442" i="6"/>
  <c r="E1441" i="6"/>
  <c r="D1441" i="6"/>
  <c r="C1441" i="6"/>
  <c r="A1441" i="6"/>
  <c r="E1440" i="6"/>
  <c r="D1440" i="6"/>
  <c r="C1440" i="6"/>
  <c r="A1440" i="6"/>
  <c r="E1439" i="6"/>
  <c r="D1439" i="6"/>
  <c r="C1439" i="6"/>
  <c r="A1439" i="6"/>
  <c r="E1438" i="6"/>
  <c r="D1438" i="6"/>
  <c r="C1438" i="6"/>
  <c r="A1438" i="6"/>
  <c r="E1437" i="6"/>
  <c r="D1437" i="6"/>
  <c r="C1437" i="6"/>
  <c r="A1437" i="6"/>
  <c r="E1436" i="6"/>
  <c r="D1436" i="6"/>
  <c r="C1436" i="6"/>
  <c r="A1436" i="6"/>
  <c r="E1435" i="6"/>
  <c r="D1435" i="6"/>
  <c r="C1435" i="6"/>
  <c r="A1435" i="6"/>
  <c r="E1434" i="6"/>
  <c r="D1434" i="6"/>
  <c r="C1434" i="6"/>
  <c r="A1434" i="6"/>
  <c r="E1433" i="6"/>
  <c r="D1433" i="6"/>
  <c r="C1433" i="6"/>
  <c r="A1433" i="6"/>
  <c r="E1432" i="6"/>
  <c r="D1432" i="6"/>
  <c r="C1432" i="6"/>
  <c r="A1432" i="6"/>
  <c r="E1431" i="6"/>
  <c r="D1431" i="6"/>
  <c r="C1431" i="6"/>
  <c r="A1431" i="6"/>
  <c r="E1430" i="6"/>
  <c r="D1430" i="6"/>
  <c r="C1430" i="6"/>
  <c r="A1430" i="6"/>
  <c r="E1429" i="6"/>
  <c r="D1429" i="6"/>
  <c r="C1429" i="6"/>
  <c r="A1429" i="6"/>
  <c r="E1428" i="6"/>
  <c r="D1428" i="6"/>
  <c r="C1428" i="6"/>
  <c r="A1428" i="6"/>
  <c r="E1427" i="6"/>
  <c r="D1427" i="6"/>
  <c r="C1427" i="6"/>
  <c r="A1427" i="6"/>
  <c r="E1426" i="6"/>
  <c r="D1426" i="6"/>
  <c r="C1426" i="6"/>
  <c r="A1426" i="6"/>
  <c r="E1425" i="6"/>
  <c r="D1425" i="6"/>
  <c r="C1425" i="6"/>
  <c r="A1425" i="6"/>
  <c r="D1424" i="6"/>
  <c r="C1424" i="6"/>
  <c r="F1424" i="6" s="1"/>
  <c r="A1424" i="6"/>
  <c r="E1423" i="6"/>
  <c r="D1423" i="6"/>
  <c r="C1423" i="6"/>
  <c r="A1423" i="6"/>
  <c r="E1422" i="6"/>
  <c r="D1422" i="6"/>
  <c r="C1422" i="6"/>
  <c r="A1422" i="6"/>
  <c r="E1421" i="6"/>
  <c r="D1421" i="6"/>
  <c r="C1421" i="6"/>
  <c r="A1421" i="6"/>
  <c r="E1420" i="6"/>
  <c r="D1420" i="6"/>
  <c r="C1420" i="6"/>
  <c r="A1420" i="6"/>
  <c r="E1419" i="6"/>
  <c r="D1419" i="6"/>
  <c r="C1419" i="6"/>
  <c r="A1419" i="6"/>
  <c r="E1418" i="6"/>
  <c r="D1418" i="6"/>
  <c r="C1418" i="6"/>
  <c r="A1418" i="6"/>
  <c r="E1417" i="6"/>
  <c r="D1417" i="6"/>
  <c r="C1417" i="6"/>
  <c r="A1417" i="6"/>
  <c r="E1416" i="6"/>
  <c r="D1416" i="6"/>
  <c r="C1416" i="6"/>
  <c r="A1416" i="6"/>
  <c r="E1415" i="6"/>
  <c r="D1415" i="6"/>
  <c r="C1415" i="6"/>
  <c r="A1415" i="6"/>
  <c r="E1414" i="6"/>
  <c r="D1414" i="6"/>
  <c r="C1414" i="6"/>
  <c r="A1414" i="6"/>
  <c r="E1413" i="6"/>
  <c r="D1413" i="6"/>
  <c r="C1413" i="6"/>
  <c r="A1413" i="6"/>
  <c r="E1412" i="6"/>
  <c r="D1412" i="6"/>
  <c r="C1412" i="6"/>
  <c r="A1412" i="6"/>
  <c r="E1411" i="6"/>
  <c r="D1411" i="6"/>
  <c r="C1411" i="6"/>
  <c r="A1411" i="6"/>
  <c r="E1410" i="6"/>
  <c r="D1410" i="6"/>
  <c r="C1410" i="6"/>
  <c r="A1410" i="6"/>
  <c r="E1409" i="6"/>
  <c r="D1409" i="6"/>
  <c r="C1409" i="6"/>
  <c r="A1409" i="6"/>
  <c r="E1408" i="6"/>
  <c r="D1408" i="6"/>
  <c r="C1408" i="6"/>
  <c r="A1408" i="6"/>
  <c r="E1407" i="6"/>
  <c r="D1407" i="6"/>
  <c r="C1407" i="6"/>
  <c r="A1407" i="6"/>
  <c r="E1406" i="6"/>
  <c r="D1406" i="6"/>
  <c r="C1406" i="6"/>
  <c r="A1406" i="6"/>
  <c r="E1405" i="6"/>
  <c r="D1405" i="6"/>
  <c r="C1405" i="6"/>
  <c r="A1405" i="6"/>
  <c r="E1404" i="6"/>
  <c r="D1404" i="6"/>
  <c r="C1404" i="6"/>
  <c r="A1404" i="6"/>
  <c r="E1403" i="6"/>
  <c r="D1403" i="6"/>
  <c r="C1403" i="6"/>
  <c r="A1403" i="6"/>
  <c r="E1402" i="6"/>
  <c r="D1402" i="6"/>
  <c r="C1402" i="6"/>
  <c r="A1402" i="6"/>
  <c r="E1401" i="6"/>
  <c r="D1401" i="6"/>
  <c r="C1401" i="6"/>
  <c r="A1401" i="6"/>
  <c r="E1400" i="6"/>
  <c r="D1400" i="6"/>
  <c r="C1400" i="6"/>
  <c r="A1400" i="6"/>
  <c r="E1399" i="6"/>
  <c r="D1399" i="6"/>
  <c r="C1399" i="6"/>
  <c r="A1399" i="6"/>
  <c r="D1398" i="6"/>
  <c r="C1398" i="6"/>
  <c r="F1398" i="6" s="1"/>
  <c r="A1398" i="6"/>
  <c r="E1398" i="6" s="1"/>
  <c r="E1397" i="6"/>
  <c r="D1397" i="6"/>
  <c r="C1397" i="6"/>
  <c r="A1397" i="6"/>
  <c r="E1396" i="6"/>
  <c r="D1396" i="6"/>
  <c r="C1396" i="6"/>
  <c r="A1396" i="6"/>
  <c r="E1395" i="6"/>
  <c r="D1395" i="6"/>
  <c r="C1395" i="6"/>
  <c r="A1395" i="6"/>
  <c r="E1394" i="6"/>
  <c r="D1394" i="6"/>
  <c r="C1394" i="6"/>
  <c r="A1394" i="6"/>
  <c r="E1393" i="6"/>
  <c r="D1393" i="6"/>
  <c r="C1393" i="6"/>
  <c r="A1393" i="6"/>
  <c r="E1392" i="6"/>
  <c r="D1392" i="6"/>
  <c r="C1392" i="6"/>
  <c r="A1392" i="6"/>
  <c r="E1391" i="6"/>
  <c r="D1391" i="6"/>
  <c r="C1391" i="6"/>
  <c r="A1391" i="6"/>
  <c r="E1390" i="6"/>
  <c r="D1390" i="6"/>
  <c r="C1390" i="6"/>
  <c r="A1390" i="6"/>
  <c r="E1389" i="6"/>
  <c r="D1389" i="6"/>
  <c r="C1389" i="6"/>
  <c r="A1389" i="6"/>
  <c r="E1388" i="6"/>
  <c r="D1388" i="6"/>
  <c r="C1388" i="6"/>
  <c r="A1388" i="6"/>
  <c r="E1387" i="6"/>
  <c r="D1387" i="6"/>
  <c r="C1387" i="6"/>
  <c r="A1387" i="6"/>
  <c r="E1386" i="6"/>
  <c r="D1386" i="6"/>
  <c r="C1386" i="6"/>
  <c r="A1386" i="6"/>
  <c r="E1385" i="6"/>
  <c r="D1385" i="6"/>
  <c r="C1385" i="6"/>
  <c r="A1385" i="6"/>
  <c r="D1384" i="6"/>
  <c r="C1384" i="6"/>
  <c r="F1384" i="6" s="1"/>
  <c r="A1384" i="6"/>
  <c r="E1383" i="6"/>
  <c r="D1383" i="6"/>
  <c r="C1383" i="6"/>
  <c r="A1383" i="6"/>
  <c r="E1382" i="6"/>
  <c r="D1382" i="6"/>
  <c r="C1382" i="6"/>
  <c r="A1382" i="6"/>
  <c r="E1381" i="6"/>
  <c r="D1381" i="6"/>
  <c r="C1381" i="6"/>
  <c r="A1381" i="6"/>
  <c r="E1380" i="6"/>
  <c r="D1380" i="6"/>
  <c r="C1380" i="6"/>
  <c r="A1380" i="6"/>
  <c r="E1379" i="6"/>
  <c r="D1379" i="6"/>
  <c r="C1379" i="6"/>
  <c r="A1379" i="6"/>
  <c r="E1378" i="6"/>
  <c r="D1378" i="6"/>
  <c r="C1378" i="6"/>
  <c r="A1378" i="6"/>
  <c r="E1377" i="6"/>
  <c r="D1377" i="6"/>
  <c r="C1377" i="6"/>
  <c r="A1377" i="6"/>
  <c r="E1376" i="6"/>
  <c r="D1376" i="6"/>
  <c r="C1376" i="6"/>
  <c r="A1376" i="6"/>
  <c r="E1375" i="6"/>
  <c r="D1375" i="6"/>
  <c r="C1375" i="6"/>
  <c r="A1375" i="6"/>
  <c r="E1374" i="6"/>
  <c r="D1374" i="6"/>
  <c r="C1374" i="6"/>
  <c r="A1374" i="6"/>
  <c r="E1373" i="6"/>
  <c r="D1373" i="6"/>
  <c r="C1373" i="6"/>
  <c r="A1373" i="6"/>
  <c r="E1372" i="6"/>
  <c r="D1372" i="6"/>
  <c r="C1372" i="6"/>
  <c r="A1372" i="6"/>
  <c r="E1371" i="6"/>
  <c r="D1371" i="6"/>
  <c r="C1371" i="6"/>
  <c r="A1371" i="6"/>
  <c r="E1370" i="6"/>
  <c r="D1370" i="6"/>
  <c r="C1370" i="6"/>
  <c r="A1370" i="6"/>
  <c r="E1369" i="6"/>
  <c r="D1369" i="6"/>
  <c r="C1369" i="6"/>
  <c r="A1369" i="6"/>
  <c r="E1368" i="6"/>
  <c r="D1368" i="6"/>
  <c r="C1368" i="6"/>
  <c r="A1368" i="6"/>
  <c r="E1367" i="6"/>
  <c r="D1367" i="6"/>
  <c r="C1367" i="6"/>
  <c r="A1367" i="6"/>
  <c r="E1366" i="6"/>
  <c r="D1366" i="6"/>
  <c r="C1366" i="6"/>
  <c r="A1366" i="6"/>
  <c r="E1365" i="6"/>
  <c r="D1365" i="6"/>
  <c r="C1365" i="6"/>
  <c r="A1365" i="6"/>
  <c r="E1364" i="6"/>
  <c r="D1364" i="6"/>
  <c r="C1364" i="6"/>
  <c r="A1364" i="6"/>
  <c r="E1363" i="6"/>
  <c r="D1363" i="6"/>
  <c r="C1363" i="6"/>
  <c r="A1363" i="6"/>
  <c r="E1362" i="6"/>
  <c r="D1362" i="6"/>
  <c r="C1362" i="6"/>
  <c r="A1362" i="6"/>
  <c r="E1361" i="6"/>
  <c r="D1361" i="6"/>
  <c r="C1361" i="6"/>
  <c r="A1361" i="6"/>
  <c r="E1360" i="6"/>
  <c r="D1360" i="6"/>
  <c r="C1360" i="6"/>
  <c r="A1360" i="6"/>
  <c r="E1359" i="6"/>
  <c r="D1359" i="6"/>
  <c r="C1359" i="6"/>
  <c r="A1359" i="6"/>
  <c r="E1358" i="6"/>
  <c r="D1358" i="6"/>
  <c r="C1358" i="6"/>
  <c r="A1358" i="6"/>
  <c r="E1357" i="6"/>
  <c r="D1357" i="6"/>
  <c r="C1357" i="6"/>
  <c r="A1357" i="6"/>
  <c r="E1356" i="6"/>
  <c r="D1356" i="6"/>
  <c r="C1356" i="6"/>
  <c r="A1356" i="6"/>
  <c r="E1355" i="6"/>
  <c r="D1355" i="6"/>
  <c r="C1355" i="6"/>
  <c r="A1355" i="6"/>
  <c r="E1354" i="6"/>
  <c r="D1354" i="6"/>
  <c r="C1354" i="6"/>
  <c r="A1354" i="6"/>
  <c r="E1353" i="6"/>
  <c r="D1353" i="6"/>
  <c r="C1353" i="6"/>
  <c r="A1353" i="6"/>
  <c r="E1352" i="6"/>
  <c r="D1352" i="6"/>
  <c r="C1352" i="6"/>
  <c r="A1352" i="6"/>
  <c r="E1351" i="6"/>
  <c r="D1351" i="6"/>
  <c r="C1351" i="6"/>
  <c r="A1351" i="6"/>
  <c r="E1350" i="6"/>
  <c r="D1350" i="6"/>
  <c r="C1350" i="6"/>
  <c r="A1350" i="6"/>
  <c r="D1349" i="6"/>
  <c r="C1349" i="6"/>
  <c r="F1349" i="6" s="1"/>
  <c r="A1349" i="6"/>
  <c r="E1348" i="6"/>
  <c r="D1348" i="6"/>
  <c r="C1348" i="6"/>
  <c r="A1348" i="6"/>
  <c r="E1347" i="6"/>
  <c r="D1347" i="6"/>
  <c r="C1347" i="6"/>
  <c r="A1347" i="6"/>
  <c r="E1346" i="6"/>
  <c r="D1346" i="6"/>
  <c r="C1346" i="6"/>
  <c r="A1346" i="6"/>
  <c r="E1345" i="6"/>
  <c r="D1345" i="6"/>
  <c r="C1345" i="6"/>
  <c r="A1345" i="6"/>
  <c r="E1344" i="6"/>
  <c r="D1344" i="6"/>
  <c r="C1344" i="6"/>
  <c r="A1344" i="6"/>
  <c r="E1343" i="6"/>
  <c r="D1343" i="6"/>
  <c r="C1343" i="6"/>
  <c r="A1343" i="6"/>
  <c r="E1342" i="6"/>
  <c r="D1342" i="6"/>
  <c r="C1342" i="6"/>
  <c r="A1342" i="6"/>
  <c r="E1341" i="6"/>
  <c r="D1341" i="6"/>
  <c r="C1341" i="6"/>
  <c r="A1341" i="6"/>
  <c r="E1340" i="6"/>
  <c r="D1340" i="6"/>
  <c r="C1340" i="6"/>
  <c r="A1340" i="6"/>
  <c r="E1339" i="6"/>
  <c r="D1339" i="6"/>
  <c r="C1339" i="6"/>
  <c r="A1339" i="6"/>
  <c r="E1338" i="6"/>
  <c r="D1338" i="6"/>
  <c r="C1338" i="6"/>
  <c r="A1338" i="6"/>
  <c r="E1337" i="6"/>
  <c r="D1337" i="6"/>
  <c r="C1337" i="6"/>
  <c r="A1337" i="6"/>
  <c r="E1336" i="6"/>
  <c r="D1336" i="6"/>
  <c r="C1336" i="6"/>
  <c r="A1336" i="6"/>
  <c r="E1335" i="6"/>
  <c r="D1335" i="6"/>
  <c r="C1335" i="6"/>
  <c r="A1335" i="6"/>
  <c r="E1334" i="6"/>
  <c r="D1334" i="6"/>
  <c r="C1334" i="6"/>
  <c r="A1334" i="6"/>
  <c r="E1333" i="6"/>
  <c r="D1333" i="6"/>
  <c r="C1333" i="6"/>
  <c r="A1333" i="6"/>
  <c r="E1332" i="6"/>
  <c r="D1332" i="6"/>
  <c r="C1332" i="6"/>
  <c r="A1332" i="6"/>
  <c r="E1331" i="6"/>
  <c r="D1331" i="6"/>
  <c r="C1331" i="6"/>
  <c r="A1331" i="6"/>
  <c r="E1330" i="6"/>
  <c r="D1330" i="6"/>
  <c r="C1330" i="6"/>
  <c r="A1330" i="6"/>
  <c r="E1329" i="6"/>
  <c r="D1329" i="6"/>
  <c r="C1329" i="6"/>
  <c r="A1329" i="6"/>
  <c r="E1328" i="6"/>
  <c r="D1328" i="6"/>
  <c r="C1328" i="6"/>
  <c r="A1328" i="6"/>
  <c r="D1327" i="6"/>
  <c r="C1327" i="6"/>
  <c r="F1327" i="6" s="1"/>
  <c r="A1327" i="6"/>
  <c r="E1327" i="6" s="1"/>
  <c r="E1326" i="6"/>
  <c r="D1326" i="6"/>
  <c r="C1326" i="6"/>
  <c r="A1326" i="6"/>
  <c r="E1325" i="6"/>
  <c r="D1325" i="6"/>
  <c r="C1325" i="6"/>
  <c r="A1325" i="6"/>
  <c r="E1324" i="6"/>
  <c r="D1324" i="6"/>
  <c r="C1324" i="6"/>
  <c r="A1324" i="6"/>
  <c r="E1323" i="6"/>
  <c r="D1323" i="6"/>
  <c r="C1323" i="6"/>
  <c r="A1323" i="6"/>
  <c r="E1322" i="6"/>
  <c r="D1322" i="6"/>
  <c r="C1322" i="6"/>
  <c r="A1322" i="6"/>
  <c r="E1321" i="6"/>
  <c r="D1321" i="6"/>
  <c r="C1321" i="6"/>
  <c r="A1321" i="6"/>
  <c r="E1320" i="6"/>
  <c r="D1320" i="6"/>
  <c r="C1320" i="6"/>
  <c r="A1320" i="6"/>
  <c r="E1319" i="6"/>
  <c r="D1319" i="6"/>
  <c r="C1319" i="6"/>
  <c r="A1319" i="6"/>
  <c r="E1318" i="6"/>
  <c r="D1318" i="6"/>
  <c r="C1318" i="6"/>
  <c r="A1318" i="6"/>
  <c r="E1317" i="6"/>
  <c r="D1317" i="6"/>
  <c r="C1317" i="6"/>
  <c r="A1317" i="6"/>
  <c r="E1316" i="6"/>
  <c r="D1316" i="6"/>
  <c r="C1316" i="6"/>
  <c r="A1316" i="6"/>
  <c r="E1315" i="6"/>
  <c r="D1315" i="6"/>
  <c r="C1315" i="6"/>
  <c r="A1315" i="6"/>
  <c r="E1314" i="6"/>
  <c r="D1314" i="6"/>
  <c r="C1314" i="6"/>
  <c r="A1314" i="6"/>
  <c r="D1313" i="6"/>
  <c r="C1313" i="6"/>
  <c r="F1313" i="6" s="1"/>
  <c r="A1313" i="6"/>
  <c r="E1312" i="6"/>
  <c r="D1312" i="6"/>
  <c r="C1312" i="6"/>
  <c r="A1312" i="6"/>
  <c r="E1311" i="6"/>
  <c r="D1311" i="6"/>
  <c r="C1311" i="6"/>
  <c r="A1311" i="6"/>
  <c r="E1310" i="6"/>
  <c r="D1310" i="6"/>
  <c r="C1310" i="6"/>
  <c r="A1310" i="6"/>
  <c r="D1309" i="6"/>
  <c r="C1309" i="6"/>
  <c r="F1309" i="6" s="1"/>
  <c r="A1309" i="6"/>
  <c r="E1309" i="6" s="1"/>
  <c r="E1308" i="6"/>
  <c r="D1308" i="6"/>
  <c r="C1308" i="6"/>
  <c r="A1308" i="6"/>
  <c r="E1307" i="6"/>
  <c r="D1307" i="6"/>
  <c r="C1307" i="6"/>
  <c r="A1307" i="6"/>
  <c r="E1306" i="6"/>
  <c r="D1306" i="6"/>
  <c r="C1306" i="6"/>
  <c r="A1306" i="6"/>
  <c r="E1305" i="6"/>
  <c r="D1305" i="6"/>
  <c r="C1305" i="6"/>
  <c r="A1305" i="6"/>
  <c r="E1304" i="6"/>
  <c r="D1304" i="6"/>
  <c r="C1304" i="6"/>
  <c r="A1304" i="6"/>
  <c r="E1303" i="6"/>
  <c r="D1303" i="6"/>
  <c r="C1303" i="6"/>
  <c r="A1303" i="6"/>
  <c r="E1302" i="6"/>
  <c r="D1302" i="6"/>
  <c r="C1302" i="6"/>
  <c r="A1302" i="6"/>
  <c r="E1301" i="6"/>
  <c r="D1301" i="6"/>
  <c r="C1301" i="6"/>
  <c r="A1301" i="6"/>
  <c r="E1300" i="6"/>
  <c r="D1300" i="6"/>
  <c r="C1300" i="6"/>
  <c r="A1300" i="6"/>
  <c r="E1299" i="6"/>
  <c r="D1299" i="6"/>
  <c r="C1299" i="6"/>
  <c r="A1299" i="6"/>
  <c r="E1298" i="6"/>
  <c r="D1298" i="6"/>
  <c r="C1298" i="6"/>
  <c r="A1298" i="6"/>
  <c r="E1297" i="6"/>
  <c r="D1297" i="6"/>
  <c r="C1297" i="6"/>
  <c r="A1297" i="6"/>
  <c r="E1296" i="6"/>
  <c r="D1296" i="6"/>
  <c r="C1296" i="6"/>
  <c r="A1296" i="6"/>
  <c r="E1295" i="6"/>
  <c r="D1295" i="6"/>
  <c r="C1295" i="6"/>
  <c r="A1295" i="6"/>
  <c r="E1294" i="6"/>
  <c r="D1294" i="6"/>
  <c r="C1294" i="6"/>
  <c r="A1294" i="6"/>
  <c r="E1293" i="6"/>
  <c r="D1293" i="6"/>
  <c r="C1293" i="6"/>
  <c r="A1293" i="6"/>
  <c r="E1292" i="6"/>
  <c r="D1292" i="6"/>
  <c r="C1292" i="6"/>
  <c r="A1292" i="6"/>
  <c r="E1291" i="6"/>
  <c r="D1291" i="6"/>
  <c r="C1291" i="6"/>
  <c r="A1291" i="6"/>
  <c r="E1290" i="6"/>
  <c r="D1290" i="6"/>
  <c r="C1290" i="6"/>
  <c r="A1290" i="6"/>
  <c r="E1289" i="6"/>
  <c r="D1289" i="6"/>
  <c r="C1289" i="6"/>
  <c r="A1289" i="6"/>
  <c r="E1288" i="6"/>
  <c r="D1288" i="6"/>
  <c r="C1288" i="6"/>
  <c r="A1288" i="6"/>
  <c r="E1287" i="6"/>
  <c r="D1287" i="6"/>
  <c r="C1287" i="6"/>
  <c r="A1287" i="6"/>
  <c r="D1286" i="6"/>
  <c r="C1286" i="6"/>
  <c r="F1286" i="6" s="1"/>
  <c r="A1286" i="6"/>
  <c r="E1285" i="6"/>
  <c r="D1285" i="6"/>
  <c r="C1285" i="6"/>
  <c r="A1285" i="6"/>
  <c r="E1284" i="6"/>
  <c r="D1284" i="6"/>
  <c r="C1284" i="6"/>
  <c r="A1284" i="6"/>
  <c r="E1283" i="6"/>
  <c r="D1283" i="6"/>
  <c r="C1283" i="6"/>
  <c r="A1283" i="6"/>
  <c r="E1282" i="6"/>
  <c r="D1282" i="6"/>
  <c r="C1282" i="6"/>
  <c r="A1282" i="6"/>
  <c r="E1281" i="6"/>
  <c r="D1281" i="6"/>
  <c r="C1281" i="6"/>
  <c r="A1281" i="6"/>
  <c r="E1280" i="6"/>
  <c r="D1280" i="6"/>
  <c r="C1280" i="6"/>
  <c r="A1280" i="6"/>
  <c r="E1279" i="6"/>
  <c r="D1279" i="6"/>
  <c r="C1279" i="6"/>
  <c r="A1279" i="6"/>
  <c r="E1278" i="6"/>
  <c r="D1278" i="6"/>
  <c r="C1278" i="6"/>
  <c r="A1278" i="6"/>
  <c r="E1277" i="6"/>
  <c r="D1277" i="6"/>
  <c r="C1277" i="6"/>
  <c r="A1277" i="6"/>
  <c r="E1276" i="6"/>
  <c r="D1276" i="6"/>
  <c r="C1276" i="6"/>
  <c r="A1276" i="6"/>
  <c r="E1275" i="6"/>
  <c r="D1275" i="6"/>
  <c r="C1275" i="6"/>
  <c r="A1275" i="6"/>
  <c r="E1274" i="6"/>
  <c r="D1274" i="6"/>
  <c r="C1274" i="6"/>
  <c r="A1274" i="6"/>
  <c r="E1273" i="6"/>
  <c r="D1273" i="6"/>
  <c r="C1273" i="6"/>
  <c r="A1273" i="6"/>
  <c r="E1272" i="6"/>
  <c r="D1272" i="6"/>
  <c r="C1272" i="6"/>
  <c r="A1272" i="6"/>
  <c r="E1271" i="6"/>
  <c r="D1271" i="6"/>
  <c r="C1271" i="6"/>
  <c r="A1271" i="6"/>
  <c r="E1270" i="6"/>
  <c r="D1270" i="6"/>
  <c r="C1270" i="6"/>
  <c r="A1270" i="6"/>
  <c r="D1269" i="6"/>
  <c r="C1269" i="6"/>
  <c r="A1269" i="6"/>
  <c r="E1268" i="6"/>
  <c r="D1268" i="6"/>
  <c r="C1268" i="6"/>
  <c r="A1268" i="6"/>
  <c r="E1267" i="6"/>
  <c r="D1267" i="6"/>
  <c r="C1267" i="6"/>
  <c r="A1267" i="6"/>
  <c r="D1266" i="6"/>
  <c r="C1266" i="6"/>
  <c r="F1266" i="6" s="1"/>
  <c r="A1266" i="6"/>
  <c r="E1266" i="6" s="1"/>
  <c r="E1265" i="6"/>
  <c r="D1265" i="6"/>
  <c r="C1265" i="6"/>
  <c r="A1265" i="6"/>
  <c r="E1264" i="6"/>
  <c r="D1264" i="6"/>
  <c r="C1264" i="6"/>
  <c r="A1264" i="6"/>
  <c r="E1263" i="6"/>
  <c r="D1263" i="6"/>
  <c r="C1263" i="6"/>
  <c r="A1263" i="6"/>
  <c r="E1262" i="6"/>
  <c r="D1262" i="6"/>
  <c r="C1262" i="6"/>
  <c r="A1262" i="6"/>
  <c r="E1261" i="6"/>
  <c r="D1261" i="6"/>
  <c r="C1261" i="6"/>
  <c r="A1261" i="6"/>
  <c r="E1260" i="6"/>
  <c r="D1260" i="6"/>
  <c r="C1260" i="6"/>
  <c r="A1260" i="6"/>
  <c r="E1259" i="6"/>
  <c r="D1259" i="6"/>
  <c r="C1259" i="6"/>
  <c r="A1259" i="6"/>
  <c r="E1258" i="6"/>
  <c r="D1258" i="6"/>
  <c r="C1258" i="6"/>
  <c r="A1258" i="6"/>
  <c r="E1257" i="6"/>
  <c r="D1257" i="6"/>
  <c r="C1257" i="6"/>
  <c r="A1257" i="6"/>
  <c r="E1256" i="6"/>
  <c r="D1256" i="6"/>
  <c r="C1256" i="6"/>
  <c r="A1256" i="6"/>
  <c r="E1255" i="6"/>
  <c r="D1255" i="6"/>
  <c r="C1255" i="6"/>
  <c r="A1255" i="6"/>
  <c r="E1254" i="6"/>
  <c r="D1254" i="6"/>
  <c r="C1254" i="6"/>
  <c r="A1254" i="6"/>
  <c r="E1253" i="6"/>
  <c r="D1253" i="6"/>
  <c r="C1253" i="6"/>
  <c r="A1253" i="6"/>
  <c r="E1252" i="6"/>
  <c r="D1252" i="6"/>
  <c r="C1252" i="6"/>
  <c r="A1252" i="6"/>
  <c r="E1251" i="6"/>
  <c r="D1251" i="6"/>
  <c r="C1251" i="6"/>
  <c r="A1251" i="6"/>
  <c r="E1250" i="6"/>
  <c r="D1250" i="6"/>
  <c r="C1250" i="6"/>
  <c r="A1250" i="6"/>
  <c r="E1249" i="6"/>
  <c r="D1249" i="6"/>
  <c r="C1249" i="6"/>
  <c r="A1249" i="6"/>
  <c r="E1248" i="6"/>
  <c r="D1248" i="6"/>
  <c r="C1248" i="6"/>
  <c r="A1248" i="6"/>
  <c r="E1247" i="6"/>
  <c r="D1247" i="6"/>
  <c r="C1247" i="6"/>
  <c r="A1247" i="6"/>
  <c r="D1246" i="6"/>
  <c r="C1246" i="6"/>
  <c r="F1246" i="6" s="1"/>
  <c r="A1246" i="6"/>
  <c r="D1245" i="6"/>
  <c r="C1245" i="6"/>
  <c r="F1245" i="6" s="1"/>
  <c r="A1245" i="6"/>
  <c r="E1244" i="6"/>
  <c r="D1244" i="6"/>
  <c r="C1244" i="6"/>
  <c r="A1244" i="6"/>
  <c r="E1243" i="6"/>
  <c r="D1243" i="6"/>
  <c r="C1243" i="6"/>
  <c r="A1243" i="6"/>
  <c r="E1242" i="6"/>
  <c r="D1242" i="6"/>
  <c r="C1242" i="6"/>
  <c r="A1242" i="6"/>
  <c r="E1241" i="6"/>
  <c r="D1241" i="6"/>
  <c r="C1241" i="6"/>
  <c r="A1241" i="6"/>
  <c r="E1240" i="6"/>
  <c r="D1240" i="6"/>
  <c r="C1240" i="6"/>
  <c r="A1240" i="6"/>
  <c r="E1239" i="6"/>
  <c r="D1239" i="6"/>
  <c r="C1239" i="6"/>
  <c r="A1239" i="6"/>
  <c r="E1238" i="6"/>
  <c r="D1238" i="6"/>
  <c r="C1238" i="6"/>
  <c r="A1238" i="6"/>
  <c r="E1237" i="6"/>
  <c r="D1237" i="6"/>
  <c r="C1237" i="6"/>
  <c r="A1237" i="6"/>
  <c r="E1236" i="6"/>
  <c r="D1236" i="6"/>
  <c r="C1236" i="6"/>
  <c r="A1236" i="6"/>
  <c r="E1235" i="6"/>
  <c r="D1235" i="6"/>
  <c r="C1235" i="6"/>
  <c r="A1235" i="6"/>
  <c r="E1234" i="6"/>
  <c r="D1234" i="6"/>
  <c r="C1234" i="6"/>
  <c r="A1234" i="6"/>
  <c r="E1233" i="6"/>
  <c r="D1233" i="6"/>
  <c r="C1233" i="6"/>
  <c r="A1233" i="6"/>
  <c r="E1232" i="6"/>
  <c r="D1232" i="6"/>
  <c r="C1232" i="6"/>
  <c r="A1232" i="6"/>
  <c r="E1231" i="6"/>
  <c r="D1231" i="6"/>
  <c r="C1231" i="6"/>
  <c r="A1231" i="6"/>
  <c r="E1230" i="6"/>
  <c r="D1230" i="6"/>
  <c r="C1230" i="6"/>
  <c r="A1230" i="6"/>
  <c r="E1229" i="6"/>
  <c r="D1229" i="6"/>
  <c r="C1229" i="6"/>
  <c r="A1229" i="6"/>
  <c r="E1228" i="6"/>
  <c r="D1228" i="6"/>
  <c r="C1228" i="6"/>
  <c r="A1228" i="6"/>
  <c r="E1227" i="6"/>
  <c r="D1227" i="6"/>
  <c r="C1227" i="6"/>
  <c r="A1227" i="6"/>
  <c r="E1226" i="6"/>
  <c r="D1226" i="6"/>
  <c r="C1226" i="6"/>
  <c r="A1226" i="6"/>
  <c r="E1225" i="6"/>
  <c r="D1225" i="6"/>
  <c r="C1225" i="6"/>
  <c r="A1225" i="6"/>
  <c r="E1224" i="6"/>
  <c r="D1224" i="6"/>
  <c r="C1224" i="6"/>
  <c r="A1224" i="6"/>
  <c r="E1223" i="6"/>
  <c r="D1223" i="6"/>
  <c r="C1223" i="6"/>
  <c r="A1223" i="6"/>
  <c r="E1222" i="6"/>
  <c r="D1222" i="6"/>
  <c r="C1222" i="6"/>
  <c r="A1222" i="6"/>
  <c r="E1221" i="6"/>
  <c r="D1221" i="6"/>
  <c r="C1221" i="6"/>
  <c r="A1221" i="6"/>
  <c r="E1220" i="6"/>
  <c r="D1220" i="6"/>
  <c r="C1220" i="6"/>
  <c r="A1220" i="6"/>
  <c r="E1219" i="6"/>
  <c r="D1219" i="6"/>
  <c r="C1219" i="6"/>
  <c r="A1219" i="6"/>
  <c r="E1218" i="6"/>
  <c r="D1218" i="6"/>
  <c r="C1218" i="6"/>
  <c r="A1218" i="6"/>
  <c r="E1217" i="6"/>
  <c r="D1217" i="6"/>
  <c r="C1217" i="6"/>
  <c r="A1217" i="6"/>
  <c r="E1216" i="6"/>
  <c r="D1216" i="6"/>
  <c r="C1216" i="6"/>
  <c r="A1216" i="6"/>
  <c r="E1215" i="6"/>
  <c r="D1215" i="6"/>
  <c r="C1215" i="6"/>
  <c r="A1215" i="6"/>
  <c r="E1214" i="6"/>
  <c r="D1214" i="6"/>
  <c r="C1214" i="6"/>
  <c r="A1214" i="6"/>
  <c r="E1213" i="6"/>
  <c r="D1213" i="6"/>
  <c r="C1213" i="6"/>
  <c r="A1213" i="6"/>
  <c r="E1212" i="6"/>
  <c r="D1212" i="6"/>
  <c r="C1212" i="6"/>
  <c r="A1212" i="6"/>
  <c r="E1211" i="6"/>
  <c r="D1211" i="6"/>
  <c r="C1211" i="6"/>
  <c r="A1211" i="6"/>
  <c r="E1210" i="6"/>
  <c r="D1210" i="6"/>
  <c r="C1210" i="6"/>
  <c r="A1210" i="6"/>
  <c r="E1209" i="6"/>
  <c r="D1209" i="6"/>
  <c r="C1209" i="6"/>
  <c r="A1209" i="6"/>
  <c r="E1208" i="6"/>
  <c r="D1208" i="6"/>
  <c r="C1208" i="6"/>
  <c r="A1208" i="6"/>
  <c r="D1207" i="6"/>
  <c r="C1207" i="6"/>
  <c r="F1207" i="6" s="1"/>
  <c r="A1207" i="6"/>
  <c r="E1207" i="6" s="1"/>
  <c r="E1206" i="6"/>
  <c r="D1206" i="6"/>
  <c r="C1206" i="6"/>
  <c r="A1206" i="6"/>
  <c r="E1205" i="6"/>
  <c r="D1205" i="6"/>
  <c r="C1205" i="6"/>
  <c r="A1205" i="6"/>
  <c r="E1204" i="6"/>
  <c r="D1204" i="6"/>
  <c r="C1204" i="6"/>
  <c r="A1204" i="6"/>
  <c r="E1203" i="6"/>
  <c r="D1203" i="6"/>
  <c r="C1203" i="6"/>
  <c r="A1203" i="6"/>
  <c r="E1202" i="6"/>
  <c r="D1202" i="6"/>
  <c r="C1202" i="6"/>
  <c r="A1202" i="6"/>
  <c r="E1201" i="6"/>
  <c r="D1201" i="6"/>
  <c r="C1201" i="6"/>
  <c r="A1201" i="6"/>
  <c r="E1200" i="6"/>
  <c r="D1200" i="6"/>
  <c r="C1200" i="6"/>
  <c r="A1200" i="6"/>
  <c r="E1199" i="6"/>
  <c r="D1199" i="6"/>
  <c r="C1199" i="6"/>
  <c r="A1199" i="6"/>
  <c r="E1198" i="6"/>
  <c r="D1198" i="6"/>
  <c r="C1198" i="6"/>
  <c r="A1198" i="6"/>
  <c r="E1197" i="6"/>
  <c r="D1197" i="6"/>
  <c r="C1197" i="6"/>
  <c r="A1197" i="6"/>
  <c r="E1196" i="6"/>
  <c r="D1196" i="6"/>
  <c r="C1196" i="6"/>
  <c r="A1196" i="6"/>
  <c r="E1195" i="6"/>
  <c r="D1195" i="6"/>
  <c r="C1195" i="6"/>
  <c r="A1195" i="6"/>
  <c r="D1194" i="6"/>
  <c r="C1194" i="6"/>
  <c r="F1194" i="6" s="1"/>
  <c r="A1194" i="6"/>
  <c r="E1194" i="6" s="1"/>
  <c r="E1193" i="6"/>
  <c r="D1193" i="6"/>
  <c r="C1193" i="6"/>
  <c r="A1193" i="6"/>
  <c r="E1192" i="6"/>
  <c r="D1192" i="6"/>
  <c r="C1192" i="6"/>
  <c r="A1192" i="6"/>
  <c r="E1191" i="6"/>
  <c r="D1191" i="6"/>
  <c r="C1191" i="6"/>
  <c r="A1191" i="6"/>
  <c r="E1190" i="6"/>
  <c r="D1190" i="6"/>
  <c r="C1190" i="6"/>
  <c r="A1190" i="6"/>
  <c r="E1189" i="6"/>
  <c r="D1189" i="6"/>
  <c r="C1189" i="6"/>
  <c r="A1189" i="6"/>
  <c r="E1188" i="6"/>
  <c r="D1188" i="6"/>
  <c r="C1188" i="6"/>
  <c r="A1188" i="6"/>
  <c r="E1187" i="6"/>
  <c r="D1187" i="6"/>
  <c r="C1187" i="6"/>
  <c r="A1187" i="6"/>
  <c r="E1186" i="6"/>
  <c r="D1186" i="6"/>
  <c r="C1186" i="6"/>
  <c r="A1186" i="6"/>
  <c r="E1185" i="6"/>
  <c r="D1185" i="6"/>
  <c r="C1185" i="6"/>
  <c r="A1185" i="6"/>
  <c r="E1184" i="6"/>
  <c r="D1184" i="6"/>
  <c r="C1184" i="6"/>
  <c r="A1184" i="6"/>
  <c r="E1183" i="6"/>
  <c r="D1183" i="6"/>
  <c r="C1183" i="6"/>
  <c r="A1183" i="6"/>
  <c r="E1182" i="6"/>
  <c r="D1182" i="6"/>
  <c r="C1182" i="6"/>
  <c r="A1182" i="6"/>
  <c r="E1181" i="6"/>
  <c r="D1181" i="6"/>
  <c r="C1181" i="6"/>
  <c r="A1181" i="6"/>
  <c r="D1180" i="6"/>
  <c r="C1180" i="6"/>
  <c r="F1180" i="6" s="1"/>
  <c r="A1180" i="6"/>
  <c r="E1179" i="6"/>
  <c r="D1179" i="6"/>
  <c r="C1179" i="6"/>
  <c r="A1179" i="6"/>
  <c r="E1178" i="6"/>
  <c r="D1178" i="6"/>
  <c r="C1178" i="6"/>
  <c r="A1178" i="6"/>
  <c r="D1177" i="6"/>
  <c r="C1177" i="6"/>
  <c r="F1177" i="6" s="1"/>
  <c r="A1177" i="6"/>
  <c r="E1176" i="6"/>
  <c r="D1176" i="6"/>
  <c r="C1176" i="6"/>
  <c r="A1176" i="6"/>
  <c r="E1175" i="6"/>
  <c r="D1175" i="6"/>
  <c r="C1175" i="6"/>
  <c r="A1175" i="6"/>
  <c r="E1174" i="6"/>
  <c r="D1174" i="6"/>
  <c r="C1174" i="6"/>
  <c r="A1174" i="6"/>
  <c r="E1173" i="6"/>
  <c r="D1173" i="6"/>
  <c r="C1173" i="6"/>
  <c r="A1173" i="6"/>
  <c r="E1172" i="6"/>
  <c r="D1172" i="6"/>
  <c r="C1172" i="6"/>
  <c r="A1172" i="6"/>
  <c r="E1171" i="6"/>
  <c r="D1171" i="6"/>
  <c r="C1171" i="6"/>
  <c r="A1171" i="6"/>
  <c r="E1170" i="6"/>
  <c r="D1170" i="6"/>
  <c r="C1170" i="6"/>
  <c r="A1170" i="6"/>
  <c r="E1169" i="6"/>
  <c r="D1169" i="6"/>
  <c r="C1169" i="6"/>
  <c r="A1169" i="6"/>
  <c r="E1168" i="6"/>
  <c r="D1168" i="6"/>
  <c r="C1168" i="6"/>
  <c r="A1168" i="6"/>
  <c r="E1167" i="6"/>
  <c r="D1167" i="6"/>
  <c r="C1167" i="6"/>
  <c r="A1167" i="6"/>
  <c r="E1166" i="6"/>
  <c r="D1166" i="6"/>
  <c r="C1166" i="6"/>
  <c r="A1166" i="6"/>
  <c r="E1165" i="6"/>
  <c r="D1165" i="6"/>
  <c r="C1165" i="6"/>
  <c r="A1165" i="6"/>
  <c r="E1164" i="6"/>
  <c r="D1164" i="6"/>
  <c r="C1164" i="6"/>
  <c r="A1164" i="6"/>
  <c r="E1163" i="6"/>
  <c r="D1163" i="6"/>
  <c r="C1163" i="6"/>
  <c r="A1163" i="6"/>
  <c r="E1162" i="6"/>
  <c r="D1162" i="6"/>
  <c r="C1162" i="6"/>
  <c r="A1162" i="6"/>
  <c r="E1161" i="6"/>
  <c r="D1161" i="6"/>
  <c r="C1161" i="6"/>
  <c r="A1161" i="6"/>
  <c r="E1160" i="6"/>
  <c r="D1160" i="6"/>
  <c r="C1160" i="6"/>
  <c r="A1160" i="6"/>
  <c r="E1159" i="6"/>
  <c r="D1159" i="6"/>
  <c r="C1159" i="6"/>
  <c r="A1159" i="6"/>
  <c r="E1158" i="6"/>
  <c r="D1158" i="6"/>
  <c r="C1158" i="6"/>
  <c r="A1158" i="6"/>
  <c r="E1157" i="6"/>
  <c r="D1157" i="6"/>
  <c r="C1157" i="6"/>
  <c r="A1157" i="6"/>
  <c r="E1156" i="6"/>
  <c r="D1156" i="6"/>
  <c r="C1156" i="6"/>
  <c r="A1156" i="6"/>
  <c r="D1155" i="6"/>
  <c r="C1155" i="6"/>
  <c r="F1155" i="6" s="1"/>
  <c r="A1155" i="6"/>
  <c r="E1155" i="6" s="1"/>
  <c r="E1154" i="6"/>
  <c r="D1154" i="6"/>
  <c r="C1154" i="6"/>
  <c r="A1154" i="6"/>
  <c r="E1153" i="6"/>
  <c r="D1153" i="6"/>
  <c r="C1153" i="6"/>
  <c r="A1153" i="6"/>
  <c r="E1152" i="6"/>
  <c r="D1152" i="6"/>
  <c r="C1152" i="6"/>
  <c r="A1152" i="6"/>
  <c r="E1151" i="6"/>
  <c r="D1151" i="6"/>
  <c r="C1151" i="6"/>
  <c r="A1151" i="6"/>
  <c r="E1150" i="6"/>
  <c r="D1150" i="6"/>
  <c r="C1150" i="6"/>
  <c r="A1150" i="6"/>
  <c r="E1149" i="6"/>
  <c r="D1149" i="6"/>
  <c r="C1149" i="6"/>
  <c r="A1149" i="6"/>
  <c r="E1148" i="6"/>
  <c r="D1148" i="6"/>
  <c r="C1148" i="6"/>
  <c r="A1148" i="6"/>
  <c r="E1147" i="6"/>
  <c r="D1147" i="6"/>
  <c r="C1147" i="6"/>
  <c r="A1147" i="6"/>
  <c r="E1146" i="6"/>
  <c r="D1146" i="6"/>
  <c r="C1146" i="6"/>
  <c r="A1146" i="6"/>
  <c r="E1145" i="6"/>
  <c r="D1145" i="6"/>
  <c r="C1145" i="6"/>
  <c r="A1145" i="6"/>
  <c r="E1144" i="6"/>
  <c r="D1144" i="6"/>
  <c r="C1144" i="6"/>
  <c r="A1144" i="6"/>
  <c r="E1143" i="6"/>
  <c r="D1143" i="6"/>
  <c r="C1143" i="6"/>
  <c r="A1143" i="6"/>
  <c r="E1142" i="6"/>
  <c r="D1142" i="6"/>
  <c r="C1142" i="6"/>
  <c r="A1142" i="6"/>
  <c r="E1141" i="6"/>
  <c r="D1141" i="6"/>
  <c r="C1141" i="6"/>
  <c r="A1141" i="6"/>
  <c r="E1140" i="6"/>
  <c r="D1140" i="6"/>
  <c r="C1140" i="6"/>
  <c r="A1140" i="6"/>
  <c r="E1139" i="6"/>
  <c r="D1139" i="6"/>
  <c r="C1139" i="6"/>
  <c r="A1139" i="6"/>
  <c r="D1138" i="6"/>
  <c r="C1138" i="6"/>
  <c r="F1138" i="6" s="1"/>
  <c r="A1138" i="6"/>
  <c r="E1138" i="6" s="1"/>
  <c r="E1137" i="6"/>
  <c r="D1137" i="6"/>
  <c r="C1137" i="6"/>
  <c r="A1137" i="6"/>
  <c r="E1136" i="6"/>
  <c r="D1136" i="6"/>
  <c r="C1136" i="6"/>
  <c r="A1136" i="6"/>
  <c r="E1135" i="6"/>
  <c r="D1135" i="6"/>
  <c r="C1135" i="6"/>
  <c r="A1135" i="6"/>
  <c r="E1134" i="6"/>
  <c r="D1134" i="6"/>
  <c r="C1134" i="6"/>
  <c r="A1134" i="6"/>
  <c r="E1133" i="6"/>
  <c r="D1133" i="6"/>
  <c r="C1133" i="6"/>
  <c r="A1133" i="6"/>
  <c r="E1132" i="6"/>
  <c r="D1132" i="6"/>
  <c r="C1132" i="6"/>
  <c r="A1132" i="6"/>
  <c r="E1131" i="6"/>
  <c r="D1131" i="6"/>
  <c r="C1131" i="6"/>
  <c r="A1131" i="6"/>
  <c r="E1130" i="6"/>
  <c r="D1130" i="6"/>
  <c r="C1130" i="6"/>
  <c r="A1130" i="6"/>
  <c r="E1129" i="6"/>
  <c r="D1129" i="6"/>
  <c r="C1129" i="6"/>
  <c r="A1129" i="6"/>
  <c r="E1128" i="6"/>
  <c r="D1128" i="6"/>
  <c r="C1128" i="6"/>
  <c r="A1128" i="6"/>
  <c r="E1127" i="6"/>
  <c r="D1127" i="6"/>
  <c r="C1127" i="6"/>
  <c r="A1127" i="6"/>
  <c r="E1126" i="6"/>
  <c r="D1126" i="6"/>
  <c r="C1126" i="6"/>
  <c r="A1126" i="6"/>
  <c r="E1125" i="6"/>
  <c r="D1125" i="6"/>
  <c r="C1125" i="6"/>
  <c r="A1125" i="6"/>
  <c r="E1124" i="6"/>
  <c r="D1124" i="6"/>
  <c r="C1124" i="6"/>
  <c r="A1124" i="6"/>
  <c r="E1123" i="6"/>
  <c r="D1123" i="6"/>
  <c r="C1123" i="6"/>
  <c r="A1123" i="6"/>
  <c r="E1122" i="6"/>
  <c r="D1122" i="6"/>
  <c r="C1122" i="6"/>
  <c r="A1122" i="6"/>
  <c r="E1121" i="6"/>
  <c r="D1121" i="6"/>
  <c r="C1121" i="6"/>
  <c r="A1121" i="6"/>
  <c r="E1120" i="6"/>
  <c r="D1120" i="6"/>
  <c r="C1120" i="6"/>
  <c r="A1120" i="6"/>
  <c r="D1119" i="6"/>
  <c r="C1119" i="6"/>
  <c r="F1119" i="6" s="1"/>
  <c r="A1119" i="6"/>
  <c r="E1118" i="6"/>
  <c r="D1118" i="6"/>
  <c r="C1118" i="6"/>
  <c r="A1118" i="6"/>
  <c r="E1117" i="6"/>
  <c r="D1117" i="6"/>
  <c r="C1117" i="6"/>
  <c r="A1117" i="6"/>
  <c r="E1116" i="6"/>
  <c r="D1116" i="6"/>
  <c r="C1116" i="6"/>
  <c r="A1116" i="6"/>
  <c r="E1115" i="6"/>
  <c r="D1115" i="6"/>
  <c r="C1115" i="6"/>
  <c r="A1115" i="6"/>
  <c r="E1114" i="6"/>
  <c r="D1114" i="6"/>
  <c r="C1114" i="6"/>
  <c r="A1114" i="6"/>
  <c r="E1113" i="6"/>
  <c r="D1113" i="6"/>
  <c r="C1113" i="6"/>
  <c r="A1113" i="6"/>
  <c r="E1112" i="6"/>
  <c r="D1112" i="6"/>
  <c r="C1112" i="6"/>
  <c r="A1112" i="6"/>
  <c r="D1111" i="6"/>
  <c r="C1111" i="6"/>
  <c r="F1111" i="6" s="1"/>
  <c r="A1111" i="6"/>
  <c r="E1110" i="6"/>
  <c r="D1110" i="6"/>
  <c r="C1110" i="6"/>
  <c r="A1110" i="6"/>
  <c r="E1109" i="6"/>
  <c r="D1109" i="6"/>
  <c r="C1109" i="6"/>
  <c r="A1109" i="6"/>
  <c r="E1108" i="6"/>
  <c r="D1108" i="6"/>
  <c r="C1108" i="6"/>
  <c r="A1108" i="6"/>
  <c r="E1107" i="6"/>
  <c r="D1107" i="6"/>
  <c r="C1107" i="6"/>
  <c r="A1107" i="6"/>
  <c r="E1106" i="6"/>
  <c r="D1106" i="6"/>
  <c r="C1106" i="6"/>
  <c r="A1106" i="6"/>
  <c r="E1105" i="6"/>
  <c r="D1105" i="6"/>
  <c r="C1105" i="6"/>
  <c r="A1105" i="6"/>
  <c r="E1104" i="6"/>
  <c r="D1104" i="6"/>
  <c r="C1104" i="6"/>
  <c r="A1104" i="6"/>
  <c r="E1103" i="6"/>
  <c r="D1103" i="6"/>
  <c r="C1103" i="6"/>
  <c r="A1103" i="6"/>
  <c r="E1102" i="6"/>
  <c r="D1102" i="6"/>
  <c r="C1102" i="6"/>
  <c r="A1102" i="6"/>
  <c r="E1101" i="6"/>
  <c r="D1101" i="6"/>
  <c r="C1101" i="6"/>
  <c r="A1101" i="6"/>
  <c r="E1100" i="6"/>
  <c r="D1100" i="6"/>
  <c r="C1100" i="6"/>
  <c r="A1100" i="6"/>
  <c r="E1099" i="6"/>
  <c r="D1099" i="6"/>
  <c r="C1099" i="6"/>
  <c r="A1099" i="6"/>
  <c r="E1098" i="6"/>
  <c r="D1098" i="6"/>
  <c r="C1098" i="6"/>
  <c r="A1098" i="6"/>
  <c r="E1097" i="6"/>
  <c r="D1097" i="6"/>
  <c r="C1097" i="6"/>
  <c r="A1097" i="6"/>
  <c r="E1096" i="6"/>
  <c r="D1096" i="6"/>
  <c r="C1096" i="6"/>
  <c r="A1096" i="6"/>
  <c r="E1095" i="6"/>
  <c r="D1095" i="6"/>
  <c r="C1095" i="6"/>
  <c r="A1095" i="6"/>
  <c r="D1094" i="6"/>
  <c r="C1094" i="6"/>
  <c r="F1094" i="6" s="1"/>
  <c r="A1094" i="6"/>
  <c r="E1093" i="6"/>
  <c r="D1093" i="6"/>
  <c r="C1093" i="6"/>
  <c r="A1093" i="6"/>
  <c r="E1092" i="6"/>
  <c r="D1092" i="6"/>
  <c r="C1092" i="6"/>
  <c r="A1092" i="6"/>
  <c r="E1091" i="6"/>
  <c r="D1091" i="6"/>
  <c r="C1091" i="6"/>
  <c r="A1091" i="6"/>
  <c r="E1090" i="6"/>
  <c r="D1090" i="6"/>
  <c r="C1090" i="6"/>
  <c r="A1090" i="6"/>
  <c r="E1089" i="6"/>
  <c r="D1089" i="6"/>
  <c r="C1089" i="6"/>
  <c r="A1089" i="6"/>
  <c r="E1088" i="6"/>
  <c r="D1088" i="6"/>
  <c r="C1088" i="6"/>
  <c r="A1088" i="6"/>
  <c r="E1087" i="6"/>
  <c r="D1087" i="6"/>
  <c r="C1087" i="6"/>
  <c r="A1087" i="6"/>
  <c r="E1086" i="6"/>
  <c r="D1086" i="6"/>
  <c r="C1086" i="6"/>
  <c r="A1086" i="6"/>
  <c r="E1085" i="6"/>
  <c r="D1085" i="6"/>
  <c r="C1085" i="6"/>
  <c r="A1085" i="6"/>
  <c r="E1084" i="6"/>
  <c r="D1084" i="6"/>
  <c r="C1084" i="6"/>
  <c r="A1084" i="6"/>
  <c r="E1083" i="6"/>
  <c r="D1083" i="6"/>
  <c r="C1083" i="6"/>
  <c r="A1083" i="6"/>
  <c r="E1082" i="6"/>
  <c r="D1082" i="6"/>
  <c r="C1082" i="6"/>
  <c r="A1082" i="6"/>
  <c r="E1081" i="6"/>
  <c r="D1081" i="6"/>
  <c r="C1081" i="6"/>
  <c r="A1081" i="6"/>
  <c r="E1080" i="6"/>
  <c r="D1080" i="6"/>
  <c r="C1080" i="6"/>
  <c r="A1080" i="6"/>
  <c r="E1079" i="6"/>
  <c r="D1079" i="6"/>
  <c r="C1079" i="6"/>
  <c r="A1079" i="6"/>
  <c r="E1078" i="6"/>
  <c r="D1078" i="6"/>
  <c r="C1078" i="6"/>
  <c r="A1078" i="6"/>
  <c r="E1077" i="6"/>
  <c r="D1077" i="6"/>
  <c r="C1077" i="6"/>
  <c r="A1077" i="6"/>
  <c r="E1076" i="6"/>
  <c r="D1076" i="6"/>
  <c r="C1076" i="6"/>
  <c r="A1076" i="6"/>
  <c r="E1075" i="6"/>
  <c r="D1075" i="6"/>
  <c r="C1075" i="6"/>
  <c r="A1075" i="6"/>
  <c r="E1074" i="6"/>
  <c r="D1074" i="6"/>
  <c r="C1074" i="6"/>
  <c r="A1074" i="6"/>
  <c r="D1073" i="6"/>
  <c r="C1073" i="6"/>
  <c r="F1073" i="6" s="1"/>
  <c r="A1073" i="6"/>
  <c r="E1072" i="6"/>
  <c r="D1072" i="6"/>
  <c r="C1072" i="6"/>
  <c r="A1072" i="6"/>
  <c r="E1071" i="6"/>
  <c r="D1071" i="6"/>
  <c r="C1071" i="6"/>
  <c r="A1071" i="6"/>
  <c r="E1070" i="6"/>
  <c r="D1070" i="6"/>
  <c r="C1070" i="6"/>
  <c r="A1070" i="6"/>
  <c r="E1069" i="6"/>
  <c r="D1069" i="6"/>
  <c r="C1069" i="6"/>
  <c r="A1069" i="6"/>
  <c r="E1068" i="6"/>
  <c r="D1068" i="6"/>
  <c r="C1068" i="6"/>
  <c r="A1068" i="6"/>
  <c r="E1067" i="6"/>
  <c r="D1067" i="6"/>
  <c r="C1067" i="6"/>
  <c r="A1067" i="6"/>
  <c r="E1066" i="6"/>
  <c r="D1066" i="6"/>
  <c r="C1066" i="6"/>
  <c r="A1066" i="6"/>
  <c r="E1065" i="6"/>
  <c r="D1065" i="6"/>
  <c r="C1065" i="6"/>
  <c r="A1065" i="6"/>
  <c r="E1064" i="6"/>
  <c r="D1064" i="6"/>
  <c r="C1064" i="6"/>
  <c r="A1064" i="6"/>
  <c r="E1063" i="6"/>
  <c r="D1063" i="6"/>
  <c r="C1063" i="6"/>
  <c r="A1063" i="6"/>
  <c r="E1062" i="6"/>
  <c r="D1062" i="6"/>
  <c r="C1062" i="6"/>
  <c r="A1062" i="6"/>
  <c r="E1061" i="6"/>
  <c r="D1061" i="6"/>
  <c r="C1061" i="6"/>
  <c r="A1061" i="6"/>
  <c r="E1060" i="6"/>
  <c r="D1060" i="6"/>
  <c r="C1060" i="6"/>
  <c r="A1060" i="6"/>
  <c r="E1059" i="6"/>
  <c r="D1059" i="6"/>
  <c r="C1059" i="6"/>
  <c r="A1059" i="6"/>
  <c r="E1058" i="6"/>
  <c r="D1058" i="6"/>
  <c r="C1058" i="6"/>
  <c r="A1058" i="6"/>
  <c r="E1057" i="6"/>
  <c r="D1057" i="6"/>
  <c r="C1057" i="6"/>
  <c r="A1057" i="6"/>
  <c r="E1056" i="6"/>
  <c r="D1056" i="6"/>
  <c r="C1056" i="6"/>
  <c r="A1056" i="6"/>
  <c r="E1055" i="6"/>
  <c r="D1055" i="6"/>
  <c r="C1055" i="6"/>
  <c r="A1055" i="6"/>
  <c r="D1054" i="6"/>
  <c r="C1054" i="6"/>
  <c r="F1054" i="6" s="1"/>
  <c r="A1054" i="6"/>
  <c r="E1053" i="6"/>
  <c r="D1053" i="6"/>
  <c r="C1053" i="6"/>
  <c r="A1053" i="6"/>
  <c r="E1052" i="6"/>
  <c r="D1052" i="6"/>
  <c r="C1052" i="6"/>
  <c r="A1052" i="6"/>
  <c r="E1051" i="6"/>
  <c r="D1051" i="6"/>
  <c r="C1051" i="6"/>
  <c r="A1051" i="6"/>
  <c r="E1050" i="6"/>
  <c r="D1050" i="6"/>
  <c r="C1050" i="6"/>
  <c r="A1050" i="6"/>
  <c r="E1049" i="6"/>
  <c r="D1049" i="6"/>
  <c r="C1049" i="6"/>
  <c r="A1049" i="6"/>
  <c r="E1048" i="6"/>
  <c r="D1048" i="6"/>
  <c r="C1048" i="6"/>
  <c r="A1048" i="6"/>
  <c r="E1047" i="6"/>
  <c r="D1047" i="6"/>
  <c r="C1047" i="6"/>
  <c r="A1047" i="6"/>
  <c r="E1046" i="6"/>
  <c r="D1046" i="6"/>
  <c r="C1046" i="6"/>
  <c r="A1046" i="6"/>
  <c r="E1045" i="6"/>
  <c r="D1045" i="6"/>
  <c r="C1045" i="6"/>
  <c r="A1045" i="6"/>
  <c r="E1044" i="6"/>
  <c r="D1044" i="6"/>
  <c r="C1044" i="6"/>
  <c r="A1044" i="6"/>
  <c r="E1043" i="6"/>
  <c r="D1043" i="6"/>
  <c r="C1043" i="6"/>
  <c r="A1043" i="6"/>
  <c r="E1042" i="6"/>
  <c r="D1042" i="6"/>
  <c r="C1042" i="6"/>
  <c r="A1042" i="6"/>
  <c r="E1041" i="6"/>
  <c r="D1041" i="6"/>
  <c r="C1041" i="6"/>
  <c r="A1041" i="6"/>
  <c r="E1040" i="6"/>
  <c r="D1040" i="6"/>
  <c r="C1040" i="6"/>
  <c r="A1040" i="6"/>
  <c r="E1039" i="6"/>
  <c r="D1039" i="6"/>
  <c r="C1039" i="6"/>
  <c r="A1039" i="6"/>
  <c r="E1038" i="6"/>
  <c r="D1038" i="6"/>
  <c r="C1038" i="6"/>
  <c r="A1038" i="6"/>
  <c r="E1037" i="6"/>
  <c r="D1037" i="6"/>
  <c r="C1037" i="6"/>
  <c r="A1037" i="6"/>
  <c r="E1036" i="6"/>
  <c r="D1036" i="6"/>
  <c r="C1036" i="6"/>
  <c r="A1036" i="6"/>
  <c r="E1035" i="6"/>
  <c r="D1035" i="6"/>
  <c r="C1035" i="6"/>
  <c r="A1035" i="6"/>
  <c r="E1034" i="6"/>
  <c r="D1034" i="6"/>
  <c r="C1034" i="6"/>
  <c r="A1034" i="6"/>
  <c r="E1033" i="6"/>
  <c r="D1033" i="6"/>
  <c r="C1033" i="6"/>
  <c r="A1033" i="6"/>
  <c r="E1032" i="6"/>
  <c r="D1032" i="6"/>
  <c r="C1032" i="6"/>
  <c r="A1032" i="6"/>
  <c r="E1031" i="6"/>
  <c r="D1031" i="6"/>
  <c r="C1031" i="6"/>
  <c r="A1031" i="6"/>
  <c r="E1030" i="6"/>
  <c r="D1030" i="6"/>
  <c r="C1030" i="6"/>
  <c r="A1030" i="6"/>
  <c r="E1029" i="6"/>
  <c r="D1029" i="6"/>
  <c r="C1029" i="6"/>
  <c r="A1029" i="6"/>
  <c r="E1028" i="6"/>
  <c r="D1028" i="6"/>
  <c r="C1028" i="6"/>
  <c r="A1028" i="6"/>
  <c r="E1027" i="6"/>
  <c r="D1027" i="6"/>
  <c r="C1027" i="6"/>
  <c r="A1027" i="6"/>
  <c r="E1026" i="6"/>
  <c r="D1026" i="6"/>
  <c r="C1026" i="6"/>
  <c r="A1026" i="6"/>
  <c r="E1025" i="6"/>
  <c r="D1025" i="6"/>
  <c r="C1025" i="6"/>
  <c r="A1025" i="6"/>
  <c r="E1024" i="6"/>
  <c r="D1024" i="6"/>
  <c r="C1024" i="6"/>
  <c r="A1024" i="6"/>
  <c r="E1023" i="6"/>
  <c r="D1023" i="6"/>
  <c r="C1023" i="6"/>
  <c r="A1023" i="6"/>
  <c r="E1022" i="6"/>
  <c r="D1022" i="6"/>
  <c r="C1022" i="6"/>
  <c r="A1022" i="6"/>
  <c r="E1021" i="6"/>
  <c r="D1021" i="6"/>
  <c r="C1021" i="6"/>
  <c r="A1021" i="6"/>
  <c r="E1020" i="6"/>
  <c r="D1020" i="6"/>
  <c r="C1020" i="6"/>
  <c r="A1020" i="6"/>
  <c r="E1019" i="6"/>
  <c r="D1019" i="6"/>
  <c r="C1019" i="6"/>
  <c r="A1019" i="6"/>
  <c r="E1018" i="6"/>
  <c r="D1018" i="6"/>
  <c r="C1018" i="6"/>
  <c r="A1018" i="6"/>
  <c r="D1017" i="6"/>
  <c r="C1017" i="6"/>
  <c r="F1017" i="6" s="1"/>
  <c r="A1017" i="6"/>
  <c r="E1016" i="6"/>
  <c r="D1016" i="6"/>
  <c r="C1016" i="6"/>
  <c r="A1016" i="6"/>
  <c r="E1015" i="6"/>
  <c r="D1015" i="6"/>
  <c r="C1015" i="6"/>
  <c r="A1015" i="6"/>
  <c r="E1014" i="6"/>
  <c r="D1014" i="6"/>
  <c r="C1014" i="6"/>
  <c r="A1014" i="6"/>
  <c r="E1013" i="6"/>
  <c r="D1013" i="6"/>
  <c r="C1013" i="6"/>
  <c r="A1013" i="6"/>
  <c r="E1012" i="6"/>
  <c r="D1012" i="6"/>
  <c r="C1012" i="6"/>
  <c r="A1012" i="6"/>
  <c r="E1011" i="6"/>
  <c r="D1011" i="6"/>
  <c r="C1011" i="6"/>
  <c r="A1011" i="6"/>
  <c r="E1010" i="6"/>
  <c r="D1010" i="6"/>
  <c r="C1010" i="6"/>
  <c r="A1010" i="6"/>
  <c r="E1009" i="6"/>
  <c r="D1009" i="6"/>
  <c r="C1009" i="6"/>
  <c r="A1009" i="6"/>
  <c r="E1008" i="6"/>
  <c r="D1008" i="6"/>
  <c r="C1008" i="6"/>
  <c r="A1008" i="6"/>
  <c r="E1007" i="6"/>
  <c r="D1007" i="6"/>
  <c r="C1007" i="6"/>
  <c r="A1007" i="6"/>
  <c r="E1006" i="6"/>
  <c r="D1006" i="6"/>
  <c r="C1006" i="6"/>
  <c r="A1006" i="6"/>
  <c r="E1005" i="6"/>
  <c r="D1005" i="6"/>
  <c r="C1005" i="6"/>
  <c r="A1005" i="6"/>
  <c r="D1004" i="6"/>
  <c r="C1004" i="6"/>
  <c r="F1004" i="6" s="1"/>
  <c r="A1004" i="6"/>
  <c r="E1003" i="6"/>
  <c r="D1003" i="6"/>
  <c r="C1003" i="6"/>
  <c r="A1003" i="6"/>
  <c r="E1002" i="6"/>
  <c r="D1002" i="6"/>
  <c r="C1002" i="6"/>
  <c r="A1002" i="6"/>
  <c r="E1001" i="6"/>
  <c r="D1001" i="6"/>
  <c r="C1001" i="6"/>
  <c r="A1001" i="6"/>
  <c r="E1000" i="6"/>
  <c r="D1000" i="6"/>
  <c r="C1000" i="6"/>
  <c r="A1000" i="6"/>
  <c r="E999" i="6"/>
  <c r="D999" i="6"/>
  <c r="C999" i="6"/>
  <c r="A999" i="6"/>
  <c r="E998" i="6"/>
  <c r="D998" i="6"/>
  <c r="C998" i="6"/>
  <c r="A998" i="6"/>
  <c r="E997" i="6"/>
  <c r="D997" i="6"/>
  <c r="C997" i="6"/>
  <c r="A997" i="6"/>
  <c r="E996" i="6"/>
  <c r="D996" i="6"/>
  <c r="C996" i="6"/>
  <c r="A996" i="6"/>
  <c r="E995" i="6"/>
  <c r="D995" i="6"/>
  <c r="C995" i="6"/>
  <c r="A995" i="6"/>
  <c r="E994" i="6"/>
  <c r="D994" i="6"/>
  <c r="C994" i="6"/>
  <c r="A994" i="6"/>
  <c r="E993" i="6"/>
  <c r="D993" i="6"/>
  <c r="C993" i="6"/>
  <c r="A993" i="6"/>
  <c r="E992" i="6"/>
  <c r="D992" i="6"/>
  <c r="C992" i="6"/>
  <c r="A992" i="6"/>
  <c r="E991" i="6"/>
  <c r="D991" i="6"/>
  <c r="C991" i="6"/>
  <c r="A991" i="6"/>
  <c r="E990" i="6"/>
  <c r="D990" i="6"/>
  <c r="C990" i="6"/>
  <c r="A990" i="6"/>
  <c r="E989" i="6"/>
  <c r="D989" i="6"/>
  <c r="C989" i="6"/>
  <c r="A989" i="6"/>
  <c r="E988" i="6"/>
  <c r="D988" i="6"/>
  <c r="C988" i="6"/>
  <c r="A988" i="6"/>
  <c r="E987" i="6"/>
  <c r="D987" i="6"/>
  <c r="C987" i="6"/>
  <c r="A987" i="6"/>
  <c r="E986" i="6"/>
  <c r="D986" i="6"/>
  <c r="C986" i="6"/>
  <c r="A986" i="6"/>
  <c r="E985" i="6"/>
  <c r="D985" i="6"/>
  <c r="C985" i="6"/>
  <c r="A985" i="6"/>
  <c r="E984" i="6"/>
  <c r="D984" i="6"/>
  <c r="C984" i="6"/>
  <c r="A984" i="6"/>
  <c r="E983" i="6"/>
  <c r="D983" i="6"/>
  <c r="C983" i="6"/>
  <c r="A983" i="6"/>
  <c r="E982" i="6"/>
  <c r="D982" i="6"/>
  <c r="C982" i="6"/>
  <c r="A982" i="6"/>
  <c r="E981" i="6"/>
  <c r="D981" i="6"/>
  <c r="C981" i="6"/>
  <c r="A981" i="6"/>
  <c r="E980" i="6"/>
  <c r="D980" i="6"/>
  <c r="C980" i="6"/>
  <c r="A980" i="6"/>
  <c r="E979" i="6"/>
  <c r="D979" i="6"/>
  <c r="C979" i="6"/>
  <c r="A979" i="6"/>
  <c r="E978" i="6"/>
  <c r="D978" i="6"/>
  <c r="C978" i="6"/>
  <c r="A978" i="6"/>
  <c r="E977" i="6"/>
  <c r="D977" i="6"/>
  <c r="C977" i="6"/>
  <c r="A977" i="6"/>
  <c r="E976" i="6"/>
  <c r="D976" i="6"/>
  <c r="C976" i="6"/>
  <c r="A976" i="6"/>
  <c r="E975" i="6"/>
  <c r="D975" i="6"/>
  <c r="C975" i="6"/>
  <c r="A975" i="6"/>
  <c r="E974" i="6"/>
  <c r="D974" i="6"/>
  <c r="C974" i="6"/>
  <c r="A974" i="6"/>
  <c r="E973" i="6"/>
  <c r="D973" i="6"/>
  <c r="C973" i="6"/>
  <c r="A973" i="6"/>
  <c r="E972" i="6"/>
  <c r="D972" i="6"/>
  <c r="C972" i="6"/>
  <c r="A972" i="6"/>
  <c r="E971" i="6"/>
  <c r="D971" i="6"/>
  <c r="C971" i="6"/>
  <c r="A971" i="6"/>
  <c r="E970" i="6"/>
  <c r="D970" i="6"/>
  <c r="C970" i="6"/>
  <c r="A970" i="6"/>
  <c r="E969" i="6"/>
  <c r="D969" i="6"/>
  <c r="C969" i="6"/>
  <c r="A969" i="6"/>
  <c r="E968" i="6"/>
  <c r="D968" i="6"/>
  <c r="C968" i="6"/>
  <c r="A968" i="6"/>
  <c r="E967" i="6"/>
  <c r="D967" i="6"/>
  <c r="C967" i="6"/>
  <c r="A967" i="6"/>
  <c r="E966" i="6"/>
  <c r="D966" i="6"/>
  <c r="C966" i="6"/>
  <c r="A966" i="6"/>
  <c r="E965" i="6"/>
  <c r="D965" i="6"/>
  <c r="C965" i="6"/>
  <c r="A965" i="6"/>
  <c r="E964" i="6"/>
  <c r="D964" i="6"/>
  <c r="C964" i="6"/>
  <c r="A964" i="6"/>
  <c r="E963" i="6"/>
  <c r="D963" i="6"/>
  <c r="C963" i="6"/>
  <c r="A963" i="6"/>
  <c r="E962" i="6"/>
  <c r="D962" i="6"/>
  <c r="C962" i="6"/>
  <c r="A962" i="6"/>
  <c r="E961" i="6"/>
  <c r="D961" i="6"/>
  <c r="C961" i="6"/>
  <c r="A961" i="6"/>
  <c r="E960" i="6"/>
  <c r="D960" i="6"/>
  <c r="C960" i="6"/>
  <c r="A960" i="6"/>
  <c r="E959" i="6"/>
  <c r="D959" i="6"/>
  <c r="C959" i="6"/>
  <c r="A959" i="6"/>
  <c r="E958" i="6"/>
  <c r="D958" i="6"/>
  <c r="C958" i="6"/>
  <c r="A958" i="6"/>
  <c r="D957" i="6"/>
  <c r="C957" i="6"/>
  <c r="F957" i="6" s="1"/>
  <c r="A957" i="6"/>
  <c r="E956" i="6"/>
  <c r="D956" i="6"/>
  <c r="C956" i="6"/>
  <c r="A956" i="6"/>
  <c r="E955" i="6"/>
  <c r="D955" i="6"/>
  <c r="C955" i="6"/>
  <c r="A955" i="6"/>
  <c r="E954" i="6"/>
  <c r="D954" i="6"/>
  <c r="C954" i="6"/>
  <c r="A954" i="6"/>
  <c r="E953" i="6"/>
  <c r="D953" i="6"/>
  <c r="C953" i="6"/>
  <c r="A953" i="6"/>
  <c r="E952" i="6"/>
  <c r="D952" i="6"/>
  <c r="C952" i="6"/>
  <c r="A952" i="6"/>
  <c r="E951" i="6"/>
  <c r="D951" i="6"/>
  <c r="C951" i="6"/>
  <c r="A951" i="6"/>
  <c r="E950" i="6"/>
  <c r="D950" i="6"/>
  <c r="C950" i="6"/>
  <c r="A950" i="6"/>
  <c r="E949" i="6"/>
  <c r="D949" i="6"/>
  <c r="C949" i="6"/>
  <c r="A949" i="6"/>
  <c r="E948" i="6"/>
  <c r="D948" i="6"/>
  <c r="C948" i="6"/>
  <c r="A948" i="6"/>
  <c r="E947" i="6"/>
  <c r="D947" i="6"/>
  <c r="C947" i="6"/>
  <c r="A947" i="6"/>
  <c r="E946" i="6"/>
  <c r="D946" i="6"/>
  <c r="C946" i="6"/>
  <c r="A946" i="6"/>
  <c r="E945" i="6"/>
  <c r="D945" i="6"/>
  <c r="C945" i="6"/>
  <c r="A945" i="6"/>
  <c r="E944" i="6"/>
  <c r="D944" i="6"/>
  <c r="C944" i="6"/>
  <c r="A944" i="6"/>
  <c r="E943" i="6"/>
  <c r="D943" i="6"/>
  <c r="C943" i="6"/>
  <c r="A943" i="6"/>
  <c r="E942" i="6"/>
  <c r="D942" i="6"/>
  <c r="C942" i="6"/>
  <c r="A942" i="6"/>
  <c r="E941" i="6"/>
  <c r="D941" i="6"/>
  <c r="C941" i="6"/>
  <c r="A941" i="6"/>
  <c r="E940" i="6"/>
  <c r="D940" i="6"/>
  <c r="C940" i="6"/>
  <c r="A940" i="6"/>
  <c r="E939" i="6"/>
  <c r="D939" i="6"/>
  <c r="C939" i="6"/>
  <c r="A939" i="6"/>
  <c r="E938" i="6"/>
  <c r="D938" i="6"/>
  <c r="C938" i="6"/>
  <c r="A938" i="6"/>
  <c r="D937" i="6"/>
  <c r="C937" i="6"/>
  <c r="F937" i="6" s="1"/>
  <c r="A937" i="6"/>
  <c r="E937" i="6" s="1"/>
  <c r="E936" i="6"/>
  <c r="D936" i="6"/>
  <c r="C936" i="6"/>
  <c r="A936" i="6"/>
  <c r="E935" i="6"/>
  <c r="D935" i="6"/>
  <c r="C935" i="6"/>
  <c r="A935" i="6"/>
  <c r="E934" i="6"/>
  <c r="D934" i="6"/>
  <c r="C934" i="6"/>
  <c r="A934" i="6"/>
  <c r="E933" i="6"/>
  <c r="D933" i="6"/>
  <c r="C933" i="6"/>
  <c r="A933" i="6"/>
  <c r="D932" i="6"/>
  <c r="C932" i="6"/>
  <c r="F932" i="6" s="1"/>
  <c r="A932" i="6"/>
  <c r="E931" i="6"/>
  <c r="D931" i="6"/>
  <c r="C931" i="6"/>
  <c r="A931" i="6"/>
  <c r="E930" i="6"/>
  <c r="D930" i="6"/>
  <c r="C930" i="6"/>
  <c r="A930" i="6"/>
  <c r="E929" i="6"/>
  <c r="D929" i="6"/>
  <c r="C929" i="6"/>
  <c r="A929" i="6"/>
  <c r="E928" i="6"/>
  <c r="D928" i="6"/>
  <c r="C928" i="6"/>
  <c r="A928" i="6"/>
  <c r="E927" i="6"/>
  <c r="D927" i="6"/>
  <c r="C927" i="6"/>
  <c r="A927" i="6"/>
  <c r="E926" i="6"/>
  <c r="D926" i="6"/>
  <c r="C926" i="6"/>
  <c r="A926" i="6"/>
  <c r="E925" i="6"/>
  <c r="D925" i="6"/>
  <c r="C925" i="6"/>
  <c r="A925" i="6"/>
  <c r="E924" i="6"/>
  <c r="D924" i="6"/>
  <c r="C924" i="6"/>
  <c r="A924" i="6"/>
  <c r="E923" i="6"/>
  <c r="D923" i="6"/>
  <c r="C923" i="6"/>
  <c r="A923" i="6"/>
  <c r="E922" i="6"/>
  <c r="D922" i="6"/>
  <c r="C922" i="6"/>
  <c r="A922" i="6"/>
  <c r="D921" i="6"/>
  <c r="C921" i="6"/>
  <c r="F921" i="6" s="1"/>
  <c r="A921" i="6"/>
  <c r="E920" i="6"/>
  <c r="D920" i="6"/>
  <c r="C920" i="6"/>
  <c r="A920" i="6"/>
  <c r="E919" i="6"/>
  <c r="D919" i="6"/>
  <c r="C919" i="6"/>
  <c r="A919" i="6"/>
  <c r="E918" i="6"/>
  <c r="D918" i="6"/>
  <c r="C918" i="6"/>
  <c r="A918" i="6"/>
  <c r="E917" i="6"/>
  <c r="D917" i="6"/>
  <c r="C917" i="6"/>
  <c r="A917" i="6"/>
  <c r="E916" i="6"/>
  <c r="D916" i="6"/>
  <c r="C916" i="6"/>
  <c r="A916" i="6"/>
  <c r="E915" i="6"/>
  <c r="D915" i="6"/>
  <c r="C915" i="6"/>
  <c r="A915" i="6"/>
  <c r="E914" i="6"/>
  <c r="D914" i="6"/>
  <c r="C914" i="6"/>
  <c r="A914" i="6"/>
  <c r="E913" i="6"/>
  <c r="D913" i="6"/>
  <c r="C913" i="6"/>
  <c r="A913" i="6"/>
  <c r="E912" i="6"/>
  <c r="D912" i="6"/>
  <c r="C912" i="6"/>
  <c r="A912" i="6"/>
  <c r="E911" i="6"/>
  <c r="D911" i="6"/>
  <c r="C911" i="6"/>
  <c r="A911" i="6"/>
  <c r="E910" i="6"/>
  <c r="D910" i="6"/>
  <c r="C910" i="6"/>
  <c r="A910" i="6"/>
  <c r="E909" i="6"/>
  <c r="D909" i="6"/>
  <c r="C909" i="6"/>
  <c r="A909" i="6"/>
  <c r="E908" i="6"/>
  <c r="D908" i="6"/>
  <c r="C908" i="6"/>
  <c r="A908" i="6"/>
  <c r="E907" i="6"/>
  <c r="D907" i="6"/>
  <c r="C907" i="6"/>
  <c r="A907" i="6"/>
  <c r="E906" i="6"/>
  <c r="D906" i="6"/>
  <c r="C906" i="6"/>
  <c r="A906" i="6"/>
  <c r="E905" i="6"/>
  <c r="D905" i="6"/>
  <c r="C905" i="6"/>
  <c r="A905" i="6"/>
  <c r="E904" i="6"/>
  <c r="D904" i="6"/>
  <c r="C904" i="6"/>
  <c r="A904" i="6"/>
  <c r="E903" i="6"/>
  <c r="D903" i="6"/>
  <c r="C903" i="6"/>
  <c r="A903" i="6"/>
  <c r="E902" i="6"/>
  <c r="D902" i="6"/>
  <c r="C902" i="6"/>
  <c r="A902" i="6"/>
  <c r="E901" i="6"/>
  <c r="D901" i="6"/>
  <c r="C901" i="6"/>
  <c r="A901" i="6"/>
  <c r="E900" i="6"/>
  <c r="D900" i="6"/>
  <c r="C900" i="6"/>
  <c r="A900" i="6"/>
  <c r="E899" i="6"/>
  <c r="D899" i="6"/>
  <c r="C899" i="6"/>
  <c r="A899" i="6"/>
  <c r="E898" i="6"/>
  <c r="D898" i="6"/>
  <c r="C898" i="6"/>
  <c r="A898" i="6"/>
  <c r="E897" i="6"/>
  <c r="D897" i="6"/>
  <c r="C897" i="6"/>
  <c r="A897" i="6"/>
  <c r="E896" i="6"/>
  <c r="D896" i="6"/>
  <c r="C896" i="6"/>
  <c r="A896" i="6"/>
  <c r="E895" i="6"/>
  <c r="D895" i="6"/>
  <c r="C895" i="6"/>
  <c r="A895" i="6"/>
  <c r="E894" i="6"/>
  <c r="D894" i="6"/>
  <c r="C894" i="6"/>
  <c r="A894" i="6"/>
  <c r="E893" i="6"/>
  <c r="D893" i="6"/>
  <c r="C893" i="6"/>
  <c r="A893" i="6"/>
  <c r="E892" i="6"/>
  <c r="D892" i="6"/>
  <c r="C892" i="6"/>
  <c r="A892" i="6"/>
  <c r="E891" i="6"/>
  <c r="D891" i="6"/>
  <c r="C891" i="6"/>
  <c r="A891" i="6"/>
  <c r="E890" i="6"/>
  <c r="D890" i="6"/>
  <c r="C890" i="6"/>
  <c r="A890" i="6"/>
  <c r="E889" i="6"/>
  <c r="D889" i="6"/>
  <c r="C889" i="6"/>
  <c r="A889" i="6"/>
  <c r="E888" i="6"/>
  <c r="D888" i="6"/>
  <c r="C888" i="6"/>
  <c r="A888" i="6"/>
  <c r="E887" i="6"/>
  <c r="D887" i="6"/>
  <c r="C887" i="6"/>
  <c r="A887" i="6"/>
  <c r="E886" i="6"/>
  <c r="D886" i="6"/>
  <c r="C886" i="6"/>
  <c r="A886" i="6"/>
  <c r="E885" i="6"/>
  <c r="D885" i="6"/>
  <c r="C885" i="6"/>
  <c r="A885" i="6"/>
  <c r="E884" i="6"/>
  <c r="D884" i="6"/>
  <c r="C884" i="6"/>
  <c r="A884" i="6"/>
  <c r="E883" i="6"/>
  <c r="D883" i="6"/>
  <c r="C883" i="6"/>
  <c r="A883" i="6"/>
  <c r="E882" i="6"/>
  <c r="D882" i="6"/>
  <c r="C882" i="6"/>
  <c r="A882" i="6"/>
  <c r="E881" i="6"/>
  <c r="D881" i="6"/>
  <c r="C881" i="6"/>
  <c r="A881" i="6"/>
  <c r="E880" i="6"/>
  <c r="D880" i="6"/>
  <c r="C880" i="6"/>
  <c r="A880" i="6"/>
  <c r="E879" i="6"/>
  <c r="D879" i="6"/>
  <c r="C879" i="6"/>
  <c r="A879" i="6"/>
  <c r="E878" i="6"/>
  <c r="D878" i="6"/>
  <c r="C878" i="6"/>
  <c r="A878" i="6"/>
  <c r="E877" i="6"/>
  <c r="D877" i="6"/>
  <c r="C877" i="6"/>
  <c r="A877" i="6"/>
  <c r="E876" i="6"/>
  <c r="D876" i="6"/>
  <c r="C876" i="6"/>
  <c r="A876" i="6"/>
  <c r="E875" i="6"/>
  <c r="D875" i="6"/>
  <c r="C875" i="6"/>
  <c r="A875" i="6"/>
  <c r="E874" i="6"/>
  <c r="D874" i="6"/>
  <c r="C874" i="6"/>
  <c r="A874" i="6"/>
  <c r="E873" i="6"/>
  <c r="D873" i="6"/>
  <c r="C873" i="6"/>
  <c r="A873" i="6"/>
  <c r="E872" i="6"/>
  <c r="D872" i="6"/>
  <c r="C872" i="6"/>
  <c r="A872" i="6"/>
  <c r="E871" i="6"/>
  <c r="D871" i="6"/>
  <c r="C871" i="6"/>
  <c r="A871" i="6"/>
  <c r="E870" i="6"/>
  <c r="D870" i="6"/>
  <c r="C870" i="6"/>
  <c r="A870" i="6"/>
  <c r="E869" i="6"/>
  <c r="D869" i="6"/>
  <c r="C869" i="6"/>
  <c r="A869" i="6"/>
  <c r="E868" i="6"/>
  <c r="D868" i="6"/>
  <c r="C868" i="6"/>
  <c r="A868" i="6"/>
  <c r="E867" i="6"/>
  <c r="D867" i="6"/>
  <c r="C867" i="6"/>
  <c r="A867" i="6"/>
  <c r="E866" i="6"/>
  <c r="D866" i="6"/>
  <c r="C866" i="6"/>
  <c r="A866" i="6"/>
  <c r="E865" i="6"/>
  <c r="D865" i="6"/>
  <c r="C865" i="6"/>
  <c r="A865" i="6"/>
  <c r="E864" i="6"/>
  <c r="D864" i="6"/>
  <c r="C864" i="6"/>
  <c r="A864" i="6"/>
  <c r="E863" i="6"/>
  <c r="D863" i="6"/>
  <c r="C863" i="6"/>
  <c r="A863" i="6"/>
  <c r="E862" i="6"/>
  <c r="D862" i="6"/>
  <c r="C862" i="6"/>
  <c r="A862" i="6"/>
  <c r="E861" i="6"/>
  <c r="D861" i="6"/>
  <c r="C861" i="6"/>
  <c r="A861" i="6"/>
  <c r="E860" i="6"/>
  <c r="D860" i="6"/>
  <c r="C860" i="6"/>
  <c r="A860" i="6"/>
  <c r="E859" i="6"/>
  <c r="D859" i="6"/>
  <c r="C859" i="6"/>
  <c r="A859" i="6"/>
  <c r="E858" i="6"/>
  <c r="D858" i="6"/>
  <c r="C858" i="6"/>
  <c r="A858" i="6"/>
  <c r="E857" i="6"/>
  <c r="D857" i="6"/>
  <c r="C857" i="6"/>
  <c r="A857" i="6"/>
  <c r="E856" i="6"/>
  <c r="D856" i="6"/>
  <c r="C856" i="6"/>
  <c r="A856" i="6"/>
  <c r="E855" i="6"/>
  <c r="D855" i="6"/>
  <c r="C855" i="6"/>
  <c r="A855" i="6"/>
  <c r="E854" i="6"/>
  <c r="D854" i="6"/>
  <c r="C854" i="6"/>
  <c r="A854" i="6"/>
  <c r="E853" i="6"/>
  <c r="D853" i="6"/>
  <c r="C853" i="6"/>
  <c r="A853" i="6"/>
  <c r="E852" i="6"/>
  <c r="D852" i="6"/>
  <c r="C852" i="6"/>
  <c r="A852" i="6"/>
  <c r="E851" i="6"/>
  <c r="D851" i="6"/>
  <c r="C851" i="6"/>
  <c r="A851" i="6"/>
  <c r="E850" i="6"/>
  <c r="D850" i="6"/>
  <c r="C850" i="6"/>
  <c r="A850" i="6"/>
  <c r="E849" i="6"/>
  <c r="D849" i="6"/>
  <c r="C849" i="6"/>
  <c r="A849" i="6"/>
  <c r="E848" i="6"/>
  <c r="D848" i="6"/>
  <c r="C848" i="6"/>
  <c r="A848" i="6"/>
  <c r="E847" i="6"/>
  <c r="D847" i="6"/>
  <c r="C847" i="6"/>
  <c r="A847" i="6"/>
  <c r="E846" i="6"/>
  <c r="D846" i="6"/>
  <c r="C846" i="6"/>
  <c r="A846" i="6"/>
  <c r="E845" i="6"/>
  <c r="D845" i="6"/>
  <c r="C845" i="6"/>
  <c r="A845" i="6"/>
  <c r="E844" i="6"/>
  <c r="D844" i="6"/>
  <c r="C844" i="6"/>
  <c r="A844" i="6"/>
  <c r="E843" i="6"/>
  <c r="D843" i="6"/>
  <c r="C843" i="6"/>
  <c r="A843" i="6"/>
  <c r="D842" i="6"/>
  <c r="C842" i="6"/>
  <c r="F842" i="6" s="1"/>
  <c r="A842" i="6"/>
  <c r="E841" i="6"/>
  <c r="D841" i="6"/>
  <c r="C841" i="6"/>
  <c r="A841" i="6"/>
  <c r="E840" i="6"/>
  <c r="D840" i="6"/>
  <c r="C840" i="6"/>
  <c r="A840" i="6"/>
  <c r="E839" i="6"/>
  <c r="D839" i="6"/>
  <c r="C839" i="6"/>
  <c r="A839" i="6"/>
  <c r="E838" i="6"/>
  <c r="D838" i="6"/>
  <c r="C838" i="6"/>
  <c r="A838" i="6"/>
  <c r="E837" i="6"/>
  <c r="D837" i="6"/>
  <c r="C837" i="6"/>
  <c r="A837" i="6"/>
  <c r="E836" i="6"/>
  <c r="D836" i="6"/>
  <c r="C836" i="6"/>
  <c r="A836" i="6"/>
  <c r="E835" i="6"/>
  <c r="D835" i="6"/>
  <c r="C835" i="6"/>
  <c r="A835" i="6"/>
  <c r="E834" i="6"/>
  <c r="D834" i="6"/>
  <c r="C834" i="6"/>
  <c r="A834" i="6"/>
  <c r="E833" i="6"/>
  <c r="D833" i="6"/>
  <c r="C833" i="6"/>
  <c r="A833" i="6"/>
  <c r="E832" i="6"/>
  <c r="D832" i="6"/>
  <c r="C832" i="6"/>
  <c r="A832" i="6"/>
  <c r="E831" i="6"/>
  <c r="D831" i="6"/>
  <c r="C831" i="6"/>
  <c r="A831" i="6"/>
  <c r="E830" i="6"/>
  <c r="D830" i="6"/>
  <c r="C830" i="6"/>
  <c r="A830" i="6"/>
  <c r="E829" i="6"/>
  <c r="D829" i="6"/>
  <c r="C829" i="6"/>
  <c r="A829" i="6"/>
  <c r="E828" i="6"/>
  <c r="D828" i="6"/>
  <c r="C828" i="6"/>
  <c r="A828" i="6"/>
  <c r="E827" i="6"/>
  <c r="D827" i="6"/>
  <c r="C827" i="6"/>
  <c r="A827" i="6"/>
  <c r="E826" i="6"/>
  <c r="D826" i="6"/>
  <c r="C826" i="6"/>
  <c r="A826" i="6"/>
  <c r="E825" i="6"/>
  <c r="D825" i="6"/>
  <c r="C825" i="6"/>
  <c r="A825" i="6"/>
  <c r="E824" i="6"/>
  <c r="D824" i="6"/>
  <c r="C824" i="6"/>
  <c r="A824" i="6"/>
  <c r="E823" i="6"/>
  <c r="D823" i="6"/>
  <c r="C823" i="6"/>
  <c r="A823" i="6"/>
  <c r="E822" i="6"/>
  <c r="D822" i="6"/>
  <c r="C822" i="6"/>
  <c r="A822" i="6"/>
  <c r="E821" i="6"/>
  <c r="D821" i="6"/>
  <c r="C821" i="6"/>
  <c r="A821" i="6"/>
  <c r="E820" i="6"/>
  <c r="D820" i="6"/>
  <c r="C820" i="6"/>
  <c r="A820" i="6"/>
  <c r="E819" i="6"/>
  <c r="D819" i="6"/>
  <c r="C819" i="6"/>
  <c r="A819" i="6"/>
  <c r="E818" i="6"/>
  <c r="D818" i="6"/>
  <c r="C818" i="6"/>
  <c r="A818" i="6"/>
  <c r="E817" i="6"/>
  <c r="D817" i="6"/>
  <c r="C817" i="6"/>
  <c r="A817" i="6"/>
  <c r="E816" i="6"/>
  <c r="D816" i="6"/>
  <c r="C816" i="6"/>
  <c r="A816" i="6"/>
  <c r="E815" i="6"/>
  <c r="D815" i="6"/>
  <c r="C815" i="6"/>
  <c r="A815" i="6"/>
  <c r="E814" i="6"/>
  <c r="D814" i="6"/>
  <c r="C814" i="6"/>
  <c r="A814" i="6"/>
  <c r="E813" i="6"/>
  <c r="D813" i="6"/>
  <c r="C813" i="6"/>
  <c r="A813" i="6"/>
  <c r="E812" i="6"/>
  <c r="D812" i="6"/>
  <c r="C812" i="6"/>
  <c r="A812" i="6"/>
  <c r="E811" i="6"/>
  <c r="D811" i="6"/>
  <c r="C811" i="6"/>
  <c r="A811" i="6"/>
  <c r="E810" i="6"/>
  <c r="D810" i="6"/>
  <c r="C810" i="6"/>
  <c r="A810" i="6"/>
  <c r="E809" i="6"/>
  <c r="D809" i="6"/>
  <c r="C809" i="6"/>
  <c r="A809" i="6"/>
  <c r="E808" i="6"/>
  <c r="D808" i="6"/>
  <c r="C808" i="6"/>
  <c r="A808" i="6"/>
  <c r="E807" i="6"/>
  <c r="D807" i="6"/>
  <c r="C807" i="6"/>
  <c r="A807" i="6"/>
  <c r="E806" i="6"/>
  <c r="D806" i="6"/>
  <c r="C806" i="6"/>
  <c r="A806" i="6"/>
  <c r="E805" i="6"/>
  <c r="D805" i="6"/>
  <c r="C805" i="6"/>
  <c r="A805" i="6"/>
  <c r="E804" i="6"/>
  <c r="D804" i="6"/>
  <c r="C804" i="6"/>
  <c r="A804" i="6"/>
  <c r="E803" i="6"/>
  <c r="D803" i="6"/>
  <c r="C803" i="6"/>
  <c r="A803" i="6"/>
  <c r="E802" i="6"/>
  <c r="D802" i="6"/>
  <c r="C802" i="6"/>
  <c r="A802" i="6"/>
  <c r="E801" i="6"/>
  <c r="D801" i="6"/>
  <c r="C801" i="6"/>
  <c r="A801" i="6"/>
  <c r="E800" i="6"/>
  <c r="D800" i="6"/>
  <c r="C800" i="6"/>
  <c r="A800" i="6"/>
  <c r="E799" i="6"/>
  <c r="D799" i="6"/>
  <c r="C799" i="6"/>
  <c r="A799" i="6"/>
  <c r="E798" i="6"/>
  <c r="D798" i="6"/>
  <c r="C798" i="6"/>
  <c r="A798" i="6"/>
  <c r="E797" i="6"/>
  <c r="D797" i="6"/>
  <c r="C797" i="6"/>
  <c r="A797" i="6"/>
  <c r="E796" i="6"/>
  <c r="D796" i="6"/>
  <c r="C796" i="6"/>
  <c r="A796" i="6"/>
  <c r="E795" i="6"/>
  <c r="D795" i="6"/>
  <c r="C795" i="6"/>
  <c r="A795" i="6"/>
  <c r="E794" i="6"/>
  <c r="D794" i="6"/>
  <c r="C794" i="6"/>
  <c r="A794" i="6"/>
  <c r="E793" i="6"/>
  <c r="D793" i="6"/>
  <c r="C793" i="6"/>
  <c r="A793" i="6"/>
  <c r="E792" i="6"/>
  <c r="D792" i="6"/>
  <c r="C792" i="6"/>
  <c r="A792" i="6"/>
  <c r="E791" i="6"/>
  <c r="D791" i="6"/>
  <c r="C791" i="6"/>
  <c r="A791" i="6"/>
  <c r="E790" i="6"/>
  <c r="D790" i="6"/>
  <c r="C790" i="6"/>
  <c r="A790" i="6"/>
  <c r="E789" i="6"/>
  <c r="D789" i="6"/>
  <c r="C789" i="6"/>
  <c r="A789" i="6"/>
  <c r="E788" i="6"/>
  <c r="D788" i="6"/>
  <c r="C788" i="6"/>
  <c r="A788" i="6"/>
  <c r="E787" i="6"/>
  <c r="D787" i="6"/>
  <c r="C787" i="6"/>
  <c r="A787" i="6"/>
  <c r="E786" i="6"/>
  <c r="D786" i="6"/>
  <c r="C786" i="6"/>
  <c r="A786" i="6"/>
  <c r="E785" i="6"/>
  <c r="D785" i="6"/>
  <c r="C785" i="6"/>
  <c r="A785" i="6"/>
  <c r="E784" i="6"/>
  <c r="D784" i="6"/>
  <c r="C784" i="6"/>
  <c r="A784" i="6"/>
  <c r="E783" i="6"/>
  <c r="D783" i="6"/>
  <c r="C783" i="6"/>
  <c r="A783" i="6"/>
  <c r="E782" i="6"/>
  <c r="D782" i="6"/>
  <c r="C782" i="6"/>
  <c r="A782" i="6"/>
  <c r="E781" i="6"/>
  <c r="D781" i="6"/>
  <c r="C781" i="6"/>
  <c r="A781" i="6"/>
  <c r="E780" i="6"/>
  <c r="D780" i="6"/>
  <c r="C780" i="6"/>
  <c r="A780" i="6"/>
  <c r="E779" i="6"/>
  <c r="D779" i="6"/>
  <c r="C779" i="6"/>
  <c r="A779" i="6"/>
  <c r="D778" i="6"/>
  <c r="C778" i="6"/>
  <c r="F778" i="6" s="1"/>
  <c r="A778" i="6"/>
  <c r="E777" i="6"/>
  <c r="D777" i="6"/>
  <c r="C777" i="6"/>
  <c r="A777" i="6"/>
  <c r="E776" i="6"/>
  <c r="D776" i="6"/>
  <c r="C776" i="6"/>
  <c r="A776" i="6"/>
  <c r="E775" i="6"/>
  <c r="D775" i="6"/>
  <c r="C775" i="6"/>
  <c r="A775" i="6"/>
  <c r="E774" i="6"/>
  <c r="D774" i="6"/>
  <c r="C774" i="6"/>
  <c r="A774" i="6"/>
  <c r="E773" i="6"/>
  <c r="D773" i="6"/>
  <c r="C773" i="6"/>
  <c r="A773" i="6"/>
  <c r="E772" i="6"/>
  <c r="D772" i="6"/>
  <c r="C772" i="6"/>
  <c r="A772" i="6"/>
  <c r="E771" i="6"/>
  <c r="D771" i="6"/>
  <c r="C771" i="6"/>
  <c r="A771" i="6"/>
  <c r="E770" i="6"/>
  <c r="D770" i="6"/>
  <c r="C770" i="6"/>
  <c r="A770" i="6"/>
  <c r="E769" i="6"/>
  <c r="D769" i="6"/>
  <c r="C769" i="6"/>
  <c r="A769" i="6"/>
  <c r="E768" i="6"/>
  <c r="D768" i="6"/>
  <c r="C768" i="6"/>
  <c r="A768" i="6"/>
  <c r="E767" i="6"/>
  <c r="D767" i="6"/>
  <c r="C767" i="6"/>
  <c r="A767" i="6"/>
  <c r="E766" i="6"/>
  <c r="D766" i="6"/>
  <c r="C766" i="6"/>
  <c r="A766" i="6"/>
  <c r="E765" i="6"/>
  <c r="D765" i="6"/>
  <c r="C765" i="6"/>
  <c r="A765" i="6"/>
  <c r="D764" i="6"/>
  <c r="C764" i="6"/>
  <c r="F764" i="6" s="1"/>
  <c r="A764" i="6"/>
  <c r="D763" i="6"/>
  <c r="C763" i="6"/>
  <c r="F763" i="6" s="1"/>
  <c r="A763" i="6"/>
  <c r="E763" i="6" s="1"/>
  <c r="E762" i="6"/>
  <c r="D762" i="6"/>
  <c r="C762" i="6"/>
  <c r="A762" i="6"/>
  <c r="E761" i="6"/>
  <c r="D761" i="6"/>
  <c r="C761" i="6"/>
  <c r="A761" i="6"/>
  <c r="E760" i="6"/>
  <c r="D760" i="6"/>
  <c r="C760" i="6"/>
  <c r="A760" i="6"/>
  <c r="E759" i="6"/>
  <c r="D759" i="6"/>
  <c r="C759" i="6"/>
  <c r="A759" i="6"/>
  <c r="E758" i="6"/>
  <c r="D758" i="6"/>
  <c r="C758" i="6"/>
  <c r="A758" i="6"/>
  <c r="E757" i="6"/>
  <c r="D757" i="6"/>
  <c r="C757" i="6"/>
  <c r="A757" i="6"/>
  <c r="E756" i="6"/>
  <c r="D756" i="6"/>
  <c r="C756" i="6"/>
  <c r="A756" i="6"/>
  <c r="E755" i="6"/>
  <c r="D755" i="6"/>
  <c r="C755" i="6"/>
  <c r="A755" i="6"/>
  <c r="E754" i="6"/>
  <c r="D754" i="6"/>
  <c r="C754" i="6"/>
  <c r="A754" i="6"/>
  <c r="E753" i="6"/>
  <c r="D753" i="6"/>
  <c r="C753" i="6"/>
  <c r="A753" i="6"/>
  <c r="E752" i="6"/>
  <c r="D752" i="6"/>
  <c r="C752" i="6"/>
  <c r="A752" i="6"/>
  <c r="E751" i="6"/>
  <c r="D751" i="6"/>
  <c r="C751" i="6"/>
  <c r="A751" i="6"/>
  <c r="E750" i="6"/>
  <c r="D750" i="6"/>
  <c r="C750" i="6"/>
  <c r="A750" i="6"/>
  <c r="E749" i="6"/>
  <c r="D749" i="6"/>
  <c r="C749" i="6"/>
  <c r="A749" i="6"/>
  <c r="E748" i="6"/>
  <c r="D748" i="6"/>
  <c r="C748" i="6"/>
  <c r="A748" i="6"/>
  <c r="E747" i="6"/>
  <c r="D747" i="6"/>
  <c r="C747" i="6"/>
  <c r="A747" i="6"/>
  <c r="E746" i="6"/>
  <c r="D746" i="6"/>
  <c r="C746" i="6"/>
  <c r="A746" i="6"/>
  <c r="E745" i="6"/>
  <c r="D745" i="6"/>
  <c r="C745" i="6"/>
  <c r="A745" i="6"/>
  <c r="E744" i="6"/>
  <c r="D744" i="6"/>
  <c r="C744" i="6"/>
  <c r="A744" i="6"/>
  <c r="E743" i="6"/>
  <c r="D743" i="6"/>
  <c r="C743" i="6"/>
  <c r="A743" i="6"/>
  <c r="E742" i="6"/>
  <c r="D742" i="6"/>
  <c r="C742" i="6"/>
  <c r="A742" i="6"/>
  <c r="E741" i="6"/>
  <c r="D741" i="6"/>
  <c r="C741" i="6"/>
  <c r="A741" i="6"/>
  <c r="E740" i="6"/>
  <c r="D740" i="6"/>
  <c r="C740" i="6"/>
  <c r="A740" i="6"/>
  <c r="E739" i="6"/>
  <c r="D739" i="6"/>
  <c r="C739" i="6"/>
  <c r="A739" i="6"/>
  <c r="E738" i="6"/>
  <c r="D738" i="6"/>
  <c r="C738" i="6"/>
  <c r="A738" i="6"/>
  <c r="E737" i="6"/>
  <c r="D737" i="6"/>
  <c r="C737" i="6"/>
  <c r="A737" i="6"/>
  <c r="E736" i="6"/>
  <c r="D736" i="6"/>
  <c r="C736" i="6"/>
  <c r="A736" i="6"/>
  <c r="E735" i="6"/>
  <c r="D735" i="6"/>
  <c r="C735" i="6"/>
  <c r="F735" i="6" s="1"/>
  <c r="A735" i="6"/>
  <c r="E734" i="6"/>
  <c r="D734" i="6"/>
  <c r="C734" i="6"/>
  <c r="A734" i="6"/>
  <c r="E733" i="6"/>
  <c r="D733" i="6"/>
  <c r="C733" i="6"/>
  <c r="A733" i="6"/>
  <c r="E732" i="6"/>
  <c r="D732" i="6"/>
  <c r="C732" i="6"/>
  <c r="A732" i="6"/>
  <c r="E731" i="6"/>
  <c r="D731" i="6"/>
  <c r="C731" i="6"/>
  <c r="A731" i="6"/>
  <c r="E730" i="6"/>
  <c r="D730" i="6"/>
  <c r="C730" i="6"/>
  <c r="A730" i="6"/>
  <c r="E729" i="6"/>
  <c r="D729" i="6"/>
  <c r="C729" i="6"/>
  <c r="A729" i="6"/>
  <c r="E728" i="6"/>
  <c r="D728" i="6"/>
  <c r="C728" i="6"/>
  <c r="A728" i="6"/>
  <c r="E727" i="6"/>
  <c r="D727" i="6"/>
  <c r="C727" i="6"/>
  <c r="A727" i="6"/>
  <c r="E726" i="6"/>
  <c r="D726" i="6"/>
  <c r="C726" i="6"/>
  <c r="A726" i="6"/>
  <c r="E725" i="6"/>
  <c r="D725" i="6"/>
  <c r="C725" i="6"/>
  <c r="A725" i="6"/>
  <c r="E724" i="6"/>
  <c r="D724" i="6"/>
  <c r="C724" i="6"/>
  <c r="A724" i="6"/>
  <c r="E723" i="6"/>
  <c r="D723" i="6"/>
  <c r="C723" i="6"/>
  <c r="A723" i="6"/>
  <c r="E722" i="6"/>
  <c r="D722" i="6"/>
  <c r="C722" i="6"/>
  <c r="A722" i="6"/>
  <c r="E721" i="6"/>
  <c r="D721" i="6"/>
  <c r="C721" i="6"/>
  <c r="A721" i="6"/>
  <c r="E720" i="6"/>
  <c r="D720" i="6"/>
  <c r="C720" i="6"/>
  <c r="A720" i="6"/>
  <c r="E719" i="6"/>
  <c r="D719" i="6"/>
  <c r="C719" i="6"/>
  <c r="A719" i="6"/>
  <c r="E718" i="6"/>
  <c r="D718" i="6"/>
  <c r="C718" i="6"/>
  <c r="A718" i="6"/>
  <c r="E717" i="6"/>
  <c r="D717" i="6"/>
  <c r="C717" i="6"/>
  <c r="A717" i="6"/>
  <c r="E716" i="6"/>
  <c r="D716" i="6"/>
  <c r="C716" i="6"/>
  <c r="A716" i="6"/>
  <c r="E715" i="6"/>
  <c r="D715" i="6"/>
  <c r="C715" i="6"/>
  <c r="A715" i="6"/>
  <c r="E714" i="6"/>
  <c r="D714" i="6"/>
  <c r="C714" i="6"/>
  <c r="A714" i="6"/>
  <c r="E713" i="6"/>
  <c r="D713" i="6"/>
  <c r="C713" i="6"/>
  <c r="A713" i="6"/>
  <c r="E712" i="6"/>
  <c r="D712" i="6"/>
  <c r="C712" i="6"/>
  <c r="A712" i="6"/>
  <c r="E711" i="6"/>
  <c r="D711" i="6"/>
  <c r="C711" i="6"/>
  <c r="A711" i="6"/>
  <c r="E710" i="6"/>
  <c r="D710" i="6"/>
  <c r="C710" i="6"/>
  <c r="A710" i="6"/>
  <c r="E709" i="6"/>
  <c r="D709" i="6"/>
  <c r="C709" i="6"/>
  <c r="A709" i="6"/>
  <c r="E708" i="6"/>
  <c r="D708" i="6"/>
  <c r="C708" i="6"/>
  <c r="A708" i="6"/>
  <c r="E707" i="6"/>
  <c r="D707" i="6"/>
  <c r="C707" i="6"/>
  <c r="A707" i="6"/>
  <c r="E706" i="6"/>
  <c r="D706" i="6"/>
  <c r="C706" i="6"/>
  <c r="A706" i="6"/>
  <c r="E705" i="6"/>
  <c r="D705" i="6"/>
  <c r="C705" i="6"/>
  <c r="A705" i="6"/>
  <c r="E704" i="6"/>
  <c r="D704" i="6"/>
  <c r="C704" i="6"/>
  <c r="A704" i="6"/>
  <c r="E703" i="6"/>
  <c r="D703" i="6"/>
  <c r="C703" i="6"/>
  <c r="A703" i="6"/>
  <c r="E702" i="6"/>
  <c r="D702" i="6"/>
  <c r="C702" i="6"/>
  <c r="A702" i="6"/>
  <c r="E701" i="6"/>
  <c r="D701" i="6"/>
  <c r="C701" i="6"/>
  <c r="A701" i="6"/>
  <c r="E700" i="6"/>
  <c r="D700" i="6"/>
  <c r="C700" i="6"/>
  <c r="A700" i="6"/>
  <c r="E699" i="6"/>
  <c r="D699" i="6"/>
  <c r="C699" i="6"/>
  <c r="A699" i="6"/>
  <c r="E698" i="6"/>
  <c r="D698" i="6"/>
  <c r="C698" i="6"/>
  <c r="A698" i="6"/>
  <c r="E697" i="6"/>
  <c r="D697" i="6"/>
  <c r="C697" i="6"/>
  <c r="A697" i="6"/>
  <c r="E696" i="6"/>
  <c r="D696" i="6"/>
  <c r="C696" i="6"/>
  <c r="A696" i="6"/>
  <c r="E695" i="6"/>
  <c r="D695" i="6"/>
  <c r="C695" i="6"/>
  <c r="A695" i="6"/>
  <c r="E694" i="6"/>
  <c r="D694" i="6"/>
  <c r="C694" i="6"/>
  <c r="A694" i="6"/>
  <c r="E693" i="6"/>
  <c r="D693" i="6"/>
  <c r="C693" i="6"/>
  <c r="A693" i="6"/>
  <c r="E692" i="6"/>
  <c r="D692" i="6"/>
  <c r="C692" i="6"/>
  <c r="A692" i="6"/>
  <c r="E691" i="6"/>
  <c r="D691" i="6"/>
  <c r="C691" i="6"/>
  <c r="A691" i="6"/>
  <c r="E690" i="6"/>
  <c r="D690" i="6"/>
  <c r="C690" i="6"/>
  <c r="A690" i="6"/>
  <c r="E689" i="6"/>
  <c r="D689" i="6"/>
  <c r="C689" i="6"/>
  <c r="A689" i="6"/>
  <c r="E688" i="6"/>
  <c r="D688" i="6"/>
  <c r="C688" i="6"/>
  <c r="A688" i="6"/>
  <c r="E687" i="6"/>
  <c r="D687" i="6"/>
  <c r="C687" i="6"/>
  <c r="A687" i="6"/>
  <c r="E686" i="6"/>
  <c r="D686" i="6"/>
  <c r="C686" i="6"/>
  <c r="A686" i="6"/>
  <c r="E685" i="6"/>
  <c r="D685" i="6"/>
  <c r="C685" i="6"/>
  <c r="A685" i="6"/>
  <c r="E684" i="6"/>
  <c r="D684" i="6"/>
  <c r="C684" i="6"/>
  <c r="A684" i="6"/>
  <c r="E683" i="6"/>
  <c r="D683" i="6"/>
  <c r="C683" i="6"/>
  <c r="A683" i="6"/>
  <c r="E682" i="6"/>
  <c r="D682" i="6"/>
  <c r="C682" i="6"/>
  <c r="A682" i="6"/>
  <c r="E681" i="6"/>
  <c r="D681" i="6"/>
  <c r="C681" i="6"/>
  <c r="A681" i="6"/>
  <c r="E680" i="6"/>
  <c r="D680" i="6"/>
  <c r="C680" i="6"/>
  <c r="A680" i="6"/>
  <c r="E679" i="6"/>
  <c r="D679" i="6"/>
  <c r="C679" i="6"/>
  <c r="A679" i="6"/>
  <c r="E678" i="6"/>
  <c r="D678" i="6"/>
  <c r="C678" i="6"/>
  <c r="A678" i="6"/>
  <c r="E677" i="6"/>
  <c r="D677" i="6"/>
  <c r="C677" i="6"/>
  <c r="A677" i="6"/>
  <c r="E676" i="6"/>
  <c r="D676" i="6"/>
  <c r="C676" i="6"/>
  <c r="A676" i="6"/>
  <c r="E675" i="6"/>
  <c r="D675" i="6"/>
  <c r="C675" i="6"/>
  <c r="A675" i="6"/>
  <c r="E674" i="6"/>
  <c r="D674" i="6"/>
  <c r="C674" i="6"/>
  <c r="A674" i="6"/>
  <c r="E673" i="6"/>
  <c r="D673" i="6"/>
  <c r="C673" i="6"/>
  <c r="A673" i="6"/>
  <c r="E672" i="6"/>
  <c r="D672" i="6"/>
  <c r="C672" i="6"/>
  <c r="A672" i="6"/>
  <c r="D671" i="6"/>
  <c r="C671" i="6"/>
  <c r="F671" i="6" s="1"/>
  <c r="A671" i="6"/>
  <c r="E670" i="6"/>
  <c r="D670" i="6"/>
  <c r="C670" i="6"/>
  <c r="A670" i="6"/>
  <c r="D669" i="6"/>
  <c r="C669" i="6"/>
  <c r="F669" i="6" s="1"/>
  <c r="A669" i="6"/>
  <c r="E668" i="6"/>
  <c r="D668" i="6"/>
  <c r="C668" i="6"/>
  <c r="A668" i="6"/>
  <c r="E667" i="6"/>
  <c r="D667" i="6"/>
  <c r="C667" i="6"/>
  <c r="A667" i="6"/>
  <c r="D666" i="6"/>
  <c r="C666" i="6"/>
  <c r="F666" i="6" s="1"/>
  <c r="A666" i="6"/>
  <c r="E665" i="6"/>
  <c r="D665" i="6"/>
  <c r="C665" i="6"/>
  <c r="A665" i="6"/>
  <c r="E664" i="6"/>
  <c r="D664" i="6"/>
  <c r="C664" i="6"/>
  <c r="A664" i="6"/>
  <c r="E663" i="6"/>
  <c r="D663" i="6"/>
  <c r="C663" i="6"/>
  <c r="A663" i="6"/>
  <c r="E662" i="6"/>
  <c r="D662" i="6"/>
  <c r="C662" i="6"/>
  <c r="A662" i="6"/>
  <c r="E661" i="6"/>
  <c r="D661" i="6"/>
  <c r="C661" i="6"/>
  <c r="A661" i="6"/>
  <c r="E660" i="6"/>
  <c r="D660" i="6"/>
  <c r="C660" i="6"/>
  <c r="A660" i="6"/>
  <c r="E659" i="6"/>
  <c r="D659" i="6"/>
  <c r="C659" i="6"/>
  <c r="A659" i="6"/>
  <c r="E658" i="6"/>
  <c r="D658" i="6"/>
  <c r="C658" i="6"/>
  <c r="A658" i="6"/>
  <c r="E657" i="6"/>
  <c r="D657" i="6"/>
  <c r="C657" i="6"/>
  <c r="A657" i="6"/>
  <c r="E656" i="6"/>
  <c r="D656" i="6"/>
  <c r="C656" i="6"/>
  <c r="A656" i="6"/>
  <c r="E655" i="6"/>
  <c r="D655" i="6"/>
  <c r="C655" i="6"/>
  <c r="A655" i="6"/>
  <c r="E654" i="6"/>
  <c r="D654" i="6"/>
  <c r="C654" i="6"/>
  <c r="A654" i="6"/>
  <c r="E653" i="6"/>
  <c r="D653" i="6"/>
  <c r="C653" i="6"/>
  <c r="A653" i="6"/>
  <c r="E652" i="6"/>
  <c r="D652" i="6"/>
  <c r="C652" i="6"/>
  <c r="A652" i="6"/>
  <c r="E651" i="6"/>
  <c r="D651" i="6"/>
  <c r="C651" i="6"/>
  <c r="A651" i="6"/>
  <c r="E650" i="6"/>
  <c r="D650" i="6"/>
  <c r="C650" i="6"/>
  <c r="A650" i="6"/>
  <c r="E649" i="6"/>
  <c r="D649" i="6"/>
  <c r="C649" i="6"/>
  <c r="A649" i="6"/>
  <c r="E648" i="6"/>
  <c r="D648" i="6"/>
  <c r="C648" i="6"/>
  <c r="A648" i="6"/>
  <c r="E647" i="6"/>
  <c r="D647" i="6"/>
  <c r="C647" i="6"/>
  <c r="A647" i="6"/>
  <c r="E646" i="6"/>
  <c r="D646" i="6"/>
  <c r="C646" i="6"/>
  <c r="A646" i="6"/>
  <c r="E645" i="6"/>
  <c r="D645" i="6"/>
  <c r="C645" i="6"/>
  <c r="A645" i="6"/>
  <c r="E644" i="6"/>
  <c r="D644" i="6"/>
  <c r="C644" i="6"/>
  <c r="A644" i="6"/>
  <c r="E643" i="6"/>
  <c r="D643" i="6"/>
  <c r="C643" i="6"/>
  <c r="A643" i="6"/>
  <c r="D642" i="6"/>
  <c r="C642" i="6"/>
  <c r="F642" i="6" s="1"/>
  <c r="A642" i="6"/>
  <c r="E641" i="6"/>
  <c r="D641" i="6"/>
  <c r="C641" i="6"/>
  <c r="A641" i="6"/>
  <c r="D640" i="6"/>
  <c r="C640" i="6"/>
  <c r="F640" i="6" s="1"/>
  <c r="A640" i="6"/>
  <c r="E639" i="6"/>
  <c r="D639" i="6"/>
  <c r="C639" i="6"/>
  <c r="A639" i="6"/>
  <c r="E638" i="6"/>
  <c r="D638" i="6"/>
  <c r="C638" i="6"/>
  <c r="A638" i="6"/>
  <c r="D637" i="6"/>
  <c r="C637" i="6"/>
  <c r="F637" i="6" s="1"/>
  <c r="A637" i="6"/>
  <c r="E636" i="6"/>
  <c r="D636" i="6"/>
  <c r="C636" i="6"/>
  <c r="A636" i="6"/>
  <c r="E635" i="6"/>
  <c r="D635" i="6"/>
  <c r="C635" i="6"/>
  <c r="A635" i="6"/>
  <c r="E634" i="6"/>
  <c r="D634" i="6"/>
  <c r="C634" i="6"/>
  <c r="A634" i="6"/>
  <c r="E633" i="6"/>
  <c r="D633" i="6"/>
  <c r="C633" i="6"/>
  <c r="A633" i="6"/>
  <c r="E632" i="6"/>
  <c r="D632" i="6"/>
  <c r="C632" i="6"/>
  <c r="A632" i="6"/>
  <c r="E631" i="6"/>
  <c r="D631" i="6"/>
  <c r="C631" i="6"/>
  <c r="A631" i="6"/>
  <c r="E630" i="6"/>
  <c r="D630" i="6"/>
  <c r="C630" i="6"/>
  <c r="A630" i="6"/>
  <c r="E629" i="6"/>
  <c r="D629" i="6"/>
  <c r="C629" i="6"/>
  <c r="A629" i="6"/>
  <c r="E628" i="6"/>
  <c r="D628" i="6"/>
  <c r="C628" i="6"/>
  <c r="A628" i="6"/>
  <c r="E627" i="6"/>
  <c r="D627" i="6"/>
  <c r="C627" i="6"/>
  <c r="A627" i="6"/>
  <c r="E626" i="6"/>
  <c r="D626" i="6"/>
  <c r="C626" i="6"/>
  <c r="A626" i="6"/>
  <c r="E625" i="6"/>
  <c r="D625" i="6"/>
  <c r="C625" i="6"/>
  <c r="A625" i="6"/>
  <c r="E624" i="6"/>
  <c r="D624" i="6"/>
  <c r="C624" i="6"/>
  <c r="A624" i="6"/>
  <c r="E623" i="6"/>
  <c r="D623" i="6"/>
  <c r="C623" i="6"/>
  <c r="A623" i="6"/>
  <c r="E622" i="6"/>
  <c r="D622" i="6"/>
  <c r="C622" i="6"/>
  <c r="A622" i="6"/>
  <c r="E621" i="6"/>
  <c r="D621" i="6"/>
  <c r="C621" i="6"/>
  <c r="A621" i="6"/>
  <c r="E620" i="6"/>
  <c r="D620" i="6"/>
  <c r="C620" i="6"/>
  <c r="A620" i="6"/>
  <c r="E619" i="6"/>
  <c r="D619" i="6"/>
  <c r="C619" i="6"/>
  <c r="A619" i="6"/>
  <c r="E618" i="6"/>
  <c r="D618" i="6"/>
  <c r="C618" i="6"/>
  <c r="A618" i="6"/>
  <c r="E617" i="6"/>
  <c r="D617" i="6"/>
  <c r="C617" i="6"/>
  <c r="A617" i="6"/>
  <c r="E616" i="6"/>
  <c r="D616" i="6"/>
  <c r="C616" i="6"/>
  <c r="A616" i="6"/>
  <c r="E615" i="6"/>
  <c r="D615" i="6"/>
  <c r="C615" i="6"/>
  <c r="A615" i="6"/>
  <c r="E614" i="6"/>
  <c r="D614" i="6"/>
  <c r="C614" i="6"/>
  <c r="A614" i="6"/>
  <c r="E613" i="6"/>
  <c r="D613" i="6"/>
  <c r="C613" i="6"/>
  <c r="A613" i="6"/>
  <c r="E612" i="6"/>
  <c r="D612" i="6"/>
  <c r="C612" i="6"/>
  <c r="A612" i="6"/>
  <c r="E611" i="6"/>
  <c r="D611" i="6"/>
  <c r="C611" i="6"/>
  <c r="A611" i="6"/>
  <c r="E610" i="6"/>
  <c r="D610" i="6"/>
  <c r="C610" i="6"/>
  <c r="A610" i="6"/>
  <c r="E609" i="6"/>
  <c r="D609" i="6"/>
  <c r="C609" i="6"/>
  <c r="A609" i="6"/>
  <c r="E608" i="6"/>
  <c r="D608" i="6"/>
  <c r="C608" i="6"/>
  <c r="A608" i="6"/>
  <c r="E607" i="6"/>
  <c r="D607" i="6"/>
  <c r="C607" i="6"/>
  <c r="A607" i="6"/>
  <c r="E606" i="6"/>
  <c r="D606" i="6"/>
  <c r="C606" i="6"/>
  <c r="A606" i="6"/>
  <c r="E605" i="6"/>
  <c r="D605" i="6"/>
  <c r="C605" i="6"/>
  <c r="A605" i="6"/>
  <c r="E604" i="6"/>
  <c r="D604" i="6"/>
  <c r="C604" i="6"/>
  <c r="A604" i="6"/>
  <c r="E603" i="6"/>
  <c r="D603" i="6"/>
  <c r="C603" i="6"/>
  <c r="A603" i="6"/>
  <c r="E602" i="6"/>
  <c r="D602" i="6"/>
  <c r="C602" i="6"/>
  <c r="A602" i="6"/>
  <c r="E601" i="6"/>
  <c r="D601" i="6"/>
  <c r="C601" i="6"/>
  <c r="A601" i="6"/>
  <c r="E600" i="6"/>
  <c r="D600" i="6"/>
  <c r="C600" i="6"/>
  <c r="A600" i="6"/>
  <c r="E599" i="6"/>
  <c r="D599" i="6"/>
  <c r="C599" i="6"/>
  <c r="A599" i="6"/>
  <c r="E598" i="6"/>
  <c r="D598" i="6"/>
  <c r="C598" i="6"/>
  <c r="A598" i="6"/>
  <c r="E597" i="6"/>
  <c r="D597" i="6"/>
  <c r="C597" i="6"/>
  <c r="A597" i="6"/>
  <c r="E596" i="6"/>
  <c r="D596" i="6"/>
  <c r="C596" i="6"/>
  <c r="A596" i="6"/>
  <c r="E595" i="6"/>
  <c r="D595" i="6"/>
  <c r="C595" i="6"/>
  <c r="A595" i="6"/>
  <c r="D594" i="6"/>
  <c r="C594" i="6"/>
  <c r="F594" i="6" s="1"/>
  <c r="A594" i="6"/>
  <c r="E593" i="6"/>
  <c r="D593" i="6"/>
  <c r="C593" i="6"/>
  <c r="A593" i="6"/>
  <c r="E592" i="6"/>
  <c r="D592" i="6"/>
  <c r="C592" i="6"/>
  <c r="A592" i="6"/>
  <c r="E591" i="6"/>
  <c r="D591" i="6"/>
  <c r="C591" i="6"/>
  <c r="A591" i="6"/>
  <c r="E590" i="6"/>
  <c r="D590" i="6"/>
  <c r="C590" i="6"/>
  <c r="A590" i="6"/>
  <c r="E589" i="6"/>
  <c r="D589" i="6"/>
  <c r="C589" i="6"/>
  <c r="A589" i="6"/>
  <c r="E588" i="6"/>
  <c r="D588" i="6"/>
  <c r="C588" i="6"/>
  <c r="A588" i="6"/>
  <c r="E587" i="6"/>
  <c r="D587" i="6"/>
  <c r="C587" i="6"/>
  <c r="A587" i="6"/>
  <c r="E586" i="6"/>
  <c r="D586" i="6"/>
  <c r="C586" i="6"/>
  <c r="A586" i="6"/>
  <c r="E585" i="6"/>
  <c r="D585" i="6"/>
  <c r="C585" i="6"/>
  <c r="A585" i="6"/>
  <c r="E584" i="6"/>
  <c r="D584" i="6"/>
  <c r="C584" i="6"/>
  <c r="A584" i="6"/>
  <c r="E583" i="6"/>
  <c r="D583" i="6"/>
  <c r="C583" i="6"/>
  <c r="A583" i="6"/>
  <c r="E582" i="6"/>
  <c r="D582" i="6"/>
  <c r="C582" i="6"/>
  <c r="A582" i="6"/>
  <c r="E581" i="6"/>
  <c r="D581" i="6"/>
  <c r="C581" i="6"/>
  <c r="A581" i="6"/>
  <c r="E580" i="6"/>
  <c r="D580" i="6"/>
  <c r="C580" i="6"/>
  <c r="A580" i="6"/>
  <c r="E579" i="6"/>
  <c r="D579" i="6"/>
  <c r="C579" i="6"/>
  <c r="A579" i="6"/>
  <c r="E578" i="6"/>
  <c r="D578" i="6"/>
  <c r="C578" i="6"/>
  <c r="A578" i="6"/>
  <c r="E577" i="6"/>
  <c r="D577" i="6"/>
  <c r="C577" i="6"/>
  <c r="A577" i="6"/>
  <c r="E576" i="6"/>
  <c r="D576" i="6"/>
  <c r="C576" i="6"/>
  <c r="A576" i="6"/>
  <c r="E575" i="6"/>
  <c r="D575" i="6"/>
  <c r="C575" i="6"/>
  <c r="A575" i="6"/>
  <c r="E574" i="6"/>
  <c r="D574" i="6"/>
  <c r="C574" i="6"/>
  <c r="A574" i="6"/>
  <c r="E573" i="6"/>
  <c r="D573" i="6"/>
  <c r="C573" i="6"/>
  <c r="A573" i="6"/>
  <c r="E572" i="6"/>
  <c r="D572" i="6"/>
  <c r="C572" i="6"/>
  <c r="A572" i="6"/>
  <c r="E571" i="6"/>
  <c r="D571" i="6"/>
  <c r="C571" i="6"/>
  <c r="A571" i="6"/>
  <c r="E570" i="6"/>
  <c r="D570" i="6"/>
  <c r="C570" i="6"/>
  <c r="A570" i="6"/>
  <c r="E569" i="6"/>
  <c r="D569" i="6"/>
  <c r="C569" i="6"/>
  <c r="A569" i="6"/>
  <c r="E568" i="6"/>
  <c r="D568" i="6"/>
  <c r="C568" i="6"/>
  <c r="A568" i="6"/>
  <c r="E567" i="6"/>
  <c r="D567" i="6"/>
  <c r="C567" i="6"/>
  <c r="A567" i="6"/>
  <c r="E566" i="6"/>
  <c r="D566" i="6"/>
  <c r="C566" i="6"/>
  <c r="A566" i="6"/>
  <c r="E565" i="6"/>
  <c r="D565" i="6"/>
  <c r="C565" i="6"/>
  <c r="A565" i="6"/>
  <c r="E564" i="6"/>
  <c r="D564" i="6"/>
  <c r="C564" i="6"/>
  <c r="A564" i="6"/>
  <c r="E563" i="6"/>
  <c r="D563" i="6"/>
  <c r="C563" i="6"/>
  <c r="A563" i="6"/>
  <c r="E562" i="6"/>
  <c r="D562" i="6"/>
  <c r="C562" i="6"/>
  <c r="A562" i="6"/>
  <c r="E561" i="6"/>
  <c r="D561" i="6"/>
  <c r="C561" i="6"/>
  <c r="A561" i="6"/>
  <c r="E560" i="6"/>
  <c r="D560" i="6"/>
  <c r="C560" i="6"/>
  <c r="A560" i="6"/>
  <c r="E559" i="6"/>
  <c r="D559" i="6"/>
  <c r="C559" i="6"/>
  <c r="A559" i="6"/>
  <c r="E558" i="6"/>
  <c r="D558" i="6"/>
  <c r="C558" i="6"/>
  <c r="A558" i="6"/>
  <c r="E557" i="6"/>
  <c r="D557" i="6"/>
  <c r="C557" i="6"/>
  <c r="A557" i="6"/>
  <c r="E556" i="6"/>
  <c r="D556" i="6"/>
  <c r="C556" i="6"/>
  <c r="A556" i="6"/>
  <c r="E555" i="6"/>
  <c r="D555" i="6"/>
  <c r="C555" i="6"/>
  <c r="A555" i="6"/>
  <c r="E554" i="6"/>
  <c r="D554" i="6"/>
  <c r="C554" i="6"/>
  <c r="A554" i="6"/>
  <c r="D553" i="6"/>
  <c r="C553" i="6"/>
  <c r="F553" i="6" s="1"/>
  <c r="A553" i="6"/>
  <c r="E552" i="6"/>
  <c r="D552" i="6"/>
  <c r="C552" i="6"/>
  <c r="A552" i="6"/>
  <c r="E551" i="6"/>
  <c r="D551" i="6"/>
  <c r="C551" i="6"/>
  <c r="A551" i="6"/>
  <c r="E550" i="6"/>
  <c r="D550" i="6"/>
  <c r="C550" i="6"/>
  <c r="A550" i="6"/>
  <c r="E549" i="6"/>
  <c r="D549" i="6"/>
  <c r="C549" i="6"/>
  <c r="A549" i="6"/>
  <c r="E548" i="6"/>
  <c r="D548" i="6"/>
  <c r="C548" i="6"/>
  <c r="A548" i="6"/>
  <c r="E547" i="6"/>
  <c r="D547" i="6"/>
  <c r="C547" i="6"/>
  <c r="A547" i="6"/>
  <c r="E546" i="6"/>
  <c r="D546" i="6"/>
  <c r="C546" i="6"/>
  <c r="A546" i="6"/>
  <c r="E545" i="6"/>
  <c r="D545" i="6"/>
  <c r="C545" i="6"/>
  <c r="A545" i="6"/>
  <c r="E544" i="6"/>
  <c r="D544" i="6"/>
  <c r="C544" i="6"/>
  <c r="A544" i="6"/>
  <c r="E543" i="6"/>
  <c r="D543" i="6"/>
  <c r="C543" i="6"/>
  <c r="A543" i="6"/>
  <c r="E542" i="6"/>
  <c r="D542" i="6"/>
  <c r="C542" i="6"/>
  <c r="A542" i="6"/>
  <c r="E541" i="6"/>
  <c r="D541" i="6"/>
  <c r="C541" i="6"/>
  <c r="A541" i="6"/>
  <c r="E540" i="6"/>
  <c r="D540" i="6"/>
  <c r="C540" i="6"/>
  <c r="A540" i="6"/>
  <c r="E539" i="6"/>
  <c r="D539" i="6"/>
  <c r="C539" i="6"/>
  <c r="A539" i="6"/>
  <c r="E538" i="6"/>
  <c r="D538" i="6"/>
  <c r="C538" i="6"/>
  <c r="A538" i="6"/>
  <c r="E537" i="6"/>
  <c r="D537" i="6"/>
  <c r="C537" i="6"/>
  <c r="A537" i="6"/>
  <c r="E536" i="6"/>
  <c r="D536" i="6"/>
  <c r="C536" i="6"/>
  <c r="A536" i="6"/>
  <c r="E535" i="6"/>
  <c r="D535" i="6"/>
  <c r="C535" i="6"/>
  <c r="A535" i="6"/>
  <c r="E534" i="6"/>
  <c r="D534" i="6"/>
  <c r="C534" i="6"/>
  <c r="A534" i="6"/>
  <c r="E533" i="6"/>
  <c r="D533" i="6"/>
  <c r="C533" i="6"/>
  <c r="A533" i="6"/>
  <c r="E532" i="6"/>
  <c r="D532" i="6"/>
  <c r="C532" i="6"/>
  <c r="A532" i="6"/>
  <c r="E531" i="6"/>
  <c r="D531" i="6"/>
  <c r="C531" i="6"/>
  <c r="A531" i="6"/>
  <c r="E530" i="6"/>
  <c r="D530" i="6"/>
  <c r="C530" i="6"/>
  <c r="A530" i="6"/>
  <c r="E529" i="6"/>
  <c r="D529" i="6"/>
  <c r="C529" i="6"/>
  <c r="A529" i="6"/>
  <c r="E528" i="6"/>
  <c r="D528" i="6"/>
  <c r="C528" i="6"/>
  <c r="A528" i="6"/>
  <c r="E527" i="6"/>
  <c r="D527" i="6"/>
  <c r="C527" i="6"/>
  <c r="A527" i="6"/>
  <c r="E526" i="6"/>
  <c r="D526" i="6"/>
  <c r="C526" i="6"/>
  <c r="A526" i="6"/>
  <c r="E525" i="6"/>
  <c r="D525" i="6"/>
  <c r="C525" i="6"/>
  <c r="A525" i="6"/>
  <c r="E524" i="6"/>
  <c r="D524" i="6"/>
  <c r="C524" i="6"/>
  <c r="A524" i="6"/>
  <c r="E523" i="6"/>
  <c r="D523" i="6"/>
  <c r="C523" i="6"/>
  <c r="A523" i="6"/>
  <c r="E522" i="6"/>
  <c r="D522" i="6"/>
  <c r="C522" i="6"/>
  <c r="A522" i="6"/>
  <c r="E521" i="6"/>
  <c r="D521" i="6"/>
  <c r="C521" i="6"/>
  <c r="A521" i="6"/>
  <c r="E520" i="6"/>
  <c r="D520" i="6"/>
  <c r="C520" i="6"/>
  <c r="A520" i="6"/>
  <c r="E519" i="6"/>
  <c r="D519" i="6"/>
  <c r="C519" i="6"/>
  <c r="A519" i="6"/>
  <c r="D518" i="6"/>
  <c r="C518" i="6"/>
  <c r="F518" i="6" s="1"/>
  <c r="A518" i="6"/>
  <c r="E517" i="6"/>
  <c r="D517" i="6"/>
  <c r="C517" i="6"/>
  <c r="A517" i="6"/>
  <c r="E516" i="6"/>
  <c r="D516" i="6"/>
  <c r="C516" i="6"/>
  <c r="A516" i="6"/>
  <c r="E515" i="6"/>
  <c r="D515" i="6"/>
  <c r="C515" i="6"/>
  <c r="A515" i="6"/>
  <c r="D514" i="6"/>
  <c r="C514" i="6"/>
  <c r="F514" i="6" s="1"/>
  <c r="A514" i="6"/>
  <c r="E513" i="6"/>
  <c r="D513" i="6"/>
  <c r="C513" i="6"/>
  <c r="A513" i="6"/>
  <c r="E512" i="6"/>
  <c r="D512" i="6"/>
  <c r="C512" i="6"/>
  <c r="A512" i="6"/>
  <c r="E511" i="6"/>
  <c r="D511" i="6"/>
  <c r="C511" i="6"/>
  <c r="A511" i="6"/>
  <c r="E510" i="6"/>
  <c r="D510" i="6"/>
  <c r="C510" i="6"/>
  <c r="A510" i="6"/>
  <c r="E509" i="6"/>
  <c r="D509" i="6"/>
  <c r="C509" i="6"/>
  <c r="A509" i="6"/>
  <c r="E508" i="6"/>
  <c r="D508" i="6"/>
  <c r="C508" i="6"/>
  <c r="A508" i="6"/>
  <c r="E507" i="6"/>
  <c r="D507" i="6"/>
  <c r="C507" i="6"/>
  <c r="A507" i="6"/>
  <c r="E506" i="6"/>
  <c r="D506" i="6"/>
  <c r="C506" i="6"/>
  <c r="A506" i="6"/>
  <c r="E505" i="6"/>
  <c r="D505" i="6"/>
  <c r="C505" i="6"/>
  <c r="A505" i="6"/>
  <c r="D504" i="6"/>
  <c r="C504" i="6"/>
  <c r="F504" i="6" s="1"/>
  <c r="A504" i="6"/>
  <c r="E503" i="6"/>
  <c r="D503" i="6"/>
  <c r="C503" i="6"/>
  <c r="A503" i="6"/>
  <c r="E502" i="6"/>
  <c r="D502" i="6"/>
  <c r="C502" i="6"/>
  <c r="A502" i="6"/>
  <c r="E501" i="6"/>
  <c r="D501" i="6"/>
  <c r="C501" i="6"/>
  <c r="A501" i="6"/>
  <c r="E500" i="6"/>
  <c r="D500" i="6"/>
  <c r="C500" i="6"/>
  <c r="A500" i="6"/>
  <c r="E499" i="6"/>
  <c r="D499" i="6"/>
  <c r="C499" i="6"/>
  <c r="A499" i="6"/>
  <c r="E498" i="6"/>
  <c r="D498" i="6"/>
  <c r="C498" i="6"/>
  <c r="A498" i="6"/>
  <c r="E497" i="6"/>
  <c r="D497" i="6"/>
  <c r="C497" i="6"/>
  <c r="A497" i="6"/>
  <c r="E496" i="6"/>
  <c r="D496" i="6"/>
  <c r="C496" i="6"/>
  <c r="A496" i="6"/>
  <c r="E495" i="6"/>
  <c r="D495" i="6"/>
  <c r="C495" i="6"/>
  <c r="A495" i="6"/>
  <c r="E494" i="6"/>
  <c r="D494" i="6"/>
  <c r="C494" i="6"/>
  <c r="A494" i="6"/>
  <c r="E493" i="6"/>
  <c r="D493" i="6"/>
  <c r="C493" i="6"/>
  <c r="A493" i="6"/>
  <c r="E492" i="6"/>
  <c r="D492" i="6"/>
  <c r="C492" i="6"/>
  <c r="A492" i="6"/>
  <c r="E491" i="6"/>
  <c r="D491" i="6"/>
  <c r="C491" i="6"/>
  <c r="A491" i="6"/>
  <c r="E490" i="6"/>
  <c r="D490" i="6"/>
  <c r="C490" i="6"/>
  <c r="A490" i="6"/>
  <c r="E489" i="6"/>
  <c r="D489" i="6"/>
  <c r="C489" i="6"/>
  <c r="A489" i="6"/>
  <c r="D488" i="6"/>
  <c r="C488" i="6"/>
  <c r="F488" i="6" s="1"/>
  <c r="A488" i="6"/>
  <c r="E487" i="6"/>
  <c r="D487" i="6"/>
  <c r="C487" i="6"/>
  <c r="A487" i="6"/>
  <c r="E486" i="6"/>
  <c r="D486" i="6"/>
  <c r="C486" i="6"/>
  <c r="A486" i="6"/>
  <c r="E485" i="6"/>
  <c r="D485" i="6"/>
  <c r="C485" i="6"/>
  <c r="A485" i="6"/>
  <c r="E484" i="6"/>
  <c r="D484" i="6"/>
  <c r="C484" i="6"/>
  <c r="A484" i="6"/>
  <c r="E483" i="6"/>
  <c r="D483" i="6"/>
  <c r="C483" i="6"/>
  <c r="A483" i="6"/>
  <c r="E482" i="6"/>
  <c r="D482" i="6"/>
  <c r="C482" i="6"/>
  <c r="A482" i="6"/>
  <c r="E481" i="6"/>
  <c r="D481" i="6"/>
  <c r="C481" i="6"/>
  <c r="A481" i="6"/>
  <c r="E480" i="6"/>
  <c r="D480" i="6"/>
  <c r="C480" i="6"/>
  <c r="A480" i="6"/>
  <c r="E479" i="6"/>
  <c r="D479" i="6"/>
  <c r="C479" i="6"/>
  <c r="A479" i="6"/>
  <c r="E478" i="6"/>
  <c r="D478" i="6"/>
  <c r="C478" i="6"/>
  <c r="A478" i="6"/>
  <c r="E477" i="6"/>
  <c r="D477" i="6"/>
  <c r="C477" i="6"/>
  <c r="A477" i="6"/>
  <c r="E476" i="6"/>
  <c r="D476" i="6"/>
  <c r="C476" i="6"/>
  <c r="A476" i="6"/>
  <c r="E475" i="6"/>
  <c r="D475" i="6"/>
  <c r="C475" i="6"/>
  <c r="A475" i="6"/>
  <c r="E474" i="6"/>
  <c r="D474" i="6"/>
  <c r="C474" i="6"/>
  <c r="A474" i="6"/>
  <c r="E473" i="6"/>
  <c r="D473" i="6"/>
  <c r="C473" i="6"/>
  <c r="A473" i="6"/>
  <c r="E472" i="6"/>
  <c r="D472" i="6"/>
  <c r="C472" i="6"/>
  <c r="A472" i="6"/>
  <c r="E471" i="6"/>
  <c r="D471" i="6"/>
  <c r="C471" i="6"/>
  <c r="A471" i="6"/>
  <c r="E470" i="6"/>
  <c r="D470" i="6"/>
  <c r="C470" i="6"/>
  <c r="A470" i="6"/>
  <c r="E469" i="6"/>
  <c r="D469" i="6"/>
  <c r="C469" i="6"/>
  <c r="A469" i="6"/>
  <c r="E468" i="6"/>
  <c r="D468" i="6"/>
  <c r="C468" i="6"/>
  <c r="A468" i="6"/>
  <c r="E467" i="6"/>
  <c r="D467" i="6"/>
  <c r="C467" i="6"/>
  <c r="A467" i="6"/>
  <c r="E466" i="6"/>
  <c r="D466" i="6"/>
  <c r="C466" i="6"/>
  <c r="A466" i="6"/>
  <c r="E465" i="6"/>
  <c r="D465" i="6"/>
  <c r="C465" i="6"/>
  <c r="A465" i="6"/>
  <c r="E464" i="6"/>
  <c r="D464" i="6"/>
  <c r="C464" i="6"/>
  <c r="A464" i="6"/>
  <c r="D463" i="6"/>
  <c r="C463" i="6"/>
  <c r="F463" i="6" s="1"/>
  <c r="A463" i="6"/>
  <c r="E463" i="6" s="1"/>
  <c r="E462" i="6"/>
  <c r="D462" i="6"/>
  <c r="C462" i="6"/>
  <c r="A462" i="6"/>
  <c r="E461" i="6"/>
  <c r="D461" i="6"/>
  <c r="C461" i="6"/>
  <c r="A461" i="6"/>
  <c r="D460" i="6"/>
  <c r="C460" i="6"/>
  <c r="F460" i="6" s="1"/>
  <c r="A460" i="6"/>
  <c r="E459" i="6"/>
  <c r="D459" i="6"/>
  <c r="C459" i="6"/>
  <c r="A459" i="6"/>
  <c r="E458" i="6"/>
  <c r="D458" i="6"/>
  <c r="C458" i="6"/>
  <c r="A458" i="6"/>
  <c r="E457" i="6"/>
  <c r="D457" i="6"/>
  <c r="C457" i="6"/>
  <c r="A457" i="6"/>
  <c r="E456" i="6"/>
  <c r="D456" i="6"/>
  <c r="C456" i="6"/>
  <c r="A456" i="6"/>
  <c r="E455" i="6"/>
  <c r="D455" i="6"/>
  <c r="C455" i="6"/>
  <c r="A455" i="6"/>
  <c r="E454" i="6"/>
  <c r="D454" i="6"/>
  <c r="C454" i="6"/>
  <c r="A454" i="6"/>
  <c r="E453" i="6"/>
  <c r="D453" i="6"/>
  <c r="C453" i="6"/>
  <c r="A453" i="6"/>
  <c r="E452" i="6"/>
  <c r="D452" i="6"/>
  <c r="C452" i="6"/>
  <c r="A452" i="6"/>
  <c r="E451" i="6"/>
  <c r="D451" i="6"/>
  <c r="C451" i="6"/>
  <c r="A451" i="6"/>
  <c r="E450" i="6"/>
  <c r="D450" i="6"/>
  <c r="C450" i="6"/>
  <c r="A450" i="6"/>
  <c r="E449" i="6"/>
  <c r="D449" i="6"/>
  <c r="C449" i="6"/>
  <c r="A449" i="6"/>
  <c r="E448" i="6"/>
  <c r="D448" i="6"/>
  <c r="C448" i="6"/>
  <c r="A448" i="6"/>
  <c r="E447" i="6"/>
  <c r="D447" i="6"/>
  <c r="C447" i="6"/>
  <c r="A447" i="6"/>
  <c r="E446" i="6"/>
  <c r="D446" i="6"/>
  <c r="C446" i="6"/>
  <c r="A446" i="6"/>
  <c r="E445" i="6"/>
  <c r="D445" i="6"/>
  <c r="C445" i="6"/>
  <c r="A445" i="6"/>
  <c r="E444" i="6"/>
  <c r="D444" i="6"/>
  <c r="C444" i="6"/>
  <c r="A444" i="6"/>
  <c r="E443" i="6"/>
  <c r="D443" i="6"/>
  <c r="C443" i="6"/>
  <c r="A443" i="6"/>
  <c r="E442" i="6"/>
  <c r="D442" i="6"/>
  <c r="C442" i="6"/>
  <c r="A442" i="6"/>
  <c r="E441" i="6"/>
  <c r="D441" i="6"/>
  <c r="C441" i="6"/>
  <c r="A441" i="6"/>
  <c r="E440" i="6"/>
  <c r="D440" i="6"/>
  <c r="C440" i="6"/>
  <c r="A440" i="6"/>
  <c r="E439" i="6"/>
  <c r="D439" i="6"/>
  <c r="C439" i="6"/>
  <c r="A439" i="6"/>
  <c r="E438" i="6"/>
  <c r="D438" i="6"/>
  <c r="C438" i="6"/>
  <c r="A438" i="6"/>
  <c r="E437" i="6"/>
  <c r="D437" i="6"/>
  <c r="C437" i="6"/>
  <c r="A437" i="6"/>
  <c r="E436" i="6"/>
  <c r="D436" i="6"/>
  <c r="C436" i="6"/>
  <c r="A436" i="6"/>
  <c r="E435" i="6"/>
  <c r="D435" i="6"/>
  <c r="C435" i="6"/>
  <c r="A435" i="6"/>
  <c r="E434" i="6"/>
  <c r="D434" i="6"/>
  <c r="C434" i="6"/>
  <c r="A434" i="6"/>
  <c r="E433" i="6"/>
  <c r="D433" i="6"/>
  <c r="C433" i="6"/>
  <c r="A433" i="6"/>
  <c r="E432" i="6"/>
  <c r="D432" i="6"/>
  <c r="C432" i="6"/>
  <c r="A432" i="6"/>
  <c r="E431" i="6"/>
  <c r="D431" i="6"/>
  <c r="C431" i="6"/>
  <c r="A431" i="6"/>
  <c r="E430" i="6"/>
  <c r="D430" i="6"/>
  <c r="C430" i="6"/>
  <c r="A430" i="6"/>
  <c r="E429" i="6"/>
  <c r="D429" i="6"/>
  <c r="C429" i="6"/>
  <c r="A429" i="6"/>
  <c r="E428" i="6"/>
  <c r="D428" i="6"/>
  <c r="C428" i="6"/>
  <c r="A428" i="6"/>
  <c r="E427" i="6"/>
  <c r="D427" i="6"/>
  <c r="C427" i="6"/>
  <c r="A427" i="6"/>
  <c r="E426" i="6"/>
  <c r="D426" i="6"/>
  <c r="C426" i="6"/>
  <c r="A426" i="6"/>
  <c r="D425" i="6"/>
  <c r="C425" i="6"/>
  <c r="F425" i="6" s="1"/>
  <c r="A425" i="6"/>
  <c r="E425" i="6" s="1"/>
  <c r="E424" i="6"/>
  <c r="D424" i="6"/>
  <c r="C424" i="6"/>
  <c r="A424" i="6"/>
  <c r="E423" i="6"/>
  <c r="D423" i="6"/>
  <c r="C423" i="6"/>
  <c r="A423" i="6"/>
  <c r="E422" i="6"/>
  <c r="D422" i="6"/>
  <c r="C422" i="6"/>
  <c r="A422" i="6"/>
  <c r="E421" i="6"/>
  <c r="D421" i="6"/>
  <c r="C421" i="6"/>
  <c r="A421" i="6"/>
  <c r="E420" i="6"/>
  <c r="D420" i="6"/>
  <c r="C420" i="6"/>
  <c r="A420" i="6"/>
  <c r="E419" i="6"/>
  <c r="D419" i="6"/>
  <c r="C419" i="6"/>
  <c r="A419" i="6"/>
  <c r="E418" i="6"/>
  <c r="D418" i="6"/>
  <c r="C418" i="6"/>
  <c r="A418" i="6"/>
  <c r="E417" i="6"/>
  <c r="D417" i="6"/>
  <c r="C417" i="6"/>
  <c r="A417" i="6"/>
  <c r="D416" i="6"/>
  <c r="C416" i="6"/>
  <c r="F416" i="6" s="1"/>
  <c r="A416" i="6"/>
  <c r="E415" i="6"/>
  <c r="D415" i="6"/>
  <c r="C415" i="6"/>
  <c r="A415" i="6"/>
  <c r="E414" i="6"/>
  <c r="D414" i="6"/>
  <c r="C414" i="6"/>
  <c r="A414" i="6"/>
  <c r="E413" i="6"/>
  <c r="D413" i="6"/>
  <c r="C413" i="6"/>
  <c r="A413" i="6"/>
  <c r="E412" i="6"/>
  <c r="D412" i="6"/>
  <c r="C412" i="6"/>
  <c r="A412" i="6"/>
  <c r="E411" i="6"/>
  <c r="D411" i="6"/>
  <c r="C411" i="6"/>
  <c r="A411" i="6"/>
  <c r="E410" i="6"/>
  <c r="D410" i="6"/>
  <c r="C410" i="6"/>
  <c r="A410" i="6"/>
  <c r="D409" i="6"/>
  <c r="C409" i="6"/>
  <c r="F409" i="6" s="1"/>
  <c r="A409" i="6"/>
  <c r="E408" i="6"/>
  <c r="D408" i="6"/>
  <c r="C408" i="6"/>
  <c r="A408" i="6"/>
  <c r="E407" i="6"/>
  <c r="D407" i="6"/>
  <c r="C407" i="6"/>
  <c r="A407" i="6"/>
  <c r="E406" i="6"/>
  <c r="D406" i="6"/>
  <c r="C406" i="6"/>
  <c r="A406" i="6"/>
  <c r="E405" i="6"/>
  <c r="D405" i="6"/>
  <c r="C405" i="6"/>
  <c r="A405" i="6"/>
  <c r="E404" i="6"/>
  <c r="D404" i="6"/>
  <c r="C404" i="6"/>
  <c r="A404" i="6"/>
  <c r="E403" i="6"/>
  <c r="D403" i="6"/>
  <c r="C403" i="6"/>
  <c r="A403" i="6"/>
  <c r="E402" i="6"/>
  <c r="D402" i="6"/>
  <c r="C402" i="6"/>
  <c r="A402" i="6"/>
  <c r="E401" i="6"/>
  <c r="D401" i="6"/>
  <c r="C401" i="6"/>
  <c r="A401" i="6"/>
  <c r="E400" i="6"/>
  <c r="D400" i="6"/>
  <c r="C400" i="6"/>
  <c r="A400" i="6"/>
  <c r="E399" i="6"/>
  <c r="D399" i="6"/>
  <c r="C399" i="6"/>
  <c r="A399" i="6"/>
  <c r="E398" i="6"/>
  <c r="D398" i="6"/>
  <c r="C398" i="6"/>
  <c r="A398" i="6"/>
  <c r="E397" i="6"/>
  <c r="D397" i="6"/>
  <c r="C397" i="6"/>
  <c r="A397" i="6"/>
  <c r="E396" i="6"/>
  <c r="D396" i="6"/>
  <c r="C396" i="6"/>
  <c r="A396" i="6"/>
  <c r="E395" i="6"/>
  <c r="D395" i="6"/>
  <c r="C395" i="6"/>
  <c r="A395" i="6"/>
  <c r="E394" i="6"/>
  <c r="D394" i="6"/>
  <c r="C394" i="6"/>
  <c r="A394" i="6"/>
  <c r="E393" i="6"/>
  <c r="D393" i="6"/>
  <c r="C393" i="6"/>
  <c r="A393" i="6"/>
  <c r="E392" i="6"/>
  <c r="D392" i="6"/>
  <c r="C392" i="6"/>
  <c r="A392" i="6"/>
  <c r="E391" i="6"/>
  <c r="D391" i="6"/>
  <c r="C391" i="6"/>
  <c r="A391" i="6"/>
  <c r="E390" i="6"/>
  <c r="D390" i="6"/>
  <c r="C390" i="6"/>
  <c r="A390" i="6"/>
  <c r="E389" i="6"/>
  <c r="D389" i="6"/>
  <c r="C389" i="6"/>
  <c r="A389" i="6"/>
  <c r="E388" i="6"/>
  <c r="D388" i="6"/>
  <c r="C388" i="6"/>
  <c r="A388" i="6"/>
  <c r="E387" i="6"/>
  <c r="D387" i="6"/>
  <c r="C387" i="6"/>
  <c r="A387" i="6"/>
  <c r="E386" i="6"/>
  <c r="D386" i="6"/>
  <c r="C386" i="6"/>
  <c r="A386" i="6"/>
  <c r="E385" i="6"/>
  <c r="D385" i="6"/>
  <c r="C385" i="6"/>
  <c r="A385" i="6"/>
  <c r="E384" i="6"/>
  <c r="D384" i="6"/>
  <c r="C384" i="6"/>
  <c r="A384" i="6"/>
  <c r="E383" i="6"/>
  <c r="D383" i="6"/>
  <c r="C383" i="6"/>
  <c r="A383" i="6"/>
  <c r="E382" i="6"/>
  <c r="D382" i="6"/>
  <c r="C382" i="6"/>
  <c r="A382" i="6"/>
  <c r="E381" i="6"/>
  <c r="D381" i="6"/>
  <c r="C381" i="6"/>
  <c r="A381" i="6"/>
  <c r="E380" i="6"/>
  <c r="D380" i="6"/>
  <c r="C380" i="6"/>
  <c r="A380" i="6"/>
  <c r="E379" i="6"/>
  <c r="D379" i="6"/>
  <c r="C379" i="6"/>
  <c r="A379" i="6"/>
  <c r="E378" i="6"/>
  <c r="D378" i="6"/>
  <c r="C378" i="6"/>
  <c r="A378" i="6"/>
  <c r="E377" i="6"/>
  <c r="D377" i="6"/>
  <c r="C377" i="6"/>
  <c r="A377" i="6"/>
  <c r="E376" i="6"/>
  <c r="D376" i="6"/>
  <c r="C376" i="6"/>
  <c r="A376" i="6"/>
  <c r="E375" i="6"/>
  <c r="D375" i="6"/>
  <c r="C375" i="6"/>
  <c r="A375" i="6"/>
  <c r="E374" i="6"/>
  <c r="D374" i="6"/>
  <c r="C374" i="6"/>
  <c r="A374" i="6"/>
  <c r="E373" i="6"/>
  <c r="D373" i="6"/>
  <c r="C373" i="6"/>
  <c r="A373" i="6"/>
  <c r="E372" i="6"/>
  <c r="D372" i="6"/>
  <c r="C372" i="6"/>
  <c r="A372" i="6"/>
  <c r="E371" i="6"/>
  <c r="D371" i="6"/>
  <c r="C371" i="6"/>
  <c r="A371" i="6"/>
  <c r="E370" i="6"/>
  <c r="D370" i="6"/>
  <c r="C370" i="6"/>
  <c r="A370" i="6"/>
  <c r="E369" i="6"/>
  <c r="D369" i="6"/>
  <c r="C369" i="6"/>
  <c r="A369" i="6"/>
  <c r="E368" i="6"/>
  <c r="D368" i="6"/>
  <c r="C368" i="6"/>
  <c r="A368" i="6"/>
  <c r="E367" i="6"/>
  <c r="D367" i="6"/>
  <c r="C367" i="6"/>
  <c r="A367" i="6"/>
  <c r="E366" i="6"/>
  <c r="D366" i="6"/>
  <c r="C366" i="6"/>
  <c r="A366" i="6"/>
  <c r="E365" i="6"/>
  <c r="D365" i="6"/>
  <c r="C365" i="6"/>
  <c r="A365" i="6"/>
  <c r="E364" i="6"/>
  <c r="D364" i="6"/>
  <c r="C364" i="6"/>
  <c r="A364" i="6"/>
  <c r="D363" i="6"/>
  <c r="C363" i="6"/>
  <c r="F363" i="6" s="1"/>
  <c r="A363" i="6"/>
  <c r="E363" i="6" s="1"/>
  <c r="D362" i="6"/>
  <c r="C362" i="6"/>
  <c r="F362" i="6" s="1"/>
  <c r="A362" i="6"/>
  <c r="E361" i="6"/>
  <c r="D361" i="6"/>
  <c r="C361" i="6"/>
  <c r="A361" i="6"/>
  <c r="E360" i="6"/>
  <c r="D360" i="6"/>
  <c r="C360" i="6"/>
  <c r="A360" i="6"/>
  <c r="E359" i="6"/>
  <c r="D359" i="6"/>
  <c r="C359" i="6"/>
  <c r="A359" i="6"/>
  <c r="E358" i="6"/>
  <c r="D358" i="6"/>
  <c r="C358" i="6"/>
  <c r="A358" i="6"/>
  <c r="E357" i="6"/>
  <c r="D357" i="6"/>
  <c r="C357" i="6"/>
  <c r="A357" i="6"/>
  <c r="E356" i="6"/>
  <c r="D356" i="6"/>
  <c r="C356" i="6"/>
  <c r="A356" i="6"/>
  <c r="E355" i="6"/>
  <c r="D355" i="6"/>
  <c r="C355" i="6"/>
  <c r="A355" i="6"/>
  <c r="E354" i="6"/>
  <c r="D354" i="6"/>
  <c r="C354" i="6"/>
  <c r="A354" i="6"/>
  <c r="E353" i="6"/>
  <c r="D353" i="6"/>
  <c r="C353" i="6"/>
  <c r="A353" i="6"/>
  <c r="E352" i="6"/>
  <c r="D352" i="6"/>
  <c r="C352" i="6"/>
  <c r="A352" i="6"/>
  <c r="E351" i="6"/>
  <c r="D351" i="6"/>
  <c r="C351" i="6"/>
  <c r="A351" i="6"/>
  <c r="E350" i="6"/>
  <c r="D350" i="6"/>
  <c r="C350" i="6"/>
  <c r="A350" i="6"/>
  <c r="E349" i="6"/>
  <c r="D349" i="6"/>
  <c r="C349" i="6"/>
  <c r="A349" i="6"/>
  <c r="E348" i="6"/>
  <c r="D348" i="6"/>
  <c r="C348" i="6"/>
  <c r="A348" i="6"/>
  <c r="E347" i="6"/>
  <c r="D347" i="6"/>
  <c r="C347" i="6"/>
  <c r="A347" i="6"/>
  <c r="E346" i="6"/>
  <c r="D346" i="6"/>
  <c r="C346" i="6"/>
  <c r="A346" i="6"/>
  <c r="E345" i="6"/>
  <c r="D345" i="6"/>
  <c r="C345" i="6"/>
  <c r="A345" i="6"/>
  <c r="E344" i="6"/>
  <c r="D344" i="6"/>
  <c r="C344" i="6"/>
  <c r="A344" i="6"/>
  <c r="E343" i="6"/>
  <c r="D343" i="6"/>
  <c r="C343" i="6"/>
  <c r="A343" i="6"/>
  <c r="E342" i="6"/>
  <c r="D342" i="6"/>
  <c r="C342" i="6"/>
  <c r="A342" i="6"/>
  <c r="E341" i="6"/>
  <c r="D341" i="6"/>
  <c r="C341" i="6"/>
  <c r="A341" i="6"/>
  <c r="E340" i="6"/>
  <c r="D340" i="6"/>
  <c r="C340" i="6"/>
  <c r="A340" i="6"/>
  <c r="E339" i="6"/>
  <c r="D339" i="6"/>
  <c r="C339" i="6"/>
  <c r="A339" i="6"/>
  <c r="D338" i="6"/>
  <c r="C338" i="6"/>
  <c r="F338" i="6" s="1"/>
  <c r="A338" i="6"/>
  <c r="E337" i="6"/>
  <c r="D337" i="6"/>
  <c r="C337" i="6"/>
  <c r="A337" i="6"/>
  <c r="E336" i="6"/>
  <c r="D336" i="6"/>
  <c r="C336" i="6"/>
  <c r="A336" i="6"/>
  <c r="E335" i="6"/>
  <c r="D335" i="6"/>
  <c r="C335" i="6"/>
  <c r="A335" i="6"/>
  <c r="E334" i="6"/>
  <c r="D334" i="6"/>
  <c r="C334" i="6"/>
  <c r="A334" i="6"/>
  <c r="E333" i="6"/>
  <c r="D333" i="6"/>
  <c r="C333" i="6"/>
  <c r="A333" i="6"/>
  <c r="E332" i="6"/>
  <c r="D332" i="6"/>
  <c r="C332" i="6"/>
  <c r="A332" i="6"/>
  <c r="D331" i="6"/>
  <c r="C331" i="6"/>
  <c r="F331" i="6" s="1"/>
  <c r="A331" i="6"/>
  <c r="E330" i="6"/>
  <c r="D330" i="6"/>
  <c r="C330" i="6"/>
  <c r="A330" i="6"/>
  <c r="E329" i="6"/>
  <c r="D329" i="6"/>
  <c r="C329" i="6"/>
  <c r="A329" i="6"/>
  <c r="E328" i="6"/>
  <c r="D328" i="6"/>
  <c r="C328" i="6"/>
  <c r="A328" i="6"/>
  <c r="E327" i="6"/>
  <c r="D327" i="6"/>
  <c r="C327" i="6"/>
  <c r="A327" i="6"/>
  <c r="E326" i="6"/>
  <c r="D326" i="6"/>
  <c r="C326" i="6"/>
  <c r="A326" i="6"/>
  <c r="E325" i="6"/>
  <c r="D325" i="6"/>
  <c r="C325" i="6"/>
  <c r="A325" i="6"/>
  <c r="E324" i="6"/>
  <c r="D324" i="6"/>
  <c r="C324" i="6"/>
  <c r="A324" i="6"/>
  <c r="E323" i="6"/>
  <c r="D323" i="6"/>
  <c r="C323" i="6"/>
  <c r="A323" i="6"/>
  <c r="E322" i="6"/>
  <c r="D322" i="6"/>
  <c r="C322" i="6"/>
  <c r="A322" i="6"/>
  <c r="E321" i="6"/>
  <c r="D321" i="6"/>
  <c r="C321" i="6"/>
  <c r="A321" i="6"/>
  <c r="E320" i="6"/>
  <c r="D320" i="6"/>
  <c r="C320" i="6"/>
  <c r="A320" i="6"/>
  <c r="E319" i="6"/>
  <c r="D319" i="6"/>
  <c r="C319" i="6"/>
  <c r="A319" i="6"/>
  <c r="E318" i="6"/>
  <c r="D318" i="6"/>
  <c r="C318" i="6"/>
  <c r="A318" i="6"/>
  <c r="E317" i="6"/>
  <c r="D317" i="6"/>
  <c r="C317" i="6"/>
  <c r="A317" i="6"/>
  <c r="D316" i="6"/>
  <c r="C316" i="6"/>
  <c r="F316" i="6" s="1"/>
  <c r="A316" i="6"/>
  <c r="E315" i="6"/>
  <c r="D315" i="6"/>
  <c r="C315" i="6"/>
  <c r="A315" i="6"/>
  <c r="E314" i="6"/>
  <c r="D314" i="6"/>
  <c r="C314" i="6"/>
  <c r="A314" i="6"/>
  <c r="E313" i="6"/>
  <c r="D313" i="6"/>
  <c r="C313" i="6"/>
  <c r="A313" i="6"/>
  <c r="D312" i="6"/>
  <c r="C312" i="6"/>
  <c r="F312" i="6" s="1"/>
  <c r="A312" i="6"/>
  <c r="E312" i="6" s="1"/>
  <c r="E311" i="6"/>
  <c r="D311" i="6"/>
  <c r="C311" i="6"/>
  <c r="A311" i="6"/>
  <c r="E310" i="6"/>
  <c r="D310" i="6"/>
  <c r="C310" i="6"/>
  <c r="A310" i="6"/>
  <c r="E309" i="6"/>
  <c r="D309" i="6"/>
  <c r="C309" i="6"/>
  <c r="A309" i="6"/>
  <c r="E308" i="6"/>
  <c r="D308" i="6"/>
  <c r="C308" i="6"/>
  <c r="A308" i="6"/>
  <c r="D307" i="6"/>
  <c r="C307" i="6"/>
  <c r="F307" i="6" s="1"/>
  <c r="A307" i="6"/>
  <c r="E307" i="6" s="1"/>
  <c r="E306" i="6"/>
  <c r="D306" i="6"/>
  <c r="C306" i="6"/>
  <c r="A306" i="6"/>
  <c r="E305" i="6"/>
  <c r="D305" i="6"/>
  <c r="C305" i="6"/>
  <c r="A305" i="6"/>
  <c r="E304" i="6"/>
  <c r="D304" i="6"/>
  <c r="C304" i="6"/>
  <c r="A304" i="6"/>
  <c r="E303" i="6"/>
  <c r="D303" i="6"/>
  <c r="C303" i="6"/>
  <c r="A303" i="6"/>
  <c r="E302" i="6"/>
  <c r="D302" i="6"/>
  <c r="C302" i="6"/>
  <c r="A302" i="6"/>
  <c r="E301" i="6"/>
  <c r="D301" i="6"/>
  <c r="C301" i="6"/>
  <c r="A301" i="6"/>
  <c r="E300" i="6"/>
  <c r="D300" i="6"/>
  <c r="C300" i="6"/>
  <c r="A300" i="6"/>
  <c r="E299" i="6"/>
  <c r="D299" i="6"/>
  <c r="C299" i="6"/>
  <c r="A299" i="6"/>
  <c r="E298" i="6"/>
  <c r="D298" i="6"/>
  <c r="C298" i="6"/>
  <c r="A298" i="6"/>
  <c r="E297" i="6"/>
  <c r="D297" i="6"/>
  <c r="C297" i="6"/>
  <c r="A297" i="6"/>
  <c r="D296" i="6"/>
  <c r="C296" i="6"/>
  <c r="F296" i="6" s="1"/>
  <c r="A296" i="6"/>
  <c r="E295" i="6"/>
  <c r="D295" i="6"/>
  <c r="C295" i="6"/>
  <c r="A295" i="6"/>
  <c r="E294" i="6"/>
  <c r="D294" i="6"/>
  <c r="C294" i="6"/>
  <c r="A294" i="6"/>
  <c r="E293" i="6"/>
  <c r="D293" i="6"/>
  <c r="C293" i="6"/>
  <c r="A293" i="6"/>
  <c r="E292" i="6"/>
  <c r="D292" i="6"/>
  <c r="C292" i="6"/>
  <c r="A292" i="6"/>
  <c r="E291" i="6"/>
  <c r="D291" i="6"/>
  <c r="C291" i="6"/>
  <c r="A291" i="6"/>
  <c r="E290" i="6"/>
  <c r="D290" i="6"/>
  <c r="C290" i="6"/>
  <c r="A290" i="6"/>
  <c r="E289" i="6"/>
  <c r="D289" i="6"/>
  <c r="C289" i="6"/>
  <c r="A289" i="6"/>
  <c r="E288" i="6"/>
  <c r="D288" i="6"/>
  <c r="C288" i="6"/>
  <c r="A288" i="6"/>
  <c r="E287" i="6"/>
  <c r="D287" i="6"/>
  <c r="C287" i="6"/>
  <c r="A287" i="6"/>
  <c r="E286" i="6"/>
  <c r="D286" i="6"/>
  <c r="C286" i="6"/>
  <c r="A286" i="6"/>
  <c r="E285" i="6"/>
  <c r="D285" i="6"/>
  <c r="C285" i="6"/>
  <c r="A285" i="6"/>
  <c r="E284" i="6"/>
  <c r="D284" i="6"/>
  <c r="C284" i="6"/>
  <c r="A284" i="6"/>
  <c r="E283" i="6"/>
  <c r="D283" i="6"/>
  <c r="C283" i="6"/>
  <c r="A283" i="6"/>
  <c r="E282" i="6"/>
  <c r="D282" i="6"/>
  <c r="C282" i="6"/>
  <c r="A282" i="6"/>
  <c r="E281" i="6"/>
  <c r="D281" i="6"/>
  <c r="C281" i="6"/>
  <c r="A281" i="6"/>
  <c r="E280" i="6"/>
  <c r="D280" i="6"/>
  <c r="C280" i="6"/>
  <c r="A280" i="6"/>
  <c r="E279" i="6"/>
  <c r="D279" i="6"/>
  <c r="C279" i="6"/>
  <c r="A279" i="6"/>
  <c r="E278" i="6"/>
  <c r="D278" i="6"/>
  <c r="C278" i="6"/>
  <c r="A278" i="6"/>
  <c r="E277" i="6"/>
  <c r="D277" i="6"/>
  <c r="C277" i="6"/>
  <c r="A277" i="6"/>
  <c r="E276" i="6"/>
  <c r="D276" i="6"/>
  <c r="C276" i="6"/>
  <c r="A276" i="6"/>
  <c r="D275" i="6"/>
  <c r="C275" i="6"/>
  <c r="F275" i="6" s="1"/>
  <c r="A275" i="6"/>
  <c r="E275" i="6" s="1"/>
  <c r="E274" i="6"/>
  <c r="D274" i="6"/>
  <c r="C274" i="6"/>
  <c r="A274" i="6"/>
  <c r="D273" i="6"/>
  <c r="C273" i="6"/>
  <c r="F273" i="6" s="1"/>
  <c r="A273" i="6"/>
  <c r="E272" i="6"/>
  <c r="D272" i="6"/>
  <c r="C272" i="6"/>
  <c r="A272" i="6"/>
  <c r="E271" i="6"/>
  <c r="D271" i="6"/>
  <c r="C271" i="6"/>
  <c r="A271" i="6"/>
  <c r="E270" i="6"/>
  <c r="D270" i="6"/>
  <c r="C270" i="6"/>
  <c r="A270" i="6"/>
  <c r="E269" i="6"/>
  <c r="D269" i="6"/>
  <c r="C269" i="6"/>
  <c r="A269" i="6"/>
  <c r="E268" i="6"/>
  <c r="D268" i="6"/>
  <c r="C268" i="6"/>
  <c r="A268" i="6"/>
  <c r="E267" i="6"/>
  <c r="D267" i="6"/>
  <c r="C267" i="6"/>
  <c r="A267" i="6"/>
  <c r="D266" i="6"/>
  <c r="C266" i="6"/>
  <c r="F266" i="6" s="1"/>
  <c r="A266" i="6"/>
  <c r="D265" i="6"/>
  <c r="C265" i="6"/>
  <c r="F265" i="6" s="1"/>
  <c r="A265" i="6"/>
  <c r="D264" i="6"/>
  <c r="C264" i="6"/>
  <c r="F264" i="6" s="1"/>
  <c r="A264" i="6"/>
  <c r="E263" i="6"/>
  <c r="D263" i="6"/>
  <c r="C263" i="6"/>
  <c r="A263" i="6"/>
  <c r="E262" i="6"/>
  <c r="D262" i="6"/>
  <c r="C262" i="6"/>
  <c r="A262" i="6"/>
  <c r="D261" i="6"/>
  <c r="C261" i="6"/>
  <c r="F261" i="6" s="1"/>
  <c r="A261" i="6"/>
  <c r="E260" i="6"/>
  <c r="D260" i="6"/>
  <c r="C260" i="6"/>
  <c r="A260" i="6"/>
  <c r="E259" i="6"/>
  <c r="D259" i="6"/>
  <c r="C259" i="6"/>
  <c r="A259" i="6"/>
  <c r="E258" i="6"/>
  <c r="D258" i="6"/>
  <c r="C258" i="6"/>
  <c r="A258" i="6"/>
  <c r="E257" i="6"/>
  <c r="D257" i="6"/>
  <c r="C257" i="6"/>
  <c r="A257" i="6"/>
  <c r="E256" i="6"/>
  <c r="D256" i="6"/>
  <c r="C256" i="6"/>
  <c r="A256" i="6"/>
  <c r="E255" i="6"/>
  <c r="D255" i="6"/>
  <c r="C255" i="6"/>
  <c r="A255" i="6"/>
  <c r="E254" i="6"/>
  <c r="D254" i="6"/>
  <c r="C254" i="6"/>
  <c r="A254" i="6"/>
  <c r="E253" i="6"/>
  <c r="D253" i="6"/>
  <c r="C253" i="6"/>
  <c r="A253" i="6"/>
  <c r="E252" i="6"/>
  <c r="D252" i="6"/>
  <c r="C252" i="6"/>
  <c r="A252" i="6"/>
  <c r="E251" i="6"/>
  <c r="D251" i="6"/>
  <c r="C251" i="6"/>
  <c r="A251" i="6"/>
  <c r="E250" i="6"/>
  <c r="D250" i="6"/>
  <c r="C250" i="6"/>
  <c r="A250" i="6"/>
  <c r="E249" i="6"/>
  <c r="D249" i="6"/>
  <c r="C249" i="6"/>
  <c r="A249" i="6"/>
  <c r="E248" i="6"/>
  <c r="D248" i="6"/>
  <c r="C248" i="6"/>
  <c r="A248" i="6"/>
  <c r="E247" i="6"/>
  <c r="D247" i="6"/>
  <c r="C247" i="6"/>
  <c r="A247" i="6"/>
  <c r="E246" i="6"/>
  <c r="D246" i="6"/>
  <c r="C246" i="6"/>
  <c r="A246" i="6"/>
  <c r="E245" i="6"/>
  <c r="D245" i="6"/>
  <c r="C245" i="6"/>
  <c r="A245" i="6"/>
  <c r="E244" i="6"/>
  <c r="D244" i="6"/>
  <c r="C244" i="6"/>
  <c r="A244" i="6"/>
  <c r="E243" i="6"/>
  <c r="D243" i="6"/>
  <c r="C243" i="6"/>
  <c r="A243" i="6"/>
  <c r="E242" i="6"/>
  <c r="D242" i="6"/>
  <c r="C242" i="6"/>
  <c r="A242" i="6"/>
  <c r="E241" i="6"/>
  <c r="D241" i="6"/>
  <c r="C241" i="6"/>
  <c r="A241" i="6"/>
  <c r="E240" i="6"/>
  <c r="D240" i="6"/>
  <c r="C240" i="6"/>
  <c r="A240" i="6"/>
  <c r="E239" i="6"/>
  <c r="D239" i="6"/>
  <c r="C239" i="6"/>
  <c r="A239" i="6"/>
  <c r="E238" i="6"/>
  <c r="D238" i="6"/>
  <c r="C238" i="6"/>
  <c r="A238" i="6"/>
  <c r="E237" i="6"/>
  <c r="D237" i="6"/>
  <c r="C237" i="6"/>
  <c r="A237" i="6"/>
  <c r="E236" i="6"/>
  <c r="D236" i="6"/>
  <c r="C236" i="6"/>
  <c r="A236" i="6"/>
  <c r="E235" i="6"/>
  <c r="D235" i="6"/>
  <c r="C235" i="6"/>
  <c r="A235" i="6"/>
  <c r="E234" i="6"/>
  <c r="D234" i="6"/>
  <c r="C234" i="6"/>
  <c r="A234" i="6"/>
  <c r="E233" i="6"/>
  <c r="D233" i="6"/>
  <c r="C233" i="6"/>
  <c r="A233" i="6"/>
  <c r="E232" i="6"/>
  <c r="D232" i="6"/>
  <c r="C232" i="6"/>
  <c r="A232" i="6"/>
  <c r="E231" i="6"/>
  <c r="D231" i="6"/>
  <c r="C231" i="6"/>
  <c r="A231" i="6"/>
  <c r="E230" i="6"/>
  <c r="D230" i="6"/>
  <c r="C230" i="6"/>
  <c r="A230" i="6"/>
  <c r="E229" i="6"/>
  <c r="D229" i="6"/>
  <c r="C229" i="6"/>
  <c r="A229" i="6"/>
  <c r="E228" i="6"/>
  <c r="D228" i="6"/>
  <c r="C228" i="6"/>
  <c r="A228" i="6"/>
  <c r="E227" i="6"/>
  <c r="D227" i="6"/>
  <c r="C227" i="6"/>
  <c r="A227" i="6"/>
  <c r="E226" i="6"/>
  <c r="D226" i="6"/>
  <c r="C226" i="6"/>
  <c r="A226" i="6"/>
  <c r="E225" i="6"/>
  <c r="D225" i="6"/>
  <c r="C225" i="6"/>
  <c r="A225" i="6"/>
  <c r="E224" i="6"/>
  <c r="D224" i="6"/>
  <c r="C224" i="6"/>
  <c r="A224" i="6"/>
  <c r="E223" i="6"/>
  <c r="D223" i="6"/>
  <c r="C223" i="6"/>
  <c r="A223" i="6"/>
  <c r="E222" i="6"/>
  <c r="D222" i="6"/>
  <c r="C222" i="6"/>
  <c r="A222" i="6"/>
  <c r="E221" i="6"/>
  <c r="D221" i="6"/>
  <c r="C221" i="6"/>
  <c r="A221" i="6"/>
  <c r="E220" i="6"/>
  <c r="D220" i="6"/>
  <c r="C220" i="6"/>
  <c r="A220" i="6"/>
  <c r="E219" i="6"/>
  <c r="D219" i="6"/>
  <c r="C219" i="6"/>
  <c r="A219" i="6"/>
  <c r="E218" i="6"/>
  <c r="D218" i="6"/>
  <c r="C218" i="6"/>
  <c r="A218" i="6"/>
  <c r="E217" i="6"/>
  <c r="D217" i="6"/>
  <c r="C217" i="6"/>
  <c r="A217" i="6"/>
  <c r="E216" i="6"/>
  <c r="D216" i="6"/>
  <c r="C216" i="6"/>
  <c r="A216" i="6"/>
  <c r="E215" i="6"/>
  <c r="D215" i="6"/>
  <c r="C215" i="6"/>
  <c r="A215" i="6"/>
  <c r="E214" i="6"/>
  <c r="D214" i="6"/>
  <c r="C214" i="6"/>
  <c r="A214" i="6"/>
  <c r="E213" i="6"/>
  <c r="D213" i="6"/>
  <c r="C213" i="6"/>
  <c r="A213" i="6"/>
  <c r="E212" i="6"/>
  <c r="D212" i="6"/>
  <c r="C212" i="6"/>
  <c r="A212" i="6"/>
  <c r="E211" i="6"/>
  <c r="D211" i="6"/>
  <c r="C211" i="6"/>
  <c r="A211" i="6"/>
  <c r="E210" i="6"/>
  <c r="D210" i="6"/>
  <c r="C210" i="6"/>
  <c r="A210" i="6"/>
  <c r="E209" i="6"/>
  <c r="D209" i="6"/>
  <c r="C209" i="6"/>
  <c r="A209" i="6"/>
  <c r="E208" i="6"/>
  <c r="D208" i="6"/>
  <c r="C208" i="6"/>
  <c r="A208" i="6"/>
  <c r="E207" i="6"/>
  <c r="D207" i="6"/>
  <c r="C207" i="6"/>
  <c r="A207" i="6"/>
  <c r="E206" i="6"/>
  <c r="D206" i="6"/>
  <c r="C206" i="6"/>
  <c r="A206" i="6"/>
  <c r="E205" i="6"/>
  <c r="D205" i="6"/>
  <c r="C205" i="6"/>
  <c r="A205" i="6"/>
  <c r="E204" i="6"/>
  <c r="D204" i="6"/>
  <c r="C204" i="6"/>
  <c r="A204" i="6"/>
  <c r="E203" i="6"/>
  <c r="D203" i="6"/>
  <c r="C203" i="6"/>
  <c r="A203" i="6"/>
  <c r="E202" i="6"/>
  <c r="D202" i="6"/>
  <c r="C202" i="6"/>
  <c r="A202" i="6"/>
  <c r="E201" i="6"/>
  <c r="D201" i="6"/>
  <c r="C201" i="6"/>
  <c r="A201" i="6"/>
  <c r="E200" i="6"/>
  <c r="D200" i="6"/>
  <c r="C200" i="6"/>
  <c r="A200" i="6"/>
  <c r="E199" i="6"/>
  <c r="D199" i="6"/>
  <c r="C199" i="6"/>
  <c r="A199" i="6"/>
  <c r="D198" i="6"/>
  <c r="C198" i="6"/>
  <c r="F198" i="6" s="1"/>
  <c r="A198" i="6"/>
  <c r="E197" i="6"/>
  <c r="D197" i="6"/>
  <c r="C197" i="6"/>
  <c r="A197" i="6"/>
  <c r="E196" i="6"/>
  <c r="D196" i="6"/>
  <c r="C196" i="6"/>
  <c r="A196" i="6"/>
  <c r="E195" i="6"/>
  <c r="D195" i="6"/>
  <c r="C195" i="6"/>
  <c r="A195" i="6"/>
  <c r="E194" i="6"/>
  <c r="D194" i="6"/>
  <c r="C194" i="6"/>
  <c r="A194" i="6"/>
  <c r="E193" i="6"/>
  <c r="D193" i="6"/>
  <c r="C193" i="6"/>
  <c r="A193" i="6"/>
  <c r="E192" i="6"/>
  <c r="D192" i="6"/>
  <c r="C192" i="6"/>
  <c r="A192" i="6"/>
  <c r="E191" i="6"/>
  <c r="D191" i="6"/>
  <c r="C191" i="6"/>
  <c r="A191" i="6"/>
  <c r="E190" i="6"/>
  <c r="D190" i="6"/>
  <c r="C190" i="6"/>
  <c r="A190" i="6"/>
  <c r="E189" i="6"/>
  <c r="D189" i="6"/>
  <c r="C189" i="6"/>
  <c r="A189" i="6"/>
  <c r="E188" i="6"/>
  <c r="D188" i="6"/>
  <c r="C188" i="6"/>
  <c r="A188" i="6"/>
  <c r="E187" i="6"/>
  <c r="D187" i="6"/>
  <c r="C187" i="6"/>
  <c r="A187" i="6"/>
  <c r="E186" i="6"/>
  <c r="D186" i="6"/>
  <c r="C186" i="6"/>
  <c r="A186" i="6"/>
  <c r="E185" i="6"/>
  <c r="D185" i="6"/>
  <c r="C185" i="6"/>
  <c r="A185" i="6"/>
  <c r="E184" i="6"/>
  <c r="D184" i="6"/>
  <c r="C184" i="6"/>
  <c r="A184" i="6"/>
  <c r="E183" i="6"/>
  <c r="D183" i="6"/>
  <c r="C183" i="6"/>
  <c r="A183" i="6"/>
  <c r="E182" i="6"/>
  <c r="D182" i="6"/>
  <c r="C182" i="6"/>
  <c r="A182" i="6"/>
  <c r="E181" i="6"/>
  <c r="D181" i="6"/>
  <c r="C181" i="6"/>
  <c r="A181" i="6"/>
  <c r="E180" i="6"/>
  <c r="D180" i="6"/>
  <c r="C180" i="6"/>
  <c r="A180" i="6"/>
  <c r="E179" i="6"/>
  <c r="D179" i="6"/>
  <c r="C179" i="6"/>
  <c r="A179" i="6"/>
  <c r="E178" i="6"/>
  <c r="D178" i="6"/>
  <c r="C178" i="6"/>
  <c r="A178" i="6"/>
  <c r="E177" i="6"/>
  <c r="D177" i="6"/>
  <c r="C177" i="6"/>
  <c r="A177" i="6"/>
  <c r="E176" i="6"/>
  <c r="D176" i="6"/>
  <c r="C176" i="6"/>
  <c r="A176" i="6"/>
  <c r="E175" i="6"/>
  <c r="D175" i="6"/>
  <c r="C175" i="6"/>
  <c r="A175" i="6"/>
  <c r="E174" i="6"/>
  <c r="D174" i="6"/>
  <c r="C174" i="6"/>
  <c r="A174" i="6"/>
  <c r="E173" i="6"/>
  <c r="D173" i="6"/>
  <c r="C173" i="6"/>
  <c r="A173" i="6"/>
  <c r="E172" i="6"/>
  <c r="D172" i="6"/>
  <c r="C172" i="6"/>
  <c r="A172" i="6"/>
  <c r="E171" i="6"/>
  <c r="D171" i="6"/>
  <c r="C171" i="6"/>
  <c r="A171" i="6"/>
  <c r="E170" i="6"/>
  <c r="D170" i="6"/>
  <c r="C170" i="6"/>
  <c r="A170" i="6"/>
  <c r="E169" i="6"/>
  <c r="D169" i="6"/>
  <c r="C169" i="6"/>
  <c r="A169" i="6"/>
  <c r="E168" i="6"/>
  <c r="D168" i="6"/>
  <c r="C168" i="6"/>
  <c r="A168" i="6"/>
  <c r="E167" i="6"/>
  <c r="D167" i="6"/>
  <c r="C167" i="6"/>
  <c r="A167" i="6"/>
  <c r="E166" i="6"/>
  <c r="D166" i="6"/>
  <c r="C166" i="6"/>
  <c r="A166" i="6"/>
  <c r="E165" i="6"/>
  <c r="D165" i="6"/>
  <c r="C165" i="6"/>
  <c r="A165" i="6"/>
  <c r="E164" i="6"/>
  <c r="D164" i="6"/>
  <c r="C164" i="6"/>
  <c r="A164" i="6"/>
  <c r="E163" i="6"/>
  <c r="D163" i="6"/>
  <c r="C163" i="6"/>
  <c r="A163" i="6"/>
  <c r="E162" i="6"/>
  <c r="D162" i="6"/>
  <c r="C162" i="6"/>
  <c r="A162" i="6"/>
  <c r="E161" i="6"/>
  <c r="D161" i="6"/>
  <c r="C161" i="6"/>
  <c r="A161" i="6"/>
  <c r="D160" i="6"/>
  <c r="C160" i="6"/>
  <c r="F160" i="6" s="1"/>
  <c r="A160" i="6"/>
  <c r="E159" i="6"/>
  <c r="D159" i="6"/>
  <c r="C159" i="6"/>
  <c r="A159" i="6"/>
  <c r="E158" i="6"/>
  <c r="D158" i="6"/>
  <c r="C158" i="6"/>
  <c r="A158" i="6"/>
  <c r="E157" i="6"/>
  <c r="D157" i="6"/>
  <c r="C157" i="6"/>
  <c r="A157" i="6"/>
  <c r="E156" i="6"/>
  <c r="D156" i="6"/>
  <c r="C156" i="6"/>
  <c r="A156" i="6"/>
  <c r="E155" i="6"/>
  <c r="D155" i="6"/>
  <c r="C155" i="6"/>
  <c r="A155" i="6"/>
  <c r="D154" i="6"/>
  <c r="C154" i="6"/>
  <c r="F154" i="6" s="1"/>
  <c r="A154" i="6"/>
  <c r="E153" i="6"/>
  <c r="D153" i="6"/>
  <c r="C153" i="6"/>
  <c r="A153" i="6"/>
  <c r="E152" i="6"/>
  <c r="D152" i="6"/>
  <c r="C152" i="6"/>
  <c r="A152" i="6"/>
  <c r="E151" i="6"/>
  <c r="D151" i="6"/>
  <c r="C151" i="6"/>
  <c r="A151" i="6"/>
  <c r="E150" i="6"/>
  <c r="D150" i="6"/>
  <c r="C150" i="6"/>
  <c r="A150" i="6"/>
  <c r="E149" i="6"/>
  <c r="D149" i="6"/>
  <c r="C149" i="6"/>
  <c r="A149" i="6"/>
  <c r="E148" i="6"/>
  <c r="D148" i="6"/>
  <c r="C148" i="6"/>
  <c r="A148" i="6"/>
  <c r="E147" i="6"/>
  <c r="D147" i="6"/>
  <c r="C147" i="6"/>
  <c r="A147" i="6"/>
  <c r="E146" i="6"/>
  <c r="D146" i="6"/>
  <c r="C146" i="6"/>
  <c r="A146" i="6"/>
  <c r="D145" i="6"/>
  <c r="C145" i="6"/>
  <c r="F145" i="6" s="1"/>
  <c r="A145" i="6"/>
  <c r="E144" i="6"/>
  <c r="D144" i="6"/>
  <c r="C144" i="6"/>
  <c r="A144" i="6"/>
  <c r="E143" i="6"/>
  <c r="D143" i="6"/>
  <c r="C143" i="6"/>
  <c r="A143" i="6"/>
  <c r="E142" i="6"/>
  <c r="D142" i="6"/>
  <c r="C142" i="6"/>
  <c r="A142" i="6"/>
  <c r="E141" i="6"/>
  <c r="D141" i="6"/>
  <c r="C141" i="6"/>
  <c r="A141" i="6"/>
  <c r="D140" i="6"/>
  <c r="C140" i="6"/>
  <c r="F140" i="6" s="1"/>
  <c r="A140" i="6"/>
  <c r="E139" i="6"/>
  <c r="D139" i="6"/>
  <c r="C139" i="6"/>
  <c r="A139" i="6"/>
  <c r="E138" i="6"/>
  <c r="D138" i="6"/>
  <c r="C138" i="6"/>
  <c r="A138" i="6"/>
  <c r="E137" i="6"/>
  <c r="D137" i="6"/>
  <c r="C137" i="6"/>
  <c r="A137" i="6"/>
  <c r="E136" i="6"/>
  <c r="D136" i="6"/>
  <c r="C136" i="6"/>
  <c r="A136" i="6"/>
  <c r="E135" i="6"/>
  <c r="D135" i="6"/>
  <c r="C135" i="6"/>
  <c r="A135" i="6"/>
  <c r="E134" i="6"/>
  <c r="D134" i="6"/>
  <c r="C134" i="6"/>
  <c r="A134" i="6"/>
  <c r="D133" i="6"/>
  <c r="C133" i="6"/>
  <c r="A133" i="6"/>
  <c r="D132" i="6"/>
  <c r="C132" i="6"/>
  <c r="F132" i="6" s="1"/>
  <c r="A132" i="6"/>
  <c r="E131" i="6"/>
  <c r="D131" i="6"/>
  <c r="C131" i="6"/>
  <c r="A131" i="6"/>
  <c r="E130" i="6"/>
  <c r="D130" i="6"/>
  <c r="C130" i="6"/>
  <c r="A130" i="6"/>
  <c r="E129" i="6"/>
  <c r="D129" i="6"/>
  <c r="C129" i="6"/>
  <c r="A129" i="6"/>
  <c r="E128" i="6"/>
  <c r="D128" i="6"/>
  <c r="C128" i="6"/>
  <c r="A128" i="6"/>
  <c r="E127" i="6"/>
  <c r="D127" i="6"/>
  <c r="C127" i="6"/>
  <c r="A127" i="6"/>
  <c r="E126" i="6"/>
  <c r="D126" i="6"/>
  <c r="C126" i="6"/>
  <c r="A126" i="6"/>
  <c r="E125" i="6"/>
  <c r="D125" i="6"/>
  <c r="C125" i="6"/>
  <c r="A125" i="6"/>
  <c r="E124" i="6"/>
  <c r="D124" i="6"/>
  <c r="C124" i="6"/>
  <c r="A124" i="6"/>
  <c r="E123" i="6"/>
  <c r="D123" i="6"/>
  <c r="C123" i="6"/>
  <c r="A123" i="6"/>
  <c r="E122" i="6"/>
  <c r="D122" i="6"/>
  <c r="C122" i="6"/>
  <c r="A122" i="6"/>
  <c r="E121" i="6"/>
  <c r="D121" i="6"/>
  <c r="C121" i="6"/>
  <c r="A121" i="6"/>
  <c r="E120" i="6"/>
  <c r="D120" i="6"/>
  <c r="C120" i="6"/>
  <c r="A120" i="6"/>
  <c r="E119" i="6"/>
  <c r="D119" i="6"/>
  <c r="C119" i="6"/>
  <c r="A119" i="6"/>
  <c r="E118" i="6"/>
  <c r="D118" i="6"/>
  <c r="C118" i="6"/>
  <c r="A118" i="6"/>
  <c r="E117" i="6"/>
  <c r="D117" i="6"/>
  <c r="C117" i="6"/>
  <c r="A117" i="6"/>
  <c r="E116" i="6"/>
  <c r="D116" i="6"/>
  <c r="C116" i="6"/>
  <c r="A116" i="6"/>
  <c r="E115" i="6"/>
  <c r="D115" i="6"/>
  <c r="C115" i="6"/>
  <c r="A115" i="6"/>
  <c r="E114" i="6"/>
  <c r="D114" i="6"/>
  <c r="C114" i="6"/>
  <c r="A114" i="6"/>
  <c r="E113" i="6"/>
  <c r="D113" i="6"/>
  <c r="C113" i="6"/>
  <c r="A113" i="6"/>
  <c r="E112" i="6"/>
  <c r="D112" i="6"/>
  <c r="C112" i="6"/>
  <c r="A112" i="6"/>
  <c r="E111" i="6"/>
  <c r="D111" i="6"/>
  <c r="C111" i="6"/>
  <c r="A111" i="6"/>
  <c r="E110" i="6"/>
  <c r="D110" i="6"/>
  <c r="C110" i="6"/>
  <c r="A110" i="6"/>
  <c r="E109" i="6"/>
  <c r="D109" i="6"/>
  <c r="C109" i="6"/>
  <c r="A109" i="6"/>
  <c r="E108" i="6"/>
  <c r="D108" i="6"/>
  <c r="C108" i="6"/>
  <c r="A108" i="6"/>
  <c r="E107" i="6"/>
  <c r="D107" i="6"/>
  <c r="C107" i="6"/>
  <c r="A107" i="6"/>
  <c r="E106" i="6"/>
  <c r="D106" i="6"/>
  <c r="C106" i="6"/>
  <c r="A106" i="6"/>
  <c r="E105" i="6"/>
  <c r="D105" i="6"/>
  <c r="C105" i="6"/>
  <c r="A105" i="6"/>
  <c r="E104" i="6"/>
  <c r="D104" i="6"/>
  <c r="C104" i="6"/>
  <c r="A104" i="6"/>
  <c r="E103" i="6"/>
  <c r="D103" i="6"/>
  <c r="C103" i="6"/>
  <c r="A103" i="6"/>
  <c r="D102" i="6"/>
  <c r="C102" i="6"/>
  <c r="F102" i="6" s="1"/>
  <c r="A102" i="6"/>
  <c r="D101" i="6"/>
  <c r="C101" i="6"/>
  <c r="F101" i="6" s="1"/>
  <c r="A101" i="6"/>
  <c r="E100" i="6"/>
  <c r="D100" i="6"/>
  <c r="C100" i="6"/>
  <c r="A100" i="6"/>
  <c r="E99" i="6"/>
  <c r="D99" i="6"/>
  <c r="C99" i="6"/>
  <c r="A99" i="6"/>
  <c r="E98" i="6"/>
  <c r="D98" i="6"/>
  <c r="C98" i="6"/>
  <c r="A98" i="6"/>
  <c r="E97" i="6"/>
  <c r="D97" i="6"/>
  <c r="C97" i="6"/>
  <c r="A97" i="6"/>
  <c r="E96" i="6"/>
  <c r="D96" i="6"/>
  <c r="C96" i="6"/>
  <c r="A96" i="6"/>
  <c r="E95" i="6"/>
  <c r="D95" i="6"/>
  <c r="C95" i="6"/>
  <c r="A95" i="6"/>
  <c r="E94" i="6"/>
  <c r="D94" i="6"/>
  <c r="C94" i="6"/>
  <c r="A94" i="6"/>
  <c r="E93" i="6"/>
  <c r="D93" i="6"/>
  <c r="C93" i="6"/>
  <c r="A93" i="6"/>
  <c r="E92" i="6"/>
  <c r="D92" i="6"/>
  <c r="C92" i="6"/>
  <c r="A92" i="6"/>
  <c r="E91" i="6"/>
  <c r="D91" i="6"/>
  <c r="C91" i="6"/>
  <c r="A91" i="6"/>
  <c r="E90" i="6"/>
  <c r="D90" i="6"/>
  <c r="C90" i="6"/>
  <c r="A90" i="6"/>
  <c r="E89" i="6"/>
  <c r="D89" i="6"/>
  <c r="C89" i="6"/>
  <c r="A89" i="6"/>
  <c r="E88" i="6"/>
  <c r="D88" i="6"/>
  <c r="C88" i="6"/>
  <c r="A88" i="6"/>
  <c r="E87" i="6"/>
  <c r="D87" i="6"/>
  <c r="C87" i="6"/>
  <c r="A87" i="6"/>
  <c r="E86" i="6"/>
  <c r="D86" i="6"/>
  <c r="C86" i="6"/>
  <c r="A86" i="6"/>
  <c r="E85" i="6"/>
  <c r="D85" i="6"/>
  <c r="C85" i="6"/>
  <c r="A85" i="6"/>
  <c r="E84" i="6"/>
  <c r="D84" i="6"/>
  <c r="C84" i="6"/>
  <c r="A84" i="6"/>
  <c r="E83" i="6"/>
  <c r="D83" i="6"/>
  <c r="C83" i="6"/>
  <c r="A83" i="6"/>
  <c r="E82" i="6"/>
  <c r="D82" i="6"/>
  <c r="C82" i="6"/>
  <c r="A82" i="6"/>
  <c r="E81" i="6"/>
  <c r="D81" i="6"/>
  <c r="C81" i="6"/>
  <c r="A81" i="6"/>
  <c r="E80" i="6"/>
  <c r="D80" i="6"/>
  <c r="C80" i="6"/>
  <c r="A80" i="6"/>
  <c r="E79" i="6"/>
  <c r="D79" i="6"/>
  <c r="C79" i="6"/>
  <c r="A79" i="6"/>
  <c r="E78" i="6"/>
  <c r="D78" i="6"/>
  <c r="C78" i="6"/>
  <c r="A78" i="6"/>
  <c r="E77" i="6"/>
  <c r="D77" i="6"/>
  <c r="C77" i="6"/>
  <c r="A77" i="6"/>
  <c r="E76" i="6"/>
  <c r="D76" i="6"/>
  <c r="C76" i="6"/>
  <c r="A76" i="6"/>
  <c r="E75" i="6"/>
  <c r="D75" i="6"/>
  <c r="C75" i="6"/>
  <c r="A75" i="6"/>
  <c r="E74" i="6"/>
  <c r="D74" i="6"/>
  <c r="C74" i="6"/>
  <c r="A74" i="6"/>
  <c r="E73" i="6"/>
  <c r="D73" i="6"/>
  <c r="C73" i="6"/>
  <c r="A73" i="6"/>
  <c r="E72" i="6"/>
  <c r="D72" i="6"/>
  <c r="C72" i="6"/>
  <c r="A72" i="6"/>
  <c r="E71" i="6"/>
  <c r="D71" i="6"/>
  <c r="C71" i="6"/>
  <c r="A71" i="6"/>
  <c r="E70" i="6"/>
  <c r="D70" i="6"/>
  <c r="C70" i="6"/>
  <c r="A70" i="6"/>
  <c r="E69" i="6"/>
  <c r="D69" i="6"/>
  <c r="C69" i="6"/>
  <c r="A69" i="6"/>
  <c r="E68" i="6"/>
  <c r="D68" i="6"/>
  <c r="C68" i="6"/>
  <c r="A68" i="6"/>
  <c r="E67" i="6"/>
  <c r="D67" i="6"/>
  <c r="C67" i="6"/>
  <c r="A67" i="6"/>
  <c r="E66" i="6"/>
  <c r="D66" i="6"/>
  <c r="C66" i="6"/>
  <c r="A66" i="6"/>
  <c r="E65" i="6"/>
  <c r="D65" i="6"/>
  <c r="C65" i="6"/>
  <c r="A65" i="6"/>
  <c r="E64" i="6"/>
  <c r="D64" i="6"/>
  <c r="C64" i="6"/>
  <c r="A64" i="6"/>
  <c r="E63" i="6"/>
  <c r="D63" i="6"/>
  <c r="C63" i="6"/>
  <c r="A63" i="6"/>
  <c r="E62" i="6"/>
  <c r="D62" i="6"/>
  <c r="C62" i="6"/>
  <c r="A62" i="6"/>
  <c r="E61" i="6"/>
  <c r="D61" i="6"/>
  <c r="C61" i="6"/>
  <c r="A61" i="6"/>
  <c r="E60" i="6"/>
  <c r="D60" i="6"/>
  <c r="C60" i="6"/>
  <c r="A60" i="6"/>
  <c r="E59" i="6"/>
  <c r="D59" i="6"/>
  <c r="C59" i="6"/>
  <c r="A59" i="6"/>
  <c r="E58" i="6"/>
  <c r="D58" i="6"/>
  <c r="C58" i="6"/>
  <c r="A58" i="6"/>
  <c r="E57" i="6"/>
  <c r="D57" i="6"/>
  <c r="C57" i="6"/>
  <c r="A57" i="6"/>
  <c r="E56" i="6"/>
  <c r="D56" i="6"/>
  <c r="C56" i="6"/>
  <c r="A56" i="6"/>
  <c r="E55" i="6"/>
  <c r="D55" i="6"/>
  <c r="C55" i="6"/>
  <c r="A55" i="6"/>
  <c r="E54" i="6"/>
  <c r="D54" i="6"/>
  <c r="C54" i="6"/>
  <c r="A54" i="6"/>
  <c r="E53" i="6"/>
  <c r="D53" i="6"/>
  <c r="C53" i="6"/>
  <c r="A53" i="6"/>
  <c r="E52" i="6"/>
  <c r="D52" i="6"/>
  <c r="C52" i="6"/>
  <c r="A52" i="6"/>
  <c r="E51" i="6"/>
  <c r="D51" i="6"/>
  <c r="C51" i="6"/>
  <c r="A51" i="6"/>
  <c r="E50" i="6"/>
  <c r="D50" i="6"/>
  <c r="C50" i="6"/>
  <c r="A50" i="6"/>
  <c r="E49" i="6"/>
  <c r="D49" i="6"/>
  <c r="C49" i="6"/>
  <c r="A49" i="6"/>
  <c r="E48" i="6"/>
  <c r="D48" i="6"/>
  <c r="C48" i="6"/>
  <c r="A48" i="6"/>
  <c r="E47" i="6"/>
  <c r="D47" i="6"/>
  <c r="C47" i="6"/>
  <c r="A47" i="6"/>
  <c r="E46" i="6"/>
  <c r="D46" i="6"/>
  <c r="C46" i="6"/>
  <c r="A46" i="6"/>
  <c r="E45" i="6"/>
  <c r="D45" i="6"/>
  <c r="C45" i="6"/>
  <c r="A45" i="6"/>
  <c r="E44" i="6"/>
  <c r="D44" i="6"/>
  <c r="C44" i="6"/>
  <c r="A44" i="6"/>
  <c r="E43" i="6"/>
  <c r="D43" i="6"/>
  <c r="C43" i="6"/>
  <c r="A43" i="6"/>
  <c r="D42" i="6"/>
  <c r="C42" i="6"/>
  <c r="A42" i="6"/>
  <c r="D41" i="6"/>
  <c r="C41" i="6"/>
  <c r="A41" i="6"/>
  <c r="E40" i="6"/>
  <c r="D40" i="6"/>
  <c r="C40" i="6"/>
  <c r="A40" i="6"/>
  <c r="E39" i="6"/>
  <c r="D39" i="6"/>
  <c r="C39" i="6"/>
  <c r="A39" i="6"/>
  <c r="E38" i="6"/>
  <c r="D38" i="6"/>
  <c r="C38" i="6"/>
  <c r="A38" i="6"/>
  <c r="E37" i="6"/>
  <c r="D37" i="6"/>
  <c r="C37" i="6"/>
  <c r="A37" i="6"/>
  <c r="E36" i="6"/>
  <c r="D36" i="6"/>
  <c r="C36" i="6"/>
  <c r="A36" i="6"/>
  <c r="E35" i="6"/>
  <c r="D35" i="6"/>
  <c r="C35" i="6"/>
  <c r="A35" i="6"/>
  <c r="E34" i="6"/>
  <c r="D34" i="6"/>
  <c r="C34" i="6"/>
  <c r="A34" i="6"/>
  <c r="E33" i="6"/>
  <c r="D33" i="6"/>
  <c r="C33" i="6"/>
  <c r="A33" i="6"/>
  <c r="E32" i="6"/>
  <c r="D32" i="6"/>
  <c r="C32" i="6"/>
  <c r="A32" i="6"/>
  <c r="E31" i="6"/>
  <c r="D31" i="6"/>
  <c r="C31" i="6"/>
  <c r="A31" i="6"/>
  <c r="E30" i="6"/>
  <c r="D30" i="6"/>
  <c r="C30" i="6"/>
  <c r="A30" i="6"/>
  <c r="E29" i="6"/>
  <c r="D29" i="6"/>
  <c r="C29" i="6"/>
  <c r="A29" i="6"/>
  <c r="E28" i="6"/>
  <c r="D28" i="6"/>
  <c r="C28" i="6"/>
  <c r="A28" i="6"/>
  <c r="E27" i="6"/>
  <c r="D27" i="6"/>
  <c r="C27" i="6"/>
  <c r="A27" i="6"/>
  <c r="E26" i="6"/>
  <c r="D26" i="6"/>
  <c r="C26" i="6"/>
  <c r="A26" i="6"/>
  <c r="E25" i="6"/>
  <c r="D25" i="6"/>
  <c r="C25" i="6"/>
  <c r="A25" i="6"/>
  <c r="E24" i="6"/>
  <c r="D24" i="6"/>
  <c r="C24" i="6"/>
  <c r="A24" i="6"/>
  <c r="E23" i="6"/>
  <c r="D23" i="6"/>
  <c r="C23" i="6"/>
  <c r="A23" i="6"/>
  <c r="E22" i="6"/>
  <c r="D22" i="6"/>
  <c r="C22" i="6"/>
  <c r="A22" i="6"/>
  <c r="E21" i="6"/>
  <c r="D21" i="6"/>
  <c r="C21" i="6"/>
  <c r="A21" i="6"/>
  <c r="E20" i="6"/>
  <c r="D20" i="6"/>
  <c r="C20" i="6"/>
  <c r="A20" i="6"/>
  <c r="E19" i="6"/>
  <c r="D19" i="6"/>
  <c r="C19" i="6"/>
  <c r="A19" i="6"/>
  <c r="E18" i="6"/>
  <c r="D18" i="6"/>
  <c r="C18" i="6"/>
  <c r="A18" i="6"/>
  <c r="E17" i="6"/>
  <c r="D17" i="6"/>
  <c r="C17" i="6"/>
  <c r="A17" i="6"/>
  <c r="E16" i="6"/>
  <c r="D16" i="6"/>
  <c r="C16" i="6"/>
  <c r="A16" i="6"/>
  <c r="E15" i="6"/>
  <c r="D15" i="6"/>
  <c r="C15" i="6"/>
  <c r="A15" i="6"/>
  <c r="E14" i="6"/>
  <c r="D14" i="6"/>
  <c r="C14" i="6"/>
  <c r="A14" i="6"/>
  <c r="E13" i="6"/>
  <c r="D13" i="6"/>
  <c r="C13" i="6"/>
  <c r="A13" i="6"/>
  <c r="E12" i="6"/>
  <c r="D12" i="6"/>
  <c r="C12" i="6"/>
  <c r="A12" i="6"/>
  <c r="E11" i="6"/>
  <c r="D11" i="6"/>
  <c r="C11" i="6"/>
  <c r="A11" i="6"/>
  <c r="E10" i="6"/>
  <c r="D10" i="6"/>
  <c r="C10" i="6"/>
  <c r="A10" i="6"/>
  <c r="E9" i="6"/>
  <c r="D9" i="6"/>
  <c r="C9" i="6"/>
  <c r="A9" i="6"/>
  <c r="E8" i="6"/>
  <c r="D8" i="6"/>
  <c r="C8" i="6"/>
  <c r="A8" i="6"/>
  <c r="E7" i="6"/>
  <c r="D7" i="6"/>
  <c r="C7" i="6"/>
  <c r="A7" i="6"/>
  <c r="E6" i="6"/>
  <c r="D6" i="6"/>
  <c r="C6" i="6"/>
  <c r="A6" i="6"/>
  <c r="E5" i="6"/>
  <c r="D5" i="6"/>
  <c r="C5" i="6"/>
  <c r="A5" i="6"/>
  <c r="E4" i="6"/>
  <c r="D4" i="6"/>
  <c r="C4" i="6"/>
  <c r="A4" i="6"/>
  <c r="E3" i="6"/>
  <c r="D3" i="6"/>
  <c r="C3" i="6"/>
  <c r="A3" i="6"/>
  <c r="E2" i="6"/>
  <c r="D2" i="6"/>
  <c r="C2" i="6"/>
  <c r="A2" i="6"/>
  <c r="E133" i="6" l="1"/>
  <c r="E198" i="6"/>
  <c r="E671" i="6"/>
  <c r="E42" i="6"/>
  <c r="E338" i="6"/>
  <c r="E409" i="6"/>
  <c r="E553" i="6"/>
  <c r="E594" i="6"/>
  <c r="E1004" i="6"/>
  <c r="E1017" i="6"/>
  <c r="E1177" i="6"/>
  <c r="E1349" i="6"/>
  <c r="E1471" i="6"/>
  <c r="E145" i="6"/>
  <c r="E261" i="6"/>
  <c r="E273" i="6"/>
  <c r="E921" i="6"/>
  <c r="E1119" i="6"/>
  <c r="E101" i="6"/>
  <c r="E160" i="6"/>
  <c r="E331" i="6"/>
  <c r="E416" i="6"/>
  <c r="E637" i="6"/>
  <c r="E957" i="6"/>
  <c r="E1073" i="6"/>
  <c r="E1094" i="6"/>
  <c r="E1111" i="6"/>
  <c r="E1180" i="6"/>
  <c r="E1313" i="6"/>
  <c r="E1384" i="6"/>
  <c r="E1502" i="6"/>
  <c r="E1519" i="6"/>
  <c r="E1528" i="6"/>
  <c r="E1533" i="6"/>
  <c r="E140" i="6"/>
  <c r="E264" i="6"/>
  <c r="E265" i="6"/>
  <c r="E266" i="6"/>
  <c r="E296" i="6"/>
  <c r="E504" i="6"/>
  <c r="E518" i="6"/>
  <c r="E640" i="6"/>
  <c r="E666" i="6"/>
  <c r="E764" i="6"/>
  <c r="E842" i="6"/>
  <c r="E132" i="6"/>
  <c r="E41" i="6"/>
  <c r="E102" i="6"/>
  <c r="E154" i="6"/>
  <c r="E488" i="6"/>
  <c r="E514" i="6"/>
  <c r="E642" i="6"/>
  <c r="E778" i="6"/>
  <c r="E932" i="6"/>
  <c r="E1054" i="6"/>
  <c r="E1245" i="6"/>
  <c r="E1246" i="6"/>
  <c r="E1424" i="6"/>
  <c r="E1449" i="6"/>
  <c r="E1450" i="6"/>
  <c r="E316" i="6"/>
  <c r="E362" i="6"/>
  <c r="E460" i="6"/>
  <c r="E669" i="6"/>
  <c r="E1269" i="6"/>
  <c r="E1286" i="6"/>
</calcChain>
</file>

<file path=xl/sharedStrings.xml><?xml version="1.0" encoding="utf-8"?>
<sst xmlns="http://schemas.openxmlformats.org/spreadsheetml/2006/main" count="3190" uniqueCount="2201">
  <si>
    <t>Vendor_code</t>
  </si>
  <si>
    <t>Vendor Name</t>
  </si>
  <si>
    <t>ONC-ACB Name</t>
  </si>
  <si>
    <t>Transparency Pledge (0, for no; 1 for yes)</t>
  </si>
  <si>
    <t>CHPL Product ID (If Applicable) *note please add additional rows as necessary with vendor_code, vendor name, ONC-ACB name, product ID and URL</t>
  </si>
  <si>
    <t>Transparency Attestation URL (fully qualified hyperlink format of http://url.somedomain)</t>
  </si>
  <si>
    <t>ADP AdvancedMD</t>
  </si>
  <si>
    <t>ADP Advancedmd</t>
  </si>
  <si>
    <t>Drummond Group</t>
  </si>
  <si>
    <t>ALERT Life Sciences Computing, S.A.</t>
  </si>
  <si>
    <t>ALLSCRIPTS</t>
  </si>
  <si>
    <t>Abeo Solutions, Inc</t>
  </si>
  <si>
    <t>Acmeware, Inc.</t>
  </si>
  <si>
    <t>05082014-2325-9</t>
  </si>
  <si>
    <t>09262013-2128-9</t>
  </si>
  <si>
    <t>12032015-4440-6</t>
  </si>
  <si>
    <t>11212013-2324-9</t>
  </si>
  <si>
    <t>12302014-2976-6</t>
  </si>
  <si>
    <t>Addison Health Systems, Inc.</t>
  </si>
  <si>
    <t>http://www.writepad.com/#!meaningful-use/syrai</t>
  </si>
  <si>
    <t>Advanced Provider Solutions, LLC</t>
  </si>
  <si>
    <t>https://paydc.com/about-paydc/ehr-certification/</t>
  </si>
  <si>
    <t>AdvantaChart Inc</t>
  </si>
  <si>
    <t>AdvantaChart Inc.</t>
  </si>
  <si>
    <t>Allscripts</t>
  </si>
  <si>
    <t>Allscripts Healthcare Solutions</t>
  </si>
  <si>
    <t>Amazing Charts</t>
  </si>
  <si>
    <t>American Medical Solutions, Inc.</t>
  </si>
  <si>
    <t>Amrita Ventures, LLC</t>
  </si>
  <si>
    <t>AmritaÂ Ventures,Â LLCÂ </t>
  </si>
  <si>
    <t>Anthelio Healthcare Solutions Inc.</t>
  </si>
  <si>
    <t>05072015-0209-6</t>
  </si>
  <si>
    <t>Anthelio Healthcare Solutions, Inc.</t>
  </si>
  <si>
    <t>04142014-2655-6</t>
  </si>
  <si>
    <t>04142014-2654-6</t>
  </si>
  <si>
    <t>Applied Research Works, Inc.</t>
  </si>
  <si>
    <t>ArÃªte Healthcare Services, LLC</t>
  </si>
  <si>
    <t>Aspyra, LLC</t>
  </si>
  <si>
    <t>Atlas Development</t>
  </si>
  <si>
    <t>Azalea Health</t>
  </si>
  <si>
    <t>Bogardus Medical Systems, Inc.</t>
  </si>
  <si>
    <t>Businet, LLC</t>
  </si>
  <si>
    <t>CDI, Inc.</t>
  </si>
  <si>
    <t>CMR</t>
  </si>
  <si>
    <t>Cancer Treatment Centers of America</t>
  </si>
  <si>
    <t>CareCloud</t>
  </si>
  <si>
    <t>CareCloud Corporation</t>
  </si>
  <si>
    <t>CareEvolution, Inc.</t>
  </si>
  <si>
    <t>CareSync, Inc.</t>
  </si>
  <si>
    <t>Carepaths Inc.</t>
  </si>
  <si>
    <t>Carepaths, Inc.</t>
  </si>
  <si>
    <t>Cedaron Medical</t>
  </si>
  <si>
    <t>Cedaron Medical, Inc.</t>
  </si>
  <si>
    <t>Center for Diagnostic Imaging</t>
  </si>
  <si>
    <t>ChartLogic, Inc.</t>
  </si>
  <si>
    <t>CitiusTech, Inc.</t>
  </si>
  <si>
    <t>06062014-2800-9</t>
  </si>
  <si>
    <t>02182016-2803-8</t>
  </si>
  <si>
    <t>11122015-2802-8</t>
  </si>
  <si>
    <t>06062014-2801-9</t>
  </si>
  <si>
    <t>02182016-3110-3</t>
  </si>
  <si>
    <t>11122015-3110-8</t>
  </si>
  <si>
    <t>ClaimTrak Systems, Inc.</t>
  </si>
  <si>
    <t>Claimpower, Inc.</t>
  </si>
  <si>
    <t>Clarkson Eyecare</t>
  </si>
  <si>
    <t>ClinicMax, Inc.</t>
  </si>
  <si>
    <t>Clinigence</t>
  </si>
  <si>
    <t>Clinigence, LLC</t>
  </si>
  <si>
    <t>ClinixMD LLC</t>
  </si>
  <si>
    <t>CoCENTRIX</t>
  </si>
  <si>
    <t>CoCENTRIX, Inc.</t>
  </si>
  <si>
    <t>CodoniX</t>
  </si>
  <si>
    <t>Commonwealth Informatics</t>
  </si>
  <si>
    <t>Comparion Medical Analytics, Inc.</t>
  </si>
  <si>
    <t>Compulink</t>
  </si>
  <si>
    <t>Compulink Business Systems, Inc.</t>
  </si>
  <si>
    <t>Copley Memorial Hospital, Inc.</t>
  </si>
  <si>
    <t>Core Solutions Inc</t>
  </si>
  <si>
    <t>Core Solutions, Inc</t>
  </si>
  <si>
    <t>Corepoint Health</t>
  </si>
  <si>
    <t>Correct Care Solutions, LLC</t>
  </si>
  <si>
    <t>Criterions LLC</t>
  </si>
  <si>
    <t>Criterions, LLC</t>
  </si>
  <si>
    <t>Cube Healthcare</t>
  </si>
  <si>
    <t>Cyclops Vision Corporation</t>
  </si>
  <si>
    <t>Cyfluent</t>
  </si>
  <si>
    <t>Cyfluent, Inc.</t>
  </si>
  <si>
    <t>DSS Inc.</t>
  </si>
  <si>
    <t>DSS, Inc.</t>
  </si>
  <si>
    <t>Data Strategies, Inc.</t>
  </si>
  <si>
    <t>DataLink Software Development Inc.</t>
  </si>
  <si>
    <t>Daw Systems, Inc.</t>
  </si>
  <si>
    <t>DigiDMS</t>
  </si>
  <si>
    <t>DigiDMS, Inc.</t>
  </si>
  <si>
    <t>DoctorsPartner LLC</t>
  </si>
  <si>
    <t>DoctorsPartner, LLC.</t>
  </si>
  <si>
    <t>Doctorsoft Corporation</t>
  </si>
  <si>
    <t>DocuTrac, Inc.</t>
  </si>
  <si>
    <t>E-Health Partners, Inc.</t>
  </si>
  <si>
    <t>E-Z BIS, Inc.</t>
  </si>
  <si>
    <t>E.A. Crowell &amp; Associates, Inc. dba Crowell Systems</t>
  </si>
  <si>
    <t>EMRConnect</t>
  </si>
  <si>
    <t>EMRlogic Systems</t>
  </si>
  <si>
    <t>EMRlogic Systems, Inc.</t>
  </si>
  <si>
    <t>EPOWERdoc, Inc.</t>
  </si>
  <si>
    <t>EZ DERM, LLC</t>
  </si>
  <si>
    <t>EZnotes, Inc.</t>
  </si>
  <si>
    <t>Easy Billing Systems</t>
  </si>
  <si>
    <t>Easy Billing Systems, Inc.</t>
  </si>
  <si>
    <t>Elation EMR, Inc.</t>
  </si>
  <si>
    <t>ElationEMR</t>
  </si>
  <si>
    <t>Elekta - IMPAC Medical Systems, Inc.</t>
  </si>
  <si>
    <t>Emdeon Corporation</t>
  </si>
  <si>
    <t>Emdeon Inc.</t>
  </si>
  <si>
    <t>Encite, Inc.</t>
  </si>
  <si>
    <t>Equicare Health Inc.</t>
  </si>
  <si>
    <t>Etransmedia Technology, Inc</t>
  </si>
  <si>
    <t>Etransmedia Technology, Inc.</t>
  </si>
  <si>
    <t>Exemplo Medical LLC</t>
  </si>
  <si>
    <t>Exemplo Medical, LLC</t>
  </si>
  <si>
    <t>Exscribe, Inc.</t>
  </si>
  <si>
    <t>EyeMD EMR Healthcare Systems</t>
  </si>
  <si>
    <t>EyeMD EMR Healthcare Systems, Inc.</t>
  </si>
  <si>
    <t>EyeTcare, Inc.</t>
  </si>
  <si>
    <t>FHR</t>
  </si>
  <si>
    <t>Falcon, LLC.</t>
  </si>
  <si>
    <t>First Insight Corp</t>
  </si>
  <si>
    <t>First Insight Corporation</t>
  </si>
  <si>
    <t>Florida Department of Health</t>
  </si>
  <si>
    <t>Florida Heart &amp; Vascular Multi Specialty Group</t>
  </si>
  <si>
    <t>Foothold Technology, Inc.</t>
  </si>
  <si>
    <t>Forte Holdings</t>
  </si>
  <si>
    <t>FortÃ© Holdings</t>
  </si>
  <si>
    <t>Forward Advantage Inc.</t>
  </si>
  <si>
    <t>Forward Advantage, Inc.</t>
  </si>
  <si>
    <t>FriendlySoft Technology, Inc.</t>
  </si>
  <si>
    <t>GE Healthcare</t>
  </si>
  <si>
    <t>01102014-1892-5</t>
  </si>
  <si>
    <t>http://www3.gehealthcare.com/en/Products/Categories/Healthcare_IT/~/link.aspx?_id=A658D910255B416686DF679886E0BD7A&amp;_z=z#tabs/tab691E86107CB648E1A3FCD53A15BE9530</t>
  </si>
  <si>
    <t>04142014-1893-5</t>
  </si>
  <si>
    <t>05162014-1894-5</t>
  </si>
  <si>
    <t>07032013-1173-5</t>
  </si>
  <si>
    <t>07032013-1174-5</t>
  </si>
  <si>
    <t>01102014-1175-5</t>
  </si>
  <si>
    <t>GE Healthcare IT</t>
  </si>
  <si>
    <t>GEMMS</t>
  </si>
  <si>
    <t>GEMMS, Inc.</t>
  </si>
  <si>
    <t>Geriatric Practice Management</t>
  </si>
  <si>
    <t>GetWellNetwork</t>
  </si>
  <si>
    <t>Great Expressions Dental Centers</t>
  </si>
  <si>
    <t>Greenway</t>
  </si>
  <si>
    <t>Greenway Health, LLC</t>
  </si>
  <si>
    <t>12182014-2186-1</t>
  </si>
  <si>
    <t>10092014-2183-1</t>
  </si>
  <si>
    <t>12182014-2185-1</t>
  </si>
  <si>
    <t>05142015-2184-3</t>
  </si>
  <si>
    <t>08272015-3001-5</t>
  </si>
  <si>
    <t>08272015-3002-5</t>
  </si>
  <si>
    <t>08272015-3003-5</t>
  </si>
  <si>
    <t>08272015-3104-1</t>
  </si>
  <si>
    <t>08272015-3105-1</t>
  </si>
  <si>
    <t>08272015-3106-1</t>
  </si>
  <si>
    <t>02202014-2400-1</t>
  </si>
  <si>
    <t>04072014-2687-5</t>
  </si>
  <si>
    <t>05302014-2688-5</t>
  </si>
  <si>
    <t>05302014-2689-5</t>
  </si>
  <si>
    <t>03122015-2692-5</t>
  </si>
  <si>
    <t>02052015-2690-5</t>
  </si>
  <si>
    <t>03122015-2691-5</t>
  </si>
  <si>
    <t>04022015-0147-5</t>
  </si>
  <si>
    <t>04022015-0148-5</t>
  </si>
  <si>
    <t>04022015-0149-5</t>
  </si>
  <si>
    <t>04022015-0150-5</t>
  </si>
  <si>
    <t>09112014-2182-1</t>
  </si>
  <si>
    <t>01162015-2183-1</t>
  </si>
  <si>
    <t>07022015-2184-1</t>
  </si>
  <si>
    <t>08272015-3007-1</t>
  </si>
  <si>
    <t>10092014-2190-5</t>
  </si>
  <si>
    <t>10092014-2192-5</t>
  </si>
  <si>
    <t>06182015-0701-5</t>
  </si>
  <si>
    <t>06182015-0704-5</t>
  </si>
  <si>
    <t>09302015-4350-5</t>
  </si>
  <si>
    <t>09302015-4351-5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</si>
  <si>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</si>
  <si>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</si>
  <si>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</si>
  <si>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</si>
  <si>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HEALTHEC</t>
  </si>
  <si>
    <t>HEALTHEC LLC</t>
  </si>
  <si>
    <t>MedAllies</t>
  </si>
  <si>
    <t>Havenridge Consulting, LLC</t>
  </si>
  <si>
    <t>Havenridge Consutling, LLC</t>
  </si>
  <si>
    <t>Healogics, Inc.</t>
  </si>
  <si>
    <t>Health Administration Systems, Inc.</t>
  </si>
  <si>
    <t>Health Gorilla, Inc.</t>
  </si>
  <si>
    <t>HealthAxis Group</t>
  </si>
  <si>
    <t>HealthFusion</t>
  </si>
  <si>
    <t>HealthMonix</t>
  </si>
  <si>
    <t>Hello Health</t>
  </si>
  <si>
    <t>Hello Health inc</t>
  </si>
  <si>
    <t>Hi-Tech MD</t>
  </si>
  <si>
    <t>http://treatehr.com/</t>
  </si>
  <si>
    <t>Holon Solutions</t>
  </si>
  <si>
    <t>ICANotes LLC</t>
  </si>
  <si>
    <t>ICANotes, LLC</t>
  </si>
  <si>
    <t>iCare.com LLC</t>
  </si>
  <si>
    <t>ICS Software, Ltd.</t>
  </si>
  <si>
    <t>ifa united i-tech Inc.</t>
  </si>
  <si>
    <t>IO Practiceware</t>
  </si>
  <si>
    <t>IO Practiceware, Inc.</t>
  </si>
  <si>
    <t>IO Practiceware, inc.</t>
  </si>
  <si>
    <t>IRCS, Inc</t>
  </si>
  <si>
    <t>IRCS, Inc.</t>
  </si>
  <si>
    <t>Ibeza LLC</t>
  </si>
  <si>
    <t xml:space="preserve">imedicWare </t>
  </si>
  <si>
    <t>InPracSys</t>
  </si>
  <si>
    <t>InPracSysÂ™</t>
  </si>
  <si>
    <t>Infor</t>
  </si>
  <si>
    <t>Infor (US), Inc.</t>
  </si>
  <si>
    <t>Inforia, Inc</t>
  </si>
  <si>
    <t>Inforia, Inc.</t>
  </si>
  <si>
    <t>Ingenium Business Solutions, Inc.</t>
  </si>
  <si>
    <t>Inofile LLC</t>
  </si>
  <si>
    <t>Integrated Document Solutions</t>
  </si>
  <si>
    <t>Integrated Document Solutions (IDS)</t>
  </si>
  <si>
    <t>Integrated Document Solutions, Inc.</t>
  </si>
  <si>
    <t>Integrity Digital Solutions</t>
  </si>
  <si>
    <t>Integrity Digital Solutions, LLC</t>
  </si>
  <si>
    <t>Intellicure, Inc.</t>
  </si>
  <si>
    <t>InterComponentWare Inc.</t>
  </si>
  <si>
    <t>InterSystems Corporation</t>
  </si>
  <si>
    <t>Interface People</t>
  </si>
  <si>
    <t>Interface People, LP</t>
  </si>
  <si>
    <t>iSALUS Healthcare</t>
  </si>
  <si>
    <t>JAG Products, LLC</t>
  </si>
  <si>
    <t>Joseph P. Addabbo Family Health Center</t>
  </si>
  <si>
    <t>Joseph P. Addabbo Family Health Center, Inc.</t>
  </si>
  <si>
    <t>KSB, Inc.</t>
  </si>
  <si>
    <t>Kareo Inc.</t>
  </si>
  <si>
    <t>Kareo, Inc.</t>
  </si>
  <si>
    <t>Keiser Computers, Inc.</t>
  </si>
  <si>
    <t>KeyMedical Software, Inc.</t>
  </si>
  <si>
    <t>LG CNS Co., Ltd.</t>
  </si>
  <si>
    <t>LSS Data Systems</t>
  </si>
  <si>
    <t>Lauris Technologies</t>
  </si>
  <si>
    <t>Life Care Centers of America</t>
  </si>
  <si>
    <t>MCIS, Inc.</t>
  </si>
  <si>
    <t>MD Logic EMR</t>
  </si>
  <si>
    <t>MD Logic, Inc.</t>
  </si>
  <si>
    <t>MDIntelleSys, LLC</t>
  </si>
  <si>
    <t>MEDHOST</t>
  </si>
  <si>
    <t>06192014-2142-5</t>
  </si>
  <si>
    <t>02052015-2143-5</t>
  </si>
  <si>
    <t>07162015-2145-5</t>
  </si>
  <si>
    <t>11122015-0434-5</t>
  </si>
  <si>
    <t>08282014-1838-5</t>
  </si>
  <si>
    <t>http://www.medhost.com/about-us/meaningful-use-certification</t>
  </si>
  <si>
    <t>08282014-1839-5</t>
  </si>
  <si>
    <t>09042014-1843-5</t>
  </si>
  <si>
    <t>08282014-1836-5</t>
  </si>
  <si>
    <t>08282014-1837-5</t>
  </si>
  <si>
    <t>09042014-1842-5</t>
  </si>
  <si>
    <t>01302015-3104-5</t>
  </si>
  <si>
    <t>01302015-3103-5</t>
  </si>
  <si>
    <t>01302015-3102-5</t>
  </si>
  <si>
    <t>06052014-1906-5</t>
  </si>
  <si>
    <t>03202014-1906-5</t>
  </si>
  <si>
    <t>03202014-1905-5</t>
  </si>
  <si>
    <t>09112014-1907-5</t>
  </si>
  <si>
    <t>03052015-1102-5</t>
  </si>
  <si>
    <t>08062015-0392-5</t>
  </si>
  <si>
    <t>04232015-1905-1</t>
  </si>
  <si>
    <t>04182013-1900-6</t>
  </si>
  <si>
    <t>04182013-1901-6</t>
  </si>
  <si>
    <t>12192013-1904-1</t>
  </si>
  <si>
    <t>08282014-1834-5</t>
  </si>
  <si>
    <t>08282014-1835-5</t>
  </si>
  <si>
    <t>09042014-1841-5</t>
  </si>
  <si>
    <t>08282014-1832-5</t>
  </si>
  <si>
    <t>08282014-1833-5</t>
  </si>
  <si>
    <t>09042014-1840-5</t>
  </si>
  <si>
    <t>10232014-2952-5</t>
  </si>
  <si>
    <t>01302015-3099-5</t>
  </si>
  <si>
    <t>01302015-3100-5</t>
  </si>
  <si>
    <t>01302015-3101-5</t>
  </si>
  <si>
    <t>10232014-2953-5</t>
  </si>
  <si>
    <t>02202014-2567-5</t>
  </si>
  <si>
    <t>02262015-0108-5</t>
  </si>
  <si>
    <t>02262015-0109-5</t>
  </si>
  <si>
    <t>02262015-0110-5</t>
  </si>
  <si>
    <t>06252015-0259-5</t>
  </si>
  <si>
    <t>06252015-0260-5</t>
  </si>
  <si>
    <t>06252015-0261-5</t>
  </si>
  <si>
    <t>06052014-2246-5</t>
  </si>
  <si>
    <t>http://www.medhost.com/about-us/yourcareuniverse-certification</t>
  </si>
  <si>
    <t>06052014-2245-5</t>
  </si>
  <si>
    <t>09252014-2966-1</t>
  </si>
  <si>
    <t>09252014-2967-1</t>
  </si>
  <si>
    <t>12182014-2970-1</t>
  </si>
  <si>
    <t>12182014-2971-1</t>
  </si>
  <si>
    <t>02162015-2968-5</t>
  </si>
  <si>
    <t>02162015-2969-5</t>
  </si>
  <si>
    <t>09232013-2244-5</t>
  </si>
  <si>
    <t>09232013-2243-5</t>
  </si>
  <si>
    <t>07022015-0256-5</t>
  </si>
  <si>
    <t>07022015-0255-5</t>
  </si>
  <si>
    <t>07022015-0258-5</t>
  </si>
  <si>
    <t>07022015-0257-5</t>
  </si>
  <si>
    <t>05192014-2570-5</t>
  </si>
  <si>
    <t>05192014-2569-5</t>
  </si>
  <si>
    <t>02202014-2568-5</t>
  </si>
  <si>
    <t>MEDHOST, Inc.</t>
  </si>
  <si>
    <t>MEDHOST, Inc.Â®</t>
  </si>
  <si>
    <t>MEDHOSTÂ®, Inc.</t>
  </si>
  <si>
    <t>MEDITECH</t>
  </si>
  <si>
    <t>MEDITECH (Medical Information Technology, Inc.)</t>
  </si>
  <si>
    <t>MEDITECH, Inc.</t>
  </si>
  <si>
    <t>MedCPU Inc.</t>
  </si>
  <si>
    <t>MedConnect, Inc.</t>
  </si>
  <si>
    <t>MedEvolve</t>
  </si>
  <si>
    <t>MedEvolve LLC</t>
  </si>
  <si>
    <t>MedEvolve, LLC</t>
  </si>
  <si>
    <t>Medical Mime, Inc.</t>
  </si>
  <si>
    <t>MedInformatix</t>
  </si>
  <si>
    <t>MedInformatix, Inc</t>
  </si>
  <si>
    <t>MedNet Medical Solutions</t>
  </si>
  <si>
    <t>MedOne Systems, LLC</t>
  </si>
  <si>
    <t>MediRec, Inc.</t>
  </si>
  <si>
    <t>MediRec, LLC</t>
  </si>
  <si>
    <t>Medical Informatics Engineering</t>
  </si>
  <si>
    <t>Medical Information Technology, Inc.</t>
  </si>
  <si>
    <t>Medical Information Technology, Inc. (MEDITECH)</t>
  </si>
  <si>
    <t>Medical Mine, Inc.</t>
  </si>
  <si>
    <t>Mediware Information Systems</t>
  </si>
  <si>
    <t>Medocity, Inc.</t>
  </si>
  <si>
    <t>Medstreaming</t>
  </si>
  <si>
    <t>Medstreaming EMR, LLC</t>
  </si>
  <si>
    <t>Medtech, Inc.</t>
  </si>
  <si>
    <t>Merge Healthcare</t>
  </si>
  <si>
    <t>Merge Healthcare, Inc.</t>
  </si>
  <si>
    <t>Metasolutions Inc</t>
  </si>
  <si>
    <t>MicroFour, Inc.</t>
  </si>
  <si>
    <t>Microsoft Corporation</t>
  </si>
  <si>
    <t>Mighty Oak Technology, Inc.</t>
  </si>
  <si>
    <t>Ministry Health Care</t>
  </si>
  <si>
    <t>Mitchell &amp; McCormick, Inc.</t>
  </si>
  <si>
    <t>ModuleMD</t>
  </si>
  <si>
    <t>ModuleMD, LLC</t>
  </si>
  <si>
    <t>Mydoctorschart</t>
  </si>
  <si>
    <t>NaphCare</t>
  </si>
  <si>
    <t>NaphCare, Inc.</t>
  </si>
  <si>
    <t>NavisHealth Solutions, Inc.</t>
  </si>
  <si>
    <t>Net Health</t>
  </si>
  <si>
    <t>Net Health Systems, Inc.</t>
  </si>
  <si>
    <t>NextStep Solutions Inc.</t>
  </si>
  <si>
    <t>Nexus Clinical</t>
  </si>
  <si>
    <t>Nexus Clinical LLC</t>
  </si>
  <si>
    <t>Nitor Group, Ltd.</t>
  </si>
  <si>
    <t>Nth Technologies, Inc.</t>
  </si>
  <si>
    <t>OA Systems, Inc</t>
  </si>
  <si>
    <t>OA Systems, Inc.</t>
  </si>
  <si>
    <t>OCERIS, Inc.</t>
  </si>
  <si>
    <t>OD Link</t>
  </si>
  <si>
    <t>Objective Medical Systems, LLC</t>
  </si>
  <si>
    <t>Ocuco Limited</t>
  </si>
  <si>
    <t>Office Ally</t>
  </si>
  <si>
    <t>Office Ally, LLC</t>
  </si>
  <si>
    <t>Omedix</t>
  </si>
  <si>
    <t>Omedix, Inc.</t>
  </si>
  <si>
    <t>Open Dental Software</t>
  </si>
  <si>
    <t>Open Software Solutions, LLC</t>
  </si>
  <si>
    <t>Origin Healthcare Solutions</t>
  </si>
  <si>
    <t>PBO Corp.</t>
  </si>
  <si>
    <t>PBO Corporation</t>
  </si>
  <si>
    <t>PBSI - Positive Business Solutions, Inc.</t>
  </si>
  <si>
    <t>PCIS GOLD</t>
  </si>
  <si>
    <t>Park Family Health Care P.C.</t>
  </si>
  <si>
    <t>Patagonia Health</t>
  </si>
  <si>
    <t>Phoenix Ortho, LLC</t>
  </si>
  <si>
    <t>Phunkey, INC</t>
  </si>
  <si>
    <t>Physician's Computer Company</t>
  </si>
  <si>
    <t>Platinum System C.R. Corp</t>
  </si>
  <si>
    <t>Platinum System C.R. Corp.</t>
  </si>
  <si>
    <t>Plexus Information Systems, Inc.</t>
  </si>
  <si>
    <t>Positive Business Solutions, Inc.</t>
  </si>
  <si>
    <t>Practice Fusion</t>
  </si>
  <si>
    <t>Practice Fusion, Inc</t>
  </si>
  <si>
    <t>Practice Fusion, Inc.</t>
  </si>
  <si>
    <t>PrecisionCare Software</t>
  </si>
  <si>
    <t>ProComp Software Consultants</t>
  </si>
  <si>
    <t>Professional Data Services, Inc.</t>
  </si>
  <si>
    <t>Prognosis Health Information Systems</t>
  </si>
  <si>
    <t>Prognosis Innovation Healthcare</t>
  </si>
  <si>
    <t>Prompt Alert, Inc.</t>
  </si>
  <si>
    <t>Providers Management, Inc.</t>
  </si>
  <si>
    <t>QRS Inc.</t>
  </si>
  <si>
    <t>QRS, Inc.</t>
  </si>
  <si>
    <t>QuadraMed Corp</t>
  </si>
  <si>
    <t>QuadraMed Corporation</t>
  </si>
  <si>
    <t>Qualifacts Systems, Inc.</t>
  </si>
  <si>
    <t>Raintree Systems, Inc</t>
  </si>
  <si>
    <t>Raintree Systems, Inc.</t>
  </si>
  <si>
    <t>ReLi Med Solutions</t>
  </si>
  <si>
    <t>Regenstrief Institute</t>
  </si>
  <si>
    <t>Rural Wisconsin Health Cooperative</t>
  </si>
  <si>
    <t>SOAPware, Inc.</t>
  </si>
  <si>
    <t>STI Computer Services, Inc.</t>
  </si>
  <si>
    <t>Sajix Inc.</t>
  </si>
  <si>
    <t>Salar, Inc.</t>
  </si>
  <si>
    <t>Sawgio LLC</t>
  </si>
  <si>
    <t>ScriptRx, Inc.</t>
  </si>
  <si>
    <t>Secure Exchange Solutions</t>
  </si>
  <si>
    <t>Seven Software, LLC</t>
  </si>
  <si>
    <t>SilkOne</t>
  </si>
  <si>
    <t>SilkOne Inc.</t>
  </si>
  <si>
    <t>Smoky Mountain Information Systems, Inc.</t>
  </si>
  <si>
    <t>Sohi Systems</t>
  </si>
  <si>
    <t>Source Medical Solutions</t>
  </si>
  <si>
    <t>Southwest Medical Associates</t>
  </si>
  <si>
    <t>Spectrum Health System</t>
  </si>
  <si>
    <t>Spectrum Medical, Inc.</t>
  </si>
  <si>
    <t>Synap, Inc.</t>
  </si>
  <si>
    <t>Standing Stone, Inc.</t>
  </si>
  <si>
    <t>Standing Stone, LLC</t>
  </si>
  <si>
    <t>Standing Stone, a Division of Alere Health Improvement Company</t>
  </si>
  <si>
    <t>Star-Med, LLC</t>
  </si>
  <si>
    <t>Streamline Health, Inc.</t>
  </si>
  <si>
    <t>Summit Healthcare Services Inc.</t>
  </si>
  <si>
    <t>Summit Healthcare Services, Inc.</t>
  </si>
  <si>
    <t>Talksoft Corporation</t>
  </si>
  <si>
    <t>TechSoft, Inc.</t>
  </si>
  <si>
    <t>The Echo Group</t>
  </si>
  <si>
    <t>The Garage</t>
  </si>
  <si>
    <t>The Shams Group</t>
  </si>
  <si>
    <t>The Shams Group, Inc.</t>
  </si>
  <si>
    <t>Thrasys, Inc.</t>
  </si>
  <si>
    <t>Tranquilmoney Inc.</t>
  </si>
  <si>
    <t>Tranquilmoney, Inc.</t>
  </si>
  <si>
    <t>TransMed Network</t>
  </si>
  <si>
    <t>Truven Health Analytics</t>
  </si>
  <si>
    <t>Twin Sails Technology Group, Inc.</t>
  </si>
  <si>
    <t>U.S. HealthRecord, Inc.</t>
  </si>
  <si>
    <t>U.S.HealthRecord, Inc.</t>
  </si>
  <si>
    <t>Umbie Health Corporation</t>
  </si>
  <si>
    <t>UnisonCare Corporation</t>
  </si>
  <si>
    <t>Unityware</t>
  </si>
  <si>
    <t>Updox, LLC</t>
  </si>
  <si>
    <t>VIPA Health Solutions, LLC</t>
  </si>
  <si>
    <t>Venus Medical Systems LLC</t>
  </si>
  <si>
    <t>Vigiboss Inc.</t>
  </si>
  <si>
    <t>VipaHealth Solutions, LLC</t>
  </si>
  <si>
    <t>VisionTree Software, Inc.</t>
  </si>
  <si>
    <t>VisionWeb</t>
  </si>
  <si>
    <t>Visual Outcomes USA, Inc.</t>
  </si>
  <si>
    <t>WCH Service Bureau, Inc.</t>
  </si>
  <si>
    <t>Washington University</t>
  </si>
  <si>
    <t>Welligent, Inc.</t>
  </si>
  <si>
    <t>Williams Group</t>
  </si>
  <si>
    <t>YourCareUniverse Health, Inc.</t>
  </si>
  <si>
    <t>YourCareUniverse, Inc.</t>
  </si>
  <si>
    <t>digiChart, Inc.</t>
  </si>
  <si>
    <t>eClinicalWorks LLC</t>
  </si>
  <si>
    <t>eClinicalWorks, LLC</t>
  </si>
  <si>
    <t>eMedapps, Inc.</t>
  </si>
  <si>
    <t>medQ Inc.</t>
  </si>
  <si>
    <t>medQ inc.</t>
  </si>
  <si>
    <t>http://www.allscripts.com/terms-of-use/documents</t>
  </si>
  <si>
    <t>N/A</t>
  </si>
  <si>
    <t>Transparency Pledge (0, for no; 1 for yes; 2 for self)</t>
  </si>
  <si>
    <t>Acurus Solutions Inc.</t>
  </si>
  <si>
    <t>InfoGard</t>
  </si>
  <si>
    <t>http://www.acurussolutions.com/Certification.html</t>
  </si>
  <si>
    <t>Acurus Solutions, Inc.</t>
  </si>
  <si>
    <t>Adaptamed, LLC</t>
  </si>
  <si>
    <t>http://adaptamed.com/Home/ONCCertification</t>
  </si>
  <si>
    <t>Aprima Medical Software, Inc</t>
  </si>
  <si>
    <t>http://www.aprima.com/company/industry-certifications-infogard/2014-infogard-certification</t>
  </si>
  <si>
    <t>Aprima Medical Software, Inc.</t>
  </si>
  <si>
    <t>Azara Healthcare, LLC</t>
  </si>
  <si>
    <t>http://www.azarahealthcare.com/solutions/azara-drvs/reports/meaningful-use-certified-reports/ </t>
  </si>
  <si>
    <t>BACTES Imagin Solutions, LLC</t>
  </si>
  <si>
    <t>Bearhug Technologies, LLC</t>
  </si>
  <si>
    <t>BioMed Informatics, LLC dba NexGenic</t>
  </si>
  <si>
    <t>http://www.nexgenic.com/onc-certification</t>
  </si>
  <si>
    <t>Bonafide Management Systems, Inc.</t>
  </si>
  <si>
    <t>https://mdqws1.medeqmanager.com/meds/ehr</t>
  </si>
  <si>
    <t>Braintree Health</t>
  </si>
  <si>
    <t>http://braintreemd.com/website/meaningful_use.php</t>
  </si>
  <si>
    <t>CallPointe.com, Inc.</t>
  </si>
  <si>
    <t>CareTracker, Inc.</t>
  </si>
  <si>
    <t>http://www.harriscaretracker.com/en/solutions/electronic-medical-records/; http://www.harriscaretracker.com/en/solutions/plans-and-pricing/</t>
  </si>
  <si>
    <t>Complete Medical Solutions, LLC</t>
  </si>
  <si>
    <t>http://www.doctornetwork.com/products/mywinmed-ehr/</t>
  </si>
  <si>
    <t>CompuGroup Medical, Inc.</t>
  </si>
  <si>
    <t>Concinnity</t>
  </si>
  <si>
    <t>http://healthefilings.com</t>
  </si>
  <si>
    <t>Connexin Software</t>
  </si>
  <si>
    <t>http://officepracticum.com/about/ratings-awards-accreditations/</t>
  </si>
  <si>
    <t>Connexin Software, Inc.</t>
  </si>
  <si>
    <t>Custom Computing Corporation</t>
  </si>
  <si>
    <t>http://www.ccccorp.com/2014-onc-acb-certification-statement; http://www.ccccorp.com/2014-onc-acb-certification-statement/pricing-transparency</t>
  </si>
  <si>
    <t>Data Tec, Inc.</t>
  </si>
  <si>
    <t>http://www.powersoftmd.com/MU.htm</t>
  </si>
  <si>
    <t>Datagroup Technologies Inc.</t>
  </si>
  <si>
    <t>http://encounterworks.com/resources/meaningful-use-and-pricing-transparency-statements</t>
  </si>
  <si>
    <t>Dexter Solutions Inc</t>
  </si>
  <si>
    <t>http://www.dexter-solutions.com/index.php/component/content/article/53-slides/105-certification-details</t>
  </si>
  <si>
    <t>Dexter Solutions Inc.</t>
  </si>
  <si>
    <t>Digital Medical Solutions Inc.</t>
  </si>
  <si>
    <t>http://officemedicine.com/stage-ii-full-emr-certification-information/</t>
  </si>
  <si>
    <t>Digital Medical Solutions, Inc.</t>
  </si>
  <si>
    <t>DocComply</t>
  </si>
  <si>
    <t>DR Systems, Inc.</t>
  </si>
  <si>
    <t>http://drsysehr.com/price-transparency; http://drsysehr.com/certified-ehr</t>
  </si>
  <si>
    <t>Draeger Medical Inc.</t>
  </si>
  <si>
    <t>http://www.draeger.com/sites/assets/PublishingImages/Products/mon_innovian_anesthesia/ENUS/Infoguard%20Web%20Add_Innovian%20Anesthesia.pdf</t>
  </si>
  <si>
    <t>Draeger Medical Systems Inc.</t>
  </si>
  <si>
    <t>Draeger Medical, Inc.</t>
  </si>
  <si>
    <t>drchrono Inc.</t>
  </si>
  <si>
    <t>https://www.drchrono.com/meaningful-use-ehr/</t>
  </si>
  <si>
    <t>DrChrono.com Inc.</t>
  </si>
  <si>
    <t>DrScribe, Inc.</t>
  </si>
  <si>
    <t>https://www.drscribe.com/pages/prod_emr.aspx</t>
  </si>
  <si>
    <t>eHealthObjects</t>
  </si>
  <si>
    <t>eHealthObjects, Inc.</t>
  </si>
  <si>
    <t>EmedPractice LLC</t>
  </si>
  <si>
    <t>http://www.emedpractice.com/EHR.html; http://www.emedpractice.com/pricing.html</t>
  </si>
  <si>
    <t>eMedPractice LLC</t>
  </si>
  <si>
    <t>Emerald Health LLC</t>
  </si>
  <si>
    <t>https://www.emeraldemr.com/EmeraldLiteProduction/LoginManagement/Disclaimer.htm</t>
  </si>
  <si>
    <t>EnableDoc LLC</t>
  </si>
  <si>
    <t>EndoSoft, LLC</t>
  </si>
  <si>
    <t xml:space="preserve">http://www.endosoft.com/endovault-ehr-2/ </t>
  </si>
  <si>
    <t>Endosoft, LLC</t>
  </si>
  <si>
    <t>EnSoftek, Inc</t>
  </si>
  <si>
    <t>http://www.drcloudemr.com/meaningful-use-stage-2-transparency-and-disclosure-requirements/</t>
  </si>
  <si>
    <t>EON Systems, Inc.</t>
  </si>
  <si>
    <t>EyeFormatics, Inc.</t>
  </si>
  <si>
    <t>ezEMRx Inc</t>
  </si>
  <si>
    <t>http://www.ezemrx.com/inner.php?mmid=64; http://www.ezemrx.com/inner.php?mmid=67</t>
  </si>
  <si>
    <t>ezEMRx, Inc</t>
  </si>
  <si>
    <t>FairWarningÂ® Technologies, Inc.</t>
  </si>
  <si>
    <t>http://www.fairwarning.com/meaningful-use/</t>
  </si>
  <si>
    <t>FIGMD, Inc.</t>
  </si>
  <si>
    <t>http://www.figmd.com/</t>
  </si>
  <si>
    <t>http://www3.gehealthcare.com/~/media/documents/us-global/products/healthcare%20it/brochures/centricity-perinatal/centrcity-perinatal-mu-jb37361us.pdf</t>
  </si>
  <si>
    <t>GeniusDoc, Inc.</t>
  </si>
  <si>
    <t>http://www.geniusdoc.com/MUDisclosure.html</t>
  </si>
  <si>
    <t>Goldblatt Systems LLC</t>
  </si>
  <si>
    <t>http://www.goldblattsystems.com/about-us/certifications/; http://www.goldblattsystems.com/services-support/hardware-and-computer-performance-needs/</t>
  </si>
  <si>
    <t>Green Clinical Systems Inc.</t>
  </si>
  <si>
    <t>Health Companion, Inc.</t>
  </si>
  <si>
    <t>https://www.healthcompanion.com/HealthCompanion/guest/viewMUpdf</t>
  </si>
  <si>
    <t>Health Grid Corp.</t>
  </si>
  <si>
    <t>Hippoverse</t>
  </si>
  <si>
    <t>https://www.hippoverse.com/certification</t>
  </si>
  <si>
    <t>i2i Systems</t>
  </si>
  <si>
    <t>http://www.i2isys.com/quality-measure/meaningful-use</t>
  </si>
  <si>
    <t>Indian Health Service</t>
  </si>
  <si>
    <t>https://www.ihs.gov/rpms/downloads/DisclaimerVendorProductInfoDisclosures.pdf</t>
  </si>
  <si>
    <t>Infinite Software Solutions Inc. (D/B/A/ MD-Reports)</t>
  </si>
  <si>
    <t>http://md-reports.com/; http://www.md-reports.com/pricing_transparency.pdf</t>
  </si>
  <si>
    <t>Infinite Software Solutions Inc. [D/B/A MD-Reports]</t>
  </si>
  <si>
    <t>Infinitt North America</t>
  </si>
  <si>
    <t>http://www.infinittna.com/products/radiology/meaningful-use-certified</t>
  </si>
  <si>
    <t>Infinitt North America, Inc.</t>
  </si>
  <si>
    <t>Insight Software, LLC</t>
  </si>
  <si>
    <t>http://www.myvisionexpress.com/meaningful-use/</t>
  </si>
  <si>
    <t>InstantDx, LLC</t>
  </si>
  <si>
    <t>http://www.oncalldata.com/oncalldata/mumain.jsp</t>
  </si>
  <si>
    <t>Insync Healthcare Solutions LLC</t>
  </si>
  <si>
    <t xml:space="preserve">http://insynchcs.com/meaningful-use-certification.html </t>
  </si>
  <si>
    <t>konciergeMD</t>
  </si>
  <si>
    <t>Krassons, Inc.</t>
  </si>
  <si>
    <t>LogRhythm, Inc</t>
  </si>
  <si>
    <t>LogRhythm, Inc.</t>
  </si>
  <si>
    <t>MD On-Line</t>
  </si>
  <si>
    <t>MD On-Line, Inc.</t>
  </si>
  <si>
    <t>MDops Corporation</t>
  </si>
  <si>
    <t>MedAZ.Net, LLC</t>
  </si>
  <si>
    <t>www.medaz.net</t>
  </si>
  <si>
    <t>MedA-Z.net, LLC</t>
  </si>
  <si>
    <t>Medsphere System Corporation</t>
  </si>
  <si>
    <t xml:space="preserve">http://www.medsphere.com/pricing-transparency-statement </t>
  </si>
  <si>
    <t>Medsphere Systems Corporation</t>
  </si>
  <si>
    <t>Meta Pharmacy Systems, Inc. dba Meta Healthcare IT Solutions</t>
  </si>
  <si>
    <t>http://www.metacaresolutions.com/support-implementation/transparency/</t>
  </si>
  <si>
    <t>Micro Office Systems</t>
  </si>
  <si>
    <t>http://micro-officesystems.com/why-micro-office/meaningful-use/</t>
  </si>
  <si>
    <t>NEXTSERVICES INC</t>
  </si>
  <si>
    <t>http://www.nextservices.com/enki-ehr-certification-details/</t>
  </si>
  <si>
    <t>NextServices Inc</t>
  </si>
  <si>
    <t>NextServices, Inc.</t>
  </si>
  <si>
    <t>Novobi</t>
  </si>
  <si>
    <t>http://novobi.com/category/products/cqm-engine/</t>
  </si>
  <si>
    <t>OEMR</t>
  </si>
  <si>
    <t>Optum Clinical Solutions (formerly Picis)</t>
  </si>
  <si>
    <t>Optum Clinical Solutions, Inc. (formerly Picis, Inc.)</t>
  </si>
  <si>
    <t>OptumInsight</t>
  </si>
  <si>
    <t>PatientPoint</t>
  </si>
  <si>
    <t>Penn Medical Informatics Systems, Inc.</t>
  </si>
  <si>
    <t>http://eyedocsolutions.com/EyeDoc-Certification-Statement.htm</t>
  </si>
  <si>
    <t>PEPID, LLC</t>
  </si>
  <si>
    <t>http://www.pepid.com/press/releases/20150324_meaningful_use_2_certification.asp</t>
  </si>
  <si>
    <t>Picis</t>
  </si>
  <si>
    <t>Picis, now part of Ingenix</t>
  </si>
  <si>
    <t>Pieran LLC, dba Pieran Health Technologies</t>
  </si>
  <si>
    <t>www.nativehealthconnection.com</t>
  </si>
  <si>
    <t>PluralSoft</t>
  </si>
  <si>
    <t>http://www.pluralsoft.com/?page_id=1882</t>
  </si>
  <si>
    <t>PracticeSuite, Inc.</t>
  </si>
  <si>
    <t>http://www.practicesuite.com/onc-atcb-certification-latest</t>
  </si>
  <si>
    <t>Productive Programming, Inc.</t>
  </si>
  <si>
    <t>http://www.ppi.com/News/103</t>
  </si>
  <si>
    <t>Quantum Innovations, Inc.</t>
  </si>
  <si>
    <t>www.mypwer.com</t>
  </si>
  <si>
    <t>QuikEyes, Inc.</t>
  </si>
  <si>
    <t>http://quikeyes.com/ONCCertifiedHIT.aspx</t>
  </si>
  <si>
    <t>RazorInsights</t>
  </si>
  <si>
    <t>http://www.athenahealth.com/~/media/athenaweb/files/pdf/razorinsights_one_mu_disclosure.pdf</t>
  </si>
  <si>
    <t>RazorInsights, LLC</t>
  </si>
  <si>
    <t>Relatient, LLC</t>
  </si>
  <si>
    <t>ReportingMD, Inc.</t>
  </si>
  <si>
    <t>RTZ Associates, Inc.</t>
  </si>
  <si>
    <t>Scientific Technologies Corporation</t>
  </si>
  <si>
    <t>Scribe Healthcare Technologies</t>
  </si>
  <si>
    <t>https://md.scribe.com</t>
  </si>
  <si>
    <t>Siemens Medical Solutions USA Inc</t>
  </si>
  <si>
    <t>http://usa.healthcare.siemens.com/medical-imaging-it/syngo-dynamics-ehr-certified</t>
  </si>
  <si>
    <t>Siemens Medical Solutions USA, Inc.</t>
  </si>
  <si>
    <t>Signature Medical Group</t>
  </si>
  <si>
    <t>SkyCare</t>
  </si>
  <si>
    <t>Software Partners LLC</t>
  </si>
  <si>
    <t>Softworx Solutions</t>
  </si>
  <si>
    <t>www.softworxsolutions.com</t>
  </si>
  <si>
    <t>Softworx Solutions, Inc.</t>
  </si>
  <si>
    <t>Splunk Inc.</t>
  </si>
  <si>
    <t>Stockell Healthcare Systems, Inc.</t>
  </si>
  <si>
    <t>http://www.insightcs.com/Meaningful_Use.html</t>
  </si>
  <si>
    <t>Streamline Healthcare Solutions</t>
  </si>
  <si>
    <t>http://www.streamlinehealthcare.com/meaningful-use/</t>
  </si>
  <si>
    <t>Streamline Healthcare Solutions, LLC</t>
  </si>
  <si>
    <t>Surescripts, LLC</t>
  </si>
  <si>
    <t>Systemedx Inc</t>
  </si>
  <si>
    <t>http://www.systemedx.com/mu2/</t>
  </si>
  <si>
    <t>Systemedx Inc.</t>
  </si>
  <si>
    <t>TenEleven Group</t>
  </si>
  <si>
    <t>http://www.10e11.com/certifications/</t>
  </si>
  <si>
    <t>TenEleven Group Inc.</t>
  </si>
  <si>
    <t>TPR Media LLC (dba UbiCare)</t>
  </si>
  <si>
    <t>Trinity Health</t>
  </si>
  <si>
    <t>Trinity Health, Trinity Information Services</t>
  </si>
  <si>
    <t>Twistle, Inc.</t>
  </si>
  <si>
    <t>www.twistle.com</t>
  </si>
  <si>
    <t>UltraMed Software</t>
  </si>
  <si>
    <t>http://www.ultramedsoftware.com/</t>
  </si>
  <si>
    <t>Vecna</t>
  </si>
  <si>
    <t>http://www.vecna.com/onc/</t>
  </si>
  <si>
    <t>VIZTEK LLC</t>
  </si>
  <si>
    <t>Viztek, LLC</t>
  </si>
  <si>
    <t>WEBeDoctor, Inc.</t>
  </si>
  <si>
    <t>http://new.webedoctor.com/webedoctor-ehr-cert/</t>
  </si>
  <si>
    <t>Wisconsin Collaborative for Healthcare Quality, Inc.</t>
  </si>
  <si>
    <t>physiciancompass.org/pricing/</t>
  </si>
  <si>
    <t>WRS Health</t>
  </si>
  <si>
    <t>https://www.wrshealth.com/Meaningful-Use-Certified-EHR</t>
  </si>
  <si>
    <t>Z&amp;H Healthcare Solutions, LLC</t>
  </si>
  <si>
    <t>3M Health Information Systems</t>
  </si>
  <si>
    <t>3M Health Information Systems, Inc.</t>
  </si>
  <si>
    <t>4Medica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</si>
  <si>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</si>
  <si>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</si>
  <si>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</si>
  <si>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</si>
  <si>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</si>
  <si>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</si>
  <si>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Abraxas Medical Solutions, Inc</t>
  </si>
  <si>
    <t>Accelecare Wound Centers, Inc.</t>
  </si>
  <si>
    <t>Access My Records, Inc.</t>
  </si>
  <si>
    <t>Accumedic Computer Systems, Inc.</t>
  </si>
  <si>
    <t>ACL Laboratories</t>
  </si>
  <si>
    <t>ACOM Health</t>
  </si>
  <si>
    <t>ACOM Health, Division of ACOM Solutions, Inc.</t>
  </si>
  <si>
    <t>Acrendo Software, Inc.</t>
  </si>
  <si>
    <t>ACS State Healthcare, LLC</t>
  </si>
  <si>
    <t>Acuitec, Inc.</t>
  </si>
  <si>
    <t>Acumen Physician Solutions</t>
  </si>
  <si>
    <t>ADS Technologies,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</si>
  <si>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</si>
  <si>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</si>
  <si>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</si>
  <si>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</si>
  <si>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</si>
  <si>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Technologies Group</t>
  </si>
  <si>
    <t>ADVault, Inc.</t>
  </si>
  <si>
    <t>Advent InfoSystems LLC</t>
  </si>
  <si>
    <t>Affordable Medical Software Company</t>
  </si>
  <si>
    <t>Agastha, Inc.</t>
  </si>
  <si>
    <t>AKDHC DocTalk LLC</t>
  </si>
  <si>
    <t>Alere Accountable Care Solutions</t>
  </si>
  <si>
    <t>Alere Analytics</t>
  </si>
  <si>
    <t>Alere Wellogic LLC</t>
  </si>
  <si>
    <t>All About Medical Billing Inc.</t>
  </si>
  <si>
    <t>AllegianceMD Software, Inc.</t>
  </si>
  <si>
    <t>AllegianceMD software, Inc.</t>
  </si>
  <si>
    <t>AllMeds, Inc.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</si>
  <si>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</si>
  <si>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</si>
  <si>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</si>
  <si>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</si>
  <si>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</si>
  <si>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</si>
  <si>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</si>
  <si>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</si>
  <si>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</si>
  <si>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</si>
  <si>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</si>
  <si>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</si>
  <si>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</si>
  <si>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</si>
  <si>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</si>
  <si>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</si>
  <si>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</si>
  <si>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</si>
  <si>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Well</t>
  </si>
  <si>
    <t>AmisHealth LLC</t>
  </si>
  <si>
    <t>AmkaiSolutions</t>
  </si>
  <si>
    <t>AmkaiSolutions LLC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</si>
  <si>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</si>
  <si>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</si>
  <si>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</si>
  <si>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</si>
  <si>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</si>
  <si>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AO Fox Memorial Hospital</t>
  </si>
  <si>
    <t>AOD Software</t>
  </si>
  <si>
    <t>AppMed Inc.</t>
  </si>
  <si>
    <t>AppMed, Inc.</t>
  </si>
  <si>
    <t>APS Healthcare Puerto Rico Inc.</t>
  </si>
  <si>
    <t>Aragon Software</t>
  </si>
  <si>
    <t>Arcadia Solutions, LLC</t>
  </si>
  <si>
    <t>Arcron Systems, Inc.</t>
  </si>
  <si>
    <t>ArcSys, Inc.</t>
  </si>
  <si>
    <t>Argyle Medical Software</t>
  </si>
  <si>
    <t>Armaria Data Systems, LLC</t>
  </si>
  <si>
    <t>Artemis Health Group</t>
  </si>
  <si>
    <t>AS Software</t>
  </si>
  <si>
    <t>Askesis Development Group</t>
  </si>
  <si>
    <t>Askesis Development Group, Inc.</t>
  </si>
  <si>
    <t>ASP.MD Inc.</t>
  </si>
  <si>
    <t>AssistMed, Inc.</t>
  </si>
  <si>
    <t>AT&amp;T</t>
  </si>
  <si>
    <t>AT&amp;T Operations</t>
  </si>
  <si>
    <t>athenahealth, Inc</t>
  </si>
  <si>
    <t>Atlantic Cape IT, LLC</t>
  </si>
  <si>
    <t>Aurora Health Care, Inc.</t>
  </si>
  <si>
    <t>AutoMedSys, LLC</t>
  </si>
  <si>
    <t>Avairis, Inc.</t>
  </si>
  <si>
    <t>Avazen Health</t>
  </si>
  <si>
    <t>Avreo, Inc</t>
  </si>
  <si>
    <t>Avreo, Inc.</t>
  </si>
  <si>
    <t>Axiom</t>
  </si>
  <si>
    <t>Axiom Health Intellect Systems Inc.</t>
  </si>
  <si>
    <t>Axolotl Corp</t>
  </si>
  <si>
    <t>Axolotl Corp.</t>
  </si>
  <si>
    <t>Axolotl Corporation</t>
  </si>
  <si>
    <t>AxSys Technology</t>
  </si>
  <si>
    <t>Aym Technologies, LLC</t>
  </si>
  <si>
    <t>A-Z Professional Provider Services, LLC</t>
  </si>
  <si>
    <t>Azalea Health Innovations, Inc.</t>
  </si>
  <si>
    <t>AZZLYÂ®</t>
  </si>
  <si>
    <t>BackChart</t>
  </si>
  <si>
    <t>Bayview Physicians Group</t>
  </si>
  <si>
    <t>Bear River Mental Health Services, Inc.</t>
  </si>
  <si>
    <t>Benchmark Systems</t>
  </si>
  <si>
    <t>Benevis, LLC</t>
  </si>
  <si>
    <t>Beth Israel Deaconess Medical Center</t>
  </si>
  <si>
    <t>Binary Spectrum Pvt. Ltd.</t>
  </si>
  <si>
    <t>BIO EMR Technology</t>
  </si>
  <si>
    <t>BioMedix Vascular Solutions</t>
  </si>
  <si>
    <t>BIT Healthcare, Inc.</t>
  </si>
  <si>
    <t>BizMatics Inc</t>
  </si>
  <si>
    <t>Bizmatics Inc.</t>
  </si>
  <si>
    <t>BJC Healthcare</t>
  </si>
  <si>
    <t>Blue Panda Systems</t>
  </si>
  <si>
    <t>BlueFire Medical Software</t>
  </si>
  <si>
    <t>Bluegrass New Directions, Inc.</t>
  </si>
  <si>
    <t>BlueStrata EMR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</si>
  <si>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</si>
  <si>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</si>
  <si>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</si>
  <si>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</si>
  <si>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</si>
  <si>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</si>
  <si>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</si>
  <si>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</si>
  <si>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</si>
  <si>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</si>
  <si>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</si>
  <si>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</si>
  <si>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CaduRx</t>
  </si>
  <si>
    <t>CaduRx, Inc.</t>
  </si>
  <si>
    <t>California Medical Systems</t>
  </si>
  <si>
    <t>Callibra, Inc.</t>
  </si>
  <si>
    <t>Candelis, Inc.</t>
  </si>
  <si>
    <t>Caradigm USA LLC</t>
  </si>
  <si>
    <t>Cardinal Health</t>
  </si>
  <si>
    <t>CareClix</t>
  </si>
  <si>
    <t>CareFusion Solutions, LLC</t>
  </si>
  <si>
    <t>Carefx Corporation, a subsidiary of Harris Corporation</t>
  </si>
  <si>
    <t>CareKinesis, Inc.</t>
  </si>
  <si>
    <t>Carestream Health</t>
  </si>
  <si>
    <t>CareTech Solutions</t>
  </si>
  <si>
    <t>CareTech Solutions, Inc.</t>
  </si>
  <si>
    <t>Caretools Inc.</t>
  </si>
  <si>
    <t>Carol Emerson MD</t>
  </si>
  <si>
    <t>Cat Trang Solutions LLC</t>
  </si>
  <si>
    <t>Catalis, Inc.</t>
  </si>
  <si>
    <t>Catholic Health Initiatives</t>
  </si>
  <si>
    <t>CCIE Services LLC</t>
  </si>
  <si>
    <t>CECity</t>
  </si>
  <si>
    <t>Celerity LLC</t>
  </si>
  <si>
    <t>CentriHealth, Inc.</t>
  </si>
  <si>
    <t>Cerner Corporation</t>
  </si>
  <si>
    <t>Cerner Health Services,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</si>
  <si>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</si>
  <si>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</si>
  <si>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</si>
  <si>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</si>
  <si>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</si>
  <si>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</si>
  <si>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</si>
  <si>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</si>
  <si>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CHSPSC, LLC</t>
  </si>
  <si>
    <t>Claimat Inc.</t>
  </si>
  <si>
    <t>ClaydataÂ® LLC</t>
  </si>
  <si>
    <t>ClearHealth Inc.</t>
  </si>
  <si>
    <t>ClearPractice</t>
  </si>
  <si>
    <t>ClientTell</t>
  </si>
  <si>
    <t>ClientTrack, Inc.</t>
  </si>
  <si>
    <t>CLIN1</t>
  </si>
  <si>
    <t>Clinic Doctor LLC</t>
  </si>
  <si>
    <t>Clinic Service Corporation</t>
  </si>
  <si>
    <t>Clinical Computer Systems Inc.</t>
  </si>
  <si>
    <t>Clinical Info Solutions</t>
  </si>
  <si>
    <t>Clinical Outcomes Research Initiative</t>
  </si>
  <si>
    <t>CliniComp Intl</t>
  </si>
  <si>
    <t>CliniComp, Intl.</t>
  </si>
  <si>
    <t>Clinivate, LLC</t>
  </si>
  <si>
    <t>Clinix MIS LLC</t>
  </si>
  <si>
    <t>Cloud Medical Software Corporation</t>
  </si>
  <si>
    <t>CMPMR LLC</t>
  </si>
  <si>
    <t>CoActiv Medical</t>
  </si>
  <si>
    <t>Colonial Valley Software, Inc.</t>
  </si>
  <si>
    <t>Colonial Valley Software, LLC</t>
  </si>
  <si>
    <t>ComChart Medical Software, LLC</t>
  </si>
  <si>
    <t>Community Computer Service, Inc.</t>
  </si>
  <si>
    <t>Community Health Network (Indianapolis, Indiana)</t>
  </si>
  <si>
    <t>Community Health Systems</t>
  </si>
  <si>
    <t>Comparion Medical Analytics</t>
  </si>
  <si>
    <t>CompuGroup Medical</t>
  </si>
  <si>
    <t>Computer Sciences Corporation (CSC)</t>
  </si>
  <si>
    <t>Computer Systems Consultants, Inc.</t>
  </si>
  <si>
    <t>Comtron Corp.</t>
  </si>
  <si>
    <t>Comtron Inc.</t>
  </si>
  <si>
    <t>Connect(x) HealthWare LLC</t>
  </si>
  <si>
    <t>Consilience Software</t>
  </si>
  <si>
    <t>CorEMR LC</t>
  </si>
  <si>
    <t>CorrecTek</t>
  </si>
  <si>
    <t>Covisint</t>
  </si>
  <si>
    <t>CPS</t>
  </si>
  <si>
    <t>CPSI (Computer Programs and Systems), Inc.</t>
  </si>
  <si>
    <t>CredenceHealth</t>
  </si>
  <si>
    <t>Credible Wireless, Inc.</t>
  </si>
  <si>
    <t>Crowell Systems</t>
  </si>
  <si>
    <t>Crystal Practice Management</t>
  </si>
  <si>
    <t>CSC</t>
  </si>
  <si>
    <t>CSS Health Technologies, Inc</t>
  </si>
  <si>
    <t>CSS Health Technologies, Inc.</t>
  </si>
  <si>
    <t>Curaspan Health Group</t>
  </si>
  <si>
    <t>CureMD Corporation</t>
  </si>
  <si>
    <t>CureMD.com, Inc.</t>
  </si>
  <si>
    <t>Custom Data Processing, Inc.</t>
  </si>
  <si>
    <t>Custom Software Systems, Inc.</t>
  </si>
  <si>
    <t>Cybax Corporation</t>
  </si>
  <si>
    <t>Cybernius Medical Ltd.</t>
  </si>
  <si>
    <t>Darena Solutions LLC</t>
  </si>
  <si>
    <t>DataGroup Technologies Inc.</t>
  </si>
  <si>
    <t>Datalink Software Development</t>
  </si>
  <si>
    <t>DataNet Solutions, Inc.</t>
  </si>
  <si>
    <t>Datatel Solutions, Inc.</t>
  </si>
  <si>
    <t>Datu Health</t>
  </si>
  <si>
    <t>Dawkins Incorporated</t>
  </si>
  <si>
    <t>dbMotion</t>
  </si>
  <si>
    <t>dbMotion Inc.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</si>
  <si>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</si>
  <si>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</si>
  <si>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</si>
  <si>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</si>
  <si>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</si>
  <si>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</si>
  <si>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</si>
  <si>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</si>
  <si>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</si>
  <si>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DGMED</t>
  </si>
  <si>
    <t>Dialog Medical, Inc.</t>
  </si>
  <si>
    <t>Digital Data Resources, LLC</t>
  </si>
  <si>
    <t>Dignity Health</t>
  </si>
  <si>
    <t>Dimensional Insight</t>
  </si>
  <si>
    <t>Diversified Ophthalmics, Inc.</t>
  </si>
  <si>
    <t>DNA Data Systems</t>
  </si>
  <si>
    <t>doc2MD, Inc.</t>
  </si>
  <si>
    <t>DocPatientNetwork</t>
  </si>
  <si>
    <t>DocTalk LLC.</t>
  </si>
  <si>
    <t>Doctor Office Management, Inc.</t>
  </si>
  <si>
    <t>Doc-tor.com</t>
  </si>
  <si>
    <t>Doc-tor.com, LLC</t>
  </si>
  <si>
    <t>Doctorsync, LLC</t>
  </si>
  <si>
    <t>Doculex Inc.</t>
  </si>
  <si>
    <t>DocuMed, Inc.</t>
  </si>
  <si>
    <t>DocumENT Inc.</t>
  </si>
  <si>
    <t>DocuTAP</t>
  </si>
  <si>
    <t>Downtown Emergency Service Center</t>
  </si>
  <si>
    <t>DOX EMR</t>
  </si>
  <si>
    <t>Dox-Starwriter</t>
  </si>
  <si>
    <t>DrFirst</t>
  </si>
  <si>
    <t>DrMHope Softwares Pvt. Ltd.</t>
  </si>
  <si>
    <t>Dynacare Northwest, Inc.</t>
  </si>
  <si>
    <t>Dynamic Health IT, Inc</t>
  </si>
  <si>
    <t>Dynamic Health IT, Inc.</t>
  </si>
  <si>
    <t>E*HealthLine.com, Inc.</t>
  </si>
  <si>
    <t>EBIO-METRONICS</t>
  </si>
  <si>
    <t>EBSCO Publishing</t>
  </si>
  <si>
    <t>eCareSoft Inc.</t>
  </si>
  <si>
    <t>eCareSoft, Inc.</t>
  </si>
  <si>
    <t>eCast Corporation</t>
  </si>
  <si>
    <t>Ecell Healthcare Inc.</t>
  </si>
  <si>
    <t>eCell Healthcare Inc.</t>
  </si>
  <si>
    <t>eDerm Systems LLC</t>
  </si>
  <si>
    <t>Edgewood Center for Children &amp; Families</t>
  </si>
  <si>
    <t>EDImis, Inc.</t>
  </si>
  <si>
    <t>EDIMS, LLC</t>
  </si>
  <si>
    <t>eHana</t>
  </si>
  <si>
    <t>eHealth Made EASY, LLC</t>
  </si>
  <si>
    <t>eHealthCare Systems, Inc.</t>
  </si>
  <si>
    <t>eHealthFiles, Inc.</t>
  </si>
  <si>
    <t>EHR Doctors, Inc.</t>
  </si>
  <si>
    <t>EHR Solutions Group, LLC</t>
  </si>
  <si>
    <t>EHRCare LLC</t>
  </si>
  <si>
    <t>EHRMagic, Inc.</t>
  </si>
  <si>
    <t>Electronic Services Technologies</t>
  </si>
  <si>
    <t>Embesco LLC</t>
  </si>
  <si>
    <t>EMD Wizard, Inc.</t>
  </si>
  <si>
    <t>Emdeon Business Services LLC</t>
  </si>
  <si>
    <t>e-MDs</t>
  </si>
  <si>
    <t>e-MDs, Inc.</t>
  </si>
  <si>
    <t>eMed Solutions LLC</t>
  </si>
  <si>
    <t>EMedicalNotes,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</si>
  <si>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</si>
  <si>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</si>
  <si>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</si>
  <si>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</si>
  <si>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</si>
  <si>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</si>
  <si>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empowersystems</t>
  </si>
  <si>
    <t>EMR Direct</t>
  </si>
  <si>
    <t>EMR Solutions, Inc.</t>
  </si>
  <si>
    <t>EMRConnect.com</t>
  </si>
  <si>
    <t>EMRgence, LLC</t>
  </si>
  <si>
    <t>Enable HealthCare Inc.</t>
  </si>
  <si>
    <t>Enable Healthcare Inc.</t>
  </si>
  <si>
    <t>Enable Healthcare Inc., (EHI)</t>
  </si>
  <si>
    <t>Enable Healthcare, Inc. (EHI)</t>
  </si>
  <si>
    <t>Encore Health Resources</t>
  </si>
  <si>
    <t>Encore, A Quintiles Company</t>
  </si>
  <si>
    <t>Engineered Care, Inc.</t>
  </si>
  <si>
    <t>Enterprise Healthcare Systems Inc. (MDPlus.Net)</t>
  </si>
  <si>
    <t>Epic Systems Corporation</t>
  </si>
  <si>
    <t>Epocrates, Inc.</t>
  </si>
  <si>
    <t>Eprosystem Inc.</t>
  </si>
  <si>
    <t>eRAD, Inc.</t>
  </si>
  <si>
    <t>eScribe EMR Solutions</t>
  </si>
  <si>
    <t>eSolutions! Healthcare Information Management, Inc.</t>
  </si>
  <si>
    <t>Estuary Electronic Health Records</t>
  </si>
  <si>
    <t>eTransX</t>
  </si>
  <si>
    <t>EuroMed</t>
  </si>
  <si>
    <t>Evident</t>
  </si>
  <si>
    <t>Evolution Technology, LLC d/b/a ClinicAnywhere</t>
  </si>
  <si>
    <t>Evolve Exchange, Inc.</t>
  </si>
  <si>
    <t>Exan Enterprises</t>
  </si>
  <si>
    <t>eXcitewerks Inc.</t>
  </si>
  <si>
    <t>eXcitewerks, Inc.</t>
  </si>
  <si>
    <t>ExitCare, LLC</t>
  </si>
  <si>
    <t>Expert Medical Navigation</t>
  </si>
  <si>
    <t>Explorys, Inc</t>
  </si>
  <si>
    <t>Exym, Inc.</t>
  </si>
  <si>
    <t>Eyecom3 / HealthLine Systems, Inc.</t>
  </si>
  <si>
    <t>Eyefinity</t>
  </si>
  <si>
    <t>Eyefinity, Inc.</t>
  </si>
  <si>
    <t>Eyefinity/OfficeMate</t>
  </si>
  <si>
    <t>Eyeformatics, Inc.</t>
  </si>
  <si>
    <t>EZ Healthcare Inc.</t>
  </si>
  <si>
    <t>EZ Notes Inc.</t>
  </si>
  <si>
    <t>Family Health Centers of San Diego</t>
  </si>
  <si>
    <t>Family Health Centers of San Diego, Inc.</t>
  </si>
  <si>
    <t>Fanno Creek Clinic</t>
  </si>
  <si>
    <t>FannoTek, Inc.</t>
  </si>
  <si>
    <t>FDB (First Databank, Inc.)</t>
  </si>
  <si>
    <t>FEi Systems</t>
  </si>
  <si>
    <t>First Call</t>
  </si>
  <si>
    <t>First DataBank</t>
  </si>
  <si>
    <t>First Medical Solutions</t>
  </si>
  <si>
    <t>FlagShipMD LLC</t>
  </si>
  <si>
    <t>Forerun, Inc</t>
  </si>
  <si>
    <t>Forerun, Inc.</t>
  </si>
  <si>
    <t>Forward Health Group, Inc.</t>
  </si>
  <si>
    <t>FUJIFILM Medical Systems USA</t>
  </si>
  <si>
    <t>FUJIFILM Medical Systems USA, Inc.</t>
  </si>
  <si>
    <t>Future Health</t>
  </si>
  <si>
    <t>FutureNet Technologies Corporation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</si>
  <si>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</si>
  <si>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</si>
  <si>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</si>
  <si>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</si>
  <si>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</si>
  <si>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</si>
  <si>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</si>
  <si>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</si>
  <si>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</si>
  <si>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</si>
  <si>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Genix Technology Inc.</t>
  </si>
  <si>
    <t>Geonetric, Inc.</t>
  </si>
  <si>
    <t>Get Real Health</t>
  </si>
  <si>
    <t>Glenwood Systems LLC</t>
  </si>
  <si>
    <t>Global Products LLC</t>
  </si>
  <si>
    <t>Global Record Systems, LLC</t>
  </si>
  <si>
    <t>GlobalOne Information Technologies, LLC</t>
  </si>
  <si>
    <t>gloStream, Inc.</t>
  </si>
  <si>
    <t>gMed, Inc.</t>
  </si>
  <si>
    <t>GNAX Health</t>
  </si>
  <si>
    <t>GOVIL-GHS, llc</t>
  </si>
  <si>
    <t>Grand Rounds Software</t>
  </si>
  <si>
    <t>Graphium Health</t>
  </si>
  <si>
    <t>Green Apples MedSystems LLC</t>
  </si>
  <si>
    <t>Greenway Medical Technologies, Inc.</t>
  </si>
  <si>
    <t>Gulfstream Healthcare Technology, LLC</t>
  </si>
  <si>
    <t>HAITAI International Corporation</t>
  </si>
  <si>
    <t>Haitai International Corporation</t>
  </si>
  <si>
    <t>Hanasoft, Inc.</t>
  </si>
  <si>
    <t>Harris Corporation</t>
  </si>
  <si>
    <t>Harris Healthcare Solutions</t>
  </si>
  <si>
    <t>HCL Technologies</t>
  </si>
  <si>
    <t>H-DOX</t>
  </si>
  <si>
    <t>HEALTH CARE 2000,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</si>
  <si>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</si>
  <si>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</si>
  <si>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</si>
  <si>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</si>
  <si>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</si>
  <si>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</si>
  <si>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</si>
  <si>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Data Services, Inc.</t>
  </si>
  <si>
    <t>Health Information Management Systems, LLC</t>
  </si>
  <si>
    <t>Health Innovation Technologies, Inc.</t>
  </si>
  <si>
    <t>Health IT Services Group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</si>
  <si>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</si>
  <si>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</si>
  <si>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</si>
  <si>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</si>
  <si>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</si>
  <si>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</si>
  <si>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Healthcare Clinical Consultants, dba, Theronyx</t>
  </si>
  <si>
    <t>Healthcare Management Systems, Inc.</t>
  </si>
  <si>
    <t>Healthcare Management Systems, Inc., Reseller of MEDHOST EDIS v4.2</t>
  </si>
  <si>
    <t>HEALTHeSTATE, LLC</t>
  </si>
  <si>
    <t>HealthIT2 Inc</t>
  </si>
  <si>
    <t>Healthjump, Inc.</t>
  </si>
  <si>
    <t>Healthland</t>
  </si>
  <si>
    <t>Healthland, Inc.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</si>
  <si>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</si>
  <si>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</si>
  <si>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</si>
  <si>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</si>
  <si>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</si>
  <si>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</si>
  <si>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</si>
  <si>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</si>
  <si>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</si>
  <si>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</si>
  <si>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Healthwise, Incorporated</t>
  </si>
  <si>
    <t>heartbase, Inc.</t>
  </si>
  <si>
    <t>Henry Schein Medical Systems</t>
  </si>
  <si>
    <t>Henry Schein Medical Systems, Inc.</t>
  </si>
  <si>
    <t>Henry Schein Practice Solutions, Inc.</t>
  </si>
  <si>
    <t>Herfert Software, Inc.</t>
  </si>
  <si>
    <t>HHT International Consulting, Inc. DBA MDFlow Systems</t>
  </si>
  <si>
    <t>HHT International, Inc.</t>
  </si>
  <si>
    <t>Hill-Rom Holdings, Inc.</t>
  </si>
  <si>
    <t>HInext, LLC</t>
  </si>
  <si>
    <t>HKS Medical Information Systems, Inc.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</si>
  <si>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</si>
  <si>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</si>
  <si>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</si>
  <si>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</si>
  <si>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</si>
  <si>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</si>
  <si>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Iatric Systems, Inc</t>
  </si>
  <si>
    <t>Iatric Systems, Inc.</t>
  </si>
  <si>
    <t>ICAN Solutions, Inc.</t>
  </si>
  <si>
    <t>iCare.com, LLC</t>
  </si>
  <si>
    <t>iChartsMD</t>
  </si>
  <si>
    <t>iChartsMD Corporation</t>
  </si>
  <si>
    <t>ICNet Systems, Inc.</t>
  </si>
  <si>
    <t>ICT Health, Inc.</t>
  </si>
  <si>
    <t>ICU Metrix</t>
  </si>
  <si>
    <t>ICUcare</t>
  </si>
  <si>
    <t>IGI Health, LLC.</t>
  </si>
  <si>
    <t>Ignis System Corp</t>
  </si>
  <si>
    <t>Ignis Systems Corporation</t>
  </si>
  <si>
    <t>IHM Services Company</t>
  </si>
  <si>
    <t>Imagine MD, LLC</t>
  </si>
  <si>
    <t>ImagingElements LLC</t>
  </si>
  <si>
    <t>iMDsoft</t>
  </si>
  <si>
    <t>iMed Software Corporation</t>
  </si>
  <si>
    <t>iMedics Inc.</t>
  </si>
  <si>
    <t>iMedicWare</t>
  </si>
  <si>
    <t>iMedicWare, Inc</t>
  </si>
  <si>
    <t>iMedX, Inc.</t>
  </si>
  <si>
    <t>In Touch EMR</t>
  </si>
  <si>
    <t>Independent Software Solutions, Inc.</t>
  </si>
  <si>
    <t>Indiana Health Information Exchange</t>
  </si>
  <si>
    <t>INFIAN</t>
  </si>
  <si>
    <t>Infian</t>
  </si>
  <si>
    <t>Infinity Practice Partners</t>
  </si>
  <si>
    <t>InfoCare Healthcare Systems (Ireland) Limited</t>
  </si>
  <si>
    <t>Infomedika, Inc.</t>
  </si>
  <si>
    <t>InfoQuest Systems, Inc.</t>
  </si>
  <si>
    <t>Information Management Associates</t>
  </si>
  <si>
    <t>Information Management Associates, Inc.</t>
  </si>
  <si>
    <t>Infor-Med Corporation</t>
  </si>
  <si>
    <t>Infor-Med Medical Information Systems Inc.</t>
  </si>
  <si>
    <t>IngagePatient,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</si>
  <si>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</si>
  <si>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</si>
  <si>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</si>
  <si>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</si>
  <si>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</si>
  <si>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</si>
  <si>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Inova Health System</t>
  </si>
  <si>
    <t>Instakare Accentia Healthcare Solutions Corporation</t>
  </si>
  <si>
    <t>Instant Health Care</t>
  </si>
  <si>
    <t>Institute for Health Metrics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</si>
  <si>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</si>
  <si>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</si>
  <si>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</si>
  <si>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</si>
  <si>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</si>
  <si>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INTEGRIS Health</t>
  </si>
  <si>
    <t>Integritas, Inc.</t>
  </si>
  <si>
    <t>InteHealth</t>
  </si>
  <si>
    <t>Intelerad Medical Systems</t>
  </si>
  <si>
    <t>InteliChart LLC</t>
  </si>
  <si>
    <t>Intelligent Healthcare</t>
  </si>
  <si>
    <t>Interaction Information Technology / Empowerment Systems</t>
  </si>
  <si>
    <t>Interactive Practice Management Systems dba DocWorks</t>
  </si>
  <si>
    <t>Interbit Data, Inc.</t>
  </si>
  <si>
    <t>Interfaceware Inc.</t>
  </si>
  <si>
    <t>Intermountain Healthcare</t>
  </si>
  <si>
    <t>InterSystems</t>
  </si>
  <si>
    <t>Intivia, Inc.</t>
  </si>
  <si>
    <t>IntrinsiQ LLC</t>
  </si>
  <si>
    <t>Intuit Health</t>
  </si>
  <si>
    <t>Intuitive Medical Documents</t>
  </si>
  <si>
    <t>Intuitive Medical Software</t>
  </si>
  <si>
    <t>InTUUN Systems</t>
  </si>
  <si>
    <t>IOD Incorporated</t>
  </si>
  <si>
    <t>IOS HEALTH SYSTEMS</t>
  </si>
  <si>
    <t>IOS Health Systems</t>
  </si>
  <si>
    <t>iPatientCare, Inc.</t>
  </si>
  <si>
    <t>iProcedures LLC</t>
  </si>
  <si>
    <t>IQ-EQ Systems, LLC</t>
  </si>
  <si>
    <t>IQ-EQ Systems, LLC.</t>
  </si>
  <si>
    <t>Iris Medical Services LLC</t>
  </si>
  <si>
    <t>IS Solutions, LLC</t>
  </si>
  <si>
    <t>IsaNetworks, Inc.</t>
  </si>
  <si>
    <t>Isoprime Corporation</t>
  </si>
  <si>
    <t>Issio Solutions, Inc.</t>
  </si>
  <si>
    <t>iStream Technologies, LLC</t>
  </si>
  <si>
    <t>J&amp;H Inc</t>
  </si>
  <si>
    <t>Janssen Diagnostics Inc.</t>
  </si>
  <si>
    <t>Jardogs</t>
  </si>
  <si>
    <t>Jefferson Technical Services, LLC</t>
  </si>
  <si>
    <t>KABOT SYSTEMS</t>
  </si>
  <si>
    <t>Kabot Systems</t>
  </si>
  <si>
    <t>Kaiser Permanente/CIDS</t>
  </si>
  <si>
    <t>Kanick and Company</t>
  </si>
  <si>
    <t>KaZee, Inc.</t>
  </si>
  <si>
    <t>KDH Consulting, Inc.</t>
  </si>
  <si>
    <t>Keane, Inc. Healthcare Solutions Division</t>
  </si>
  <si>
    <t>Kennebec Behavioral Health</t>
  </si>
  <si>
    <t>Kennedy Krieger Institute</t>
  </si>
  <si>
    <t>Kenneth Young Center</t>
  </si>
  <si>
    <t>Kirman Eye</t>
  </si>
  <si>
    <t>klipMedical.com</t>
  </si>
  <si>
    <t>Knack BPO LLC</t>
  </si>
  <si>
    <t>Knack BPO, LLC</t>
  </si>
  <si>
    <t>KPMD</t>
  </si>
  <si>
    <t>KPMD INC.</t>
  </si>
  <si>
    <t>Krames StayWell</t>
  </si>
  <si>
    <t>Krames Staywell</t>
  </si>
  <si>
    <t>Kryptiq Corporation</t>
  </si>
  <si>
    <t>Laboratory Corporation of America</t>
  </si>
  <si>
    <t>Lahey Clinic Foundation Inc</t>
  </si>
  <si>
    <t>Lavender &amp; Wyatt Systems, Inc.</t>
  </si>
  <si>
    <t>Lawson Software Americas, Inc.</t>
  </si>
  <si>
    <t>LCD Solutions Inc./Clicktate</t>
  </si>
  <si>
    <t>LCF Research</t>
  </si>
  <si>
    <t>LDM Group, LLC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</si>
  <si>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</si>
  <si>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</si>
  <si>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</si>
  <si>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</si>
  <si>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</si>
  <si>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</si>
  <si>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</si>
  <si>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Systems Software</t>
  </si>
  <si>
    <t>Lifepoint Informatics</t>
  </si>
  <si>
    <t>Lightning Charts, LLC</t>
  </si>
  <si>
    <t>LIN Software, LLC</t>
  </si>
  <si>
    <t>Liquid Medical Office, Inc.</t>
  </si>
  <si>
    <t>LiquidEHR, Inc.</t>
  </si>
  <si>
    <t>LOGICAREÂ® Corporation</t>
  </si>
  <si>
    <t>LOISS, LTD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</si>
  <si>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</si>
  <si>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</si>
  <si>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</si>
  <si>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</si>
  <si>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</si>
  <si>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</si>
  <si>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</si>
  <si>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</si>
  <si>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MacPractice, Inc.</t>
  </si>
  <si>
    <t>Magellan Health Services</t>
  </si>
  <si>
    <t>MagView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</si>
  <si>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</si>
  <si>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</si>
  <si>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</si>
  <si>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</si>
  <si>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</si>
  <si>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</si>
  <si>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</si>
  <si>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</si>
  <si>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eHealth Collaborative (MAeHC)</t>
  </si>
  <si>
    <t>Massachusetts General Hospital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</si>
  <si>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</si>
  <si>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</si>
  <si>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</si>
  <si>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</si>
  <si>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</si>
  <si>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</si>
  <si>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</si>
  <si>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</si>
  <si>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</si>
  <si>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</si>
  <si>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</si>
  <si>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MCS - Medical Communication Systems, Inc.</t>
  </si>
  <si>
    <t>MD Synergy Solutions, LLC</t>
  </si>
  <si>
    <t>MD Toolbox</t>
  </si>
  <si>
    <t>MD Web Solutions</t>
  </si>
  <si>
    <t>MDclick, Inc.</t>
  </si>
  <si>
    <t>MDI Achieve, Inc.</t>
  </si>
  <si>
    <t>MD-IT (aka Command Health, aka MDnetwork)</t>
  </si>
  <si>
    <t>MD-IT Transcription Services LLC</t>
  </si>
  <si>
    <t>MDLAND</t>
  </si>
  <si>
    <t>MDOFFICE INC.</t>
  </si>
  <si>
    <t>MDoffice Inc.</t>
  </si>
  <si>
    <t>MDoffice, Inc.</t>
  </si>
  <si>
    <t>MDOn-Line</t>
  </si>
  <si>
    <t>MDRhythm, LLC</t>
  </si>
  <si>
    <t>MDToolbox</t>
  </si>
  <si>
    <t>Med USA</t>
  </si>
  <si>
    <t>MED3000, Inc</t>
  </si>
  <si>
    <t>MedAffinity Corporation</t>
  </si>
  <si>
    <t>MEDARC LLC</t>
  </si>
  <si>
    <t>Medaxion LLC</t>
  </si>
  <si>
    <t>Medaxion, Inc.</t>
  </si>
  <si>
    <t>Medaxion, LLC</t>
  </si>
  <si>
    <t>Medaxis Corporation</t>
  </si>
  <si>
    <t>MEDCOM Information Systems, Inc.</t>
  </si>
  <si>
    <t>Medcom Information Systems, Inc.</t>
  </si>
  <si>
    <t>MedcomSoft</t>
  </si>
  <si>
    <t>MedConnex</t>
  </si>
  <si>
    <t>MedeAnalytics, Inc.</t>
  </si>
  <si>
    <t>MEDENT - Community Computer Service, Inc.</t>
  </si>
  <si>
    <t>Medflow</t>
  </si>
  <si>
    <t>Medflow, Inc.</t>
  </si>
  <si>
    <t>Medfusion, Inc.</t>
  </si>
  <si>
    <t>Medical Efficiency Systems, LLC</t>
  </si>
  <si>
    <t>Medical Information Records, LLC</t>
  </si>
  <si>
    <t>Medical Mastermind</t>
  </si>
  <si>
    <t>Medical Messenger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</si>
  <si>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</si>
  <si>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</si>
  <si>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</si>
  <si>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</si>
  <si>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</si>
  <si>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</si>
  <si>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</si>
  <si>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</si>
  <si>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</si>
  <si>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MedicaSoft, LLC</t>
  </si>
  <si>
    <t>Medicat, LLC</t>
  </si>
  <si>
    <t>MedicBits Corporation</t>
  </si>
  <si>
    <t>MedicBright Technologies, LLC</t>
  </si>
  <si>
    <t>Medicfusion EMR</t>
  </si>
  <si>
    <t>Medicity, Inc.</t>
  </si>
  <si>
    <t>Medi-EHR, Inc.</t>
  </si>
  <si>
    <t>Medifacts Inc</t>
  </si>
  <si>
    <t>MediGeek, LLC</t>
  </si>
  <si>
    <t>MediServe</t>
  </si>
  <si>
    <t>Medisolv</t>
  </si>
  <si>
    <t>MEDISOLV INC</t>
  </si>
  <si>
    <t>Medisolv Inc</t>
  </si>
  <si>
    <t>Medisolv Inc.</t>
  </si>
  <si>
    <t>MediSYS</t>
  </si>
  <si>
    <t>Meditab Software Inc.</t>
  </si>
  <si>
    <t>Meditab Software, Inc.</t>
  </si>
  <si>
    <t>Mediture</t>
  </si>
  <si>
    <t>Mediture LLC</t>
  </si>
  <si>
    <t>MediWard</t>
  </si>
  <si>
    <t>Medkind Corporation</t>
  </si>
  <si>
    <t>MedLink International, Inc</t>
  </si>
  <si>
    <t>MedMagic LLC</t>
  </si>
  <si>
    <t>MEDNAX Services, Inc.</t>
  </si>
  <si>
    <t>MedNet System</t>
  </si>
  <si>
    <t>MedOne Hospital Physicians</t>
  </si>
  <si>
    <t>MedPlus, A Quest Diagnostics Company</t>
  </si>
  <si>
    <t>Medrium Inc.</t>
  </si>
  <si>
    <t>Medscribe Communications, Inc.</t>
  </si>
  <si>
    <t>MEDSEEK</t>
  </si>
  <si>
    <t>MedSeek, Inc.</t>
  </si>
  <si>
    <t>MedSym, Inc.</t>
  </si>
  <si>
    <t>MedSys Inc</t>
  </si>
  <si>
    <t>MEDTRON Software Intelligence Corporation</t>
  </si>
  <si>
    <t>Medusind Solutions Inc.</t>
  </si>
  <si>
    <t>MedWorxs LLC</t>
  </si>
  <si>
    <t>MedX Open Systems Inc</t>
  </si>
  <si>
    <t>MedXLnce, Inc.</t>
  </si>
  <si>
    <t>Memorial Health System</t>
  </si>
  <si>
    <t>Memorial Sloan Kettering</t>
  </si>
  <si>
    <t>Mercury Solutions, LLC</t>
  </si>
  <si>
    <t>meridianEMR, Inc.</t>
  </si>
  <si>
    <t>Meridios, Ltd.</t>
  </si>
  <si>
    <t>Methodist Le Bonheur Healthcare</t>
  </si>
  <si>
    <t>Metropolitan Medical Lab, PLC</t>
  </si>
  <si>
    <t>Michael Gibson</t>
  </si>
  <si>
    <t>Micro-Med, Inc.</t>
  </si>
  <si>
    <t>Midas+ / ACS a Xerox Company</t>
  </si>
  <si>
    <t>Midas+ Solutions</t>
  </si>
  <si>
    <t>Midwest Medical Records Association, Inc.</t>
  </si>
  <si>
    <t>Midwest Software, LLC</t>
  </si>
  <si>
    <t>MindLinc</t>
  </si>
  <si>
    <t>MindLinc-Duke</t>
  </si>
  <si>
    <t>Miraca Life Sciences</t>
  </si>
  <si>
    <t>Mirth Corporation</t>
  </si>
  <si>
    <t>Mitochon Systems, Inc.</t>
  </si>
  <si>
    <t>MN Systems</t>
  </si>
  <si>
    <t>MobileMD, a Siemens Business</t>
  </si>
  <si>
    <t>Mobiusoft LLC</t>
  </si>
  <si>
    <t>Modernizing Medicine, Inc.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</si>
  <si>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</si>
  <si>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</si>
  <si>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</si>
  <si>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</si>
  <si>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</si>
  <si>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</si>
  <si>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</si>
  <si>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</si>
  <si>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</si>
  <si>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</si>
  <si>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</si>
  <si>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</si>
  <si>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Munson Healthcare</t>
  </si>
  <si>
    <t>MxSecure, Inc.</t>
  </si>
  <si>
    <t>Mychartsonline.com</t>
  </si>
  <si>
    <t>myhELO, Inc.</t>
  </si>
  <si>
    <t>MyOnlineDr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</si>
  <si>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</si>
  <si>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</si>
  <si>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</si>
  <si>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</si>
  <si>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</si>
  <si>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Navigating Cancer, Inc.</t>
  </si>
  <si>
    <t>NaviNet</t>
  </si>
  <si>
    <t>NaviTouch, LLC</t>
  </si>
  <si>
    <t>NCDR LLC</t>
  </si>
  <si>
    <t>NCG Medical Systems, Inc.</t>
  </si>
  <si>
    <t>Nemo Capital Partners</t>
  </si>
  <si>
    <t>NeoDeck Holdings</t>
  </si>
  <si>
    <t>NeoDeck Software</t>
  </si>
  <si>
    <t>Nesticon, LLC.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</si>
  <si>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</si>
  <si>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</si>
  <si>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</si>
  <si>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</si>
  <si>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</si>
  <si>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</si>
  <si>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</si>
  <si>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</si>
  <si>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</si>
  <si>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Nexsyis, Inc.</t>
  </si>
  <si>
    <t>NexTech Systems Inc.</t>
  </si>
  <si>
    <t>nextEMR, LLC</t>
  </si>
  <si>
    <t>NextGen Healthcare</t>
  </si>
  <si>
    <t>NHS WCS LLC</t>
  </si>
  <si>
    <t>Niagara Falls Memorial Medical Center</t>
  </si>
  <si>
    <t>Nightingale Informatix Corporation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</si>
  <si>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</si>
  <si>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</si>
  <si>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</si>
  <si>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</si>
  <si>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</si>
  <si>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</si>
  <si>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NTT DATA, Inc.</t>
  </si>
  <si>
    <t>Nuance Communications, Inc.</t>
  </si>
  <si>
    <t>Nuesoft Technologies Inc.</t>
  </si>
  <si>
    <t>Nuesoft Technologies, Inc.</t>
  </si>
  <si>
    <t>NurseLineMD</t>
  </si>
  <si>
    <t>NVISIA</t>
  </si>
  <si>
    <t>ODOS Industries, Inc.</t>
  </si>
  <si>
    <t>Offsite Care Resources, Inc.</t>
  </si>
  <si>
    <t>OhioHealth</t>
  </si>
  <si>
    <t>OhMD LLC</t>
  </si>
  <si>
    <t>OIS</t>
  </si>
  <si>
    <t>Olympus America Inc</t>
  </si>
  <si>
    <t>Olympus Corporation of the Americas</t>
  </si>
  <si>
    <t>Omnibus Health</t>
  </si>
  <si>
    <t>Omnicell, Inc.</t>
  </si>
  <si>
    <t>OMS Technologies, LLC</t>
  </si>
  <si>
    <t>OnceLogix</t>
  </si>
  <si>
    <t>OnceLogix, LLC</t>
  </si>
  <si>
    <t>One Healthcare Solution, Inc.</t>
  </si>
  <si>
    <t>Onward Systems Inc.</t>
  </si>
  <si>
    <t>Orchard Software</t>
  </si>
  <si>
    <t>Orchard Software Corporation</t>
  </si>
  <si>
    <t>Order Optimizer</t>
  </si>
  <si>
    <t>Orion Health</t>
  </si>
  <si>
    <t>Orion Healthcare Technology</t>
  </si>
  <si>
    <t>OrionNet Systems, LLC</t>
  </si>
  <si>
    <t>OT EMR, Inc</t>
  </si>
  <si>
    <t>OT EMR, Inc.</t>
  </si>
  <si>
    <t>Outcome Sciences, Inc. (Outcome)</t>
  </si>
  <si>
    <t>Oxbow Intellectual Property, LLC</t>
  </si>
  <si>
    <t>Pacific Medical Communications, Inc.</t>
  </si>
  <si>
    <t>PAL/MED Development, LLC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</si>
  <si>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</si>
  <si>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</si>
  <si>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</si>
  <si>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</si>
  <si>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</si>
  <si>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</si>
  <si>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</si>
  <si>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</si>
  <si>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Patient First</t>
  </si>
  <si>
    <t>PatientClick</t>
  </si>
  <si>
    <t>PatientKeeper</t>
  </si>
  <si>
    <t>PatientNOW</t>
  </si>
  <si>
    <t>PatientOrderSets.com</t>
  </si>
  <si>
    <t>PatientPro Inc.</t>
  </si>
  <si>
    <t>PatientSafe Solutions</t>
  </si>
  <si>
    <t>Patterson Dental Supply, Inc.</t>
  </si>
  <si>
    <t>PBO</t>
  </si>
  <si>
    <t>PCC PhysicianÂ’s Computer Company Â– Pediatric Software</t>
  </si>
  <si>
    <t>PCC Physician's Computer Company - Pediatric Software</t>
  </si>
  <si>
    <t>PCE Systems</t>
  </si>
  <si>
    <t>PeaceHealth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</si>
  <si>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</si>
  <si>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</si>
  <si>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</si>
  <si>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</si>
  <si>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</si>
  <si>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</si>
  <si>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</si>
  <si>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Phyaura, LLC</t>
  </si>
  <si>
    <t>Physician Software Solutions</t>
  </si>
  <si>
    <t>Phytel Inc.</t>
  </si>
  <si>
    <t>Phytel, Inc.</t>
  </si>
  <si>
    <t>Pinnacle Management Group, INC</t>
  </si>
  <si>
    <t>Pinpoint MD</t>
  </si>
  <si>
    <t>Planet DDS, Inc.</t>
  </si>
  <si>
    <t>PlatinumMD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</si>
  <si>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</si>
  <si>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</si>
  <si>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</si>
  <si>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</si>
  <si>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Power Infosys, Inc.</t>
  </si>
  <si>
    <t>Practice Alternatives, Inc.</t>
  </si>
  <si>
    <t>Practice Communications</t>
  </si>
  <si>
    <t>Practice Director</t>
  </si>
  <si>
    <t>Practice Interactive, LLC</t>
  </si>
  <si>
    <t>Practice Today</t>
  </si>
  <si>
    <t>Practice Velocity, LLC</t>
  </si>
  <si>
    <t>Practice Velocity, LLC.</t>
  </si>
  <si>
    <t>PracticeMax, Inc.</t>
  </si>
  <si>
    <t>Practice-Web Inc.</t>
  </si>
  <si>
    <t>Prairie Cardiovascular Consultants, LTD</t>
  </si>
  <si>
    <t>Prematics</t>
  </si>
  <si>
    <t>PrescribersConnection, LLC</t>
  </si>
  <si>
    <t>Press Ganey Associates</t>
  </si>
  <si>
    <t>Press Ganey Associates, Inc.</t>
  </si>
  <si>
    <t>Prime Clinical Systems, Inc.</t>
  </si>
  <si>
    <t>PriMedx Solutions, LLC</t>
  </si>
  <si>
    <t>PrimeSource Healthcare Systems, Inc.</t>
  </si>
  <si>
    <t>Private Practice Maternity</t>
  </si>
  <si>
    <t>Privia Health</t>
  </si>
  <si>
    <t>Procentive</t>
  </si>
  <si>
    <t>Professional Economics Bureau of America, Inc.</t>
  </si>
  <si>
    <t>Professional Imaging LLC</t>
  </si>
  <si>
    <t>Professional Imaging, LLC</t>
  </si>
  <si>
    <t>ProMed Clinical Systems, LLC</t>
  </si>
  <si>
    <t>ProNex Inc.</t>
  </si>
  <si>
    <t>ProVation Medical</t>
  </si>
  <si>
    <t>Providence Service Corporation</t>
  </si>
  <si>
    <t>Prudent Technologies LLC</t>
  </si>
  <si>
    <t>Psyche Systems Corporation</t>
  </si>
  <si>
    <t>PsyTech Solutions, Inc.</t>
  </si>
  <si>
    <t>Pulse Systems</t>
  </si>
  <si>
    <t>Pulse Systems, Inc</t>
  </si>
  <si>
    <t>PyraMED Health Systems</t>
  </si>
  <si>
    <t>Quantros, Inc.</t>
  </si>
  <si>
    <t>Quest Diagnostics</t>
  </si>
  <si>
    <t>Quest Diagnostics Incorporated</t>
  </si>
  <si>
    <t>Quintal Technologies, Inc.</t>
  </si>
  <si>
    <t>Qvera LLC</t>
  </si>
  <si>
    <t>Rabbit Healthcare Systems</t>
  </si>
  <si>
    <t>Radysans, Inc.</t>
  </si>
  <si>
    <t>RamSoft Inc.</t>
  </si>
  <si>
    <t>Ramsoft, Inc.</t>
  </si>
  <si>
    <t>Recombinant Data</t>
  </si>
  <si>
    <t>Redpine Healthcare Technologies</t>
  </si>
  <si>
    <t>RegisterPatient</t>
  </si>
  <si>
    <t>RelayHealth, a division of McKesson Corp.</t>
  </si>
  <si>
    <t>RelayHealth, a division of McKesson Corporation</t>
  </si>
  <si>
    <t>RelayHealth, a Division of McKesson Technologies, Inc.</t>
  </si>
  <si>
    <t>Reli Med Solutions</t>
  </si>
  <si>
    <t>Reliance Software Systems, Inc.</t>
  </si>
  <si>
    <t>Renesan Software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</si>
  <si>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</si>
  <si>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</si>
  <si>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</si>
  <si>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</si>
  <si>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</si>
  <si>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</si>
  <si>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</si>
  <si>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</si>
  <si>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</si>
  <si>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</si>
  <si>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RT-MediBus Technologies Private Limited</t>
  </si>
  <si>
    <t>RT-Medibus Technologies Private Limited</t>
  </si>
  <si>
    <t>Rush University Medical Center</t>
  </si>
  <si>
    <t>Rushmore Corporation</t>
  </si>
  <si>
    <t>RWHC QI Program</t>
  </si>
  <si>
    <t>RxExpress, LLC</t>
  </si>
  <si>
    <t>RxOffice Inc.</t>
  </si>
  <si>
    <t>Sabiamed Corporation</t>
  </si>
  <si>
    <t>Sage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</si>
  <si>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</si>
  <si>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</si>
  <si>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</si>
  <si>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</si>
  <si>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</si>
  <si>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</si>
  <si>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</si>
  <si>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SCC Soft Computer</t>
  </si>
  <si>
    <t>SCI Solutions</t>
  </si>
  <si>
    <t>Scripps Health</t>
  </si>
  <si>
    <t>SeamLESS, LLC</t>
  </si>
  <si>
    <t>Sectra North America, Inc.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</si>
  <si>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</si>
  <si>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</si>
  <si>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</si>
  <si>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</si>
  <si>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</si>
  <si>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</si>
  <si>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</si>
  <si>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</si>
  <si>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</si>
  <si>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</si>
  <si>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</si>
  <si>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</si>
  <si>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Sigmund Software</t>
  </si>
  <si>
    <t>Sigmund Software, LLC</t>
  </si>
  <si>
    <t>Silk Information Systems, Inc.</t>
  </si>
  <si>
    <t>simplifyMD, INC</t>
  </si>
  <si>
    <t>simplifyMD, Inc</t>
  </si>
  <si>
    <t>simplifyMD, LLC</t>
  </si>
  <si>
    <t>Sindhu Synergy, LTD</t>
  </si>
  <si>
    <t>Skylight Healthcare Systems</t>
  </si>
  <si>
    <t>Smart ID Works</t>
  </si>
  <si>
    <t>SMART Management, Inc.</t>
  </si>
  <si>
    <t>SMARTMDÂ™ Corporation</t>
  </si>
  <si>
    <t>SMB Medical Billing</t>
  </si>
  <si>
    <t>Social Solutions</t>
  </si>
  <si>
    <t>Socrates Healthcare Informatics</t>
  </si>
  <si>
    <t>Softech Inc.</t>
  </si>
  <si>
    <t>Software Fulcrum, Inc.</t>
  </si>
  <si>
    <t>Software Solutions Group, Inc</t>
  </si>
  <si>
    <t>Software Unlimited Inc.</t>
  </si>
  <si>
    <t>Son Information Systems, Inc.</t>
  </si>
  <si>
    <t>Sophrona Solutions, Inc.</t>
  </si>
  <si>
    <t>Soren Technology</t>
  </si>
  <si>
    <t>SpectraMedix</t>
  </si>
  <si>
    <t>Spectrum Software Solutions, Inc.</t>
  </si>
  <si>
    <t>Spring Medical Systems</t>
  </si>
  <si>
    <t>Spring Medical Systems, Inc.</t>
  </si>
  <si>
    <t>SRCT Inc</t>
  </si>
  <si>
    <t>SRSsoft</t>
  </si>
  <si>
    <t>SSI Health</t>
  </si>
  <si>
    <t>St. Vincent Anderson Regional Hospital</t>
  </si>
  <si>
    <t>St. Vincent Madison County Health System, Inc.-Saint John's Health System</t>
  </si>
  <si>
    <t>Star-EHR Enterprises, LLC</t>
  </si>
  <si>
    <t>Sterling Healthcare Information Systems Management, LLC</t>
  </si>
  <si>
    <t>StevenDale Software</t>
  </si>
  <si>
    <t>Stratus EMR</t>
  </si>
  <si>
    <t>Stratus EMR, Inc.</t>
  </si>
  <si>
    <t>StreamlineMD, LLC</t>
  </si>
  <si>
    <t>SuccessEHS</t>
  </si>
  <si>
    <t>SuccessEHS, Inc., a Division of Vitera Healthcare Solutions</t>
  </si>
  <si>
    <t>SuiteMed</t>
  </si>
  <si>
    <t>Summit Imaging, Inc.</t>
  </si>
  <si>
    <t>Sunquest Information Systems, Inc.</t>
  </si>
  <si>
    <t>Surgical Information Systems</t>
  </si>
  <si>
    <t>Swearingen Software Inc.</t>
  </si>
  <si>
    <t>SynaMed, LLC</t>
  </si>
  <si>
    <t>TactusMD, Inc.</t>
  </si>
  <si>
    <t>TactusMDÂ™</t>
  </si>
  <si>
    <t>TDO Software, Inc.</t>
  </si>
  <si>
    <t>Tech Plus Systems, Inc.</t>
  </si>
  <si>
    <t>Technology Partners, Inc. dba IMAGINE Software</t>
  </si>
  <si>
    <t>Tech-Time, Inc.</t>
  </si>
  <si>
    <t>TECNEX Systems, LLC</t>
  </si>
  <si>
    <t>TELCOR Inc</t>
  </si>
  <si>
    <t>Telemedicine Solutions, LLC</t>
  </si>
  <si>
    <t>TeleResults</t>
  </si>
  <si>
    <t>TeleVox Software</t>
  </si>
  <si>
    <t>Televox Software</t>
  </si>
  <si>
    <t>Tenet Healthsystem Medical, Inc.</t>
  </si>
  <si>
    <t>tgi Software</t>
  </si>
  <si>
    <t>The Advisory Board Company</t>
  </si>
  <si>
    <t>The Delta Group</t>
  </si>
  <si>
    <t>The MITRE Corporation on behalf of the Office of the National Coordinator for Health IT (ONC)</t>
  </si>
  <si>
    <t>The Permanente Medical Group (Northern California)</t>
  </si>
  <si>
    <t>TheraManager LLC</t>
  </si>
  <si>
    <t>Therap Services</t>
  </si>
  <si>
    <t>Thomson Reuters (Healthcare) Inc.</t>
  </si>
  <si>
    <t>TIMS INC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</si>
  <si>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</si>
  <si>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</si>
  <si>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</si>
  <si>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</si>
  <si>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</si>
  <si>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</si>
  <si>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TRAKnet PM LLC</t>
  </si>
  <si>
    <t>TRANSMED NETWORK INC.</t>
  </si>
  <si>
    <t>TransMedic</t>
  </si>
  <si>
    <t>Trellis Health Partners</t>
  </si>
  <si>
    <t>Trellix Engineering Corp.</t>
  </si>
  <si>
    <t>TriMed Technologies Corp</t>
  </si>
  <si>
    <t>TriMed Technologies, Corp.</t>
  </si>
  <si>
    <t>Triyam LLC</t>
  </si>
  <si>
    <t>True Process Inc.</t>
  </si>
  <si>
    <t>T-System Technologies, Ltd.</t>
  </si>
  <si>
    <t>T-System, Inc.</t>
  </si>
  <si>
    <t>Tu Record Corp</t>
  </si>
  <si>
    <t>UAB Health System</t>
  </si>
  <si>
    <t>UAMS</t>
  </si>
  <si>
    <t>UC Charting Solutions, Inc.</t>
  </si>
  <si>
    <t>UHC</t>
  </si>
  <si>
    <t>Ulrich Medical Concepts</t>
  </si>
  <si>
    <t>Ulrich Medical Concepts, Inc.</t>
  </si>
  <si>
    <t>UNC Health Care</t>
  </si>
  <si>
    <t>UNI/CARE Systems, Inc</t>
  </si>
  <si>
    <t>Unibased Systems Architecture, Inc.</t>
  </si>
  <si>
    <t>Unifi Technologies</t>
  </si>
  <si>
    <t>Unifi Technologies, Inc.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</si>
  <si>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</si>
  <si>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</si>
  <si>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</si>
  <si>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</si>
  <si>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</si>
  <si>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UPHS, Penn Medicine</t>
  </si>
  <si>
    <t>UpToDate, Division of Wolters Kluwer Health</t>
  </si>
  <si>
    <t>UrgentCare Works</t>
  </si>
  <si>
    <t>US Oncology</t>
  </si>
  <si>
    <t>User Friendly EMR</t>
  </si>
  <si>
    <t>UT MD Anderson Cancer Center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</si>
  <si>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</si>
  <si>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</si>
  <si>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</si>
  <si>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</si>
  <si>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</si>
  <si>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</si>
  <si>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veEDIS Clinical Systems, LLC</t>
  </si>
  <si>
    <t>VeinDraw</t>
  </si>
  <si>
    <t>Vericle, Inc.</t>
  </si>
  <si>
    <t>Verisma Systems Inc.</t>
  </si>
  <si>
    <t>VersaForm Systems Corp.</t>
  </si>
  <si>
    <t>VersaSuite</t>
  </si>
  <si>
    <t>Versaworks, Inc.</t>
  </si>
  <si>
    <t>VHA-UHC Data NewCo, LLC</t>
  </si>
  <si>
    <t>Via Christi Health</t>
  </si>
  <si>
    <t>Vinformatix, LLC</t>
  </si>
  <si>
    <t>VIP Medicine, LLC</t>
  </si>
  <si>
    <t>Virco Lab, Inc.</t>
  </si>
  <si>
    <t>Vision Infonet Inc</t>
  </si>
  <si>
    <t>Vision Infonet Inc.,</t>
  </si>
  <si>
    <t>Visionary HealthWare, LLC</t>
  </si>
  <si>
    <t>VitalHealth Software</t>
  </si>
  <si>
    <t>Vitalz Technologies, LLC</t>
  </si>
  <si>
    <t>Vitera Healthcare Solutions, LLC</t>
  </si>
  <si>
    <t>Vitera Healthcare Solutions, LLC. (formerly Sage)</t>
  </si>
  <si>
    <t>Vohra Wound Physicians Management, LLC.</t>
  </si>
  <si>
    <t>Waiting Room Solutions</t>
  </si>
  <si>
    <t>Wakan Vision Inc.</t>
  </si>
  <si>
    <t>Webconsort LLC</t>
  </si>
  <si>
    <t>Weber Human Services</t>
  </si>
  <si>
    <t>Webstride, LLC</t>
  </si>
  <si>
    <t>WellCentive</t>
  </si>
  <si>
    <t>Wellcentive,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</si>
  <si>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</si>
  <si>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</si>
  <si>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</si>
  <si>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</si>
  <si>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</si>
  <si>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</si>
  <si>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</si>
  <si>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</si>
  <si>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</si>
  <si>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</si>
  <si>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</si>
  <si>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</si>
  <si>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</si>
  <si>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</si>
  <si>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</si>
  <si>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</si>
  <si>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</si>
  <si>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</si>
  <si>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Xcite Health Corp.</t>
  </si>
  <si>
    <t>Xcite Health Corp. and Encounterpro Healthcare Resources Inc.</t>
  </si>
  <si>
    <t>XH Software</t>
  </si>
  <si>
    <t>XLEMR</t>
  </si>
  <si>
    <t>Xpress Technologies</t>
  </si>
  <si>
    <t>Yak Digital Corp.</t>
  </si>
  <si>
    <t>Zenith Technology Solutions, LLC</t>
  </si>
  <si>
    <t>Z-Geoinfo Inc.</t>
  </si>
  <si>
    <t>ZipChart, Inc.</t>
  </si>
  <si>
    <t>ZirMed</t>
  </si>
  <si>
    <t>ZocDoc Inc.</t>
  </si>
  <si>
    <t>ZOOMMED USA INC</t>
  </si>
  <si>
    <t>Zotec Partners, LLC</t>
  </si>
  <si>
    <t>Zyantus Inc.</t>
  </si>
  <si>
    <t>insert into openchpl.acb_vendor_map (vendor_id, certification_body_id, transparency_attestation, last_modified_user) select vend.vendor_id, cb.certification_body_id, '</t>
  </si>
  <si>
    <t>Affirmative</t>
  </si>
  <si>
    <t>Negative</t>
  </si>
  <si>
    <t>update openchpl.certified_product as cp set transparency_attestation_url = '</t>
  </si>
  <si>
    <t>' from (select certified_product_id from openchpl.certified_product as cp where cp.acb_certification_id = '</t>
  </si>
  <si>
    <t>') as subquery where cp.certified_product_id = subquery.certified_product_id;</t>
  </si>
  <si>
    <t>attestation</t>
  </si>
  <si>
    <t>url</t>
  </si>
  <si>
    <t>ACB</t>
  </si>
  <si>
    <t>Drummond Group Inc.</t>
  </si>
  <si>
    <t>' and cb."name" = '</t>
  </si>
  <si>
    <t>' and cp.product_version_id = pv.product_version_id and pv.product_id = p.product_id and p.vendor_id = vend.vendor_id;</t>
  </si>
  <si>
    <t>', -1 from openchpl.certified_product as cp, openchpl.certification_body as cb, openchpl.product_version as pv, openchpl.product as p, openchpl.vendor as vend where cp.acb_certification_id = '</t>
  </si>
  <si>
    <t>Insert attestation</t>
  </si>
  <si>
    <t>Update CP URL Dev-wide</t>
  </si>
  <si>
    <t>Update CP single product</t>
  </si>
  <si>
    <t>Please enter “0” if transparency attestation URL applies for all products from a vendor, Please enter "1" URL applies only to single product</t>
  </si>
  <si>
    <t>Date Modified (Please enter date row was modified and submitted to ONC)</t>
  </si>
  <si>
    <t>AmbulatoryAcurus Solutions, Inc.Capella EHR5.42014IG-2524-14-0093</t>
  </si>
  <si>
    <t>AmbulatoryAdaptamed, LLCAdaptamed EMR6.2.0.02014IG-2487-14-0032</t>
  </si>
  <si>
    <t>AmbulatoryAprima Medical Software, IncAprima PRM 201515.0.12014IG-2999-15-0061</t>
  </si>
  <si>
    <t>AmbulatoryAprima Medical Software, Inc.Aprima PRM 201414.0.12014IG-2999-14-0051</t>
  </si>
  <si>
    <t>AmbulatoryAzara Healthcare, LLCAzara DRVSAzara DRVS IMMUNIZATIONS 1.02014IG-3114-15-0028</t>
  </si>
  <si>
    <t>AmbulatoryBACTES Imagin Solutions, LLCRequest Management System (RMS)2.32014IG-2865-14-0052</t>
  </si>
  <si>
    <t>AmbulatoryBearhug Technologies, LLCBearhug12014IG-3279-14-0056</t>
  </si>
  <si>
    <t>https://www.bearhugtech.com/bearhug/mu.html</t>
  </si>
  <si>
    <t>AmbulatoryBioMed Informatics, LLC dba NexGenicImageInbox®22014IG-3150-14-0014</t>
  </si>
  <si>
    <t>AmbulatoryBonafide Management Systems, Inc.Bonafide EHR82014IG-3074-13-0050</t>
  </si>
  <si>
    <t>AmbulatoryBraintree HealthBRAINTREE8.2.1.12014IG-3002-15-0008</t>
  </si>
  <si>
    <t>AmbulatoryCareTracker, Inc.Harris CareTrackerVersion 8.12014IG-3281-15-0019</t>
  </si>
  <si>
    <t>AmbulatoryComplete Medical Solutions, LLCMyWinmed EHR3.02014IG-2403-14-0042</t>
  </si>
  <si>
    <t>AmbulatoryCompuGroup Medical, Inc.CGM ENTERPRISE EHR™10.12014IG-3200-15-0047</t>
  </si>
  <si>
    <t>http://www.cgm.com/us/products___solutions_11/ehr_and_pm_solutions/cgm_enterprise_ehr___pm/ehr_and_pm_solutions.en.jsp</t>
  </si>
  <si>
    <t>AmbulatoryCompuGroup Medical, Inc.CGM webEHR™7.3.02014IG-2351-14-0024</t>
  </si>
  <si>
    <t>http://www.cgm.com/us/products___solutions_11/ehr_and_pm_solutions/cgm_webehr/CGM-EHRweb.en.jsp</t>
  </si>
  <si>
    <t>AmbulatoryCompuGroup Medical, Inc.CGM CLINICAL™8.22014IG-3199-14-0025</t>
  </si>
  <si>
    <t>http://www.cgm.com/us/products___solutions_11/ehr_and_pm_solutions/cgm_clinical/CGM-CLINICAL.en.jsp</t>
  </si>
  <si>
    <t>AmbulatoryConcinnityConcinnity12014IG-3478-14-0108</t>
  </si>
  <si>
    <t>AmbulatoryConnexin SoftwareOffice Practicum142014IG-2539-14-0076</t>
  </si>
  <si>
    <t>AmbulatoryCustom Computing CorporationFreedom Medical Systems EHRv5.0 r22014IG-3269-15-0014</t>
  </si>
  <si>
    <t>AmbulatoryDR Systems, Inc.eHR Meaningful Use2.02014IG-2630-14-0005</t>
  </si>
  <si>
    <t>AmbulatoryData Tec, Inc.PowerSoftMD CertifiedMU2A2014IG-2710-14-0026</t>
  </si>
  <si>
    <t>AmbulatoryDataGroup Technologies Inc.EncounterWorks EHR5.02014IG-3424-15-0015</t>
  </si>
  <si>
    <t>AmbulatoryDexter Solutions InceZDocs EHR3.02014IG-2388-14-0046</t>
  </si>
  <si>
    <t>AmbulatoryDigital Medical Solutions, Inc.Office Medicine142014IG-2373-14-0095</t>
  </si>
  <si>
    <t>AmbulatoryDrScribe, Inc.365EHR4.0.142014IG-2697-15-0020</t>
  </si>
  <si>
    <t>InpatientDraeger Medical Inc.Innovian® Anesthesia5.22014IG-2596-14-0078</t>
  </si>
  <si>
    <t>AmbulatoryEmerald Health LLCEmerald EMR42014IG-2506-15-0012</t>
  </si>
  <si>
    <t>AmbulatoryEnSoftek, IncDr Cloud EMR20152014IG-3400-15-0036</t>
  </si>
  <si>
    <t>AmbulatoryEndoSoft, LLCEndoVault®3.02014IG-3332-15-0021</t>
  </si>
  <si>
    <t>AmbulatoryFIGmd Inc.FIGmd Registry Platform6.02014IG-3126-15-0066</t>
  </si>
  <si>
    <t>AmbulatoryFairWarning® Technologies, Inc.FairWarning® Patient Privacy Monitoring2.92014IG-2936-13-0004</t>
  </si>
  <si>
    <t>InpatientGE HealthcareCentricity Perinatal (CPN) 6.95.3R6953000032014IG-2392-14-0079</t>
  </si>
  <si>
    <t>AmbulatoryGeniusDoc, Inc.GeniusDoc10.02014IG-3306-14-0064</t>
  </si>
  <si>
    <t>AmbulatoryGoldblatt SystemsClinical Semantic Network (CSN)7.0.32014IG-2763-15-0053</t>
  </si>
  <si>
    <t>AmbulatoryGreen Clinical Systems Inc.GREEN CLINICAL EHR2.02014IG-2577-14-0062</t>
  </si>
  <si>
    <t>http://greenclinical.info  </t>
  </si>
  <si>
    <t>AmbulatoryHealth Companion, Inc.Health Companion®3.52014IG-3143-13-0049</t>
  </si>
  <si>
    <t>AmbulatoryHippoverseHippoverse1.0.0.5162014IG-3403-15-0004</t>
  </si>
  <si>
    <t>AmbulatoryIndian Health ServiceResource and Patient Management System Electronic Health RecordRPMS Suite (BCER) v2.02014IG-2419-14-0020</t>
  </si>
  <si>
    <t>AmbulatoryInfinite Software Solutions Inc. (D/B/A/ MD-Reports)MD-ReportsV10(mu2)2014IG-2529-14-0110</t>
  </si>
  <si>
    <t>AmbulatoryInfinitt North AmericaInfinitt G3 RIS3.0.11.42014IG-2384-16-0008</t>
  </si>
  <si>
    <t>AmbulatoryInsight Software, LLCMy Vision Express20142014IG-2397-15-0062</t>
  </si>
  <si>
    <t>AmbulatoryInstantDx, LLCOnCallData5.02014IG-2552-14-0099</t>
  </si>
  <si>
    <t>AmbulatoryInsync Healthcare Solutions LLCInsync PM/EMR82014IG-3282-15-0026</t>
  </si>
  <si>
    <t>AmbulatoryKrassons, Inc.Clinicians Gateway3.6.02014IG-2824-15-0013</t>
  </si>
  <si>
    <t>http://www.krassons.com/gateway.htm</t>
  </si>
  <si>
    <t>InpatientLogRhythm, IncLogRhythm Security Intelligence Platform6.2.22014IG-3201-14-0028</t>
  </si>
  <si>
    <t>https://logrhythm.com/solutions/meaningful-use/</t>
  </si>
  <si>
    <t>AmbulatoryLogRhythm, Inc.LogRhythm Security Intelligence Platform6.3.42014IG-3201-15-0045</t>
  </si>
  <si>
    <t>AmbulatoryMD On-Line, Inc.InSync PM/EMR7.02014IG-3282-14-0050</t>
  </si>
  <si>
    <t>AmbulatoryMedA-Z.net, LLCMedAZ140801.0002014IG-2349-14-0098</t>
  </si>
  <si>
    <t>AmbulatoryMedsphere Systems CorporationOpenVista CareVue1.72014IG-2449-14-0019</t>
  </si>
  <si>
    <t>InpatientMeta Pharmacy Systems, Inc. dba Meta Healthcare IT SolutionsMetaCare Enterprise EHR6.3.32014IG-2592-14-0045</t>
  </si>
  <si>
    <t>AmbulatoryMicro Office SystemsPCG3.12014IG-3113-13-0041</t>
  </si>
  <si>
    <t>AmbulatoryModuleMD, LLCModuleMD WISE8.0.02014IG-2353-13-0038</t>
  </si>
  <si>
    <t>http://www.modulemd.com/value-stack/onc-certified.html</t>
  </si>
  <si>
    <t>AmbulatoryNextServices, Inc.enki2.02014IG-3413-14-0109</t>
  </si>
  <si>
    <t>AmbulatoryNovobiCQM Engine2.32014IG-3439-14-0101</t>
  </si>
  <si>
    <t>AmbulatoryOptumInsightOptum PM and Physician EMR8.12014IG-3281-14-0054</t>
  </si>
  <si>
    <t>AmbulatoryPEPID, LLCPEPID EHR Module1.0.3.712014IG-2967-13-0013</t>
  </si>
  <si>
    <t>AmbulatoryPenn Medical Informatics Systems, Inc.EyeDoc EMR10.02014IG-3149-14-0022</t>
  </si>
  <si>
    <t>InpatientPieran LLC, dba Pieran Health TechnologiesNative Health Connectionv1.02014IG-3307-15-0006</t>
  </si>
  <si>
    <t>AmbulatoryPluralSoftCareQuotient2014Q301.03.012014IG-3385-14-0082</t>
  </si>
  <si>
    <t>AmbulatoryPracticeSuite, Inc.PracticeSuiteEHR-17.0.02014IG-2412-14-0086</t>
  </si>
  <si>
    <t>AmbulatoryProductive Programming, Inc.Care Compass1.3.0.02014IG-3198-14-0085</t>
  </si>
  <si>
    <t>AmbulatoryQuantum Innovations, Inc.PWeR3.02014IG-3086-15-0029</t>
  </si>
  <si>
    <t>AmbulatoryQuikEyesQuikEyes14.0.02014IG-3290-15-0048</t>
  </si>
  <si>
    <t>InpatientRazorInsights, LLCONE - Electronic Health Record3.02014IG-2445-14-0006</t>
  </si>
  <si>
    <t>AmbulatoryReportingMD, Inc.Total Outcomes ManagementQRDA 3 Generator v7.22014IG-3350-15-0011</t>
  </si>
  <si>
    <t>http://reportingmd.com/products/tom/</t>
  </si>
  <si>
    <t>AmbulatoryScientific Technologies CorporationImmsLink3.42014IG-3027-13-0016</t>
  </si>
  <si>
    <t>http://immslink.stchome.com/#!portfolio-detail/ehr-vendor</t>
  </si>
  <si>
    <t>AmbulatoryScribe Healthcare TechnologiesScribe Platformv 2.2.02014IG-3355-14-0103</t>
  </si>
  <si>
    <t>AmbulatorySiemens Medical Solutions USA, Inc.syngo DynamicsVA102014IG-3487-15-0039</t>
  </si>
  <si>
    <t>AmbulatorySignature Medical GroupQServer1.02014IG-3275-14-0061</t>
  </si>
  <si>
    <t>AmbulatorySoftworx Solutions, Inc.ChiroWrite3.0.0.02014IG-2578-14-0075</t>
  </si>
  <si>
    <t>AmbulatoryStockell Healthcare Systems, Inc.Medsphere OpenVista Insight2015.12014IG-2623-15-0054</t>
  </si>
  <si>
    <t>AmbulatoryStreamline Healthcare SolutionsSmartCare4.02014IG-2585-15-0018</t>
  </si>
  <si>
    <t>AmbulatorySystemedx Inc2013 Systemedx Clinical Navigator2013.122014IG-3138-14-0008</t>
  </si>
  <si>
    <t>AmbulatoryTenEleven Groupelectronic Clinical Record (eCR)2.82014IG-2655-14-0088</t>
  </si>
  <si>
    <t>AmbulatoryTwistle, Inc.Twistle8305763e2014IG-3095-13-0045</t>
  </si>
  <si>
    <t>AmbulatoryUltraMed SoftwareUltraMed Medical System4.02014IG-2399-15-0007</t>
  </si>
  <si>
    <t>AmbulatoryVecnaPatient Information Exchange92014IG-2898-14-0030</t>
  </si>
  <si>
    <t>AmbulatoryWEBeDoctor, Inc.WEBeDoctor Physician Office6.02014IG-3262-15-0044</t>
  </si>
  <si>
    <t>AmbulatoryWRS HealthWRS Health Web EHR and Practice Management System5.02014IG-3246-14-0065</t>
  </si>
  <si>
    <t>AmbulatoryWisconsin Collaborative for Healthcare Quality, Inc.RBS4.02014IG-3330-16-0007</t>
  </si>
  <si>
    <t>Ambulatorydrchrono Inc.drchrono EHR10.02014IG-2492-14-0047</t>
  </si>
  <si>
    <t>AmbulatoryeMedPractice LLCeMedicalPractice1.02014IG-2636-14-0016</t>
  </si>
  <si>
    <t>AmbulatoryezEMRx IncezEMRxPrivate9.002014IG-2469-14-0004</t>
  </si>
  <si>
    <t>Ambulatoryi2i Systemsi2iTracks7.42014IG-2556-14-0002</t>
  </si>
  <si>
    <t>' from (select certified_product_id from (select vend.vendor_code from openchpl.certified_product as cp, openchpl.product_version as pv, openchpl.product as p, openchpl.vendor as vend where cp.acb_certification_id = '</t>
  </si>
  <si>
    <t>Pledge</t>
  </si>
  <si>
    <t>Value</t>
  </si>
  <si>
    <t>Text</t>
  </si>
  <si>
    <t>Product ID</t>
  </si>
  <si>
    <t>All</t>
  </si>
  <si>
    <t>Single</t>
  </si>
  <si>
    <t>PerProduct</t>
  </si>
  <si>
    <t>URL</t>
  </si>
  <si>
    <t>' and vend.vendor_code = subsubquery.vendor_code and cp.product_version_id = pv.product_version_id and pv.product_id = p.product_id and p.vendor_id = vend.vendor_id) as subquery where cp.certified_product_id = subquery.certified_product_id;</t>
  </si>
  <si>
    <t>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</t>
  </si>
  <si>
    <t>Please enter “0” if transparency pledge and URL apply for all products from a vendor, Please enter 1 if transparency pledge and URL apply to single product</t>
  </si>
  <si>
    <t>Date Modified</t>
  </si>
  <si>
    <t>09112014-2755-1</t>
  </si>
  <si>
    <t>11212014-2701-1</t>
  </si>
  <si>
    <t>03202014-2546-1</t>
  </si>
  <si>
    <t>http://crystalpm.com/certification/</t>
  </si>
  <si>
    <t>02162015-2416-3</t>
  </si>
  <si>
    <t>07102014-2482-6</t>
  </si>
  <si>
    <t>08022013-1889-1</t>
  </si>
  <si>
    <t>10222015-4500-6</t>
  </si>
  <si>
    <t>05142015-2820-8</t>
  </si>
  <si>
    <t>10092014-2853-6</t>
  </si>
  <si>
    <t>07242014-2647-8</t>
  </si>
  <si>
    <t>08142014-2058-5</t>
  </si>
  <si>
    <t>05162014-2602-9</t>
  </si>
  <si>
    <t>04142014-2027-6</t>
  </si>
  <si>
    <t>10082015-3440-5</t>
  </si>
  <si>
    <t>07252013-1798-5</t>
  </si>
  <si>
    <t>12302014-2770-5</t>
  </si>
  <si>
    <t>http://www.bradoc.net/solutions/ehr</t>
  </si>
  <si>
    <t>09252014-2547-8</t>
  </si>
  <si>
    <t>09172015-2160-8</t>
  </si>
  <si>
    <t>09302014-2723-8</t>
  </si>
  <si>
    <t>12192013-2309-8</t>
  </si>
  <si>
    <t>05092013-1786-1</t>
  </si>
  <si>
    <t>02052015-3093-8</t>
  </si>
  <si>
    <t>12302014-2735-5</t>
  </si>
  <si>
    <t>03062014-1891-8</t>
  </si>
  <si>
    <t>06052014-2531-8</t>
  </si>
  <si>
    <t>09302014-2831-3</t>
  </si>
  <si>
    <t>08282014-2772-1</t>
  </si>
  <si>
    <t>08142014-2672-5</t>
  </si>
  <si>
    <t>03212014-2226-6</t>
  </si>
  <si>
    <t>06262014-2455-8</t>
  </si>
  <si>
    <t>01302014-2026-6</t>
  </si>
  <si>
    <t>03062014-2319-9</t>
  </si>
  <si>
    <t>06052014-2671-9</t>
  </si>
  <si>
    <t>04022015-2866-3</t>
  </si>
  <si>
    <t>07212014-2597-1</t>
  </si>
  <si>
    <t>04142014-2606-5</t>
  </si>
  <si>
    <t>03132013-1785-6</t>
  </si>
  <si>
    <t>07102014-2676-3</t>
  </si>
  <si>
    <t>03212014-2401-5</t>
  </si>
  <si>
    <t>07242014-2535-3</t>
  </si>
  <si>
    <t>04282014-2296-1</t>
  </si>
  <si>
    <t>08062015-2943-3</t>
  </si>
  <si>
    <t>09172015-2677-5</t>
  </si>
  <si>
    <t>10312013-2236-5</t>
  </si>
  <si>
    <t>05012014-2620-1</t>
  </si>
  <si>
    <t>05272014-2444-6</t>
  </si>
  <si>
    <t>05302014-2109-5</t>
  </si>
  <si>
    <t>http://docutap.com/drummond-certified-for-meaningful-use</t>
  </si>
  <si>
    <t>06192014-2443-6</t>
  </si>
  <si>
    <t>07312014-2615-1</t>
  </si>
  <si>
    <t>06192014-2485-9</t>
  </si>
  <si>
    <t>12042014-2121-3</t>
  </si>
  <si>
    <t>04072014-2607-1</t>
  </si>
  <si>
    <t>01162014-2244-6</t>
  </si>
  <si>
    <t>09172015-0358-8</t>
  </si>
  <si>
    <t>12182014-2484-5</t>
  </si>
  <si>
    <t>05302014-2199-9</t>
  </si>
  <si>
    <t>04282014-1986-8</t>
  </si>
  <si>
    <t>12182014-2775-5</t>
  </si>
  <si>
    <t>10012015-0271-8</t>
  </si>
  <si>
    <t>03282014-2546-5</t>
  </si>
  <si>
    <t>09242015-3020-5</t>
  </si>
  <si>
    <t>12112014-2789-6</t>
  </si>
  <si>
    <t>01232014-2010-9</t>
  </si>
  <si>
    <t>07022015-0308-5</t>
  </si>
  <si>
    <t>04242015-3119-8</t>
  </si>
  <si>
    <t>05212015-2913-5</t>
  </si>
  <si>
    <t>06192014-1867-1</t>
  </si>
  <si>
    <t>07302015-0229-1</t>
  </si>
  <si>
    <t>09302014-2462-5</t>
  </si>
  <si>
    <t>12112014-2529-5</t>
  </si>
  <si>
    <t>07102014-2066-1</t>
  </si>
  <si>
    <t>12182014-2502-6</t>
  </si>
  <si>
    <t>http://www.chiro8000.com/certification.php</t>
  </si>
  <si>
    <t>12122013-2400-6</t>
  </si>
  <si>
    <t>12302014-2757-3</t>
  </si>
  <si>
    <t>02202014-2594-1</t>
  </si>
  <si>
    <t>http://www3.gehealthcare.com/en/Products/Categories/Healthcare_IT/HITECH</t>
  </si>
  <si>
    <t>02202014-2597-1</t>
  </si>
  <si>
    <t>11212014-2603-5</t>
  </si>
  <si>
    <t>11212014-2604-5</t>
  </si>
  <si>
    <t>11212014-2605-5</t>
  </si>
  <si>
    <t>09302015-4332-5</t>
  </si>
  <si>
    <t>09302015-4333-5</t>
  </si>
  <si>
    <t>09302015-4334-5</t>
  </si>
  <si>
    <t>12302015-4982-5</t>
  </si>
  <si>
    <t>12302015-4983-5</t>
  </si>
  <si>
    <t>12302015-4984-5</t>
  </si>
  <si>
    <t>11212014-2608-5</t>
  </si>
  <si>
    <t>11212014-2609-5</t>
  </si>
  <si>
    <t>11212014-2610-5</t>
  </si>
  <si>
    <t>11212014-2611-5</t>
  </si>
  <si>
    <t>03212014-2602-1</t>
  </si>
  <si>
    <t>03212014-2600-1</t>
  </si>
  <si>
    <t>03212014-2601-1</t>
  </si>
  <si>
    <t>02202014-2595-1</t>
  </si>
  <si>
    <t>02202014-2596-1</t>
  </si>
  <si>
    <t>11212014-2606-5</t>
  </si>
  <si>
    <t>11212014-2607-5</t>
  </si>
  <si>
    <t>09302015-4330-5</t>
  </si>
  <si>
    <t>09302015-4331-5</t>
  </si>
  <si>
    <t>12302015-4980-5</t>
  </si>
  <si>
    <t>12302015-4981-5</t>
  </si>
  <si>
    <t>11212014-2612-5</t>
  </si>
  <si>
    <t>11212014-2613-5</t>
  </si>
  <si>
    <t>03212014-2599-1</t>
  </si>
  <si>
    <t>03212014-2598-1</t>
  </si>
  <si>
    <t>12122013-1815-6</t>
  </si>
  <si>
    <t>08222013-1891-5</t>
  </si>
  <si>
    <t>01302014-2412-6</t>
  </si>
  <si>
    <t>10302014-2958-6</t>
  </si>
  <si>
    <t>09242015-2968-5</t>
  </si>
  <si>
    <t>03052015-2253-1</t>
  </si>
  <si>
    <t>09092013-2025-1</t>
  </si>
  <si>
    <t>05272014-2566-1</t>
  </si>
  <si>
    <t>09252014-2949-6</t>
  </si>
  <si>
    <t>06062014-1918-6</t>
  </si>
  <si>
    <t>09092013-2158-5</t>
  </si>
  <si>
    <t>12302014-2788-1</t>
  </si>
  <si>
    <t>09042014-2249-9</t>
  </si>
  <si>
    <t>03302015-3042-5</t>
  </si>
  <si>
    <t>12192013-2346-5NC</t>
  </si>
  <si>
    <t>04232015-1971-1</t>
  </si>
  <si>
    <t>05022013-1961-8</t>
  </si>
  <si>
    <t>12302015-3870-6</t>
  </si>
  <si>
    <t>08142014-2644-3</t>
  </si>
  <si>
    <t>11212014-2618-6</t>
  </si>
  <si>
    <t>06262014-2461-6</t>
  </si>
  <si>
    <t>01302015-2712-3</t>
  </si>
  <si>
    <t>12192013-2382-5</t>
  </si>
  <si>
    <t>01302014-1799-6</t>
  </si>
  <si>
    <t>06302014-2472-1</t>
  </si>
  <si>
    <t>12052013-2086-9</t>
  </si>
  <si>
    <t>02052015-2616-8</t>
  </si>
  <si>
    <t>http://www.inpracsys.com/ips/compliance</t>
  </si>
  <si>
    <t>05082014-2399-8</t>
  </si>
  <si>
    <t>06262014-2549-5</t>
  </si>
  <si>
    <t>05222014-2487-6</t>
  </si>
  <si>
    <t>06182015-0274-6</t>
  </si>
  <si>
    <t>03282014-2360-6</t>
  </si>
  <si>
    <t>10092014-2129-9</t>
  </si>
  <si>
    <t>09302015-3035-8</t>
  </si>
  <si>
    <t>07192013-1987-5</t>
  </si>
  <si>
    <t>http://www.intersystems.com/our-products/healthshare/meaningful-use-certification/</t>
  </si>
  <si>
    <t>01102014-2342-9</t>
  </si>
  <si>
    <t>05162014-2558-8</t>
  </si>
  <si>
    <t>05272014-2473-5</t>
  </si>
  <si>
    <t>09042014-1910-5</t>
  </si>
  <si>
    <t>11122013-2341-1</t>
  </si>
  <si>
    <t>11112013-2351-1</t>
  </si>
  <si>
    <t>07212014-2859-1</t>
  </si>
  <si>
    <t>09042014-2582-8</t>
  </si>
  <si>
    <t>12182014-2073-5</t>
  </si>
  <si>
    <t>https://my.genesysmd.com/purkinje/default.aspx?enc=HAd1rtUZbsmBBo0sEDuy4bAf+8ryRT8yh9r3/+iHu5rXeFKWiHS6Zt403nPTfkOv</t>
  </si>
  <si>
    <t>07102015-3006-1</t>
  </si>
  <si>
    <t>05302014-2084-9</t>
  </si>
  <si>
    <t>11122015-0508-5</t>
  </si>
  <si>
    <t>12302015-5230-5</t>
  </si>
  <si>
    <t>12302015-5231-5</t>
  </si>
  <si>
    <t>12302015-5232-5</t>
  </si>
  <si>
    <t>11122015-0602-5</t>
  </si>
  <si>
    <t>11122015-0603-5</t>
  </si>
  <si>
    <t>11122015-0604-5</t>
  </si>
  <si>
    <t>07022015-2918-5</t>
  </si>
  <si>
    <t>http://www.medhost.com/offerings/advanced-perioperative/advanced-perioperative-certification</t>
  </si>
  <si>
    <t>10302014-2916-5</t>
  </si>
  <si>
    <t>12302015-1475-5</t>
  </si>
  <si>
    <t>11122015-0350-5</t>
  </si>
  <si>
    <t>05162014-2779-1</t>
  </si>
  <si>
    <t>07192013-2005-6</t>
  </si>
  <si>
    <t>08282014-2195-5</t>
  </si>
  <si>
    <t>http://www.medtronsoftware.com/pdf/newsblasts/MEDEHR_Price_Transparency_Statement_030116.pdf</t>
  </si>
  <si>
    <t>10092014-2526-1</t>
  </si>
  <si>
    <t>07152013-1991-6</t>
  </si>
  <si>
    <t>09252014-2330-8</t>
  </si>
  <si>
    <t>http://www.medusabill.com/EHR.html</t>
  </si>
  <si>
    <t>07302015-0271-6</t>
  </si>
  <si>
    <t>09042014-2895-3</t>
  </si>
  <si>
    <t>http://www.medcpu.com/resources/the-medcpu-meaningful-use-advisor/</t>
  </si>
  <si>
    <t>04142014-1904-9</t>
  </si>
  <si>
    <t>11212013-1814-6</t>
  </si>
  <si>
    <t>http://medinformatix.com/#/MU/MU2</t>
  </si>
  <si>
    <t>09252014-2396-6</t>
  </si>
  <si>
    <t>09302014-2903-6</t>
  </si>
  <si>
    <t>http://www.medonesystems.com/</t>
  </si>
  <si>
    <t>07302015-2560-6</t>
  </si>
  <si>
    <t>12302014-2953-5</t>
  </si>
  <si>
    <t>01222015-3053-1</t>
  </si>
  <si>
    <t>11192015-4690-3</t>
  </si>
  <si>
    <t>06172014-2369-9</t>
  </si>
  <si>
    <t>01232014-2391-6</t>
  </si>
  <si>
    <t>03282014-2440-1</t>
  </si>
  <si>
    <t>12302014-2875-8</t>
  </si>
  <si>
    <t>02162015-3039-6</t>
  </si>
  <si>
    <t>11062014-2593-1</t>
  </si>
  <si>
    <t>03032014-2317-8</t>
  </si>
  <si>
    <t>01162015-2294-1</t>
  </si>
  <si>
    <t>08072014-2497-9</t>
  </si>
  <si>
    <t>05222014-2512-1</t>
  </si>
  <si>
    <t>09032015-1103-3</t>
  </si>
  <si>
    <t>07162015-2937-5</t>
  </si>
  <si>
    <t>02112016-4510-5</t>
  </si>
  <si>
    <t>08072014-2686-5</t>
  </si>
  <si>
    <t>12302014-3004-6</t>
  </si>
  <si>
    <t>06052014-2702-9</t>
  </si>
  <si>
    <t>06182015-0210-5</t>
  </si>
  <si>
    <t>12052013-2024-9</t>
  </si>
  <si>
    <t>http://www.nethealth.com/products/wound-care/woundexpert-software-wound-care-ehr/</t>
  </si>
  <si>
    <t>07162015-2025-8</t>
  </si>
  <si>
    <t>07022015-2076-5</t>
  </si>
  <si>
    <t>03062014-2409-6</t>
  </si>
  <si>
    <t>09172015-3570-6</t>
  </si>
  <si>
    <t>01102014-2465-5</t>
  </si>
  <si>
    <t>07022015-0296-1</t>
  </si>
  <si>
    <t>12192013-1812-1</t>
  </si>
  <si>
    <t>08282014-2726-8</t>
  </si>
  <si>
    <t>11212014-2114-1</t>
  </si>
  <si>
    <t>http://odlink.com/hi-tech_act</t>
  </si>
  <si>
    <t>02262015-3001-6</t>
  </si>
  <si>
    <t>Office Ally, Inc.</t>
  </si>
  <si>
    <t>09172015-4470-6</t>
  </si>
  <si>
    <t>05212015-2896-6</t>
  </si>
  <si>
    <t>01232014-2016-6</t>
  </si>
  <si>
    <t>06042015-0288-1</t>
  </si>
  <si>
    <t>10092014-2212-3</t>
  </si>
  <si>
    <t>12302014-2570-5</t>
  </si>
  <si>
    <t>12302015-9990-3</t>
  </si>
  <si>
    <t>06052014-2114-8</t>
  </si>
  <si>
    <t>12042014-2999-3</t>
  </si>
  <si>
    <t>http://www.mentalhealthbilling.com/disclosurestatement.html</t>
  </si>
  <si>
    <t>09302015-2771-6</t>
  </si>
  <si>
    <t>03282014-2220-5</t>
  </si>
  <si>
    <t>06262014-1989-8</t>
  </si>
  <si>
    <t>https://www.pattersondental.com/AppStore/Details/Eaglesoft%20Clinician</t>
  </si>
  <si>
    <t>11142013-2108-9</t>
  </si>
  <si>
    <t>09302015-2072-5</t>
  </si>
  <si>
    <t>10102013-1937-1</t>
  </si>
  <si>
    <t>12112014-2541-3</t>
  </si>
  <si>
    <t>05212015-3031-3</t>
  </si>
  <si>
    <t>03032014-2090-6</t>
  </si>
  <si>
    <t>11212014-2297-1</t>
  </si>
  <si>
    <t>12192013-2362-5</t>
  </si>
  <si>
    <t>09252014-2367-5</t>
  </si>
  <si>
    <t>05142015-1199-3</t>
  </si>
  <si>
    <t>07242014-2665-6</t>
  </si>
  <si>
    <t>09172015-0297-8</t>
  </si>
  <si>
    <t>12122013-2087-8</t>
  </si>
  <si>
    <t>05072015-0261-8</t>
  </si>
  <si>
    <t>01102014-2299-9</t>
  </si>
  <si>
    <t>10232014-2634-8</t>
  </si>
  <si>
    <t>09112014-2384-1</t>
  </si>
  <si>
    <t>05162014-1982-8</t>
  </si>
  <si>
    <t>06262014-2661-3</t>
  </si>
  <si>
    <t>01102014-2381-5</t>
  </si>
  <si>
    <t>02132014-2114-9</t>
  </si>
  <si>
    <t>06262014-2591-5</t>
  </si>
  <si>
    <t>05212015-0247-3</t>
  </si>
  <si>
    <t>05282015-2836-8</t>
  </si>
  <si>
    <t>08072014-2453-9</t>
  </si>
  <si>
    <t xml:space="preserve">04102015-0195-1 </t>
  </si>
  <si>
    <t>http://www.secureexsolutions.com/resources-publications/secure-exchange-solutions-achieves-onc-acb-certification-for-ses-direct/</t>
  </si>
  <si>
    <t>04282014-2565-9</t>
  </si>
  <si>
    <t>09302014-2241-9</t>
  </si>
  <si>
    <t>11062014-1981-1</t>
  </si>
  <si>
    <t>06292015-2898-3</t>
  </si>
  <si>
    <t>10172013-2404-8</t>
  </si>
  <si>
    <t>https://sophrona.com/products/meaningful-use-portal/</t>
  </si>
  <si>
    <t>09252014-2670-8</t>
  </si>
  <si>
    <t>09302014-2706-6</t>
  </si>
  <si>
    <t>09172015-3381-6</t>
  </si>
  <si>
    <t>09242015-0305-5</t>
  </si>
  <si>
    <t>05142015-0263-3</t>
  </si>
  <si>
    <t>05302014-2636-3</t>
  </si>
  <si>
    <t>03142014-2465-1</t>
  </si>
  <si>
    <t>08202015-0144-3</t>
  </si>
  <si>
    <t>http://www.streamlinehealth.net/looking-glass-health-solutions/coding-cdi/enterprise-content-management/</t>
  </si>
  <si>
    <t>07302015-3021-3</t>
  </si>
  <si>
    <t>http://www.talksoftonline.com/</t>
  </si>
  <si>
    <t>11132014-2936-1</t>
  </si>
  <si>
    <t>04282014-1976-1</t>
  </si>
  <si>
    <t>03032016-6840-8</t>
  </si>
  <si>
    <t>09252014-2479-6</t>
  </si>
  <si>
    <t>10232014-1995-8</t>
  </si>
  <si>
    <t xml:space="preserve">http://www.therapservices.net/therap-clinical-for-meaningful-use-2014-5/ </t>
  </si>
  <si>
    <t>09032015-1301-5</t>
  </si>
  <si>
    <t>09182014-2773-1</t>
  </si>
  <si>
    <t xml:space="preserve">12112014-2589-5 </t>
  </si>
  <si>
    <t>http://transmed.net/prices/index</t>
  </si>
  <si>
    <t>03192015-2996-1</t>
  </si>
  <si>
    <t>03302015-3002-6</t>
  </si>
  <si>
    <t>09042014-2635-3</t>
  </si>
  <si>
    <t>12182014-2604-3</t>
  </si>
  <si>
    <t>03032014-2238-6</t>
  </si>
  <si>
    <t>04102015-0178-5</t>
  </si>
  <si>
    <t>05222014-2648-5</t>
  </si>
  <si>
    <t>12302014-2940-3</t>
  </si>
  <si>
    <t>http://www.vmsehr.com/#&amp;panel1-1</t>
  </si>
  <si>
    <t>08202015-2923-5</t>
  </si>
  <si>
    <t>12302014-2541-6</t>
  </si>
  <si>
    <t>04232015-2971-8</t>
  </si>
  <si>
    <t>08072014-2569-3</t>
  </si>
  <si>
    <t>http://visualoutcomes.com/meaningful_use.html</t>
  </si>
  <si>
    <t>06252015-0212-5</t>
  </si>
  <si>
    <t>05212015-3005-6</t>
  </si>
  <si>
    <t>09042014-1930-5</t>
  </si>
  <si>
    <t>08132015-0402-1</t>
  </si>
  <si>
    <t>12112015-5321-5</t>
  </si>
  <si>
    <t>12182014-2615-1</t>
  </si>
  <si>
    <t>07312014-3001-1</t>
  </si>
  <si>
    <t>07162015-0295-1</t>
  </si>
  <si>
    <t>09302014-2752-6</t>
  </si>
  <si>
    <t>09182014-2528-8</t>
  </si>
  <si>
    <t>http://veedis.com/</t>
  </si>
  <si>
    <t>02072014-2156-1</t>
  </si>
  <si>
    <t xml:space="preserve"> 09252014-2765-6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</si>
</sst>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5" fillId="0" borderId="0" xfId="2" applyBorder="1"/>
    <xf numFmtId="0" fontId="5" fillId="0" borderId="0" xfId="2" applyFill="1" applyBorder="1" applyAlignment="1">
      <alignment vertical="center"/>
    </xf>
    <xf numFmtId="0" fontId="3" fillId="0" borderId="0" xfId="0" applyFont="1" applyAlignment="1"/>
    <xf numFmtId="0" fontId="3" fillId="0" borderId="0" xfId="0" quotePrefix="1" applyFont="1" applyAlignment="1"/>
    <xf numFmtId="0" fontId="1" fillId="0" borderId="0" xfId="3"/>
    <xf numFmtId="0" fontId="4" fillId="0" borderId="0" xfId="3" applyFont="1"/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14" fontId="7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/>
    <xf numFmtId="0" fontId="7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/>
    <xf numFmtId="0" fontId="10" fillId="0" borderId="0" xfId="0" applyFont="1"/>
    <xf numFmtId="0" fontId="7" fillId="2" borderId="0" xfId="0" applyFont="1" applyFill="1" applyBorder="1" applyAlignment="1"/>
    <xf numFmtId="0" fontId="7" fillId="0" borderId="3" xfId="0" applyFont="1" applyBorder="1" applyAlignment="1"/>
    <xf numFmtId="0" fontId="9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 applyAlignment="1">
      <alignment horizontal="center" wrapText="1"/>
    </xf>
    <xf numFmtId="0" fontId="9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2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Border="1" applyAlignment="1"/>
    <xf numFmtId="0" fontId="11" fillId="0" borderId="0" xfId="0" applyFont="1" applyAlignment="1">
      <alignment horizontal="left"/>
    </xf>
  </cellXfs>
  <cellStyles count="4">
    <cellStyle name="Hyperlink 2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gehealthcare.com/en/Products/Categories/Healthcare_IT/~/link.aspx?_id=A658D910255B416686DF679886E0BD7A&amp;_z=z" TargetMode="External"/><Relationship Id="rId299" Type="http://schemas.openxmlformats.org/officeDocument/2006/relationships/hyperlink" Target="http://www.nexusclinical.com/certification/" TargetMode="External"/><Relationship Id="rId21" Type="http://schemas.openxmlformats.org/officeDocument/2006/relationships/hyperlink" Target="http://www.azaleahealth.com/resources/industry-topics/meaningful-use/" TargetMode="External"/><Relationship Id="rId63" Type="http://schemas.openxmlformats.org/officeDocument/2006/relationships/hyperlink" Target="https://ezderm.com/features/" TargetMode="External"/><Relationship Id="rId159" Type="http://schemas.openxmlformats.org/officeDocument/2006/relationships/hyperlink" Target="http://www.greenwayhealth.com/solution/practice-management-enterprises/" TargetMode="External"/><Relationship Id="rId324" Type="http://schemas.openxmlformats.org/officeDocument/2006/relationships/hyperlink" Target="http://mdsuite.com/meaningful-use-disclosure/" TargetMode="External"/><Relationship Id="rId366" Type="http://schemas.openxmlformats.org/officeDocument/2006/relationships/hyperlink" Target="https://www.updox.com/updox-2014-1-onc-hit-certification" TargetMode="External"/><Relationship Id="rId170" Type="http://schemas.openxmlformats.org/officeDocument/2006/relationships/hyperlink" Target="http://ecqmpro.com/ecqm-pro-ehr-meaningful-use-certifications/" TargetMode="External"/><Relationship Id="rId226" Type="http://schemas.openxmlformats.org/officeDocument/2006/relationships/hyperlink" Target="http://www.medhost.com/about-us/meaningful-use-certification" TargetMode="External"/><Relationship Id="rId268" Type="http://schemas.openxmlformats.org/officeDocument/2006/relationships/hyperlink" Target="http://www.medhost.com/offerings/edis/edis-certification" TargetMode="External"/><Relationship Id="rId32" Type="http://schemas.openxmlformats.org/officeDocument/2006/relationships/hyperlink" Target="http://www.citiustech.com/solutions/bi-clinical_15.7_NZ_ONC-Mandatory-Disclosure-Statement.aspx" TargetMode="External"/><Relationship Id="rId74" Type="http://schemas.openxmlformats.org/officeDocument/2006/relationships/hyperlink" Target="http://eyepegasus.com/" TargetMode="External"/><Relationship Id="rId128" Type="http://schemas.openxmlformats.org/officeDocument/2006/relationships/hyperlink" Target="http://www.greenwayhealth.com/solution/electronic-dental-records/" TargetMode="External"/><Relationship Id="rId335" Type="http://schemas.openxmlformats.org/officeDocument/2006/relationships/hyperlink" Target="http://www.rwhc.com/Services/QualityPrograms/RWHCMeaningfulUseeMeasuresSolution.aspx" TargetMode="External"/><Relationship Id="rId377" Type="http://schemas.openxmlformats.org/officeDocument/2006/relationships/hyperlink" Target="http://info.digichart.com/drummond-certified" TargetMode="External"/><Relationship Id="rId5" Type="http://schemas.openxmlformats.org/officeDocument/2006/relationships/hyperlink" Target="http://www.acmeware.com/meaningful-use-for-eligible-hospitals.aspx" TargetMode="External"/><Relationship Id="rId181" Type="http://schemas.openxmlformats.org/officeDocument/2006/relationships/hyperlink" Target="http://www.inforiainc.com/our_company/drummond_certification.html" TargetMode="External"/><Relationship Id="rId237" Type="http://schemas.openxmlformats.org/officeDocument/2006/relationships/hyperlink" Target="http://www.medhost.com/about-us/meaningful-use-certification" TargetMode="External"/><Relationship Id="rId279" Type="http://schemas.openxmlformats.org/officeDocument/2006/relationships/hyperlink" Target="http://home.meditech.com/en/d/regulatoryresources/pages/certification.htm" TargetMode="External"/><Relationship Id="rId43" Type="http://schemas.openxmlformats.org/officeDocument/2006/relationships/hyperlink" Target="http://codonix.com/" TargetMode="External"/><Relationship Id="rId139" Type="http://schemas.openxmlformats.org/officeDocument/2006/relationships/hyperlink" Target="http://www.greenwayhealth.com/solution/electronic-health-record-practice-management/" TargetMode="External"/><Relationship Id="rId290" Type="http://schemas.openxmlformats.org/officeDocument/2006/relationships/hyperlink" Target="http://www.modulemd.com/value-stack/ONC-Certified.html" TargetMode="External"/><Relationship Id="rId304" Type="http://schemas.openxmlformats.org/officeDocument/2006/relationships/hyperlink" Target="http://www.flexmedical.com/education/mu/certification.aspx" TargetMode="External"/><Relationship Id="rId346" Type="http://schemas.openxmlformats.org/officeDocument/2006/relationships/hyperlink" Target="http://sourcemed.net/specialty-hospital-software" TargetMode="External"/><Relationship Id="rId85" Type="http://schemas.openxmlformats.org/officeDocument/2006/relationships/hyperlink" Target="http://www3.gehealthcare.com/en/Products/Categories/Healthcare_IT/~/link.aspx?_id=A658D910255B416686DF679886E0BD7A&amp;_z=z" TargetMode="External"/><Relationship Id="rId150" Type="http://schemas.openxmlformats.org/officeDocument/2006/relationships/hyperlink" Target="http://www.greenwayhealth.com/solution/chc-electronic-health-records/" TargetMode="External"/><Relationship Id="rId192" Type="http://schemas.openxmlformats.org/officeDocument/2006/relationships/hyperlink" Target="http://www.keymedicalsoftware.com/home/keychart-electronic-medical-records" TargetMode="External"/><Relationship Id="rId206" Type="http://schemas.openxmlformats.org/officeDocument/2006/relationships/hyperlink" Target="http://www.medhost.com/about-us/meaningful-use-certification" TargetMode="External"/><Relationship Id="rId248" Type="http://schemas.openxmlformats.org/officeDocument/2006/relationships/hyperlink" Target="http://www.medhost.com/about-us/yourcareuniverse-certification" TargetMode="External"/><Relationship Id="rId12" Type="http://schemas.openxmlformats.org/officeDocument/2006/relationships/hyperlink" Target="http://www.americanmedicalsolution.com/AMS/HeliosEMR.aspx" TargetMode="External"/><Relationship Id="rId108" Type="http://schemas.openxmlformats.org/officeDocument/2006/relationships/hyperlink" Target="http://www3.gehealthcare.com/en/Products/Categories/Healthcare_IT/HITECH" TargetMode="External"/><Relationship Id="rId315" Type="http://schemas.openxmlformats.org/officeDocument/2006/relationships/hyperlink" Target="http://www.mentalhealthbilling.com/disclosurestatement.html" TargetMode="External"/><Relationship Id="rId357" Type="http://schemas.openxmlformats.org/officeDocument/2006/relationships/hyperlink" Target="http://www.therapservices.net/therap-clinical-for-meaningful-use-2014-5/" TargetMode="External"/><Relationship Id="rId54" Type="http://schemas.openxmlformats.org/officeDocument/2006/relationships/hyperlink" Target="http://emr-electronicmedicalrecords.com/ehr_certification.htm" TargetMode="External"/><Relationship Id="rId96" Type="http://schemas.openxmlformats.org/officeDocument/2006/relationships/hyperlink" Target="http://www3.gehealthcare.com/en/Products/Categories/Healthcare_IT/HITECH" TargetMode="External"/><Relationship Id="rId161" Type="http://schemas.openxmlformats.org/officeDocument/2006/relationships/hyperlink" Target="http://www.healthec.com/drummond-certificates/" TargetMode="External"/><Relationship Id="rId217" Type="http://schemas.openxmlformats.org/officeDocument/2006/relationships/hyperlink" Target="http://www.medhost.com/offerings/edis/edis-certification" TargetMode="External"/><Relationship Id="rId259" Type="http://schemas.openxmlformats.org/officeDocument/2006/relationships/hyperlink" Target="http://www.medhost.com/offerings/advanced-perioperative/advanced-perioperative-certification" TargetMode="External"/><Relationship Id="rId23" Type="http://schemas.openxmlformats.org/officeDocument/2006/relationships/hyperlink" Target="http://www.bradoc.net/solutions/ehr" TargetMode="External"/><Relationship Id="rId119" Type="http://schemas.openxmlformats.org/officeDocument/2006/relationships/hyperlink" Target="http://www3.gehealthcare.com/en/Products/Categories/Healthcare_IT/~/link.aspx?_id=A658D910255B416686DF679886E0BD7A&amp;_z=z" TargetMode="External"/><Relationship Id="rId270" Type="http://schemas.openxmlformats.org/officeDocument/2006/relationships/hyperlink" Target="http://www.medusabill.com/EHR.html" TargetMode="External"/><Relationship Id="rId326" Type="http://schemas.openxmlformats.org/officeDocument/2006/relationships/hyperlink" Target="http://prognosisinnovation.com/our-products/onc-certified/" TargetMode="External"/><Relationship Id="rId65" Type="http://schemas.openxmlformats.org/officeDocument/2006/relationships/hyperlink" Target="https://www.elekta.com/software-solutions/meaningful-use.html" TargetMode="External"/><Relationship Id="rId130" Type="http://schemas.openxmlformats.org/officeDocument/2006/relationships/hyperlink" Target="http://www.greenwayhealth.com/solution/electronic-dental-records/" TargetMode="External"/><Relationship Id="rId368" Type="http://schemas.openxmlformats.org/officeDocument/2006/relationships/hyperlink" Target="http://www.vigiboss.com/md4front/ehr-meaningful-use-certification/" TargetMode="External"/><Relationship Id="rId172" Type="http://schemas.openxmlformats.org/officeDocument/2006/relationships/hyperlink" Target="http://www.holonsolutions.com/certifications.html" TargetMode="External"/><Relationship Id="rId228" Type="http://schemas.openxmlformats.org/officeDocument/2006/relationships/hyperlink" Target="http://www.medhost.com/about-us/meaningful-use-certification" TargetMode="External"/><Relationship Id="rId281" Type="http://schemas.openxmlformats.org/officeDocument/2006/relationships/hyperlink" Target="http://www.mediware.com/rehabilitation/why-mediware/meaningful-use-rehabilitation/" TargetMode="External"/><Relationship Id="rId337" Type="http://schemas.openxmlformats.org/officeDocument/2006/relationships/hyperlink" Target="http://sticomputer.com/meaningfuluse/" TargetMode="External"/><Relationship Id="rId34" Type="http://schemas.openxmlformats.org/officeDocument/2006/relationships/hyperlink" Target="http://www.citiustech.com/solutions/bi-clinical_13.1_ONC-Mandatory-Disclosure-Statement.aspx" TargetMode="External"/><Relationship Id="rId76" Type="http://schemas.openxmlformats.org/officeDocument/2006/relationships/hyperlink" Target="http://www.first-insight.com/News_Events-ARRA-HITECHACT.html" TargetMode="External"/><Relationship Id="rId141" Type="http://schemas.openxmlformats.org/officeDocument/2006/relationships/hyperlink" Target="http://www.greenwayhealth.com/solution/electronic-health-record-practice-management/" TargetMode="External"/><Relationship Id="rId379" Type="http://schemas.openxmlformats.org/officeDocument/2006/relationships/hyperlink" Target="https://www.mywellnessbuddy.com/learn-more" TargetMode="External"/><Relationship Id="rId7" Type="http://schemas.openxmlformats.org/officeDocument/2006/relationships/hyperlink" Target="http://www.acmeware.com/meaningful-use-for-eligible-providers.aspx" TargetMode="External"/><Relationship Id="rId183" Type="http://schemas.openxmlformats.org/officeDocument/2006/relationships/hyperlink" Target="https://www.kno2.com/resources" TargetMode="External"/><Relationship Id="rId239" Type="http://schemas.openxmlformats.org/officeDocument/2006/relationships/hyperlink" Target="http://www.medhost.com/about-us/meaningful-use-certification" TargetMode="External"/><Relationship Id="rId250" Type="http://schemas.openxmlformats.org/officeDocument/2006/relationships/hyperlink" Target="http://www.medhost.com/about-us/yourcareuniverse-certification" TargetMode="External"/><Relationship Id="rId292" Type="http://schemas.openxmlformats.org/officeDocument/2006/relationships/hyperlink" Target="http://www.techcareehr.com/" TargetMode="External"/><Relationship Id="rId306" Type="http://schemas.openxmlformats.org/officeDocument/2006/relationships/hyperlink" Target="http://www.ocuco.us/certification.html" TargetMode="External"/><Relationship Id="rId45" Type="http://schemas.openxmlformats.org/officeDocument/2006/relationships/hyperlink" Target="http://www.compulinkadvantage.com/about-compulink/certification/" TargetMode="External"/><Relationship Id="rId87" Type="http://schemas.openxmlformats.org/officeDocument/2006/relationships/hyperlink" Target="http://www3.gehealthcare.com/en/Products/Categories/Healthcare_IT/HITECH" TargetMode="External"/><Relationship Id="rId110" Type="http://schemas.openxmlformats.org/officeDocument/2006/relationships/hyperlink" Target="http://www3.gehealthcare.com/en/Products/Categories/Healthcare_IT/HITECH" TargetMode="External"/><Relationship Id="rId348" Type="http://schemas.openxmlformats.org/officeDocument/2006/relationships/hyperlink" Target="http://www.standingstoneinc.com/" TargetMode="External"/><Relationship Id="rId152" Type="http://schemas.openxmlformats.org/officeDocument/2006/relationships/hyperlink" Target="http://www.greenwayhealth.com/solution/chc-electronic-health-records/" TargetMode="External"/><Relationship Id="rId194" Type="http://schemas.openxmlformats.org/officeDocument/2006/relationships/hyperlink" Target="http://laurisonline.com/certinfo.aspx" TargetMode="External"/><Relationship Id="rId208" Type="http://schemas.openxmlformats.org/officeDocument/2006/relationships/hyperlink" Target="http://www.medhost.com/about-us/meaningful-use-certification" TargetMode="External"/><Relationship Id="rId261" Type="http://schemas.openxmlformats.org/officeDocument/2006/relationships/hyperlink" Target="http://www.medhost.com/offerings/advanced-perioperative/advanced-perioperative-certification" TargetMode="External"/><Relationship Id="rId14" Type="http://schemas.openxmlformats.org/officeDocument/2006/relationships/hyperlink" Target="http://www.antheliohealth.com/engage.html" TargetMode="External"/><Relationship Id="rId56" Type="http://schemas.openxmlformats.org/officeDocument/2006/relationships/hyperlink" Target="http://docutap.com/drummond-certified-for-meaningful-use" TargetMode="External"/><Relationship Id="rId317" Type="http://schemas.openxmlformats.org/officeDocument/2006/relationships/hyperlink" Target="https://www.pattersondental.com/AppStore/Details/Eaglesoft%20Clinician" TargetMode="External"/><Relationship Id="rId359" Type="http://schemas.openxmlformats.org/officeDocument/2006/relationships/hyperlink" Target="https://www.tranquilmoney.com/disclosure.html" TargetMode="External"/><Relationship Id="rId98" Type="http://schemas.openxmlformats.org/officeDocument/2006/relationships/hyperlink" Target="http://www3.gehealthcare.com/en/Products/Categories/Healthcare_IT/HITECH" TargetMode="External"/><Relationship Id="rId121" Type="http://schemas.openxmlformats.org/officeDocument/2006/relationships/hyperlink" Target="http://www.gemmsnet.com/certification.html" TargetMode="External"/><Relationship Id="rId163" Type="http://schemas.openxmlformats.org/officeDocument/2006/relationships/hyperlink" Target="http://treatehr.com/" TargetMode="External"/><Relationship Id="rId219" Type="http://schemas.openxmlformats.org/officeDocument/2006/relationships/hyperlink" Target="http://www.medhost.com/about-us/meaningful-use-certification" TargetMode="External"/><Relationship Id="rId370" Type="http://schemas.openxmlformats.org/officeDocument/2006/relationships/hyperlink" Target="http://www.startyouruprise.com/certification" TargetMode="External"/><Relationship Id="rId230" Type="http://schemas.openxmlformats.org/officeDocument/2006/relationships/hyperlink" Target="http://www.medhost.com/about-us/meaningful-use-certification" TargetMode="External"/><Relationship Id="rId25" Type="http://schemas.openxmlformats.org/officeDocument/2006/relationships/hyperlink" Target="http://www.odonline.net/pricing-information/" TargetMode="External"/><Relationship Id="rId67" Type="http://schemas.openxmlformats.org/officeDocument/2006/relationships/hyperlink" Target="http://www.encite.us/support-services/meaningful-use/" TargetMode="External"/><Relationship Id="rId272" Type="http://schemas.openxmlformats.org/officeDocument/2006/relationships/hyperlink" Target="http://www.medcpu.com/resources/the-medcpu-meaningful-use-advisor/" TargetMode="External"/><Relationship Id="rId328" Type="http://schemas.openxmlformats.org/officeDocument/2006/relationships/hyperlink" Target="http://www.qrshs.com/2014" TargetMode="External"/><Relationship Id="rId132" Type="http://schemas.openxmlformats.org/officeDocument/2006/relationships/hyperlink" Target="http://www.greenwayhealth.com/solution/electronic-dental-records/" TargetMode="External"/><Relationship Id="rId174" Type="http://schemas.openxmlformats.org/officeDocument/2006/relationships/hyperlink" Target="http://www.icare.com/affordable/" TargetMode="External"/><Relationship Id="rId381" Type="http://schemas.openxmlformats.org/officeDocument/2006/relationships/hyperlink" Target="http://veedis.com/" TargetMode="External"/><Relationship Id="rId241" Type="http://schemas.openxmlformats.org/officeDocument/2006/relationships/hyperlink" Target="http://www.medhost.com/about-us/meaningful-use-certification" TargetMode="External"/><Relationship Id="rId36" Type="http://schemas.openxmlformats.org/officeDocument/2006/relationships/hyperlink" Target="http://www.citiustech.com/solutions/cq-iq_ONC-Mandatory-Disclosure-Statement" TargetMode="External"/><Relationship Id="rId283" Type="http://schemas.openxmlformats.org/officeDocument/2006/relationships/hyperlink" Target="http://www.medtech.ws/" TargetMode="External"/><Relationship Id="rId339" Type="http://schemas.openxmlformats.org/officeDocument/2006/relationships/hyperlink" Target="http://www.bravadohealth.com/certified-ehr" TargetMode="External"/><Relationship Id="rId78" Type="http://schemas.openxmlformats.org/officeDocument/2006/relationships/hyperlink" Target="http://www.chiro8000.com/certification.php" TargetMode="External"/><Relationship Id="rId101" Type="http://schemas.openxmlformats.org/officeDocument/2006/relationships/hyperlink" Target="http://www3.gehealthcare.com/en/Products/Categories/Healthcare_IT/HITECH" TargetMode="External"/><Relationship Id="rId143" Type="http://schemas.openxmlformats.org/officeDocument/2006/relationships/hyperlink" Target="http://www.greenwayhealth.com/solution/electronic-health-record-practice-management/" TargetMode="External"/><Relationship Id="rId185" Type="http://schemas.openxmlformats.org/officeDocument/2006/relationships/hyperlink" Target="http://intellicure.com/Drummond.aspx" TargetMode="External"/><Relationship Id="rId350" Type="http://schemas.openxmlformats.org/officeDocument/2006/relationships/hyperlink" Target="https://www.starmedllc.com/" TargetMode="External"/><Relationship Id="rId9" Type="http://schemas.openxmlformats.org/officeDocument/2006/relationships/hyperlink" Target="http://www.acmeware.com/meaningful-use-for-eligible-providers.aspx" TargetMode="External"/><Relationship Id="rId210" Type="http://schemas.openxmlformats.org/officeDocument/2006/relationships/hyperlink" Target="http://www.medhost.com/about-us/meaningful-use-certification" TargetMode="External"/><Relationship Id="rId26" Type="http://schemas.openxmlformats.org/officeDocument/2006/relationships/hyperlink" Target="http://www.carecloud.com/meaningful-use-certified-ehr/" TargetMode="External"/><Relationship Id="rId231" Type="http://schemas.openxmlformats.org/officeDocument/2006/relationships/hyperlink" Target="http://www.medhost.com/about-us/meaningful-use-certification" TargetMode="External"/><Relationship Id="rId252" Type="http://schemas.openxmlformats.org/officeDocument/2006/relationships/hyperlink" Target="http://www.medhost.com/about-us/yourcareuniverse-certification" TargetMode="External"/><Relationship Id="rId273" Type="http://schemas.openxmlformats.org/officeDocument/2006/relationships/hyperlink" Target="http://www.medevolve.com/mission-critical-solutions/ehr/" TargetMode="External"/><Relationship Id="rId294" Type="http://schemas.openxmlformats.org/officeDocument/2006/relationships/hyperlink" Target="http://www.nethealth.com/products/urgent-care/urgent-care-emr/" TargetMode="External"/><Relationship Id="rId308" Type="http://schemas.openxmlformats.org/officeDocument/2006/relationships/hyperlink" Target="https://cms.officeally.com/acb-certification.aspx" TargetMode="External"/><Relationship Id="rId329" Type="http://schemas.openxmlformats.org/officeDocument/2006/relationships/hyperlink" Target="http://www.qrshs.com/2014" TargetMode="External"/><Relationship Id="rId47" Type="http://schemas.openxmlformats.org/officeDocument/2006/relationships/hyperlink" Target="http://corepointhealth.com/onc-certified" TargetMode="External"/><Relationship Id="rId68" Type="http://schemas.openxmlformats.org/officeDocument/2006/relationships/hyperlink" Target="http://equicarehealth.com/products/active-patient-portal/meaningful-use-certification/" TargetMode="External"/><Relationship Id="rId89" Type="http://schemas.openxmlformats.org/officeDocument/2006/relationships/hyperlink" Target="http://www3.gehealthcare.com/en/Products/Categories/Healthcare_IT/HITECH" TargetMode="External"/><Relationship Id="rId112" Type="http://schemas.openxmlformats.org/officeDocument/2006/relationships/hyperlink" Target="http://www3.gehealthcare.com/en/Products/Categories/Healthcare_IT/HITECH" TargetMode="External"/><Relationship Id="rId133" Type="http://schemas.openxmlformats.org/officeDocument/2006/relationships/hyperlink" Target="http://www.greenwayhealth.com/solution/electronic-dental-records/" TargetMode="External"/><Relationship Id="rId154" Type="http://schemas.openxmlformats.org/officeDocument/2006/relationships/hyperlink" Target="http://www.greenwayhealth.com/solution/chc-electronic-health-records/" TargetMode="External"/><Relationship Id="rId175" Type="http://schemas.openxmlformats.org/officeDocument/2006/relationships/hyperlink" Target="http://icssoftware.net/products/sammyehr/" TargetMode="External"/><Relationship Id="rId340" Type="http://schemas.openxmlformats.org/officeDocument/2006/relationships/hyperlink" Target="http://www.secureexsolutions.com/resources-publications/secure-exchange-solutions-achieves-onc-acb-certification-for-ses-direct/" TargetMode="External"/><Relationship Id="rId361" Type="http://schemas.openxmlformats.org/officeDocument/2006/relationships/hyperlink" Target="http://truvenhealth.com/your-healthcare-focus/hospital-management-decisions/meaningful-use-quality-manager" TargetMode="External"/><Relationship Id="rId196" Type="http://schemas.openxmlformats.org/officeDocument/2006/relationships/hyperlink" Target="https://www.cattailssoftware.com/clientportal/?page=login" TargetMode="External"/><Relationship Id="rId200" Type="http://schemas.openxmlformats.org/officeDocument/2006/relationships/hyperlink" Target="http://www.medhost.com/offerings/business-intelligence/business-intelligence-certification" TargetMode="External"/><Relationship Id="rId382" Type="http://schemas.openxmlformats.org/officeDocument/2006/relationships/hyperlink" Target="http://home.meditech.com/en/d/regulatoryresources/pages/certification.htm" TargetMode="External"/><Relationship Id="rId16" Type="http://schemas.openxmlformats.org/officeDocument/2006/relationships/hyperlink" Target="http://www.antheliohealth.com/patient-pulse.html" TargetMode="External"/><Relationship Id="rId221" Type="http://schemas.openxmlformats.org/officeDocument/2006/relationships/hyperlink" Target="http://www.medhost.com/about-us/meaningful-use-certification" TargetMode="External"/><Relationship Id="rId242" Type="http://schemas.openxmlformats.org/officeDocument/2006/relationships/hyperlink" Target="http://www.medhost.com/offerings/advanced-perioperative/advanced-perioperative-certification" TargetMode="External"/><Relationship Id="rId263" Type="http://schemas.openxmlformats.org/officeDocument/2006/relationships/hyperlink" Target="http://www.medhost.com/offerings/advanced-perioperative/advanced-perioperative-certification" TargetMode="External"/><Relationship Id="rId284" Type="http://schemas.openxmlformats.org/officeDocument/2006/relationships/hyperlink" Target="http://www.merge.com/Landing-Pages/Associated-Charges.aspx" TargetMode="External"/><Relationship Id="rId319" Type="http://schemas.openxmlformats.org/officeDocument/2006/relationships/hyperlink" Target="http://www.pcc.com/pcc-experience/solution/" TargetMode="External"/><Relationship Id="rId37" Type="http://schemas.openxmlformats.org/officeDocument/2006/relationships/hyperlink" Target="http://web.claimtrak.com/legal-notice/" TargetMode="External"/><Relationship Id="rId58" Type="http://schemas.openxmlformats.org/officeDocument/2006/relationships/hyperlink" Target="http://www.ehrez.com/" TargetMode="External"/><Relationship Id="rId79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02" Type="http://schemas.openxmlformats.org/officeDocument/2006/relationships/hyperlink" Target="http://www3.gehealthcare.com/en/Products/Categories/Healthcare_IT/HITECH" TargetMode="External"/><Relationship Id="rId123" Type="http://schemas.openxmlformats.org/officeDocument/2006/relationships/hyperlink" Target="http://www.gehrimed.com/certification/" TargetMode="External"/><Relationship Id="rId144" Type="http://schemas.openxmlformats.org/officeDocument/2006/relationships/hyperlink" Target="http://www.greenwayhealth.com/solution/electronic-health-record-practice-management/" TargetMode="External"/><Relationship Id="rId330" Type="http://schemas.openxmlformats.org/officeDocument/2006/relationships/hyperlink" Target="http://www.quadramed.com/en/solutions_services/clinical_solutions/certifications/united_states/" TargetMode="External"/><Relationship Id="rId90" Type="http://schemas.openxmlformats.org/officeDocument/2006/relationships/hyperlink" Target="http://www3.gehealthcare.com/en/Products/Categories/Healthcare_IT/HITECH" TargetMode="External"/><Relationship Id="rId165" Type="http://schemas.openxmlformats.org/officeDocument/2006/relationships/hyperlink" Target="http://www.healogics.com/i-heal" TargetMode="External"/><Relationship Id="rId186" Type="http://schemas.openxmlformats.org/officeDocument/2006/relationships/hyperlink" Target="http://us.icw-global.com/solutions/icw-patient-engagement.html" TargetMode="External"/><Relationship Id="rId351" Type="http://schemas.openxmlformats.org/officeDocument/2006/relationships/hyperlink" Target="http://www.streamlinehealth.net/looking-glass-health-solutions/coding-cdi/enterprise-content-management/" TargetMode="External"/><Relationship Id="rId372" Type="http://schemas.openxmlformats.org/officeDocument/2006/relationships/hyperlink" Target="http://ismartehr.com/" TargetMode="External"/><Relationship Id="rId211" Type="http://schemas.openxmlformats.org/officeDocument/2006/relationships/hyperlink" Target="http://www.medhost.com/offerings/edis/edis-certification" TargetMode="External"/><Relationship Id="rId232" Type="http://schemas.openxmlformats.org/officeDocument/2006/relationships/hyperlink" Target="http://www.medhost.com/about-us/meaningful-use-certification" TargetMode="External"/><Relationship Id="rId253" Type="http://schemas.openxmlformats.org/officeDocument/2006/relationships/hyperlink" Target="http://www.medhost.com/about-us/yourcareuniverse-certification" TargetMode="External"/><Relationship Id="rId274" Type="http://schemas.openxmlformats.org/officeDocument/2006/relationships/hyperlink" Target="http://medinformatix.com/" TargetMode="External"/><Relationship Id="rId295" Type="http://schemas.openxmlformats.org/officeDocument/2006/relationships/hyperlink" Target="http://www.nethealth.com/products/urgent-care/urgent-care-emr/" TargetMode="External"/><Relationship Id="rId309" Type="http://schemas.openxmlformats.org/officeDocument/2006/relationships/hyperlink" Target="http://omedix.com/products/patient-portal/meaningful-use/" TargetMode="External"/><Relationship Id="rId27" Type="http://schemas.openxmlformats.org/officeDocument/2006/relationships/hyperlink" Target="http://careevolution.com/technology-mu.html" TargetMode="External"/><Relationship Id="rId48" Type="http://schemas.openxmlformats.org/officeDocument/2006/relationships/hyperlink" Target="http://www.criterions.com/" TargetMode="External"/><Relationship Id="rId69" Type="http://schemas.openxmlformats.org/officeDocument/2006/relationships/hyperlink" Target="http://www.etransmedia.com/technology-solutions/electronic-health-records/" TargetMode="External"/><Relationship Id="rId113" Type="http://schemas.openxmlformats.org/officeDocument/2006/relationships/hyperlink" Target="http://www3.gehealthcare.com/en/Products/Categories/Healthcare_IT/HITECH" TargetMode="External"/><Relationship Id="rId134" Type="http://schemas.openxmlformats.org/officeDocument/2006/relationships/hyperlink" Target="http://www.greenwayhealth.com/solution/electronic-dental-records/" TargetMode="External"/><Relationship Id="rId320" Type="http://schemas.openxmlformats.org/officeDocument/2006/relationships/hyperlink" Target="http://www.plexustg.com/solutions_touch_mu.html" TargetMode="External"/><Relationship Id="rId80" Type="http://schemas.openxmlformats.org/officeDocument/2006/relationships/hyperlink" Target="http://physicianflow.com/" TargetMode="External"/><Relationship Id="rId155" Type="http://schemas.openxmlformats.org/officeDocument/2006/relationships/hyperlink" Target="http://www.greenwayhealth.com/solution/practice-management-enterprises/" TargetMode="External"/><Relationship Id="rId176" Type="http://schemas.openxmlformats.org/officeDocument/2006/relationships/hyperlink" Target="http://www.ircsinc.com/index.php?page=software-vireo" TargetMode="External"/><Relationship Id="rId197" Type="http://schemas.openxmlformats.org/officeDocument/2006/relationships/hyperlink" Target="http://www.mdlogic.com/support/value-added-services" TargetMode="External"/><Relationship Id="rId341" Type="http://schemas.openxmlformats.org/officeDocument/2006/relationships/hyperlink" Target="http://www.totaldental.com/ehr-certification-dental-software" TargetMode="External"/><Relationship Id="rId362" Type="http://schemas.openxmlformats.org/officeDocument/2006/relationships/hyperlink" Target="http://www.twinsailstech.com/" TargetMode="External"/><Relationship Id="rId383" Type="http://schemas.openxmlformats.org/officeDocument/2006/relationships/printerSettings" Target="../printerSettings/printerSettings1.bin"/><Relationship Id="rId201" Type="http://schemas.openxmlformats.org/officeDocument/2006/relationships/hyperlink" Target="http://www.medhost.com/offerings/business-intelligence/business-intelligence-certification" TargetMode="External"/><Relationship Id="rId222" Type="http://schemas.openxmlformats.org/officeDocument/2006/relationships/hyperlink" Target="http://www.medhost.com/about-us/meaningful-use-certification" TargetMode="External"/><Relationship Id="rId243" Type="http://schemas.openxmlformats.org/officeDocument/2006/relationships/hyperlink" Target="http://www.medhost.com/about-us/yourcareuniverse-certification" TargetMode="External"/><Relationship Id="rId264" Type="http://schemas.openxmlformats.org/officeDocument/2006/relationships/hyperlink" Target="http://www.medhost.com/about-us/yourcareuniverse-certification" TargetMode="External"/><Relationship Id="rId285" Type="http://schemas.openxmlformats.org/officeDocument/2006/relationships/hyperlink" Target="http://www.merge.com/Landing-Pages/Associated-Charges.aspx" TargetMode="External"/><Relationship Id="rId17" Type="http://schemas.openxmlformats.org/officeDocument/2006/relationships/hyperlink" Target="https://www.arw.in/blog/cozeva-certified-2014-modular-ehr-drummond-group" TargetMode="External"/><Relationship Id="rId38" Type="http://schemas.openxmlformats.org/officeDocument/2006/relationships/hyperlink" Target="https://www.claimpower.com/emr-cert.htm" TargetMode="External"/><Relationship Id="rId59" Type="http://schemas.openxmlformats.org/officeDocument/2006/relationships/hyperlink" Target="http://www.ezbis.com/cehrtdisclosure.htm" TargetMode="External"/><Relationship Id="rId103" Type="http://schemas.openxmlformats.org/officeDocument/2006/relationships/hyperlink" Target="http://www3.gehealthcare.com/en/Products/Categories/Healthcare_IT/HITECH" TargetMode="External"/><Relationship Id="rId124" Type="http://schemas.openxmlformats.org/officeDocument/2006/relationships/hyperlink" Target="http://getwellnetwork.com/news/getwellnetwork-achieves-meaningful-use-certification-ambulatory-solution" TargetMode="External"/><Relationship Id="rId310" Type="http://schemas.openxmlformats.org/officeDocument/2006/relationships/hyperlink" Target="http://opendental.com/manual/ehrlicense.html" TargetMode="External"/><Relationship Id="rId70" Type="http://schemas.openxmlformats.org/officeDocument/2006/relationships/hyperlink" Target="http://www.etransmedia.com/technology-solutions/electronic-health-records/" TargetMode="External"/><Relationship Id="rId91" Type="http://schemas.openxmlformats.org/officeDocument/2006/relationships/hyperlink" Target="http://www3.gehealthcare.com/en/Products/Categories/Healthcare_IT/HITECH" TargetMode="External"/><Relationship Id="rId145" Type="http://schemas.openxmlformats.org/officeDocument/2006/relationships/hyperlink" Target="http://www.greenwayhealth.com/solution/electronic-health-record-practice-management/" TargetMode="External"/><Relationship Id="rId166" Type="http://schemas.openxmlformats.org/officeDocument/2006/relationships/hyperlink" Target="http://www.has.com/medifile.htm" TargetMode="External"/><Relationship Id="rId187" Type="http://schemas.openxmlformats.org/officeDocument/2006/relationships/hyperlink" Target="http://www.intersystems.com/our-products/healthshare/meaningful-use-certification/" TargetMode="External"/><Relationship Id="rId331" Type="http://schemas.openxmlformats.org/officeDocument/2006/relationships/hyperlink" Target="http://www.quadramed.com/en/solutions_services/clinical_solutions/certifications/united_states/" TargetMode="External"/><Relationship Id="rId352" Type="http://schemas.openxmlformats.org/officeDocument/2006/relationships/hyperlink" Target="http://www.talksoftonline.com/" TargetMode="External"/><Relationship Id="rId373" Type="http://schemas.openxmlformats.org/officeDocument/2006/relationships/hyperlink" Target="http://www.welligent.com/meaningful-use/" TargetMode="External"/><Relationship Id="rId1" Type="http://schemas.openxmlformats.org/officeDocument/2006/relationships/hyperlink" Target="http://www.advancedmd.com/products/electronic-health-records" TargetMode="External"/><Relationship Id="rId212" Type="http://schemas.openxmlformats.org/officeDocument/2006/relationships/hyperlink" Target="http://www.medhost.com/offerings/edis/edis-certification" TargetMode="External"/><Relationship Id="rId233" Type="http://schemas.openxmlformats.org/officeDocument/2006/relationships/hyperlink" Target="http://www.medhost.com/about-us/meaningful-use-certification" TargetMode="External"/><Relationship Id="rId254" Type="http://schemas.openxmlformats.org/officeDocument/2006/relationships/hyperlink" Target="http://www.medhost.com/about-us/yourcareuniverse-certification" TargetMode="External"/><Relationship Id="rId28" Type="http://schemas.openxmlformats.org/officeDocument/2006/relationships/hyperlink" Target="http://www.caresync.com/ccm/index.php" TargetMode="External"/><Relationship Id="rId49" Type="http://schemas.openxmlformats.org/officeDocument/2006/relationships/hyperlink" Target="http://www.cubehealthcare.com/drummond-certification" TargetMode="External"/><Relationship Id="rId114" Type="http://schemas.openxmlformats.org/officeDocument/2006/relationships/hyperlink" Target="http://www3.gehealthcare.com/en/Products/Categories/Healthcare_IT/HITECH" TargetMode="External"/><Relationship Id="rId275" Type="http://schemas.openxmlformats.org/officeDocument/2006/relationships/hyperlink" Target="http://mednetmedical.com/certifications.html" TargetMode="External"/><Relationship Id="rId296" Type="http://schemas.openxmlformats.org/officeDocument/2006/relationships/hyperlink" Target="http://www.nethealth.com/products/wound-care/woundexpert-software-wound-care-ehr/" TargetMode="External"/><Relationship Id="rId300" Type="http://schemas.openxmlformats.org/officeDocument/2006/relationships/hyperlink" Target="http://www.nexusclinical.com/certification/" TargetMode="External"/><Relationship Id="rId60" Type="http://schemas.openxmlformats.org/officeDocument/2006/relationships/hyperlink" Target="https://www.medformixvue.com/meaningful-use-statement.html" TargetMode="External"/><Relationship Id="rId81" Type="http://schemas.openxmlformats.org/officeDocument/2006/relationships/hyperlink" Target="http://www3.gehealthcare.com/en/Products/Categories/Healthcare_IT/~/link.aspx?_id=A658D910255B416686DF679886E0BD7A&amp;_z=z" TargetMode="External"/><Relationship Id="rId135" Type="http://schemas.openxmlformats.org/officeDocument/2006/relationships/hyperlink" Target="http://www.greenwayhealth.com/solution/electronic-dental-records/" TargetMode="External"/><Relationship Id="rId156" Type="http://schemas.openxmlformats.org/officeDocument/2006/relationships/hyperlink" Target="http://www.greenwayhealth.com/solution/practice-management-enterprises/" TargetMode="External"/><Relationship Id="rId177" Type="http://schemas.openxmlformats.org/officeDocument/2006/relationships/hyperlink" Target="http://www.ibeza.net/certifications" TargetMode="External"/><Relationship Id="rId198" Type="http://schemas.openxmlformats.org/officeDocument/2006/relationships/hyperlink" Target="http://www.medhost.com/offerings/business-intelligence/business-intelligence-certification" TargetMode="External"/><Relationship Id="rId321" Type="http://schemas.openxmlformats.org/officeDocument/2006/relationships/hyperlink" Target="http://pbsinet.com/products-and-services/medical-solutions/" TargetMode="External"/><Relationship Id="rId342" Type="http://schemas.openxmlformats.org/officeDocument/2006/relationships/hyperlink" Target="http://www.silkone.com/EHR-MU-Disclosure.aspx" TargetMode="External"/><Relationship Id="rId363" Type="http://schemas.openxmlformats.org/officeDocument/2006/relationships/hyperlink" Target="https://umbiedentalcare.com/price_transparency.html" TargetMode="External"/><Relationship Id="rId202" Type="http://schemas.openxmlformats.org/officeDocument/2006/relationships/hyperlink" Target="http://www.medhost.com/about-us/meaningful-use-certification" TargetMode="External"/><Relationship Id="rId223" Type="http://schemas.openxmlformats.org/officeDocument/2006/relationships/hyperlink" Target="http://www.medhost.com/about-us/meaningful-use-certification" TargetMode="External"/><Relationship Id="rId244" Type="http://schemas.openxmlformats.org/officeDocument/2006/relationships/hyperlink" Target="http://www.medhost.com/about-us/yourcareuniverse-certification" TargetMode="External"/><Relationship Id="rId18" Type="http://schemas.openxmlformats.org/officeDocument/2006/relationships/hyperlink" Target="https://aretehs.com/ehr.html" TargetMode="External"/><Relationship Id="rId39" Type="http://schemas.openxmlformats.org/officeDocument/2006/relationships/hyperlink" Target="http://www.clinicmax.com/Complete_Ambulatory_EHR.html" TargetMode="External"/><Relationship Id="rId265" Type="http://schemas.openxmlformats.org/officeDocument/2006/relationships/hyperlink" Target="http://www.medhost.com/about-us/yourcareuniverse-certification" TargetMode="External"/><Relationship Id="rId286" Type="http://schemas.openxmlformats.org/officeDocument/2006/relationships/hyperlink" Target="https://www.practicestudio.net/Company/CompanyInformation/Certifications.aspx" TargetMode="External"/><Relationship Id="rId50" Type="http://schemas.openxmlformats.org/officeDocument/2006/relationships/hyperlink" Target="http://mdsuite.com/meaningful-use-disclosure/" TargetMode="External"/><Relationship Id="rId104" Type="http://schemas.openxmlformats.org/officeDocument/2006/relationships/hyperlink" Target="http://www3.gehealthcare.com/en/Products/Categories/Healthcare_IT/HITECH" TargetMode="External"/><Relationship Id="rId125" Type="http://schemas.openxmlformats.org/officeDocument/2006/relationships/hyperlink" Target="http://www.greenwayhealth.com/solution/electronic-health-record-practice-management/" TargetMode="External"/><Relationship Id="rId146" Type="http://schemas.openxmlformats.org/officeDocument/2006/relationships/hyperlink" Target="http://www.greenwayhealth.com/solution/electronic-health-record-practice-management/" TargetMode="External"/><Relationship Id="rId167" Type="http://schemas.openxmlformats.org/officeDocument/2006/relationships/hyperlink" Target="https://www.healthgorilla.com/home/company/about/faq/" TargetMode="External"/><Relationship Id="rId188" Type="http://schemas.openxmlformats.org/officeDocument/2006/relationships/hyperlink" Target="http://isalushealthcare.com/ehr-features/meaningful-use" TargetMode="External"/><Relationship Id="rId311" Type="http://schemas.openxmlformats.org/officeDocument/2006/relationships/hyperlink" Target="http://healthcareoss.com/wp-content/uploads/2016/03/Mandatory-Disclosure-Statement-MCEMR-2-25-2016-1.pdf" TargetMode="External"/><Relationship Id="rId332" Type="http://schemas.openxmlformats.org/officeDocument/2006/relationships/hyperlink" Target="http://www.qualifacts.com/news/qualifacts-achieves-comprehensive-stage-2-meaningful-use-certification/" TargetMode="External"/><Relationship Id="rId353" Type="http://schemas.openxmlformats.org/officeDocument/2006/relationships/hyperlink" Target="http://www.mdrhythm.com/mdrhythm-onc2014.html" TargetMode="External"/><Relationship Id="rId374" Type="http://schemas.openxmlformats.org/officeDocument/2006/relationships/hyperlink" Target="http://www.practicedirector.com/" TargetMode="External"/><Relationship Id="rId71" Type="http://schemas.openxmlformats.org/officeDocument/2006/relationships/hyperlink" Target="http://www.exemplomedical.com/News/CurrentNews.aspx?EventId=23" TargetMode="External"/><Relationship Id="rId92" Type="http://schemas.openxmlformats.org/officeDocument/2006/relationships/hyperlink" Target="http://www3.gehealthcare.com/en/Products/Categories/Healthcare_IT/HITECH" TargetMode="External"/><Relationship Id="rId213" Type="http://schemas.openxmlformats.org/officeDocument/2006/relationships/hyperlink" Target="http://www.medhost.com/offerings/edis/edis-certification" TargetMode="External"/><Relationship Id="rId234" Type="http://schemas.openxmlformats.org/officeDocument/2006/relationships/hyperlink" Target="http://www.medhost.com/about-us/meaningful-use-certification" TargetMode="External"/><Relationship Id="rId2" Type="http://schemas.openxmlformats.org/officeDocument/2006/relationships/hyperlink" Target="http://www.alert-online.com/news/company/alert-ehr-v264-is-2014-edition-certified" TargetMode="External"/><Relationship Id="rId29" Type="http://schemas.openxmlformats.org/officeDocument/2006/relationships/hyperlink" Target="http://blog.carepaths.com/features/onc-certification/" TargetMode="External"/><Relationship Id="rId255" Type="http://schemas.openxmlformats.org/officeDocument/2006/relationships/hyperlink" Target="http://www.medhost.com/about-us/meaningful-use-certification" TargetMode="External"/><Relationship Id="rId276" Type="http://schemas.openxmlformats.org/officeDocument/2006/relationships/hyperlink" Target="http://www.medonesystems.com/" TargetMode="External"/><Relationship Id="rId297" Type="http://schemas.openxmlformats.org/officeDocument/2006/relationships/hyperlink" Target="http://www.nethealth.com/products/wound-care/woundexpert-software-wound-care-ehr/" TargetMode="External"/><Relationship Id="rId40" Type="http://schemas.openxmlformats.org/officeDocument/2006/relationships/hyperlink" Target="http://www.clinigence.com/meaningful-use-disclosure" TargetMode="External"/><Relationship Id="rId115" Type="http://schemas.openxmlformats.org/officeDocument/2006/relationships/hyperlink" Target="http://www3.gehealthcare.com/en/Products/Categories/Healthcare_IT/HITECH" TargetMode="External"/><Relationship Id="rId136" Type="http://schemas.openxmlformats.org/officeDocument/2006/relationships/hyperlink" Target="http://www.greenwayhealth.com/solution/electronic-health-record-practice-management/" TargetMode="External"/><Relationship Id="rId157" Type="http://schemas.openxmlformats.org/officeDocument/2006/relationships/hyperlink" Target="http://www.greenwayhealth.com/solution/practice-management-enterprises/" TargetMode="External"/><Relationship Id="rId178" Type="http://schemas.openxmlformats.org/officeDocument/2006/relationships/hyperlink" Target="http://www.imedicware.com/Drummond" TargetMode="External"/><Relationship Id="rId301" Type="http://schemas.openxmlformats.org/officeDocument/2006/relationships/hyperlink" Target="http://www.nablemd.com/" TargetMode="External"/><Relationship Id="rId322" Type="http://schemas.openxmlformats.org/officeDocument/2006/relationships/hyperlink" Target="http://precisioncare.com/news-and-events/" TargetMode="External"/><Relationship Id="rId343" Type="http://schemas.openxmlformats.org/officeDocument/2006/relationships/hyperlink" Target="https://pimsyehr.com/resources/meaningful-use" TargetMode="External"/><Relationship Id="rId364" Type="http://schemas.openxmlformats.org/officeDocument/2006/relationships/hyperlink" Target="http://www.unicharts.com/certification.html" TargetMode="External"/><Relationship Id="rId61" Type="http://schemas.openxmlformats.org/officeDocument/2006/relationships/hyperlink" Target="http://emrconnect.com/products.html" TargetMode="External"/><Relationship Id="rId82" Type="http://schemas.openxmlformats.org/officeDocument/2006/relationships/hyperlink" Target="http://www3.gehealthcare.com/en/Products/Categories/Healthcare_IT/~/link.aspx?_id=A658D910255B416686DF679886E0BD7A&amp;_z=z" TargetMode="External"/><Relationship Id="rId199" Type="http://schemas.openxmlformats.org/officeDocument/2006/relationships/hyperlink" Target="http://www.medhost.com/offerings/business-intelligence/business-intelligence-certification" TargetMode="External"/><Relationship Id="rId203" Type="http://schemas.openxmlformats.org/officeDocument/2006/relationships/hyperlink" Target="http://www.medhost.com/about-us/meaningful-use-certification" TargetMode="External"/><Relationship Id="rId19" Type="http://schemas.openxmlformats.org/officeDocument/2006/relationships/hyperlink" Target="http://aspyra.com/cyberlab-meaningful-use/" TargetMode="External"/><Relationship Id="rId224" Type="http://schemas.openxmlformats.org/officeDocument/2006/relationships/hyperlink" Target="http://www.medhost.com/about-us/meaningful-use-certification" TargetMode="External"/><Relationship Id="rId245" Type="http://schemas.openxmlformats.org/officeDocument/2006/relationships/hyperlink" Target="http://www.medhost.com/about-us/yourcareuniverse-certification" TargetMode="External"/><Relationship Id="rId266" Type="http://schemas.openxmlformats.org/officeDocument/2006/relationships/hyperlink" Target="http://www.medhost.com/offerings/edis/edis-certification" TargetMode="External"/><Relationship Id="rId287" Type="http://schemas.openxmlformats.org/officeDocument/2006/relationships/hyperlink" Target="https://www.healthvault.com/us/en/Meaningful-Use" TargetMode="External"/><Relationship Id="rId30" Type="http://schemas.openxmlformats.org/officeDocument/2006/relationships/hyperlink" Target="http://www.chartlogic.com/certifications/" TargetMode="External"/><Relationship Id="rId105" Type="http://schemas.openxmlformats.org/officeDocument/2006/relationships/hyperlink" Target="http://www3.gehealthcare.com/en/Products/Categories/Healthcare_IT/HITECH" TargetMode="External"/><Relationship Id="rId126" Type="http://schemas.openxmlformats.org/officeDocument/2006/relationships/hyperlink" Target="http://www.greenwayhealth.com/solution/electronic-dental-records/" TargetMode="External"/><Relationship Id="rId147" Type="http://schemas.openxmlformats.org/officeDocument/2006/relationships/hyperlink" Target="http://www.greenwayhealth.com/solution/electronic-health-record-practice-management/" TargetMode="External"/><Relationship Id="rId168" Type="http://schemas.openxmlformats.org/officeDocument/2006/relationships/hyperlink" Target="http://www.healthaxis.com/electronic-health-records/" TargetMode="External"/><Relationship Id="rId312" Type="http://schemas.openxmlformats.org/officeDocument/2006/relationships/hyperlink" Target="http://pbomd.com/price.htm" TargetMode="External"/><Relationship Id="rId333" Type="http://schemas.openxmlformats.org/officeDocument/2006/relationships/hyperlink" Target="http://www.raintreeinc.com/certifications/" TargetMode="External"/><Relationship Id="rId354" Type="http://schemas.openxmlformats.org/officeDocument/2006/relationships/hyperlink" Target="http://www.echoman.com/meaningful-use/" TargetMode="External"/><Relationship Id="rId51" Type="http://schemas.openxmlformats.org/officeDocument/2006/relationships/hyperlink" Target="http://datalinksoftware.com/products-emr-trinity" TargetMode="External"/><Relationship Id="rId72" Type="http://schemas.openxmlformats.org/officeDocument/2006/relationships/hyperlink" Target="http://www.exscribe.com/ehr-certification" TargetMode="External"/><Relationship Id="rId93" Type="http://schemas.openxmlformats.org/officeDocument/2006/relationships/hyperlink" Target="http://www3.gehealthcare.com/en/Products/Categories/Healthcare_IT/HITECH" TargetMode="External"/><Relationship Id="rId189" Type="http://schemas.openxmlformats.org/officeDocument/2006/relationships/hyperlink" Target="http://clinictracker.com/features/meaningful-use" TargetMode="External"/><Relationship Id="rId375" Type="http://schemas.openxmlformats.org/officeDocument/2006/relationships/hyperlink" Target="http://www.medhost.com/about-us/yourcareuniverse-certification" TargetMode="External"/><Relationship Id="rId3" Type="http://schemas.openxmlformats.org/officeDocument/2006/relationships/hyperlink" Target="http://www.allscripts.com/terms-of-use/documents" TargetMode="External"/><Relationship Id="rId214" Type="http://schemas.openxmlformats.org/officeDocument/2006/relationships/hyperlink" Target="http://www.medhost.com/offerings/edis/edis-certification" TargetMode="External"/><Relationship Id="rId235" Type="http://schemas.openxmlformats.org/officeDocument/2006/relationships/hyperlink" Target="http://www.medhost.com/about-us/meaningful-use-certification" TargetMode="External"/><Relationship Id="rId256" Type="http://schemas.openxmlformats.org/officeDocument/2006/relationships/hyperlink" Target="http://www.medhost.com/about-us/meaningful-use-certification" TargetMode="External"/><Relationship Id="rId277" Type="http://schemas.openxmlformats.org/officeDocument/2006/relationships/hyperlink" Target="http://www.medirecpr.com/index-1.html" TargetMode="External"/><Relationship Id="rId298" Type="http://schemas.openxmlformats.org/officeDocument/2006/relationships/hyperlink" Target="http://www.nextstepsolutionsinc.com/product-info-behaviorial-health-software.php" TargetMode="External"/><Relationship Id="rId116" Type="http://schemas.openxmlformats.org/officeDocument/2006/relationships/hyperlink" Target="http://www3.gehealthcare.com/en/Products/Categories/Healthcare_IT/HITECH" TargetMode="External"/><Relationship Id="rId137" Type="http://schemas.openxmlformats.org/officeDocument/2006/relationships/hyperlink" Target="http://www.greenwayhealth.com/solution/electronic-health-record-practice-management/" TargetMode="External"/><Relationship Id="rId158" Type="http://schemas.openxmlformats.org/officeDocument/2006/relationships/hyperlink" Target="http://www.greenwayhealth.com/solution/practice-management-enterprises/" TargetMode="External"/><Relationship Id="rId302" Type="http://schemas.openxmlformats.org/officeDocument/2006/relationships/hyperlink" Target="http://oasite.com/ONC_certification.asp" TargetMode="External"/><Relationship Id="rId323" Type="http://schemas.openxmlformats.org/officeDocument/2006/relationships/hyperlink" Target="http://www.procompsoftware.com/Landers/Page/3/Certified-EHR" TargetMode="External"/><Relationship Id="rId344" Type="http://schemas.openxmlformats.org/officeDocument/2006/relationships/hyperlink" Target="http://sohisystems.com/ehrCertification.html" TargetMode="External"/><Relationship Id="rId20" Type="http://schemas.openxmlformats.org/officeDocument/2006/relationships/hyperlink" Target="http://atlasmedical.com/products/labworks/" TargetMode="External"/><Relationship Id="rId41" Type="http://schemas.openxmlformats.org/officeDocument/2006/relationships/hyperlink" Target="http://clinixmd.com/ehr/clinixmd-receives-onc-acb-2014-edition-certification/" TargetMode="External"/><Relationship Id="rId62" Type="http://schemas.openxmlformats.org/officeDocument/2006/relationships/hyperlink" Target="http://www.epowerdoc.com/en/compliance_and_roi/" TargetMode="External"/><Relationship Id="rId83" Type="http://schemas.openxmlformats.org/officeDocument/2006/relationships/hyperlink" Target="http://www3.gehealthcare.com/en/Products/Categories/Healthcare_IT/~/link.aspx?_id=A658D910255B416686DF679886E0BD7A&amp;_z=z" TargetMode="External"/><Relationship Id="rId179" Type="http://schemas.openxmlformats.org/officeDocument/2006/relationships/hyperlink" Target="http://www.inpracsys.com/ips/compliance" TargetMode="External"/><Relationship Id="rId365" Type="http://schemas.openxmlformats.org/officeDocument/2006/relationships/hyperlink" Target="http://unityware.com/us/about/mu-certification/" TargetMode="External"/><Relationship Id="rId190" Type="http://schemas.openxmlformats.org/officeDocument/2006/relationships/hyperlink" Target="http://www.doxpedo.com/ehr-incentive/" TargetMode="External"/><Relationship Id="rId204" Type="http://schemas.openxmlformats.org/officeDocument/2006/relationships/hyperlink" Target="http://www.medhost.com/about-us/meaningful-use-certification" TargetMode="External"/><Relationship Id="rId225" Type="http://schemas.openxmlformats.org/officeDocument/2006/relationships/hyperlink" Target="http://www.medhost.com/about-us/meaningful-use-certification" TargetMode="External"/><Relationship Id="rId246" Type="http://schemas.openxmlformats.org/officeDocument/2006/relationships/hyperlink" Target="http://www.medhost.com/about-us/yourcareuniverse-certification" TargetMode="External"/><Relationship Id="rId267" Type="http://schemas.openxmlformats.org/officeDocument/2006/relationships/hyperlink" Target="http://www.medhost.com/offerings/edis/edis-certification" TargetMode="External"/><Relationship Id="rId288" Type="http://schemas.openxmlformats.org/officeDocument/2006/relationships/hyperlink" Target="http://charttalk.net/2012/price-transparency/" TargetMode="External"/><Relationship Id="rId106" Type="http://schemas.openxmlformats.org/officeDocument/2006/relationships/hyperlink" Target="http://www3.gehealthcare.com/en/Products/Categories/Healthcare_IT/HITECH" TargetMode="External"/><Relationship Id="rId127" Type="http://schemas.openxmlformats.org/officeDocument/2006/relationships/hyperlink" Target="http://www.greenwayhealth.com/solution/electronic-dental-records/" TargetMode="External"/><Relationship Id="rId313" Type="http://schemas.openxmlformats.org/officeDocument/2006/relationships/hyperlink" Target="http://pbsinet.com/products-and-services/medical-solutions/" TargetMode="External"/><Relationship Id="rId10" Type="http://schemas.openxmlformats.org/officeDocument/2006/relationships/hyperlink" Target="http://www.allscripts.com/terms-of-use/documents" TargetMode="External"/><Relationship Id="rId31" Type="http://schemas.openxmlformats.org/officeDocument/2006/relationships/hyperlink" Target="http://www.citiustech.com/solutions/bi-clinical_13.1_ONC-Mandatory-Disclosure-Statement.aspx" TargetMode="External"/><Relationship Id="rId52" Type="http://schemas.openxmlformats.org/officeDocument/2006/relationships/hyperlink" Target="http://dawsystems.com/emr.html" TargetMode="External"/><Relationship Id="rId73" Type="http://schemas.openxmlformats.org/officeDocument/2006/relationships/hyperlink" Target="http://www.eyemdemr.com/products_Incentives.htm" TargetMode="External"/><Relationship Id="rId94" Type="http://schemas.openxmlformats.org/officeDocument/2006/relationships/hyperlink" Target="http://www3.gehealthcare.com/en/Products/Categories/Healthcare_IT/HITECH" TargetMode="External"/><Relationship Id="rId148" Type="http://schemas.openxmlformats.org/officeDocument/2006/relationships/hyperlink" Target="http://www.greenwayhealth.com/solution/electronic-health-record-practice-management/" TargetMode="External"/><Relationship Id="rId169" Type="http://schemas.openxmlformats.org/officeDocument/2006/relationships/hyperlink" Target="http://www.healthfusion.com/ehr-meaningful-use/meaningful-use-certification/" TargetMode="External"/><Relationship Id="rId334" Type="http://schemas.openxmlformats.org/officeDocument/2006/relationships/hyperlink" Target="http://www.relimedsolutions.com/certification.html" TargetMode="External"/><Relationship Id="rId355" Type="http://schemas.openxmlformats.org/officeDocument/2006/relationships/hyperlink" Target="http://thegaragein.com/ignite" TargetMode="External"/><Relationship Id="rId376" Type="http://schemas.openxmlformats.org/officeDocument/2006/relationships/hyperlink" Target="http://www.medhost.com/about-us/yourcareuniverse-certification" TargetMode="External"/><Relationship Id="rId4" Type="http://schemas.openxmlformats.org/officeDocument/2006/relationships/hyperlink" Target="http://crystalpm.com/certification/" TargetMode="External"/><Relationship Id="rId180" Type="http://schemas.openxmlformats.org/officeDocument/2006/relationships/hyperlink" Target="http://www.infor.com/product-summary/healthcare/cloverleaf-integration-suite/" TargetMode="External"/><Relationship Id="rId215" Type="http://schemas.openxmlformats.org/officeDocument/2006/relationships/hyperlink" Target="http://www.medhost.com/offerings/edis/edis-certification" TargetMode="External"/><Relationship Id="rId236" Type="http://schemas.openxmlformats.org/officeDocument/2006/relationships/hyperlink" Target="http://www.medhost.com/about-us/meaningful-use-certification" TargetMode="External"/><Relationship Id="rId257" Type="http://schemas.openxmlformats.org/officeDocument/2006/relationships/hyperlink" Target="http://www.medhost.com/about-us/meaningful-use-certification" TargetMode="External"/><Relationship Id="rId278" Type="http://schemas.openxmlformats.org/officeDocument/2006/relationships/hyperlink" Target="https://www.webchartnow.com/drummond" TargetMode="External"/><Relationship Id="rId303" Type="http://schemas.openxmlformats.org/officeDocument/2006/relationships/hyperlink" Target="http://oasite.com/ONC_certification.asp" TargetMode="External"/><Relationship Id="rId42" Type="http://schemas.openxmlformats.org/officeDocument/2006/relationships/hyperlink" Target="http://cocentrix.com/platform/electronic-health-record/" TargetMode="External"/><Relationship Id="rId84" Type="http://schemas.openxmlformats.org/officeDocument/2006/relationships/hyperlink" Target="http://www3.gehealthcare.com/en/Products/Categories/Healthcare_IT/~/link.aspx?_id=A658D910255B416686DF679886E0BD7A&amp;_z=z" TargetMode="External"/><Relationship Id="rId138" Type="http://schemas.openxmlformats.org/officeDocument/2006/relationships/hyperlink" Target="http://www.greenwayhealth.com/solution/electronic-health-record-practice-management/" TargetMode="External"/><Relationship Id="rId345" Type="http://schemas.openxmlformats.org/officeDocument/2006/relationships/hyperlink" Target="https://sophrona.com/products/meaningful-use-portal/" TargetMode="External"/><Relationship Id="rId191" Type="http://schemas.openxmlformats.org/officeDocument/2006/relationships/hyperlink" Target="http://www.drsdoc.com/" TargetMode="External"/><Relationship Id="rId205" Type="http://schemas.openxmlformats.org/officeDocument/2006/relationships/hyperlink" Target="http://www.medhost.com/about-us/meaningful-use-certification" TargetMode="External"/><Relationship Id="rId247" Type="http://schemas.openxmlformats.org/officeDocument/2006/relationships/hyperlink" Target="http://www.medhost.com/about-us/yourcareuniverse-certification" TargetMode="External"/><Relationship Id="rId107" Type="http://schemas.openxmlformats.org/officeDocument/2006/relationships/hyperlink" Target="http://www3.gehealthcare.com/en/Products/Categories/Healthcare_IT/HITECH" TargetMode="External"/><Relationship Id="rId289" Type="http://schemas.openxmlformats.org/officeDocument/2006/relationships/hyperlink" Target="http://www.mitchellandmccormick.net/products---services.html" TargetMode="External"/><Relationship Id="rId11" Type="http://schemas.openxmlformats.org/officeDocument/2006/relationships/hyperlink" Target="http://www.allscripts.com/terms-of-use/documents" TargetMode="External"/><Relationship Id="rId53" Type="http://schemas.openxmlformats.org/officeDocument/2006/relationships/hyperlink" Target="http://www.digidms.com/disclosure.htm" TargetMode="External"/><Relationship Id="rId149" Type="http://schemas.openxmlformats.org/officeDocument/2006/relationships/hyperlink" Target="http://www.greenwayhealth.com/solution/chc-electronic-health-records/" TargetMode="External"/><Relationship Id="rId314" Type="http://schemas.openxmlformats.org/officeDocument/2006/relationships/hyperlink" Target="http://pcisgold.com/" TargetMode="External"/><Relationship Id="rId356" Type="http://schemas.openxmlformats.org/officeDocument/2006/relationships/hyperlink" Target="http://shamsgroup.com/healthcare-solutions/certified-mu-solutions/" TargetMode="External"/><Relationship Id="rId95" Type="http://schemas.openxmlformats.org/officeDocument/2006/relationships/hyperlink" Target="http://www3.gehealthcare.com/en/Products/Categories/Healthcare_IT/HITECH" TargetMode="External"/><Relationship Id="rId160" Type="http://schemas.openxmlformats.org/officeDocument/2006/relationships/hyperlink" Target="http://www.greenwayhealth.com/solution/practice-management-enterprises/" TargetMode="External"/><Relationship Id="rId216" Type="http://schemas.openxmlformats.org/officeDocument/2006/relationships/hyperlink" Target="http://www.medhost.com/offerings/edis/edis-certification" TargetMode="External"/><Relationship Id="rId258" Type="http://schemas.openxmlformats.org/officeDocument/2006/relationships/hyperlink" Target="http://www.medhost.com/about-us/meaningful-use-certification" TargetMode="External"/><Relationship Id="rId22" Type="http://schemas.openxmlformats.org/officeDocument/2006/relationships/hyperlink" Target="http://www.oncochart.com/meaningful-use/" TargetMode="External"/><Relationship Id="rId64" Type="http://schemas.openxmlformats.org/officeDocument/2006/relationships/hyperlink" Target="http://www.mdchartsolutions.com/aboutus/certification.php" TargetMode="External"/><Relationship Id="rId118" Type="http://schemas.openxmlformats.org/officeDocument/2006/relationships/hyperlink" Target="http://www3.gehealthcare.com/en/Products/Categories/Healthcare_IT/~/link.aspx?_id=A658D910255B416686DF679886E0BD7A&amp;_z=z" TargetMode="External"/><Relationship Id="rId325" Type="http://schemas.openxmlformats.org/officeDocument/2006/relationships/hyperlink" Target="http://prognosisinnovation.com/our-products/onc-certified/" TargetMode="External"/><Relationship Id="rId367" Type="http://schemas.openxmlformats.org/officeDocument/2006/relationships/hyperlink" Target="http://www.vmsehr.com/" TargetMode="External"/><Relationship Id="rId171" Type="http://schemas.openxmlformats.org/officeDocument/2006/relationships/hyperlink" Target="https://hellohealth.com/ehr/resources/meaningful-use/" TargetMode="External"/><Relationship Id="rId227" Type="http://schemas.openxmlformats.org/officeDocument/2006/relationships/hyperlink" Target="http://www.medhost.com/about-us/meaningful-use-certification" TargetMode="External"/><Relationship Id="rId269" Type="http://schemas.openxmlformats.org/officeDocument/2006/relationships/hyperlink" Target="http://www.medtronsoftware.com/pdf/newsblasts/MEDEHR_Price_Transparency_Statement_030116.pdf" TargetMode="External"/><Relationship Id="rId33" Type="http://schemas.openxmlformats.org/officeDocument/2006/relationships/hyperlink" Target="http://www.citiustech.com/solutions/bi-clinical_15.7_NZ_ONC-Mandatory-Disclosure-Statement.aspx" TargetMode="External"/><Relationship Id="rId129" Type="http://schemas.openxmlformats.org/officeDocument/2006/relationships/hyperlink" Target="http://www.greenwayhealth.com/solution/electronic-dental-records/" TargetMode="External"/><Relationship Id="rId280" Type="http://schemas.openxmlformats.org/officeDocument/2006/relationships/hyperlink" Target="https://charmtracker.com/ehr/meaningful-use-certified-ehr.html" TargetMode="External"/><Relationship Id="rId336" Type="http://schemas.openxmlformats.org/officeDocument/2006/relationships/hyperlink" Target="http://www.soapware.com/2014-edition-drummond-certified-ehr/" TargetMode="External"/><Relationship Id="rId75" Type="http://schemas.openxmlformats.org/officeDocument/2006/relationships/hyperlink" Target="http://www.falconehr.com/meaningful-use-certificate/" TargetMode="External"/><Relationship Id="rId140" Type="http://schemas.openxmlformats.org/officeDocument/2006/relationships/hyperlink" Target="http://www.greenwayhealth.com/solution/electronic-health-record-practice-management/" TargetMode="External"/><Relationship Id="rId182" Type="http://schemas.openxmlformats.org/officeDocument/2006/relationships/hyperlink" Target="http://www.clinicsource.com/clinicsource-earns-prestigious-onc-acb-2014-certification/" TargetMode="External"/><Relationship Id="rId378" Type="http://schemas.openxmlformats.org/officeDocument/2006/relationships/hyperlink" Target="https://www.eclinicalworks.com/resources/meaningful-use-disclosure/" TargetMode="External"/><Relationship Id="rId6" Type="http://schemas.openxmlformats.org/officeDocument/2006/relationships/hyperlink" Target="http://www.acmeware.com/meaningful-use-for-eligible-hospitals.aspx" TargetMode="External"/><Relationship Id="rId238" Type="http://schemas.openxmlformats.org/officeDocument/2006/relationships/hyperlink" Target="http://www.medhost.com/about-us/meaningful-use-certification" TargetMode="External"/><Relationship Id="rId291" Type="http://schemas.openxmlformats.org/officeDocument/2006/relationships/hyperlink" Target="http://www.mydoctorschart.com/disclosures" TargetMode="External"/><Relationship Id="rId305" Type="http://schemas.openxmlformats.org/officeDocument/2006/relationships/hyperlink" Target="http://odlink.com/hi-tech_act" TargetMode="External"/><Relationship Id="rId347" Type="http://schemas.openxmlformats.org/officeDocument/2006/relationships/hyperlink" Target="http://www.synaphealth.com/drummond-certificate/" TargetMode="External"/><Relationship Id="rId44" Type="http://schemas.openxmlformats.org/officeDocument/2006/relationships/hyperlink" Target="http://esphealth.org/redmine/" TargetMode="External"/><Relationship Id="rId86" Type="http://schemas.openxmlformats.org/officeDocument/2006/relationships/hyperlink" Target="http://www3.gehealthcare.com/en/Products/Categories/Healthcare_IT/~/link.aspx?_id=A658D910255B416686DF679886E0BD7A&amp;_z=z" TargetMode="External"/><Relationship Id="rId151" Type="http://schemas.openxmlformats.org/officeDocument/2006/relationships/hyperlink" Target="http://www.greenwayhealth.com/solution/chc-electronic-health-records/" TargetMode="External"/><Relationship Id="rId193" Type="http://schemas.openxmlformats.org/officeDocument/2006/relationships/hyperlink" Target="http://home.meditech.com/en/d/regulatoryresources/pages/certification.htm" TargetMode="External"/><Relationship Id="rId207" Type="http://schemas.openxmlformats.org/officeDocument/2006/relationships/hyperlink" Target="http://www.medhost.com/about-us/meaningful-use-certification" TargetMode="External"/><Relationship Id="rId249" Type="http://schemas.openxmlformats.org/officeDocument/2006/relationships/hyperlink" Target="http://www.medhost.com/about-us/yourcareuniverse-certification" TargetMode="External"/><Relationship Id="rId13" Type="http://schemas.openxmlformats.org/officeDocument/2006/relationships/hyperlink" Target="http://www.amritamedical.com/drummondCert.html" TargetMode="External"/><Relationship Id="rId109" Type="http://schemas.openxmlformats.org/officeDocument/2006/relationships/hyperlink" Target="http://www3.gehealthcare.com/en/Products/Categories/Healthcare_IT/HITECH" TargetMode="External"/><Relationship Id="rId260" Type="http://schemas.openxmlformats.org/officeDocument/2006/relationships/hyperlink" Target="http://www.medhost.com/offerings/advanced-perioperative/advanced-perioperative-certification" TargetMode="External"/><Relationship Id="rId316" Type="http://schemas.openxmlformats.org/officeDocument/2006/relationships/hyperlink" Target="http://patagoniahealth.com/advantages/affordability/" TargetMode="External"/><Relationship Id="rId55" Type="http://schemas.openxmlformats.org/officeDocument/2006/relationships/hyperlink" Target="http://doctorsoft.com/" TargetMode="External"/><Relationship Id="rId97" Type="http://schemas.openxmlformats.org/officeDocument/2006/relationships/hyperlink" Target="http://www3.gehealthcare.com/en/Products/Categories/Healthcare_IT/HITECH" TargetMode="External"/><Relationship Id="rId120" Type="http://schemas.openxmlformats.org/officeDocument/2006/relationships/hyperlink" Target="http://www3.gehealthcare.com/en/Products/Categories/Healthcare_IT/~/link.aspx?_id=A658D910255B416686DF679886E0BD7A&amp;_z=z" TargetMode="External"/><Relationship Id="rId358" Type="http://schemas.openxmlformats.org/officeDocument/2006/relationships/hyperlink" Target="http://www.thrasys.com/about/" TargetMode="External"/><Relationship Id="rId162" Type="http://schemas.openxmlformats.org/officeDocument/2006/relationships/hyperlink" Target="http://www.healthec.com/drummond-certificates/" TargetMode="External"/><Relationship Id="rId218" Type="http://schemas.openxmlformats.org/officeDocument/2006/relationships/hyperlink" Target="http://www.medhost.com/offerings/edis/edis-certification" TargetMode="External"/><Relationship Id="rId271" Type="http://schemas.openxmlformats.org/officeDocument/2006/relationships/hyperlink" Target="http://medallies.com/Drummond_Certification.html" TargetMode="External"/><Relationship Id="rId24" Type="http://schemas.openxmlformats.org/officeDocument/2006/relationships/hyperlink" Target="http://www.businet.com/transparency.htm" TargetMode="External"/><Relationship Id="rId66" Type="http://schemas.openxmlformats.org/officeDocument/2006/relationships/hyperlink" Target="http://www.emdeon.com/ehrlite/" TargetMode="External"/><Relationship Id="rId131" Type="http://schemas.openxmlformats.org/officeDocument/2006/relationships/hyperlink" Target="http://www.greenwayhealth.com/solution/electronic-dental-records/" TargetMode="External"/><Relationship Id="rId327" Type="http://schemas.openxmlformats.org/officeDocument/2006/relationships/hyperlink" Target="http://patientprompt.com/meaningful-use/" TargetMode="External"/><Relationship Id="rId369" Type="http://schemas.openxmlformats.org/officeDocument/2006/relationships/hyperlink" Target="http://visiontree.com/information/newsevents/meaningfuluse/" TargetMode="External"/><Relationship Id="rId173" Type="http://schemas.openxmlformats.org/officeDocument/2006/relationships/hyperlink" Target="http://www.icanotes.com/content/onc-atcb-certification" TargetMode="External"/><Relationship Id="rId229" Type="http://schemas.openxmlformats.org/officeDocument/2006/relationships/hyperlink" Target="http://www.medhost.com/about-us/meaningful-use-certification" TargetMode="External"/><Relationship Id="rId380" Type="http://schemas.openxmlformats.org/officeDocument/2006/relationships/hyperlink" Target="http://medq.com/ehr.html" TargetMode="External"/><Relationship Id="rId240" Type="http://schemas.openxmlformats.org/officeDocument/2006/relationships/hyperlink" Target="http://www.medhost.com/about-us/meaningful-use-certification" TargetMode="External"/><Relationship Id="rId35" Type="http://schemas.openxmlformats.org/officeDocument/2006/relationships/hyperlink" Target="http://www.citiustech.com/solutions/cq-iq_ONC-Mandatory-Disclosure-Statement" TargetMode="External"/><Relationship Id="rId77" Type="http://schemas.openxmlformats.org/officeDocument/2006/relationships/hyperlink" Target="http://footholdtechnology.com/" TargetMode="External"/><Relationship Id="rId100" Type="http://schemas.openxmlformats.org/officeDocument/2006/relationships/hyperlink" Target="http://www3.gehealthcare.com/en/Products/Categories/Healthcare_IT/HITECH" TargetMode="External"/><Relationship Id="rId282" Type="http://schemas.openxmlformats.org/officeDocument/2006/relationships/hyperlink" Target="http://medstreaming.com/Products/EMR" TargetMode="External"/><Relationship Id="rId338" Type="http://schemas.openxmlformats.org/officeDocument/2006/relationships/hyperlink" Target="http://sajix.com/PressReleases.php?pg=news" TargetMode="External"/><Relationship Id="rId8" Type="http://schemas.openxmlformats.org/officeDocument/2006/relationships/hyperlink" Target="http://www.acmeware.com/meaningful-use-for-eligible-hospitals.aspx" TargetMode="External"/><Relationship Id="rId142" Type="http://schemas.openxmlformats.org/officeDocument/2006/relationships/hyperlink" Target="http://www.greenwayhealth.com/solution/electronic-health-record-practice-management/" TargetMode="External"/><Relationship Id="rId184" Type="http://schemas.openxmlformats.org/officeDocument/2006/relationships/hyperlink" Target="http://integrityemr.com/" TargetMode="External"/><Relationship Id="rId251" Type="http://schemas.openxmlformats.org/officeDocument/2006/relationships/hyperlink" Target="http://www.medhost.com/about-us/yourcareuniverse-certification" TargetMode="External"/><Relationship Id="rId46" Type="http://schemas.openxmlformats.org/officeDocument/2006/relationships/hyperlink" Target="http://www.coresolutionsinc.com/wp-content/uploads/2013/08/Complete-MU-2-Certification-Press-Release.pdf" TargetMode="External"/><Relationship Id="rId293" Type="http://schemas.openxmlformats.org/officeDocument/2006/relationships/hyperlink" Target="http://navishealth.com/products/engage/" TargetMode="External"/><Relationship Id="rId307" Type="http://schemas.openxmlformats.org/officeDocument/2006/relationships/hyperlink" Target="https://cms.officeally.com/acb-certification.aspx" TargetMode="External"/><Relationship Id="rId349" Type="http://schemas.openxmlformats.org/officeDocument/2006/relationships/hyperlink" Target="http://www.standingstoneinc.com/" TargetMode="External"/><Relationship Id="rId88" Type="http://schemas.openxmlformats.org/officeDocument/2006/relationships/hyperlink" Target="http://www3.gehealthcare.com/en/Products/Categories/Healthcare_IT/HITECH" TargetMode="External"/><Relationship Id="rId111" Type="http://schemas.openxmlformats.org/officeDocument/2006/relationships/hyperlink" Target="http://www3.gehealthcare.com/en/Products/Categories/Healthcare_IT/HITECH" TargetMode="External"/><Relationship Id="rId153" Type="http://schemas.openxmlformats.org/officeDocument/2006/relationships/hyperlink" Target="http://www.greenwayhealth.com/solution/chc-electronic-health-records/" TargetMode="External"/><Relationship Id="rId195" Type="http://schemas.openxmlformats.org/officeDocument/2006/relationships/hyperlink" Target="https://my.genesysmd.com/purkinje/default.aspx?enc=HAd1rtUZbsmBBo0sEDuy4bAf+8ryRT8yh9r3/+iHu5rXeFKWiHS6Zt403nPTfkOv" TargetMode="External"/><Relationship Id="rId209" Type="http://schemas.openxmlformats.org/officeDocument/2006/relationships/hyperlink" Target="http://www.medhost.com/about-us/meaningful-use-certification" TargetMode="External"/><Relationship Id="rId360" Type="http://schemas.openxmlformats.org/officeDocument/2006/relationships/hyperlink" Target="http://transmed.net/prices/index" TargetMode="External"/><Relationship Id="rId220" Type="http://schemas.openxmlformats.org/officeDocument/2006/relationships/hyperlink" Target="http://www.medhost.com/about-us/meaningful-use-certification" TargetMode="External"/><Relationship Id="rId15" Type="http://schemas.openxmlformats.org/officeDocument/2006/relationships/hyperlink" Target="http://www.antheliohealth.com/patient-pulse.html" TargetMode="External"/><Relationship Id="rId57" Type="http://schemas.openxmlformats.org/officeDocument/2006/relationships/hyperlink" Target="http://www.docutracinc.com/meaningful_use_disclosure/" TargetMode="External"/><Relationship Id="rId262" Type="http://schemas.openxmlformats.org/officeDocument/2006/relationships/hyperlink" Target="http://www.medhost.com/offerings/advanced-perioperative/advanced-perioperative-certification" TargetMode="External"/><Relationship Id="rId318" Type="http://schemas.openxmlformats.org/officeDocument/2006/relationships/hyperlink" Target="http://www.phoenixortho.net/phoenix-ortho-receives-meaningful-use-stage-ii-certification.html" TargetMode="External"/><Relationship Id="rId99" Type="http://schemas.openxmlformats.org/officeDocument/2006/relationships/hyperlink" Target="http://www3.gehealthcare.com/en/Products/Categories/Healthcare_IT/HITECH" TargetMode="External"/><Relationship Id="rId122" Type="http://schemas.openxmlformats.org/officeDocument/2006/relationships/hyperlink" Target="http://www3.gehealthcare.com/en/Products/Categories/Healthcare_IT/~/link.aspx?_id=A658D910255B416686DF679886E0BD7A&amp;_z=z" TargetMode="External"/><Relationship Id="rId164" Type="http://schemas.openxmlformats.org/officeDocument/2006/relationships/hyperlink" Target="https://quick-charts.com/certification-details/" TargetMode="External"/><Relationship Id="rId371" Type="http://schemas.openxmlformats.org/officeDocument/2006/relationships/hyperlink" Target="http://visualoutcomes.com/meaningful_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prima.com/company/industry-certifications-infogard/2014-infogard-certification" TargetMode="External"/><Relationship Id="rId2" Type="http://schemas.openxmlformats.org/officeDocument/2006/relationships/hyperlink" Target="http://www.aprima.com/company/industry-certifications-infogard/2014-infogard-certification" TargetMode="External"/><Relationship Id="rId1" Type="http://schemas.openxmlformats.org/officeDocument/2006/relationships/hyperlink" Target="http://www.acurussolutions.com/Certification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azarahealthcare.com/solutions/azara-drvs/reports/meaningful-use-certified-repor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8"/>
  <sheetViews>
    <sheetView workbookViewId="0">
      <pane ySplit="1" topLeftCell="A29" activePane="bottomLeft" state="frozen"/>
      <selection pane="bottomLeft" activeCell="E34" sqref="E34"/>
    </sheetView>
  </sheetViews>
  <sheetFormatPr defaultColWidth="15.140625" defaultRowHeight="15" customHeight="1" x14ac:dyDescent="0.25"/>
  <cols>
    <col min="1" max="1" width="9.5703125" style="21" customWidth="1"/>
    <col min="2" max="2" width="27.7109375" style="21" customWidth="1"/>
    <col min="3" max="3" width="16.42578125" style="21" customWidth="1"/>
    <col min="4" max="4" width="16" style="20" customWidth="1"/>
    <col min="5" max="5" width="23.7109375" style="21" customWidth="1"/>
    <col min="6" max="6" width="37.5703125" style="20" customWidth="1"/>
    <col min="7" max="7" width="59.5703125" style="21" customWidth="1"/>
    <col min="8" max="8" width="14.5703125" style="21" customWidth="1"/>
    <col min="9" max="17" width="6.5703125" style="2" customWidth="1"/>
    <col min="18" max="27" width="13.28515625" style="2" customWidth="1"/>
    <col min="28" max="16384" width="15.140625" style="2"/>
  </cols>
  <sheetData>
    <row r="1" spans="1:27" ht="75" customHeight="1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7" t="s">
        <v>1882</v>
      </c>
      <c r="G1" s="16" t="s">
        <v>5</v>
      </c>
      <c r="H1" s="18" t="s">
        <v>1883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9">
        <v>1015</v>
      </c>
      <c r="B2" s="19" t="s">
        <v>7</v>
      </c>
      <c r="C2" s="19" t="s">
        <v>8</v>
      </c>
      <c r="D2" s="20">
        <v>1</v>
      </c>
      <c r="E2" s="21" t="s">
        <v>1884</v>
      </c>
      <c r="F2" s="20">
        <v>0</v>
      </c>
      <c r="G2" s="22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  <c r="H2" s="23">
        <v>42447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9">
        <v>1019</v>
      </c>
      <c r="B3" s="19" t="s">
        <v>9</v>
      </c>
      <c r="C3" s="19" t="s">
        <v>8</v>
      </c>
      <c r="D3" s="20">
        <v>0</v>
      </c>
      <c r="E3" s="21" t="s">
        <v>1885</v>
      </c>
      <c r="F3" s="20">
        <v>0</v>
      </c>
      <c r="G3" s="22" t="str">
        <f>HYPERLINK("http://www.alert-online.com/news/company/alert-ehr-v264-is-2014-edition-certified","http://www.alert-online.com/news/company/alert-ehr-v264-is-2014-edition-certified")</f>
        <v>http://www.alert-online.com/news/company/alert-ehr-v264-is-2014-edition-certified</v>
      </c>
      <c r="H3" s="23">
        <v>42447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9">
        <v>1020</v>
      </c>
      <c r="B4" s="19" t="s">
        <v>10</v>
      </c>
      <c r="C4" s="21" t="s">
        <v>8</v>
      </c>
      <c r="D4" s="20">
        <v>1</v>
      </c>
      <c r="E4" s="21" t="s">
        <v>1886</v>
      </c>
      <c r="F4" s="20">
        <v>0</v>
      </c>
      <c r="G4" s="24" t="s">
        <v>466</v>
      </c>
      <c r="H4" s="23">
        <v>42447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9">
        <v>1029</v>
      </c>
      <c r="B5" s="19" t="s">
        <v>11</v>
      </c>
      <c r="C5" s="19" t="s">
        <v>8</v>
      </c>
      <c r="D5" s="20">
        <v>1</v>
      </c>
      <c r="E5" s="21" t="s">
        <v>2199</v>
      </c>
      <c r="F5" s="20">
        <v>0</v>
      </c>
      <c r="G5" s="24" t="s">
        <v>1887</v>
      </c>
      <c r="H5" s="23">
        <v>42447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9">
        <v>1034</v>
      </c>
      <c r="B6" s="19" t="s">
        <v>12</v>
      </c>
      <c r="C6" s="19" t="s">
        <v>8</v>
      </c>
      <c r="D6" s="20">
        <v>1</v>
      </c>
      <c r="E6" s="19" t="s">
        <v>13</v>
      </c>
      <c r="F6" s="20">
        <v>1</v>
      </c>
      <c r="G6" s="22" t="str">
        <f t="shared" ref="G6:G7" si="0">HYPERLINK("http://www.acmeware.com/meaningful-use-for-eligible-hospitals.aspx","http://www.acmeware.com/meaningful-use-for-eligible-hospitals.aspx")</f>
        <v>http://www.acmeware.com/meaningful-use-for-eligible-hospitals.aspx</v>
      </c>
      <c r="H6" s="23">
        <v>42447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9">
        <v>1034</v>
      </c>
      <c r="B7" s="19" t="s">
        <v>12</v>
      </c>
      <c r="C7" s="19" t="s">
        <v>8</v>
      </c>
      <c r="D7" s="20">
        <v>1</v>
      </c>
      <c r="E7" s="19" t="s">
        <v>14</v>
      </c>
      <c r="F7" s="20">
        <v>1</v>
      </c>
      <c r="G7" s="22" t="str">
        <f t="shared" si="0"/>
        <v>http://www.acmeware.com/meaningful-use-for-eligible-hospitals.aspx</v>
      </c>
      <c r="H7" s="23">
        <v>42447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9">
        <v>1034</v>
      </c>
      <c r="B8" s="19" t="s">
        <v>12</v>
      </c>
      <c r="C8" s="19" t="s">
        <v>8</v>
      </c>
      <c r="D8" s="20">
        <v>1</v>
      </c>
      <c r="E8" s="19" t="s">
        <v>15</v>
      </c>
      <c r="F8" s="20">
        <v>1</v>
      </c>
      <c r="G8" s="22" t="str">
        <f>HYPERLINK("http://www.acmeware.com/meaningful-use-for-eligible-providers.aspx","http://www.acmeware.com/meaningful-use-for-eligible-providers.aspx")</f>
        <v>http://www.acmeware.com/meaningful-use-for-eligible-providers.aspx</v>
      </c>
      <c r="H8" s="23">
        <v>42447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">
        <v>1034</v>
      </c>
      <c r="B9" s="19" t="s">
        <v>12</v>
      </c>
      <c r="C9" s="19" t="s">
        <v>8</v>
      </c>
      <c r="D9" s="20">
        <v>1</v>
      </c>
      <c r="E9" s="19" t="s">
        <v>16</v>
      </c>
      <c r="F9" s="20">
        <v>1</v>
      </c>
      <c r="G9" s="22" t="str">
        <f>HYPERLINK("http://www.acmeware.com/meaningful-use-for-eligible-hospitals.aspx","http://www.acmeware.com/meaningful-use-for-eligible-hospitals.aspx")</f>
        <v>http://www.acmeware.com/meaningful-use-for-eligible-hospitals.aspx</v>
      </c>
      <c r="H9" s="23">
        <v>42447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9">
        <v>1034</v>
      </c>
      <c r="B10" s="19" t="s">
        <v>12</v>
      </c>
      <c r="C10" s="19" t="s">
        <v>8</v>
      </c>
      <c r="D10" s="20">
        <v>1</v>
      </c>
      <c r="E10" s="19" t="s">
        <v>17</v>
      </c>
      <c r="F10" s="20">
        <v>1</v>
      </c>
      <c r="G10" s="22" t="str">
        <f>HYPERLINK("http://www.acmeware.com/meaningful-use-for-eligible-providers.aspx","http://www.acmeware.com/meaningful-use-for-eligible-providers.aspx")</f>
        <v>http://www.acmeware.com/meaningful-use-for-eligible-providers.aspx</v>
      </c>
      <c r="H10" s="23">
        <v>42447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9">
        <v>1041</v>
      </c>
      <c r="B11" s="19" t="s">
        <v>18</v>
      </c>
      <c r="C11" s="19" t="s">
        <v>8</v>
      </c>
      <c r="D11" s="20">
        <v>0</v>
      </c>
      <c r="E11" s="21" t="s">
        <v>1888</v>
      </c>
      <c r="F11" s="20">
        <v>0</v>
      </c>
      <c r="G11" s="19" t="s">
        <v>19</v>
      </c>
      <c r="H11" s="23">
        <v>42447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9">
        <v>1047</v>
      </c>
      <c r="B12" s="19" t="s">
        <v>20</v>
      </c>
      <c r="C12" s="19" t="s">
        <v>8</v>
      </c>
      <c r="D12" s="20">
        <v>1</v>
      </c>
      <c r="E12" s="21" t="s">
        <v>1889</v>
      </c>
      <c r="F12" s="20">
        <v>0</v>
      </c>
      <c r="G12" s="19" t="s">
        <v>21</v>
      </c>
      <c r="H12" s="23">
        <v>42447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9">
        <v>1061</v>
      </c>
      <c r="B13" s="19" t="s">
        <v>24</v>
      </c>
      <c r="C13" s="19" t="s">
        <v>8</v>
      </c>
      <c r="D13" s="20">
        <v>1</v>
      </c>
      <c r="E13" s="21" t="s">
        <v>1890</v>
      </c>
      <c r="F13" s="20">
        <v>0</v>
      </c>
      <c r="G13" s="22" t="str">
        <f t="shared" ref="G13:G14" si="1">HYPERLINK("http://www.allscripts.com/terms-of-use/documents","http://www.allscripts.com/terms-of-use/documents")</f>
        <v>http://www.allscripts.com/terms-of-use/documents</v>
      </c>
      <c r="H13" s="23">
        <v>42447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9">
        <v>1062</v>
      </c>
      <c r="B14" s="19" t="s">
        <v>25</v>
      </c>
      <c r="C14" s="19" t="s">
        <v>8</v>
      </c>
      <c r="D14" s="20">
        <v>1</v>
      </c>
      <c r="E14" s="21" t="s">
        <v>1891</v>
      </c>
      <c r="F14" s="20">
        <v>0</v>
      </c>
      <c r="G14" s="22" t="str">
        <f t="shared" si="1"/>
        <v>http://www.allscripts.com/terms-of-use/documents</v>
      </c>
      <c r="H14" s="23">
        <v>42447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9">
        <v>1082</v>
      </c>
      <c r="B15" s="19" t="s">
        <v>27</v>
      </c>
      <c r="C15" s="19" t="s">
        <v>8</v>
      </c>
      <c r="D15" s="20">
        <v>1</v>
      </c>
      <c r="E15" s="21" t="s">
        <v>1892</v>
      </c>
      <c r="F15" s="20">
        <v>0</v>
      </c>
      <c r="G15" s="22" t="str">
        <f>HYPERLINK("http://www.americanmedicalsolution.com/AMS/HeliosEMR.aspx","http://www.americanmedicalsolution.com/AMS/HeliosEMR.aspx")</f>
        <v>http://www.americanmedicalsolution.com/AMS/HeliosEMR.aspx</v>
      </c>
      <c r="H15" s="23">
        <v>42447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9">
        <v>1087</v>
      </c>
      <c r="B16" s="19" t="s">
        <v>28</v>
      </c>
      <c r="C16" s="19" t="s">
        <v>8</v>
      </c>
      <c r="D16" s="20">
        <v>1</v>
      </c>
      <c r="E16" s="21" t="s">
        <v>1893</v>
      </c>
      <c r="F16" s="20">
        <v>0</v>
      </c>
      <c r="G16" s="22" t="str">
        <f>HYPERLINK("http://www.amritamedical.com/drummondCert.html","http://www.amritamedical.com/drummondCert.html")</f>
        <v>http://www.amritamedical.com/drummondCert.html</v>
      </c>
      <c r="H16" s="23">
        <v>42447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9">
        <v>1094</v>
      </c>
      <c r="B17" s="19" t="s">
        <v>30</v>
      </c>
      <c r="C17" s="19" t="s">
        <v>8</v>
      </c>
      <c r="D17" s="20">
        <v>1</v>
      </c>
      <c r="E17" s="19" t="s">
        <v>31</v>
      </c>
      <c r="F17" s="20">
        <v>1</v>
      </c>
      <c r="G17" s="22" t="str">
        <f>HYPERLINK("http://www.antheliohealth.com/engage.html","http://www.antheliohealth.com/engage.html")</f>
        <v>http://www.antheliohealth.com/engage.html</v>
      </c>
      <c r="H17" s="23">
        <v>42447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9">
        <v>1095</v>
      </c>
      <c r="B18" s="19" t="s">
        <v>32</v>
      </c>
      <c r="C18" s="19" t="s">
        <v>8</v>
      </c>
      <c r="D18" s="20">
        <v>1</v>
      </c>
      <c r="E18" s="19" t="s">
        <v>33</v>
      </c>
      <c r="F18" s="20">
        <v>1</v>
      </c>
      <c r="G18" s="22" t="str">
        <f t="shared" ref="G18:G19" si="2">HYPERLINK("http://www.antheliohealth.com/patient-pulse.html","http://www.antheliohealth.com/patient-pulse.html")</f>
        <v>http://www.antheliohealth.com/patient-pulse.html</v>
      </c>
      <c r="H18" s="23">
        <v>42447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9">
        <v>1095</v>
      </c>
      <c r="B19" s="19" t="s">
        <v>32</v>
      </c>
      <c r="C19" s="19" t="s">
        <v>8</v>
      </c>
      <c r="D19" s="20">
        <v>1</v>
      </c>
      <c r="E19" s="19" t="s">
        <v>34</v>
      </c>
      <c r="F19" s="20">
        <v>1</v>
      </c>
      <c r="G19" s="22" t="str">
        <f t="shared" si="2"/>
        <v>http://www.antheliohealth.com/patient-pulse.html</v>
      </c>
      <c r="H19" s="23">
        <v>42447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9">
        <v>1098</v>
      </c>
      <c r="B20" s="19" t="s">
        <v>35</v>
      </c>
      <c r="C20" s="19" t="s">
        <v>8</v>
      </c>
      <c r="D20" s="20">
        <v>1</v>
      </c>
      <c r="E20" s="24" t="s">
        <v>1894</v>
      </c>
      <c r="F20" s="20">
        <v>0</v>
      </c>
      <c r="G20" s="22" t="str">
        <f>HYPERLINK("https://www.arw.in/blog/cozeva-certified-2014-modular-ehr-drummond-group","https://www.arw.in/blog/cozeva-certified-2014-modular-ehr-drummond-group")</f>
        <v>https://www.arw.in/blog/cozeva-certified-2014-modular-ehr-drummond-group</v>
      </c>
      <c r="H20" s="23">
        <v>42447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9">
        <v>1108</v>
      </c>
      <c r="B21" s="19" t="s">
        <v>36</v>
      </c>
      <c r="C21" s="19" t="s">
        <v>8</v>
      </c>
      <c r="D21" s="20">
        <v>1</v>
      </c>
      <c r="E21" s="21" t="s">
        <v>1895</v>
      </c>
      <c r="F21" s="20">
        <v>0</v>
      </c>
      <c r="G21" s="22" t="str">
        <f>HYPERLINK("https://aretehs.com/ehr.html","https://aretehs.com/ehr.html")</f>
        <v>https://aretehs.com/ehr.html</v>
      </c>
      <c r="H21" s="23">
        <v>42447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9">
        <v>1111</v>
      </c>
      <c r="B22" s="19" t="s">
        <v>37</v>
      </c>
      <c r="C22" s="19" t="s">
        <v>8</v>
      </c>
      <c r="D22" s="20">
        <v>1</v>
      </c>
      <c r="E22" s="21" t="s">
        <v>1896</v>
      </c>
      <c r="F22" s="20">
        <v>0</v>
      </c>
      <c r="G22" s="22" t="str">
        <f>HYPERLINK("http://aspyra.com/cyberlab-meaningful-use/","http://aspyra.com/cyberlab-meaningful-use/")</f>
        <v>http://aspyra.com/cyberlab-meaningful-use/</v>
      </c>
      <c r="H22" s="23">
        <v>42447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9">
        <v>1114</v>
      </c>
      <c r="B23" s="19" t="s">
        <v>38</v>
      </c>
      <c r="C23" s="19" t="s">
        <v>8</v>
      </c>
      <c r="D23" s="20">
        <v>1</v>
      </c>
      <c r="E23" s="21" t="s">
        <v>1897</v>
      </c>
      <c r="F23" s="20">
        <v>0</v>
      </c>
      <c r="G23" s="22" t="str">
        <f>HYPERLINK("http://atlasmedical.com/products/labworks/","http://atlasmedical.com/products/labworks/")</f>
        <v>http://atlasmedical.com/products/labworks/</v>
      </c>
      <c r="H23" s="23">
        <v>42447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9">
        <v>1128</v>
      </c>
      <c r="B24" s="19" t="s">
        <v>39</v>
      </c>
      <c r="C24" s="19" t="s">
        <v>8</v>
      </c>
      <c r="D24" s="20">
        <v>1</v>
      </c>
      <c r="E24" s="21" t="s">
        <v>1898</v>
      </c>
      <c r="F24" s="20">
        <v>0</v>
      </c>
      <c r="G24" s="22" t="str">
        <f>HYPERLINK("http://www.azaleahealth.com/resources/industry-topics/meaningful-use/","http://www.azaleahealth.com/resources/industry-topics/meaningful-use/")</f>
        <v>http://www.azaleahealth.com/resources/industry-topics/meaningful-use/</v>
      </c>
      <c r="H24" s="23">
        <v>42447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9">
        <v>1151</v>
      </c>
      <c r="B25" s="19" t="s">
        <v>40</v>
      </c>
      <c r="C25" s="19" t="s">
        <v>8</v>
      </c>
      <c r="D25" s="20">
        <v>1</v>
      </c>
      <c r="E25" s="21" t="s">
        <v>1899</v>
      </c>
      <c r="F25" s="20">
        <v>0</v>
      </c>
      <c r="G25" s="22" t="str">
        <f>HYPERLINK("http://www.oncochart.com/meaningful-use/","http://www.oncochart.com/meaningful-use/")</f>
        <v>http://www.oncochart.com/meaningful-use/</v>
      </c>
      <c r="H25" s="23">
        <v>42447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9">
        <v>1156</v>
      </c>
      <c r="B26" s="19" t="s">
        <v>790</v>
      </c>
      <c r="C26" s="21" t="s">
        <v>8</v>
      </c>
      <c r="D26" s="20">
        <v>1</v>
      </c>
      <c r="E26" s="21" t="s">
        <v>1900</v>
      </c>
      <c r="F26" s="20">
        <v>0</v>
      </c>
      <c r="G26" s="25" t="s">
        <v>1901</v>
      </c>
      <c r="H26" s="23">
        <v>42447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9">
        <v>1166</v>
      </c>
      <c r="B27" s="19" t="s">
        <v>41</v>
      </c>
      <c r="C27" s="19" t="s">
        <v>8</v>
      </c>
      <c r="D27" s="20">
        <v>1</v>
      </c>
      <c r="E27" s="21" t="s">
        <v>1902</v>
      </c>
      <c r="F27" s="20">
        <v>0</v>
      </c>
      <c r="G27" s="22" t="str">
        <f>HYPERLINK("http://www.businet.com/transparency.htm","http://www.businet.com/transparency.htm")</f>
        <v>http://www.businet.com/transparency.htm</v>
      </c>
      <c r="H27" s="23">
        <v>42447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9"/>
      <c r="B28" s="19" t="s">
        <v>42</v>
      </c>
      <c r="C28" s="19" t="s">
        <v>8</v>
      </c>
      <c r="D28" s="20">
        <v>1</v>
      </c>
      <c r="E28" s="21" t="s">
        <v>1903</v>
      </c>
      <c r="F28" s="20">
        <v>0</v>
      </c>
      <c r="G28" s="22" t="str">
        <f>HYPERLINK("http://www.odonline.net/pricing-information/","http://www.odonline.net/pricing-information/")</f>
        <v>http://www.odonline.net/pricing-information/</v>
      </c>
      <c r="H28" s="23">
        <v>42447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9">
        <v>1183</v>
      </c>
      <c r="B29" s="19" t="s">
        <v>44</v>
      </c>
      <c r="C29" s="19" t="s">
        <v>8</v>
      </c>
      <c r="D29" s="20">
        <v>2</v>
      </c>
      <c r="E29" s="21" t="s">
        <v>1904</v>
      </c>
      <c r="F29" s="20">
        <v>0</v>
      </c>
      <c r="G29" s="19"/>
      <c r="H29" s="23">
        <v>42447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9">
        <v>1189</v>
      </c>
      <c r="B30" s="19" t="s">
        <v>46</v>
      </c>
      <c r="C30" s="19" t="s">
        <v>8</v>
      </c>
      <c r="D30" s="20">
        <v>1</v>
      </c>
      <c r="E30" s="21" t="s">
        <v>1905</v>
      </c>
      <c r="F30" s="20">
        <v>0</v>
      </c>
      <c r="G30" s="22" t="str">
        <f>HYPERLINK("http://www.carecloud.com/meaningful-use-certified-ehr/","http://www.carecloud.com/meaningful-use-certified-ehr/")</f>
        <v>http://www.carecloud.com/meaningful-use-certified-ehr/</v>
      </c>
      <c r="H30" s="23">
        <v>42447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9">
        <v>1190</v>
      </c>
      <c r="B31" s="19" t="s">
        <v>47</v>
      </c>
      <c r="C31" s="19" t="s">
        <v>8</v>
      </c>
      <c r="D31" s="20">
        <v>0</v>
      </c>
      <c r="E31" s="21" t="s">
        <v>1906</v>
      </c>
      <c r="F31" s="20">
        <v>0</v>
      </c>
      <c r="G31" s="22" t="str">
        <f>HYPERLINK("http://careevolution.com/technology-mu.html","http://careevolution.com/technology-mu.html")</f>
        <v>http://careevolution.com/technology-mu.html</v>
      </c>
      <c r="H31" s="23">
        <v>42447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9">
        <v>1193</v>
      </c>
      <c r="B32" s="19" t="s">
        <v>48</v>
      </c>
      <c r="C32" s="19" t="s">
        <v>8</v>
      </c>
      <c r="D32" s="20">
        <v>1</v>
      </c>
      <c r="E32" s="21" t="s">
        <v>1907</v>
      </c>
      <c r="F32" s="20">
        <v>0</v>
      </c>
      <c r="G32" s="22" t="str">
        <f>HYPERLINK("http://www.caresync.com/ccm/index.php","http://www.caresync.com/ccm/index.php")</f>
        <v>http://www.caresync.com/ccm/index.php</v>
      </c>
      <c r="H32" s="23">
        <v>42447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9">
        <v>1198</v>
      </c>
      <c r="B33" s="19" t="s">
        <v>49</v>
      </c>
      <c r="C33" s="19" t="s">
        <v>8</v>
      </c>
      <c r="D33" s="20">
        <v>1</v>
      </c>
      <c r="E33" s="21" t="s">
        <v>1908</v>
      </c>
      <c r="F33" s="20">
        <v>0</v>
      </c>
      <c r="G33" s="22" t="str">
        <f>HYPERLINK("http://blog.carepaths.com/features/onc-certification/","http://blog.carepaths.com/features/onc-certification/")</f>
        <v>http://blog.carepaths.com/features/onc-certification/</v>
      </c>
      <c r="H33" s="23">
        <v>42447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9">
        <v>1209</v>
      </c>
      <c r="B34" s="19" t="s">
        <v>53</v>
      </c>
      <c r="C34" s="19" t="s">
        <v>8</v>
      </c>
      <c r="D34" s="20">
        <v>2</v>
      </c>
      <c r="E34" s="26" t="s">
        <v>2200</v>
      </c>
      <c r="F34" s="20">
        <v>0</v>
      </c>
      <c r="G34" s="19"/>
      <c r="H34" s="23">
        <v>42447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9">
        <v>1213</v>
      </c>
      <c r="B35" s="19" t="s">
        <v>54</v>
      </c>
      <c r="C35" s="19" t="s">
        <v>8</v>
      </c>
      <c r="D35" s="20">
        <v>1</v>
      </c>
      <c r="E35" s="21" t="s">
        <v>1909</v>
      </c>
      <c r="F35" s="20">
        <v>0</v>
      </c>
      <c r="G35" s="22" t="str">
        <f>HYPERLINK("http://www.chartlogic.com/certifications/","http://www.chartlogic.com/certifications/")</f>
        <v>http://www.chartlogic.com/certifications/</v>
      </c>
      <c r="H35" s="23">
        <v>42447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9">
        <v>1222</v>
      </c>
      <c r="B36" s="19" t="s">
        <v>55</v>
      </c>
      <c r="C36" s="19" t="s">
        <v>8</v>
      </c>
      <c r="D36" s="20">
        <v>1</v>
      </c>
      <c r="E36" s="19" t="s">
        <v>56</v>
      </c>
      <c r="F36" s="20">
        <v>1</v>
      </c>
      <c r="G36" s="22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  <c r="H36" s="23">
        <v>42447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9">
        <v>1222</v>
      </c>
      <c r="B37" s="19" t="s">
        <v>55</v>
      </c>
      <c r="C37" s="19" t="s">
        <v>8</v>
      </c>
      <c r="D37" s="20">
        <v>1</v>
      </c>
      <c r="E37" s="19" t="s">
        <v>57</v>
      </c>
      <c r="F37" s="20">
        <v>1</v>
      </c>
      <c r="G37" s="22" t="str">
        <f t="shared" ref="G37:G38" si="3">HYPERLINK("http://www.citiustech.com/solutions/bi-clinical_15.7_NZ_ONC-Mandatory-Disclosure-Statement.aspx","http://www.citiustech.com/solutions/bi-clinical_15.7_NZ_ONC-Mandatory-Disclosure-Statement.aspx")</f>
        <v>http://www.citiustech.com/solutions/bi-clinical_15.7_NZ_ONC-Mandatory-Disclosure-Statement.aspx</v>
      </c>
      <c r="H37" s="23">
        <v>42447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9">
        <v>1222</v>
      </c>
      <c r="B38" s="19" t="s">
        <v>55</v>
      </c>
      <c r="C38" s="19" t="s">
        <v>8</v>
      </c>
      <c r="D38" s="20">
        <v>1</v>
      </c>
      <c r="E38" s="19" t="s">
        <v>58</v>
      </c>
      <c r="F38" s="20">
        <v>1</v>
      </c>
      <c r="G38" s="22" t="str">
        <f t="shared" si="3"/>
        <v>http://www.citiustech.com/solutions/bi-clinical_15.7_NZ_ONC-Mandatory-Disclosure-Statement.aspx</v>
      </c>
      <c r="H38" s="23">
        <v>42447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9">
        <v>1222</v>
      </c>
      <c r="B39" s="19" t="s">
        <v>55</v>
      </c>
      <c r="C39" s="19" t="s">
        <v>8</v>
      </c>
      <c r="D39" s="20">
        <v>1</v>
      </c>
      <c r="E39" s="19" t="s">
        <v>59</v>
      </c>
      <c r="F39" s="20">
        <v>1</v>
      </c>
      <c r="G39" s="22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  <c r="H39" s="23">
        <v>42447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9">
        <v>1222</v>
      </c>
      <c r="B40" s="19" t="s">
        <v>55</v>
      </c>
      <c r="C40" s="19" t="s">
        <v>8</v>
      </c>
      <c r="D40" s="20">
        <v>1</v>
      </c>
      <c r="E40" s="19" t="s">
        <v>60</v>
      </c>
      <c r="F40" s="20">
        <v>1</v>
      </c>
      <c r="G40" s="22" t="str">
        <f t="shared" ref="G40:G41" si="4">HYPERLINK("http://www.citiustech.com/solutions/cq-iq_ONC-Mandatory-Disclosure-Statement","http://www.citiustech.com/solutions/cq-iq_ONC-Mandatory-Disclosure-Statement")</f>
        <v>http://www.citiustech.com/solutions/cq-iq_ONC-Mandatory-Disclosure-Statement</v>
      </c>
      <c r="H40" s="23">
        <v>42447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9">
        <v>1222</v>
      </c>
      <c r="B41" s="19" t="s">
        <v>55</v>
      </c>
      <c r="C41" s="19" t="s">
        <v>8</v>
      </c>
      <c r="D41" s="20">
        <v>1</v>
      </c>
      <c r="E41" s="19" t="s">
        <v>61</v>
      </c>
      <c r="F41" s="20">
        <v>1</v>
      </c>
      <c r="G41" s="22" t="str">
        <f t="shared" si="4"/>
        <v>http://www.citiustech.com/solutions/cq-iq_ONC-Mandatory-Disclosure-Statement</v>
      </c>
      <c r="H41" s="23">
        <v>42447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9">
        <v>1223</v>
      </c>
      <c r="B42" s="19" t="s">
        <v>62</v>
      </c>
      <c r="C42" s="19" t="s">
        <v>8</v>
      </c>
      <c r="D42" s="20">
        <v>1</v>
      </c>
      <c r="E42" s="21" t="s">
        <v>1910</v>
      </c>
      <c r="F42" s="20">
        <v>0</v>
      </c>
      <c r="G42" s="22" t="str">
        <f>HYPERLINK("http://web.claimtrak.com/legal-notice/","http://web.claimtrak.com/legal-notice/")</f>
        <v>http://web.claimtrak.com/legal-notice/</v>
      </c>
      <c r="H42" s="23">
        <v>42447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9">
        <v>1225</v>
      </c>
      <c r="B43" s="19" t="s">
        <v>63</v>
      </c>
      <c r="C43" s="19" t="s">
        <v>8</v>
      </c>
      <c r="D43" s="20">
        <v>1</v>
      </c>
      <c r="E43" s="21" t="s">
        <v>1911</v>
      </c>
      <c r="F43" s="20">
        <v>0</v>
      </c>
      <c r="G43" s="22" t="str">
        <f>HYPERLINK("https://www.claimpower.com/emr-cert.htm","https://www.claimpower.com/emr-cert.htm")</f>
        <v>https://www.claimpower.com/emr-cert.htm</v>
      </c>
      <c r="H43" s="23">
        <v>42447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9">
        <v>1226</v>
      </c>
      <c r="B44" s="19" t="s">
        <v>64</v>
      </c>
      <c r="C44" s="19" t="s">
        <v>8</v>
      </c>
      <c r="D44" s="20">
        <v>2</v>
      </c>
      <c r="E44" s="21" t="s">
        <v>1912</v>
      </c>
      <c r="F44" s="20">
        <v>0</v>
      </c>
      <c r="G44" s="19"/>
      <c r="H44" s="23">
        <v>42447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9">
        <v>1236</v>
      </c>
      <c r="B45" s="19" t="s">
        <v>65</v>
      </c>
      <c r="C45" s="19" t="s">
        <v>8</v>
      </c>
      <c r="D45" s="20">
        <v>1</v>
      </c>
      <c r="E45" s="21" t="s">
        <v>1913</v>
      </c>
      <c r="F45" s="20">
        <v>0</v>
      </c>
      <c r="G45" s="22" t="str">
        <f>HYPERLINK("http://www.clinicmax.com/Complete_Ambulatory_EHR.html","http://www.clinicmax.com/Complete_Ambulatory_EHR.html")</f>
        <v>http://www.clinicmax.com/Complete_Ambulatory_EHR.html</v>
      </c>
      <c r="H45" s="23">
        <v>42447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9">
        <v>1241</v>
      </c>
      <c r="B46" s="19" t="s">
        <v>67</v>
      </c>
      <c r="C46" s="19" t="s">
        <v>8</v>
      </c>
      <c r="D46" s="20">
        <v>1</v>
      </c>
      <c r="E46" s="21" t="s">
        <v>1914</v>
      </c>
      <c r="F46" s="20">
        <v>0</v>
      </c>
      <c r="G46" s="22" t="str">
        <f>HYPERLINK("http://www.clinigence.com/meaningful-use-disclosure","http://www.clinigence.com/meaningful-use-disclosure")</f>
        <v>http://www.clinigence.com/meaningful-use-disclosure</v>
      </c>
      <c r="H46" s="23">
        <v>42447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9">
        <v>1244</v>
      </c>
      <c r="B47" s="19" t="s">
        <v>68</v>
      </c>
      <c r="C47" s="19" t="s">
        <v>8</v>
      </c>
      <c r="D47" s="20">
        <v>1</v>
      </c>
      <c r="E47" s="21" t="s">
        <v>1915</v>
      </c>
      <c r="F47" s="20">
        <v>0</v>
      </c>
      <c r="G47" s="22" t="str">
        <f>HYPERLINK("http://clinixmd.com/ehr/clinixmd-receives-onc-acb-2014-edition-certification/","http://clinixmd.com/ehr/clinixmd-receives-onc-acb-2014-edition-certification/")</f>
        <v>http://clinixmd.com/ehr/clinixmd-receives-onc-acb-2014-edition-certification/</v>
      </c>
      <c r="H47" s="23">
        <v>42447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9">
        <v>1247</v>
      </c>
      <c r="B48" s="19" t="s">
        <v>69</v>
      </c>
      <c r="C48" s="19" t="s">
        <v>8</v>
      </c>
      <c r="D48" s="20">
        <v>1</v>
      </c>
      <c r="E48" s="21" t="s">
        <v>1916</v>
      </c>
      <c r="F48" s="20">
        <v>0</v>
      </c>
      <c r="G48" s="22" t="str">
        <f>HYPERLINK("http://cocentrix.com/platform/electronic-health-record/","http://cocentrix.com/platform/electronic-health-record/")</f>
        <v>http://cocentrix.com/platform/electronic-health-record/</v>
      </c>
      <c r="H48" s="23">
        <v>42447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9">
        <v>1249</v>
      </c>
      <c r="B49" s="19" t="s">
        <v>71</v>
      </c>
      <c r="C49" s="19" t="s">
        <v>8</v>
      </c>
      <c r="D49" s="20">
        <v>1</v>
      </c>
      <c r="E49" s="21" t="s">
        <v>1917</v>
      </c>
      <c r="F49" s="20">
        <v>0</v>
      </c>
      <c r="G49" s="22" t="str">
        <f>HYPERLINK("http://codonix.com/","http://codonix.com/")</f>
        <v>http://codonix.com/</v>
      </c>
      <c r="H49" s="23">
        <v>42447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9">
        <v>1253</v>
      </c>
      <c r="B50" s="19" t="s">
        <v>72</v>
      </c>
      <c r="C50" s="19" t="s">
        <v>8</v>
      </c>
      <c r="D50" s="20">
        <v>1</v>
      </c>
      <c r="E50" s="21" t="s">
        <v>1918</v>
      </c>
      <c r="F50" s="20">
        <v>0</v>
      </c>
      <c r="G50" s="22" t="str">
        <f>HYPERLINK("http://esphealth.org/redmine/","http://esphealth.org/redmine/")</f>
        <v>http://esphealth.org/redmine/</v>
      </c>
      <c r="H50" s="23">
        <v>42447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9">
        <v>1263</v>
      </c>
      <c r="B51" s="19" t="s">
        <v>75</v>
      </c>
      <c r="C51" s="19" t="s">
        <v>8</v>
      </c>
      <c r="D51" s="20">
        <v>1</v>
      </c>
      <c r="E51" s="21" t="s">
        <v>1919</v>
      </c>
      <c r="F51" s="20">
        <v>0</v>
      </c>
      <c r="G51" s="22" t="str">
        <f>HYPERLINK("http://www.compulinkadvantage.com/about-compulink/certification/","http://www.compulinkadvantage.com/about-compulink/certification/")</f>
        <v>http://www.compulinkadvantage.com/about-compulink/certification/</v>
      </c>
      <c r="H51" s="23">
        <v>42447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9">
        <v>1273</v>
      </c>
      <c r="B52" s="19" t="s">
        <v>76</v>
      </c>
      <c r="C52" s="19" t="s">
        <v>8</v>
      </c>
      <c r="D52" s="20">
        <v>2</v>
      </c>
      <c r="E52" s="21" t="s">
        <v>1920</v>
      </c>
      <c r="F52" s="20">
        <v>0</v>
      </c>
      <c r="G52" s="19"/>
      <c r="H52" s="23">
        <v>42447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9">
        <v>1275</v>
      </c>
      <c r="B53" s="19" t="s">
        <v>77</v>
      </c>
      <c r="C53" s="19" t="s">
        <v>8</v>
      </c>
      <c r="D53" s="20">
        <v>1</v>
      </c>
      <c r="E53" s="21" t="s">
        <v>1921</v>
      </c>
      <c r="F53" s="20">
        <v>0</v>
      </c>
      <c r="G53" s="22" t="str">
        <f t="shared" ref="G53" si="5">HYPERLINK("http://www.coresolutionsinc.com/wp-content/uploads/2013/08/Complete-MU-2-Certification-Press-Release.pdf","http://www.coresolutionsinc.com/wp-content/uploads/2013/08/Complete-MU-2-Certification-Press-Release.pdf")</f>
        <v>http://www.coresolutionsinc.com/wp-content/uploads/2013/08/Complete-MU-2-Certification-Press-Release.pdf</v>
      </c>
      <c r="H53" s="23">
        <v>42447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9">
        <v>1277</v>
      </c>
      <c r="B54" s="19" t="s">
        <v>79</v>
      </c>
      <c r="C54" s="19" t="s">
        <v>8</v>
      </c>
      <c r="D54" s="20">
        <v>1</v>
      </c>
      <c r="E54" s="21" t="s">
        <v>1922</v>
      </c>
      <c r="F54" s="20">
        <v>0</v>
      </c>
      <c r="G54" s="22" t="str">
        <f>HYPERLINK("http://corepointhealth.com/onc-certified","http://corepointhealth.com/onc-certified")</f>
        <v>http://corepointhealth.com/onc-certified</v>
      </c>
      <c r="H54" s="23">
        <v>42447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9">
        <v>1279</v>
      </c>
      <c r="B55" s="19" t="s">
        <v>80</v>
      </c>
      <c r="C55" s="19" t="s">
        <v>8</v>
      </c>
      <c r="D55" s="20">
        <v>2</v>
      </c>
      <c r="E55" s="21" t="s">
        <v>1923</v>
      </c>
      <c r="F55" s="20">
        <v>0</v>
      </c>
      <c r="G55" s="19"/>
      <c r="H55" s="23">
        <v>42447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9">
        <v>1284</v>
      </c>
      <c r="B56" s="19" t="s">
        <v>82</v>
      </c>
      <c r="C56" s="19" t="s">
        <v>8</v>
      </c>
      <c r="D56" s="20">
        <v>1</v>
      </c>
      <c r="E56" s="21" t="s">
        <v>1924</v>
      </c>
      <c r="F56" s="20">
        <v>0</v>
      </c>
      <c r="G56" s="22" t="str">
        <f t="shared" ref="G56" si="6">HYPERLINK("http://www.criterions.com/","http://www.criterions.com/")</f>
        <v>http://www.criterions.com/</v>
      </c>
      <c r="H56" s="23">
        <v>42447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9">
        <v>1287</v>
      </c>
      <c r="B57" s="19" t="s">
        <v>83</v>
      </c>
      <c r="C57" s="19" t="s">
        <v>8</v>
      </c>
      <c r="D57" s="20">
        <v>0</v>
      </c>
      <c r="E57" s="21" t="s">
        <v>1925</v>
      </c>
      <c r="F57" s="20">
        <v>0</v>
      </c>
      <c r="G57" s="22" t="str">
        <f>HYPERLINK("http://www.cubehealthcare.com/drummond-certification","http://www.cubehealthcare.com/drummond-certification")</f>
        <v>http://www.cubehealthcare.com/drummond-certification</v>
      </c>
      <c r="H57" s="23">
        <v>42447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9">
        <v>1306</v>
      </c>
      <c r="B58" s="19" t="s">
        <v>89</v>
      </c>
      <c r="C58" s="19" t="s">
        <v>8</v>
      </c>
      <c r="D58" s="20">
        <v>1</v>
      </c>
      <c r="E58" s="21" t="s">
        <v>1926</v>
      </c>
      <c r="F58" s="20">
        <v>0</v>
      </c>
      <c r="G58" s="22" t="str">
        <f>HYPERLINK("http://mdsuite.com/meaningful-use-disclosure/","http://mdsuite.com/meaningful-use-disclosure/")</f>
        <v>http://mdsuite.com/meaningful-use-disclosure/</v>
      </c>
      <c r="H58" s="23">
        <v>42447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9">
        <v>1309</v>
      </c>
      <c r="B59" s="19" t="s">
        <v>90</v>
      </c>
      <c r="C59" s="19" t="s">
        <v>8</v>
      </c>
      <c r="D59" s="20">
        <v>1</v>
      </c>
      <c r="E59" s="26" t="s">
        <v>1927</v>
      </c>
      <c r="F59" s="20">
        <v>0</v>
      </c>
      <c r="G59" s="22" t="str">
        <f>HYPERLINK("http://datalinksoftware.com/products-emr-trinity","http://datalinksoftware.com/products-emr-trinity")</f>
        <v>http://datalinksoftware.com/products-emr-trinity</v>
      </c>
      <c r="H59" s="23">
        <v>42447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9">
        <v>1315</v>
      </c>
      <c r="B60" s="19" t="s">
        <v>91</v>
      </c>
      <c r="C60" s="19" t="s">
        <v>8</v>
      </c>
      <c r="D60" s="20">
        <v>1</v>
      </c>
      <c r="E60" s="21" t="s">
        <v>1928</v>
      </c>
      <c r="F60" s="20">
        <v>0</v>
      </c>
      <c r="G60" s="22" t="str">
        <f>HYPERLINK("http://dawsystems.com/emr.html","http://dawsystems.com/emr.html")</f>
        <v>http://dawsystems.com/emr.html</v>
      </c>
      <c r="H60" s="23">
        <v>42447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9">
        <v>1330</v>
      </c>
      <c r="B61" s="19" t="s">
        <v>93</v>
      </c>
      <c r="C61" s="19" t="s">
        <v>8</v>
      </c>
      <c r="D61" s="20">
        <v>1</v>
      </c>
      <c r="E61" s="21" t="s">
        <v>1929</v>
      </c>
      <c r="F61" s="20">
        <v>0</v>
      </c>
      <c r="G61" s="27" t="str">
        <f t="shared" ref="G61" si="7">HYPERLINK("http://www.digidms.com/disclosure.htm","http://www.digidms.com/disclosure.htm")</f>
        <v>http://www.digidms.com/disclosure.htm</v>
      </c>
      <c r="H61" s="23">
        <v>42447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9">
        <v>1343</v>
      </c>
      <c r="B62" s="19" t="s">
        <v>94</v>
      </c>
      <c r="C62" s="19" t="s">
        <v>8</v>
      </c>
      <c r="D62" s="20">
        <v>0</v>
      </c>
      <c r="E62" s="21" t="s">
        <v>1930</v>
      </c>
      <c r="F62" s="20">
        <v>0</v>
      </c>
      <c r="G62" s="22" t="str">
        <f>HYPERLINK("http://emr-electronicmedicalrecords.com/ehr_certification.htm","http://emr-electronicmedicalrecords.com/ehr_certification.htm")</f>
        <v>http://emr-electronicmedicalrecords.com/ehr_certification.htm</v>
      </c>
      <c r="H62" s="23">
        <v>42447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9">
        <v>1345</v>
      </c>
      <c r="B63" s="19" t="s">
        <v>96</v>
      </c>
      <c r="C63" s="19" t="s">
        <v>8</v>
      </c>
      <c r="D63" s="20">
        <v>1</v>
      </c>
      <c r="E63" s="21" t="s">
        <v>1931</v>
      </c>
      <c r="F63" s="20">
        <v>0</v>
      </c>
      <c r="G63" s="27" t="str">
        <f>HYPERLINK("http://doctorsoft.com/","http://doctorsoft.com/")</f>
        <v>http://doctorsoft.com/</v>
      </c>
      <c r="H63" s="23">
        <v>42447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9">
        <v>1348</v>
      </c>
      <c r="B64" s="19" t="s">
        <v>920</v>
      </c>
      <c r="C64" s="21" t="s">
        <v>8</v>
      </c>
      <c r="D64" s="20">
        <v>0</v>
      </c>
      <c r="E64" s="21" t="s">
        <v>1932</v>
      </c>
      <c r="F64" s="20">
        <v>0</v>
      </c>
      <c r="G64" s="25" t="s">
        <v>1933</v>
      </c>
      <c r="H64" s="23">
        <v>42447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9">
        <v>1349</v>
      </c>
      <c r="B65" s="19" t="s">
        <v>97</v>
      </c>
      <c r="C65" s="19" t="s">
        <v>8</v>
      </c>
      <c r="D65" s="20">
        <v>1</v>
      </c>
      <c r="E65" s="21" t="s">
        <v>1934</v>
      </c>
      <c r="F65" s="20">
        <v>0</v>
      </c>
      <c r="G65" s="27" t="str">
        <f>HYPERLINK("http://www.docutracinc.com/meaningful_use_disclosure/","http://www.docutracinc.com/meaningful_use_disclosure/")</f>
        <v>http://www.docutracinc.com/meaningful_use_disclosure/</v>
      </c>
      <c r="H65" s="23">
        <v>42447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9">
        <v>1365</v>
      </c>
      <c r="B66" s="19" t="s">
        <v>98</v>
      </c>
      <c r="C66" s="19" t="s">
        <v>8</v>
      </c>
      <c r="D66" s="20">
        <v>1</v>
      </c>
      <c r="E66" s="21" t="s">
        <v>1935</v>
      </c>
      <c r="F66" s="20">
        <v>0</v>
      </c>
      <c r="G66" s="27" t="str">
        <f>HYPERLINK("http://www.ehrez.com/","http://www.ehrez.com/")</f>
        <v>http://www.ehrez.com/</v>
      </c>
      <c r="H66" s="23">
        <v>42447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9">
        <v>1366</v>
      </c>
      <c r="B67" s="19" t="s">
        <v>99</v>
      </c>
      <c r="C67" s="19" t="s">
        <v>8</v>
      </c>
      <c r="D67" s="20">
        <v>0</v>
      </c>
      <c r="E67" s="21" t="s">
        <v>1936</v>
      </c>
      <c r="F67" s="20">
        <v>0</v>
      </c>
      <c r="G67" s="27" t="str">
        <f>HYPERLINK("http://www.ezbis.com/cehrtdisclosure.htm","http://www.ezbis.com/cehrtdisclosure.htm")</f>
        <v>http://www.ezbis.com/cehrtdisclosure.htm</v>
      </c>
      <c r="H67" s="23">
        <v>42447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9">
        <v>1367</v>
      </c>
      <c r="B68" s="19" t="s">
        <v>100</v>
      </c>
      <c r="C68" s="19" t="s">
        <v>8</v>
      </c>
      <c r="D68" s="20">
        <v>1</v>
      </c>
      <c r="E68" s="21" t="s">
        <v>1937</v>
      </c>
      <c r="F68" s="20">
        <v>0</v>
      </c>
      <c r="G68" s="27" t="str">
        <f>HYPERLINK("https://www.medformixvue.com/meaningful-use-statement.html","https://www.medformixvue.com/meaningful-use-statement.html")</f>
        <v>https://www.medformixvue.com/meaningful-use-statement.html</v>
      </c>
      <c r="H68" s="23">
        <v>42447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9">
        <v>1379</v>
      </c>
      <c r="B69" s="19" t="s">
        <v>101</v>
      </c>
      <c r="C69" s="19" t="s">
        <v>8</v>
      </c>
      <c r="D69" s="20">
        <v>1</v>
      </c>
      <c r="E69" s="21" t="s">
        <v>1938</v>
      </c>
      <c r="F69" s="20">
        <v>0</v>
      </c>
      <c r="G69" s="27" t="str">
        <f>HYPERLINK("http://emrconnect.com/products.html","http://emrconnect.com/products.html")</f>
        <v>http://emrconnect.com/products.html</v>
      </c>
      <c r="H69" s="23">
        <v>42447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9">
        <v>1386</v>
      </c>
      <c r="B70" s="19" t="s">
        <v>104</v>
      </c>
      <c r="C70" s="19" t="s">
        <v>8</v>
      </c>
      <c r="D70" s="20">
        <v>1</v>
      </c>
      <c r="E70" s="21" t="s">
        <v>1939</v>
      </c>
      <c r="F70" s="20">
        <v>0</v>
      </c>
      <c r="G70" s="27" t="str">
        <f>HYPERLINK("http://www.epowerdoc.com/en/compliance_and_roi/","http://www.epowerdoc.com/en/compliance_and_roi/")</f>
        <v>http://www.epowerdoc.com/en/compliance_and_roi/</v>
      </c>
      <c r="H70" s="23">
        <v>42447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9">
        <v>1387</v>
      </c>
      <c r="B71" s="19" t="s">
        <v>105</v>
      </c>
      <c r="C71" s="19" t="s">
        <v>8</v>
      </c>
      <c r="D71" s="20">
        <v>1</v>
      </c>
      <c r="E71" s="21" t="s">
        <v>1940</v>
      </c>
      <c r="F71" s="20">
        <v>0</v>
      </c>
      <c r="G71" s="27" t="str">
        <f>HYPERLINK("https://ezderm.com/features/#fully-certified","https://ezderm.com/features/#fully-certified")</f>
        <v>https://ezderm.com/features/#fully-certified</v>
      </c>
      <c r="H71" s="23">
        <v>42447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9">
        <v>1392</v>
      </c>
      <c r="B72" s="19" t="s">
        <v>108</v>
      </c>
      <c r="C72" s="19" t="s">
        <v>8</v>
      </c>
      <c r="D72" s="20">
        <v>1</v>
      </c>
      <c r="E72" s="21" t="s">
        <v>1941</v>
      </c>
      <c r="F72" s="20">
        <v>0</v>
      </c>
      <c r="G72" s="27" t="str">
        <f>HYPERLINK("http://www.mdchartsolutions.com/aboutus/certification.php","http://www.mdchartsolutions.com/aboutus/certification.php")</f>
        <v>http://www.mdchartsolutions.com/aboutus/certification.php</v>
      </c>
      <c r="H72" s="23">
        <v>42447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9">
        <v>1398</v>
      </c>
      <c r="B73" s="19" t="s">
        <v>111</v>
      </c>
      <c r="C73" s="19" t="s">
        <v>8</v>
      </c>
      <c r="D73" s="20">
        <v>1</v>
      </c>
      <c r="E73" s="21" t="s">
        <v>1942</v>
      </c>
      <c r="F73" s="20">
        <v>0</v>
      </c>
      <c r="G73" s="27" t="str">
        <f>HYPERLINK("https://www.elekta.com/software-solutions/meaningful-use.html","https://www.elekta.com/software-solutions/meaningful-use.html")</f>
        <v>https://www.elekta.com/software-solutions/meaningful-use.html</v>
      </c>
      <c r="H73" s="23">
        <v>42447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9">
        <v>1401</v>
      </c>
      <c r="B74" s="19" t="s">
        <v>112</v>
      </c>
      <c r="C74" s="19" t="s">
        <v>8</v>
      </c>
      <c r="D74" s="20">
        <v>1</v>
      </c>
      <c r="E74" s="21" t="s">
        <v>1943</v>
      </c>
      <c r="F74" s="20">
        <v>0</v>
      </c>
      <c r="G74" s="27" t="str">
        <f>HYPERLINK("http://www.emdeon.com/ehrlite/","http://www.emdeon.com/ehrlite/")</f>
        <v>http://www.emdeon.com/ehrlite/</v>
      </c>
      <c r="H74" s="23">
        <v>42447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9">
        <v>1417</v>
      </c>
      <c r="B75" s="19" t="s">
        <v>114</v>
      </c>
      <c r="C75" s="19" t="s">
        <v>8</v>
      </c>
      <c r="D75" s="20">
        <v>1</v>
      </c>
      <c r="E75" s="21" t="s">
        <v>1944</v>
      </c>
      <c r="F75" s="20">
        <v>0</v>
      </c>
      <c r="G75" s="27" t="str">
        <f>HYPERLINK("http://www.encite.us/support-services/meaningful-use/","http://www.encite.us/support-services/meaningful-use/")</f>
        <v>http://www.encite.us/support-services/meaningful-use/</v>
      </c>
      <c r="H75" s="23">
        <v>42447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9">
        <v>1427</v>
      </c>
      <c r="B76" s="19" t="s">
        <v>115</v>
      </c>
      <c r="C76" s="19" t="s">
        <v>8</v>
      </c>
      <c r="D76" s="20">
        <v>1</v>
      </c>
      <c r="E76" s="21" t="s">
        <v>1945</v>
      </c>
      <c r="F76" s="20">
        <v>0</v>
      </c>
      <c r="G76" s="27" t="str">
        <f>HYPERLINK("http://equicarehealth.com/products/active-patient-portal/meaningful-use-certification/","http://equicarehealth.com/products/active-patient-portal/meaningful-use-certification/")</f>
        <v>http://equicarehealth.com/products/active-patient-portal/meaningful-use-certification/</v>
      </c>
      <c r="H76" s="23">
        <v>42447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9">
        <v>1429</v>
      </c>
      <c r="B77" s="19" t="s">
        <v>116</v>
      </c>
      <c r="C77" s="19" t="s">
        <v>8</v>
      </c>
      <c r="D77" s="20">
        <v>1</v>
      </c>
      <c r="E77" s="21" t="s">
        <v>1946</v>
      </c>
      <c r="F77" s="20">
        <v>1</v>
      </c>
      <c r="G77" s="27" t="str">
        <f t="shared" ref="G77:G78" si="8">HYPERLINK("http://www.etransmedia.com/technology-solutions/electronic-health-records/","http://www.etransmedia.com/technology-solutions/electronic-health-records/")</f>
        <v>http://www.etransmedia.com/technology-solutions/electronic-health-records/</v>
      </c>
      <c r="H77" s="23">
        <v>42447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9">
        <v>1430</v>
      </c>
      <c r="B78" s="19" t="s">
        <v>117</v>
      </c>
      <c r="C78" s="19" t="s">
        <v>8</v>
      </c>
      <c r="D78" s="20">
        <v>1</v>
      </c>
      <c r="E78" s="21" t="s">
        <v>1947</v>
      </c>
      <c r="F78" s="20">
        <v>0</v>
      </c>
      <c r="G78" s="27" t="str">
        <f t="shared" si="8"/>
        <v>http://www.etransmedia.com/technology-solutions/electronic-health-records/</v>
      </c>
      <c r="H78" s="23">
        <v>42447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9">
        <v>1437</v>
      </c>
      <c r="B79" s="19" t="s">
        <v>119</v>
      </c>
      <c r="C79" s="19" t="s">
        <v>8</v>
      </c>
      <c r="D79" s="20">
        <v>1</v>
      </c>
      <c r="E79" s="21" t="s">
        <v>1948</v>
      </c>
      <c r="F79" s="20">
        <v>0</v>
      </c>
      <c r="G79" s="27" t="str">
        <f>HYPERLINK("http://www.exemplomedical.com/News/CurrentNews.aspx?EventId=23","http://www.exemplomedical.com/News/CurrentNews.aspx?EventId=23")</f>
        <v>http://www.exemplomedical.com/News/CurrentNews.aspx?EventId=23</v>
      </c>
      <c r="H79" s="23">
        <v>42447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9">
        <v>1441</v>
      </c>
      <c r="B80" s="19" t="s">
        <v>120</v>
      </c>
      <c r="C80" s="19" t="s">
        <v>8</v>
      </c>
      <c r="D80" s="20">
        <v>1</v>
      </c>
      <c r="E80" s="21" t="s">
        <v>1949</v>
      </c>
      <c r="F80" s="20">
        <v>0</v>
      </c>
      <c r="G80" s="27" t="str">
        <f>HYPERLINK("http://www.exscribe.com/ehr-certification","http://www.exscribe.com/ehr-certification")</f>
        <v>http://www.exscribe.com/ehr-certification</v>
      </c>
      <c r="H80" s="23">
        <v>42447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9">
        <v>1444</v>
      </c>
      <c r="B81" s="19" t="s">
        <v>121</v>
      </c>
      <c r="C81" s="19" t="s">
        <v>8</v>
      </c>
      <c r="D81" s="20">
        <v>1</v>
      </c>
      <c r="E81" s="21" t="s">
        <v>1950</v>
      </c>
      <c r="F81" s="20">
        <v>0</v>
      </c>
      <c r="G81" s="27" t="str">
        <f>HYPERLINK("http://www.eyemdemr.com/products_Incentives.htm","http://www.eyemdemr.com/products_Incentives.htm")</f>
        <v>http://www.eyemdemr.com/products_Incentives.htm</v>
      </c>
      <c r="H81" s="23">
        <v>42447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9">
        <v>1446</v>
      </c>
      <c r="B82" s="19" t="s">
        <v>123</v>
      </c>
      <c r="C82" s="19" t="s">
        <v>8</v>
      </c>
      <c r="D82" s="20">
        <v>1</v>
      </c>
      <c r="E82" s="21" t="s">
        <v>1951</v>
      </c>
      <c r="F82" s="20">
        <v>0</v>
      </c>
      <c r="G82" s="27" t="str">
        <f>HYPERLINK("http://eyepegasus.com/","http://eyepegasus.com/")</f>
        <v>http://eyepegasus.com/</v>
      </c>
      <c r="H82" s="23">
        <v>42447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9">
        <v>1454</v>
      </c>
      <c r="B83" s="19" t="s">
        <v>124</v>
      </c>
      <c r="C83" s="19" t="s">
        <v>8</v>
      </c>
      <c r="D83" s="20">
        <v>2</v>
      </c>
      <c r="E83" s="21" t="s">
        <v>1952</v>
      </c>
      <c r="F83" s="20">
        <v>0</v>
      </c>
      <c r="G83" s="19"/>
      <c r="H83" s="23">
        <v>42447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9">
        <v>1459</v>
      </c>
      <c r="B84" s="19" t="s">
        <v>125</v>
      </c>
      <c r="C84" s="19" t="s">
        <v>8</v>
      </c>
      <c r="D84" s="20">
        <v>1</v>
      </c>
      <c r="E84" s="21" t="s">
        <v>1953</v>
      </c>
      <c r="F84" s="20">
        <v>0</v>
      </c>
      <c r="G84" s="27" t="str">
        <f>HYPERLINK("http://www.falconehr.com/meaningful-use-certificate/","http://www.falconehr.com/meaningful-use-certificate/")</f>
        <v>http://www.falconehr.com/meaningful-use-certificate/</v>
      </c>
      <c r="H84" s="23">
        <v>42447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9">
        <v>1467</v>
      </c>
      <c r="B85" s="19" t="s">
        <v>127</v>
      </c>
      <c r="C85" s="19" t="s">
        <v>8</v>
      </c>
      <c r="D85" s="20">
        <v>1</v>
      </c>
      <c r="E85" s="21" t="s">
        <v>1954</v>
      </c>
      <c r="F85" s="20">
        <v>0</v>
      </c>
      <c r="G85" s="27" t="str">
        <f>HYPERLINK("http://www.first-insight.com/News_Events-ARRA-HITECHACT.html","http://www.first-insight.com/News_Events-ARRA-HITECHACT.html")</f>
        <v>http://www.first-insight.com/News_Events-ARRA-HITECHACT.html</v>
      </c>
      <c r="H85" s="23">
        <v>42447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9">
        <v>1470</v>
      </c>
      <c r="B86" s="19" t="s">
        <v>128</v>
      </c>
      <c r="C86" s="19" t="s">
        <v>8</v>
      </c>
      <c r="D86" s="20">
        <v>2</v>
      </c>
      <c r="E86" s="21" t="s">
        <v>1955</v>
      </c>
      <c r="F86" s="20">
        <v>0</v>
      </c>
      <c r="G86" s="19"/>
      <c r="H86" s="23">
        <v>42447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9">
        <v>1471</v>
      </c>
      <c r="B87" s="19" t="s">
        <v>129</v>
      </c>
      <c r="C87" s="19" t="s">
        <v>8</v>
      </c>
      <c r="D87" s="20">
        <v>2</v>
      </c>
      <c r="E87" s="21" t="s">
        <v>1956</v>
      </c>
      <c r="F87" s="20">
        <v>0</v>
      </c>
      <c r="G87" s="19"/>
      <c r="H87" s="23">
        <v>42447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9">
        <v>1472</v>
      </c>
      <c r="B88" s="19" t="s">
        <v>130</v>
      </c>
      <c r="C88" s="19" t="s">
        <v>8</v>
      </c>
      <c r="D88" s="20">
        <v>1</v>
      </c>
      <c r="E88" s="21" t="s">
        <v>1957</v>
      </c>
      <c r="F88" s="20">
        <v>0</v>
      </c>
      <c r="G88" s="27" t="str">
        <f>HYPERLINK("http://footholdtechnology.com/","http://footholdtechnology.com/")</f>
        <v>http://footholdtechnology.com/</v>
      </c>
      <c r="H88" s="23">
        <v>42447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9">
        <v>1476</v>
      </c>
      <c r="B89" s="19" t="s">
        <v>132</v>
      </c>
      <c r="C89" s="19" t="s">
        <v>8</v>
      </c>
      <c r="D89" s="20">
        <v>1</v>
      </c>
      <c r="E89" s="21" t="s">
        <v>1958</v>
      </c>
      <c r="F89" s="20">
        <v>0</v>
      </c>
      <c r="G89" s="25" t="s">
        <v>1959</v>
      </c>
      <c r="H89" s="23">
        <v>42447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9">
        <v>1477</v>
      </c>
      <c r="B90" s="19" t="s">
        <v>133</v>
      </c>
      <c r="C90" s="19" t="s">
        <v>8</v>
      </c>
      <c r="D90" s="20">
        <v>1</v>
      </c>
      <c r="E90" s="21" t="s">
        <v>1960</v>
      </c>
      <c r="F90" s="20">
        <v>0</v>
      </c>
      <c r="G90" s="27" t="str">
        <f>HYPERLINK("http://www.forwardadvantage.com/solutions/health-information-exchange/communication-director-system-platform/data-express/data-express-version-3-80-2014-edition-certified/","http://www.forwardadvantage.com/solutions/health-information-exchange/communication-director-system-platform/data-express/data-express-version-3-80-2014-edition-certified/")</f>
        <v>http://www.forwardadvantage.com/solutions/health-information-exchange/communication-director-system-platform/data-express/data-express-version-3-80-2014-edition-certified/</v>
      </c>
      <c r="H90" s="23">
        <v>42447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9">
        <v>1480</v>
      </c>
      <c r="B91" s="19" t="s">
        <v>135</v>
      </c>
      <c r="C91" s="19" t="s">
        <v>8</v>
      </c>
      <c r="D91" s="20">
        <v>1</v>
      </c>
      <c r="E91" s="21" t="s">
        <v>1961</v>
      </c>
      <c r="F91" s="20">
        <v>0</v>
      </c>
      <c r="G91" s="27" t="str">
        <f>HYPERLINK("http://physicianflow.com/","http://physicianflow.com/")</f>
        <v>http://physicianflow.com/</v>
      </c>
      <c r="H91" s="23">
        <v>42447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9">
        <v>1483</v>
      </c>
      <c r="B92" s="28" t="s">
        <v>136</v>
      </c>
      <c r="C92" s="29" t="s">
        <v>8</v>
      </c>
      <c r="D92" s="30">
        <v>1</v>
      </c>
      <c r="E92" s="28" t="s">
        <v>137</v>
      </c>
      <c r="F92" s="20">
        <v>1</v>
      </c>
      <c r="G92" s="27" t="str">
        <f t="shared" ref="G92:G97" si="9">HYPERLINK("http://www3.gehealthcare.com/en/Products/Categories/Healthcare_IT/~/link.aspx?_id=A658D910255B416686DF679886E0BD7A&amp;_z=z#tabs/tab691E86107CB648E1A3FCD53A15BE9530","http://www3.gehealthcare.com/en/Products/Categories/Healthcare_IT/~/link.aspx?_id=A658D910255B416686DF679886E0BD7A&amp;_z=z#tabs/tab691E86107CB648E1A3FCD53A15BE9530")</f>
        <v>http://www3.gehealthcare.com/en/Products/Categories/Healthcare_IT/~/link.aspx?_id=A658D910255B416686DF679886E0BD7A&amp;_z=z#tabs/tab691E86107CB648E1A3FCD53A15BE9530</v>
      </c>
      <c r="H92" s="23">
        <v>42447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9">
        <v>1483</v>
      </c>
      <c r="B93" s="28" t="s">
        <v>136</v>
      </c>
      <c r="C93" s="29" t="s">
        <v>8</v>
      </c>
      <c r="D93" s="30">
        <v>1</v>
      </c>
      <c r="E93" s="28" t="s">
        <v>139</v>
      </c>
      <c r="F93" s="20">
        <v>1</v>
      </c>
      <c r="G93" s="27" t="str">
        <f t="shared" si="9"/>
        <v>http://www3.gehealthcare.com/en/Products/Categories/Healthcare_IT/~/link.aspx?_id=A658D910255B416686DF679886E0BD7A&amp;_z=z#tabs/tab691E86107CB648E1A3FCD53A15BE9530</v>
      </c>
      <c r="H93" s="23">
        <v>42447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9">
        <v>1483</v>
      </c>
      <c r="B94" s="28" t="s">
        <v>136</v>
      </c>
      <c r="C94" s="29" t="s">
        <v>8</v>
      </c>
      <c r="D94" s="30">
        <v>1</v>
      </c>
      <c r="E94" s="28" t="s">
        <v>140</v>
      </c>
      <c r="F94" s="20">
        <v>1</v>
      </c>
      <c r="G94" s="27" t="str">
        <f t="shared" si="9"/>
        <v>http://www3.gehealthcare.com/en/Products/Categories/Healthcare_IT/~/link.aspx?_id=A658D910255B416686DF679886E0BD7A&amp;_z=z#tabs/tab691E86107CB648E1A3FCD53A15BE9530</v>
      </c>
      <c r="H94" s="23">
        <v>42447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9">
        <v>1483</v>
      </c>
      <c r="B95" s="28" t="s">
        <v>136</v>
      </c>
      <c r="C95" s="29" t="s">
        <v>8</v>
      </c>
      <c r="D95" s="30">
        <v>1</v>
      </c>
      <c r="E95" s="28" t="s">
        <v>141</v>
      </c>
      <c r="F95" s="20">
        <v>1</v>
      </c>
      <c r="G95" s="27" t="str">
        <f t="shared" si="9"/>
        <v>http://www3.gehealthcare.com/en/Products/Categories/Healthcare_IT/~/link.aspx?_id=A658D910255B416686DF679886E0BD7A&amp;_z=z#tabs/tab691E86107CB648E1A3FCD53A15BE9530</v>
      </c>
      <c r="H95" s="23">
        <v>42447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9">
        <v>1483</v>
      </c>
      <c r="B96" s="28" t="s">
        <v>136</v>
      </c>
      <c r="C96" s="29" t="s">
        <v>8</v>
      </c>
      <c r="D96" s="30">
        <v>1</v>
      </c>
      <c r="E96" s="28" t="s">
        <v>142</v>
      </c>
      <c r="F96" s="20">
        <v>1</v>
      </c>
      <c r="G96" s="27" t="str">
        <f t="shared" si="9"/>
        <v>http://www3.gehealthcare.com/en/Products/Categories/Healthcare_IT/~/link.aspx?_id=A658D910255B416686DF679886E0BD7A&amp;_z=z#tabs/tab691E86107CB648E1A3FCD53A15BE9530</v>
      </c>
      <c r="H96" s="23">
        <v>42447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9">
        <v>1483</v>
      </c>
      <c r="B97" s="28" t="s">
        <v>136</v>
      </c>
      <c r="C97" s="29" t="s">
        <v>8</v>
      </c>
      <c r="D97" s="30">
        <v>1</v>
      </c>
      <c r="E97" s="28" t="s">
        <v>143</v>
      </c>
      <c r="F97" s="20">
        <v>1</v>
      </c>
      <c r="G97" s="27" t="str">
        <f t="shared" si="9"/>
        <v>http://www3.gehealthcare.com/en/Products/Categories/Healthcare_IT/~/link.aspx?_id=A658D910255B416686DF679886E0BD7A&amp;_z=z#tabs/tab691E86107CB648E1A3FCD53A15BE9530</v>
      </c>
      <c r="H97" s="23">
        <v>42447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9">
        <v>1483</v>
      </c>
      <c r="B98" s="28" t="s">
        <v>136</v>
      </c>
      <c r="C98" s="29" t="s">
        <v>8</v>
      </c>
      <c r="D98" s="30">
        <v>1</v>
      </c>
      <c r="E98" s="31" t="s">
        <v>1962</v>
      </c>
      <c r="F98" s="20">
        <v>1</v>
      </c>
      <c r="G98" s="25" t="s">
        <v>1963</v>
      </c>
      <c r="H98" s="23">
        <v>42447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9">
        <v>1483</v>
      </c>
      <c r="B99" s="28" t="s">
        <v>136</v>
      </c>
      <c r="C99" s="29" t="s">
        <v>8</v>
      </c>
      <c r="D99" s="30">
        <v>1</v>
      </c>
      <c r="E99" s="31" t="s">
        <v>1964</v>
      </c>
      <c r="F99" s="20">
        <v>1</v>
      </c>
      <c r="G99" s="25" t="s">
        <v>1963</v>
      </c>
      <c r="H99" s="23">
        <v>42447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9">
        <v>1483</v>
      </c>
      <c r="B100" s="28" t="s">
        <v>136</v>
      </c>
      <c r="C100" s="29" t="s">
        <v>8</v>
      </c>
      <c r="D100" s="30">
        <v>1</v>
      </c>
      <c r="E100" s="31" t="s">
        <v>1965</v>
      </c>
      <c r="F100" s="20">
        <v>1</v>
      </c>
      <c r="G100" s="25" t="s">
        <v>1963</v>
      </c>
      <c r="H100" s="23">
        <v>42447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9">
        <v>1483</v>
      </c>
      <c r="B101" s="28" t="s">
        <v>136</v>
      </c>
      <c r="C101" s="29" t="s">
        <v>8</v>
      </c>
      <c r="D101" s="30">
        <v>1</v>
      </c>
      <c r="E101" s="31" t="s">
        <v>1966</v>
      </c>
      <c r="F101" s="20">
        <v>1</v>
      </c>
      <c r="G101" s="25" t="s">
        <v>1963</v>
      </c>
      <c r="H101" s="23">
        <v>42447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9">
        <v>1483</v>
      </c>
      <c r="B102" s="28" t="s">
        <v>136</v>
      </c>
      <c r="C102" s="29" t="s">
        <v>8</v>
      </c>
      <c r="D102" s="30">
        <v>1</v>
      </c>
      <c r="E102" s="31" t="s">
        <v>1967</v>
      </c>
      <c r="F102" s="20">
        <v>1</v>
      </c>
      <c r="G102" s="25" t="s">
        <v>1963</v>
      </c>
      <c r="H102" s="23">
        <v>42447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9">
        <v>1483</v>
      </c>
      <c r="B103" s="28" t="s">
        <v>136</v>
      </c>
      <c r="C103" s="29" t="s">
        <v>8</v>
      </c>
      <c r="D103" s="30">
        <v>1</v>
      </c>
      <c r="E103" s="31" t="s">
        <v>1968</v>
      </c>
      <c r="F103" s="20">
        <v>1</v>
      </c>
      <c r="G103" s="25" t="s">
        <v>1963</v>
      </c>
      <c r="H103" s="23">
        <v>42447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9">
        <v>1483</v>
      </c>
      <c r="B104" s="28" t="s">
        <v>136</v>
      </c>
      <c r="C104" s="29" t="s">
        <v>8</v>
      </c>
      <c r="D104" s="30">
        <v>1</v>
      </c>
      <c r="E104" s="31" t="s">
        <v>1969</v>
      </c>
      <c r="F104" s="20">
        <v>1</v>
      </c>
      <c r="G104" s="25" t="s">
        <v>1963</v>
      </c>
      <c r="H104" s="23">
        <v>42447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9">
        <v>1483</v>
      </c>
      <c r="B105" s="28" t="s">
        <v>136</v>
      </c>
      <c r="C105" s="29" t="s">
        <v>8</v>
      </c>
      <c r="D105" s="30">
        <v>1</v>
      </c>
      <c r="E105" s="31" t="s">
        <v>1970</v>
      </c>
      <c r="F105" s="20">
        <v>1</v>
      </c>
      <c r="G105" s="25" t="s">
        <v>1963</v>
      </c>
      <c r="H105" s="23">
        <v>42447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9">
        <v>1483</v>
      </c>
      <c r="B106" s="28" t="s">
        <v>136</v>
      </c>
      <c r="C106" s="29" t="s">
        <v>8</v>
      </c>
      <c r="D106" s="30">
        <v>1</v>
      </c>
      <c r="E106" s="31" t="s">
        <v>1971</v>
      </c>
      <c r="F106" s="20">
        <v>1</v>
      </c>
      <c r="G106" s="25" t="s">
        <v>1963</v>
      </c>
      <c r="H106" s="23">
        <v>42447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9">
        <v>1483</v>
      </c>
      <c r="B107" s="28" t="s">
        <v>136</v>
      </c>
      <c r="C107" s="29" t="s">
        <v>8</v>
      </c>
      <c r="D107" s="30">
        <v>1</v>
      </c>
      <c r="E107" s="31" t="s">
        <v>1972</v>
      </c>
      <c r="F107" s="20">
        <v>1</v>
      </c>
      <c r="G107" s="25" t="s">
        <v>1963</v>
      </c>
      <c r="H107" s="23">
        <v>42447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9">
        <v>1483</v>
      </c>
      <c r="B108" s="28" t="s">
        <v>136</v>
      </c>
      <c r="C108" s="29" t="s">
        <v>8</v>
      </c>
      <c r="D108" s="30">
        <v>1</v>
      </c>
      <c r="E108" s="31" t="s">
        <v>1973</v>
      </c>
      <c r="F108" s="20">
        <v>1</v>
      </c>
      <c r="G108" s="25" t="s">
        <v>1963</v>
      </c>
      <c r="H108" s="23">
        <v>42447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9">
        <v>1483</v>
      </c>
      <c r="B109" s="28" t="s">
        <v>136</v>
      </c>
      <c r="C109" s="29" t="s">
        <v>8</v>
      </c>
      <c r="D109" s="30">
        <v>1</v>
      </c>
      <c r="E109" s="31" t="s">
        <v>1974</v>
      </c>
      <c r="F109" s="20">
        <v>1</v>
      </c>
      <c r="G109" s="25" t="s">
        <v>1963</v>
      </c>
      <c r="H109" s="23">
        <v>42447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9">
        <v>1483</v>
      </c>
      <c r="B110" s="28" t="s">
        <v>136</v>
      </c>
      <c r="C110" s="29" t="s">
        <v>8</v>
      </c>
      <c r="D110" s="30">
        <v>1</v>
      </c>
      <c r="E110" s="31" t="s">
        <v>1975</v>
      </c>
      <c r="F110" s="20">
        <v>1</v>
      </c>
      <c r="G110" s="25" t="s">
        <v>1963</v>
      </c>
      <c r="H110" s="23">
        <v>42447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9">
        <v>1483</v>
      </c>
      <c r="B111" s="28" t="s">
        <v>136</v>
      </c>
      <c r="C111" s="29" t="s">
        <v>8</v>
      </c>
      <c r="D111" s="30">
        <v>1</v>
      </c>
      <c r="E111" s="31" t="s">
        <v>1976</v>
      </c>
      <c r="F111" s="20">
        <v>1</v>
      </c>
      <c r="G111" s="25" t="s">
        <v>1963</v>
      </c>
      <c r="H111" s="23">
        <v>42447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9">
        <v>1483</v>
      </c>
      <c r="B112" s="28" t="s">
        <v>136</v>
      </c>
      <c r="C112" s="29" t="s">
        <v>8</v>
      </c>
      <c r="D112" s="30">
        <v>1</v>
      </c>
      <c r="E112" s="31" t="s">
        <v>1977</v>
      </c>
      <c r="F112" s="20">
        <v>1</v>
      </c>
      <c r="G112" s="25" t="s">
        <v>1963</v>
      </c>
      <c r="H112" s="23">
        <v>42447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9">
        <v>1483</v>
      </c>
      <c r="B113" s="28" t="s">
        <v>136</v>
      </c>
      <c r="C113" s="29" t="s">
        <v>8</v>
      </c>
      <c r="D113" s="30">
        <v>1</v>
      </c>
      <c r="E113" s="31" t="s">
        <v>1978</v>
      </c>
      <c r="F113" s="20">
        <v>1</v>
      </c>
      <c r="G113" s="25" t="s">
        <v>1963</v>
      </c>
      <c r="H113" s="23">
        <v>42447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9">
        <v>1483</v>
      </c>
      <c r="B114" s="28" t="s">
        <v>136</v>
      </c>
      <c r="C114" s="29" t="s">
        <v>8</v>
      </c>
      <c r="D114" s="30">
        <v>1</v>
      </c>
      <c r="E114" s="31" t="s">
        <v>1979</v>
      </c>
      <c r="F114" s="20">
        <v>1</v>
      </c>
      <c r="G114" s="25" t="s">
        <v>1963</v>
      </c>
      <c r="H114" s="23">
        <v>42447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9">
        <v>1483</v>
      </c>
      <c r="B115" s="28" t="s">
        <v>136</v>
      </c>
      <c r="C115" s="29" t="s">
        <v>8</v>
      </c>
      <c r="D115" s="30">
        <v>1</v>
      </c>
      <c r="E115" s="31" t="s">
        <v>1980</v>
      </c>
      <c r="F115" s="20">
        <v>1</v>
      </c>
      <c r="G115" s="25" t="s">
        <v>1963</v>
      </c>
      <c r="H115" s="23">
        <v>42447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9">
        <v>1483</v>
      </c>
      <c r="B116" s="28" t="s">
        <v>136</v>
      </c>
      <c r="C116" s="29" t="s">
        <v>8</v>
      </c>
      <c r="D116" s="30">
        <v>1</v>
      </c>
      <c r="E116" s="31" t="s">
        <v>1981</v>
      </c>
      <c r="F116" s="20">
        <v>1</v>
      </c>
      <c r="G116" s="25" t="s">
        <v>1963</v>
      </c>
      <c r="H116" s="23">
        <v>42447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9">
        <v>1483</v>
      </c>
      <c r="B117" s="28" t="s">
        <v>136</v>
      </c>
      <c r="C117" s="29" t="s">
        <v>8</v>
      </c>
      <c r="D117" s="30">
        <v>1</v>
      </c>
      <c r="E117" s="31" t="s">
        <v>1982</v>
      </c>
      <c r="F117" s="20">
        <v>1</v>
      </c>
      <c r="G117" s="25" t="s">
        <v>1963</v>
      </c>
      <c r="H117" s="23">
        <v>42447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9">
        <v>1483</v>
      </c>
      <c r="B118" s="28" t="s">
        <v>136</v>
      </c>
      <c r="C118" s="29" t="s">
        <v>8</v>
      </c>
      <c r="D118" s="30">
        <v>1</v>
      </c>
      <c r="E118" s="31" t="s">
        <v>1983</v>
      </c>
      <c r="F118" s="20">
        <v>1</v>
      </c>
      <c r="G118" s="25" t="s">
        <v>1963</v>
      </c>
      <c r="H118" s="23">
        <v>42447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9">
        <v>1483</v>
      </c>
      <c r="B119" s="28" t="s">
        <v>136</v>
      </c>
      <c r="C119" s="29" t="s">
        <v>8</v>
      </c>
      <c r="D119" s="30">
        <v>1</v>
      </c>
      <c r="E119" s="31" t="s">
        <v>1984</v>
      </c>
      <c r="F119" s="20">
        <v>1</v>
      </c>
      <c r="G119" s="25" t="s">
        <v>1963</v>
      </c>
      <c r="H119" s="23">
        <v>42447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9">
        <v>1483</v>
      </c>
      <c r="B120" s="28" t="s">
        <v>136</v>
      </c>
      <c r="C120" s="29" t="s">
        <v>8</v>
      </c>
      <c r="D120" s="30">
        <v>1</v>
      </c>
      <c r="E120" s="31" t="s">
        <v>1985</v>
      </c>
      <c r="F120" s="20">
        <v>1</v>
      </c>
      <c r="G120" s="25" t="s">
        <v>1963</v>
      </c>
      <c r="H120" s="23">
        <v>42447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9">
        <v>1483</v>
      </c>
      <c r="B121" s="28" t="s">
        <v>136</v>
      </c>
      <c r="C121" s="29" t="s">
        <v>8</v>
      </c>
      <c r="D121" s="30">
        <v>1</v>
      </c>
      <c r="E121" s="31" t="s">
        <v>1986</v>
      </c>
      <c r="F121" s="20">
        <v>1</v>
      </c>
      <c r="G121" s="25" t="s">
        <v>1963</v>
      </c>
      <c r="H121" s="23">
        <v>42447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9">
        <v>1483</v>
      </c>
      <c r="B122" s="28" t="s">
        <v>136</v>
      </c>
      <c r="C122" s="29" t="s">
        <v>8</v>
      </c>
      <c r="D122" s="30">
        <v>1</v>
      </c>
      <c r="E122" s="31" t="s">
        <v>1987</v>
      </c>
      <c r="F122" s="20">
        <v>1</v>
      </c>
      <c r="G122" s="25" t="s">
        <v>1963</v>
      </c>
      <c r="H122" s="23">
        <v>42447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9">
        <v>1483</v>
      </c>
      <c r="B123" s="28" t="s">
        <v>136</v>
      </c>
      <c r="C123" s="29" t="s">
        <v>8</v>
      </c>
      <c r="D123" s="30">
        <v>1</v>
      </c>
      <c r="E123" s="31" t="s">
        <v>1988</v>
      </c>
      <c r="F123" s="20">
        <v>1</v>
      </c>
      <c r="G123" s="25" t="s">
        <v>1963</v>
      </c>
      <c r="H123" s="23">
        <v>42447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9">
        <v>1483</v>
      </c>
      <c r="B124" s="28" t="s">
        <v>136</v>
      </c>
      <c r="C124" s="29" t="s">
        <v>8</v>
      </c>
      <c r="D124" s="30">
        <v>1</v>
      </c>
      <c r="E124" s="31" t="s">
        <v>1989</v>
      </c>
      <c r="F124" s="20">
        <v>1</v>
      </c>
      <c r="G124" s="25" t="s">
        <v>1963</v>
      </c>
      <c r="H124" s="23">
        <v>42447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9">
        <v>1483</v>
      </c>
      <c r="B125" s="28" t="s">
        <v>136</v>
      </c>
      <c r="C125" s="29" t="s">
        <v>8</v>
      </c>
      <c r="D125" s="30">
        <v>1</v>
      </c>
      <c r="E125" s="31" t="s">
        <v>1990</v>
      </c>
      <c r="F125" s="20">
        <v>1</v>
      </c>
      <c r="G125" s="25" t="s">
        <v>1963</v>
      </c>
      <c r="H125" s="23">
        <v>42447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9">
        <v>1483</v>
      </c>
      <c r="B126" s="28" t="s">
        <v>136</v>
      </c>
      <c r="C126" s="29" t="s">
        <v>8</v>
      </c>
      <c r="D126" s="30">
        <v>1</v>
      </c>
      <c r="E126" s="31" t="s">
        <v>1991</v>
      </c>
      <c r="F126" s="20">
        <v>1</v>
      </c>
      <c r="G126" s="25" t="s">
        <v>1963</v>
      </c>
      <c r="H126" s="23">
        <v>42447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9">
        <v>1483</v>
      </c>
      <c r="B127" s="28" t="s">
        <v>136</v>
      </c>
      <c r="C127" s="29" t="s">
        <v>8</v>
      </c>
      <c r="D127" s="30">
        <v>1</v>
      </c>
      <c r="E127" s="31" t="s">
        <v>1992</v>
      </c>
      <c r="F127" s="20">
        <v>1</v>
      </c>
      <c r="G127" s="25" t="s">
        <v>1963</v>
      </c>
      <c r="H127" s="23">
        <v>42447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9">
        <v>1483</v>
      </c>
      <c r="B128" s="28" t="s">
        <v>136</v>
      </c>
      <c r="C128" s="29" t="s">
        <v>8</v>
      </c>
      <c r="D128" s="30">
        <v>1</v>
      </c>
      <c r="E128" s="31" t="s">
        <v>142</v>
      </c>
      <c r="F128" s="20">
        <v>1</v>
      </c>
      <c r="G128" s="25" t="s">
        <v>138</v>
      </c>
      <c r="H128" s="23">
        <v>42447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9">
        <v>1483</v>
      </c>
      <c r="B129" s="28" t="s">
        <v>136</v>
      </c>
      <c r="C129" s="29" t="s">
        <v>8</v>
      </c>
      <c r="D129" s="30">
        <v>1</v>
      </c>
      <c r="E129" s="31" t="s">
        <v>143</v>
      </c>
      <c r="F129" s="20">
        <v>1</v>
      </c>
      <c r="G129" s="25" t="s">
        <v>138</v>
      </c>
      <c r="H129" s="23">
        <v>42447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9">
        <v>1483</v>
      </c>
      <c r="B130" s="28" t="s">
        <v>136</v>
      </c>
      <c r="C130" s="29" t="s">
        <v>8</v>
      </c>
      <c r="D130" s="30">
        <v>1</v>
      </c>
      <c r="E130" s="31" t="s">
        <v>137</v>
      </c>
      <c r="F130" s="20">
        <v>1</v>
      </c>
      <c r="G130" s="25" t="s">
        <v>138</v>
      </c>
      <c r="H130" s="23">
        <v>42447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9">
        <v>1483</v>
      </c>
      <c r="B131" s="28" t="s">
        <v>136</v>
      </c>
      <c r="C131" s="29" t="s">
        <v>8</v>
      </c>
      <c r="D131" s="30">
        <v>1</v>
      </c>
      <c r="E131" s="31" t="s">
        <v>140</v>
      </c>
      <c r="F131" s="20">
        <v>1</v>
      </c>
      <c r="G131" s="25" t="s">
        <v>138</v>
      </c>
      <c r="H131" s="23">
        <v>42447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9">
        <v>1485</v>
      </c>
      <c r="B132" s="19" t="s">
        <v>145</v>
      </c>
      <c r="C132" s="32" t="s">
        <v>8</v>
      </c>
      <c r="D132" s="20">
        <v>1</v>
      </c>
      <c r="E132" s="33" t="s">
        <v>1993</v>
      </c>
      <c r="F132" s="20">
        <v>0</v>
      </c>
      <c r="G132" s="27" t="str">
        <f t="shared" ref="G132" si="10">HYPERLINK("http://www.gemmsnet.com/certification.html","http://www.gemmsnet.com/certification.html")</f>
        <v>http://www.gemmsnet.com/certification.html</v>
      </c>
      <c r="H132" s="23">
        <v>42447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9">
        <v>1494</v>
      </c>
      <c r="B133" s="19" t="s">
        <v>1024</v>
      </c>
      <c r="C133" s="29" t="s">
        <v>8</v>
      </c>
      <c r="D133" s="20">
        <v>1</v>
      </c>
      <c r="E133" s="21" t="s">
        <v>1994</v>
      </c>
      <c r="F133" s="20">
        <v>1</v>
      </c>
      <c r="G133" s="25" t="s">
        <v>138</v>
      </c>
      <c r="H133" s="23">
        <v>42447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9">
        <v>1502</v>
      </c>
      <c r="B134" s="19" t="s">
        <v>147</v>
      </c>
      <c r="C134" s="19" t="s">
        <v>8</v>
      </c>
      <c r="D134" s="20">
        <v>1</v>
      </c>
      <c r="E134" s="21" t="s">
        <v>1995</v>
      </c>
      <c r="F134" s="20">
        <v>0</v>
      </c>
      <c r="G134" s="27" t="str">
        <f>HYPERLINK("http://www.gehrimed.com/certification/","http://www.gehrimed.com/certification/")</f>
        <v>http://www.gehrimed.com/certification/</v>
      </c>
      <c r="H134" s="23">
        <v>42447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9">
        <v>1504</v>
      </c>
      <c r="B135" s="19" t="s">
        <v>148</v>
      </c>
      <c r="C135" s="19" t="s">
        <v>8</v>
      </c>
      <c r="D135" s="20">
        <v>1</v>
      </c>
      <c r="E135" s="21" t="s">
        <v>1996</v>
      </c>
      <c r="F135" s="20">
        <v>0</v>
      </c>
      <c r="G135" s="27" t="str">
        <f>HYPERLINK("http://getwellnetwork.com/news/getwellnetwork-achieves-meaningful-use-certification-ambulatory-solution","http://getwellnetwork.com/news/getwellnetwork-achieves-meaningful-use-certification-ambulatory-solution")</f>
        <v>http://getwellnetwork.com/news/getwellnetwork-achieves-meaningful-use-certification-ambulatory-solution</v>
      </c>
      <c r="H135" s="23">
        <v>42447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9"/>
      <c r="B136" s="19" t="s">
        <v>149</v>
      </c>
      <c r="C136" s="19" t="s">
        <v>8</v>
      </c>
      <c r="D136" s="20">
        <v>2</v>
      </c>
      <c r="E136" s="21" t="s">
        <v>1997</v>
      </c>
      <c r="F136" s="20">
        <v>0</v>
      </c>
      <c r="G136" s="19"/>
      <c r="H136" s="23">
        <v>42447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9">
        <v>1514</v>
      </c>
      <c r="B137" s="19" t="s">
        <v>150</v>
      </c>
      <c r="C137" s="19" t="s">
        <v>8</v>
      </c>
      <c r="D137" s="20">
        <v>1</v>
      </c>
      <c r="E137" s="34" t="s">
        <v>162</v>
      </c>
      <c r="F137" s="20">
        <v>0</v>
      </c>
      <c r="G137" s="27" t="str">
        <f>HYPERLINK("http://www.greenwayhealth.com/solution/electronic-health-record-practice-management/","http://www.greenwayhealth.com/solution/electronic-health-record-practice-management/")</f>
        <v>http://www.greenwayhealth.com/solution/electronic-health-record-practice-management/</v>
      </c>
      <c r="H137" s="23">
        <v>42447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9">
        <v>1515</v>
      </c>
      <c r="B138" s="19" t="s">
        <v>151</v>
      </c>
      <c r="C138" s="19" t="s">
        <v>8</v>
      </c>
      <c r="D138" s="20">
        <v>1</v>
      </c>
      <c r="E138" s="19" t="s">
        <v>152</v>
      </c>
      <c r="F138" s="20">
        <v>1</v>
      </c>
      <c r="G138" s="27" t="str">
        <f t="shared" ref="G138:G147" si="11">HYPERLINK("http://www.greenwayhealth.com/solution/electronic-dental-records/","http://www.greenwayhealth.com/solution/electronic-dental-records/")</f>
        <v>http://www.greenwayhealth.com/solution/electronic-dental-records/</v>
      </c>
      <c r="H138" s="23">
        <v>42447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9">
        <v>1515</v>
      </c>
      <c r="B139" s="19" t="s">
        <v>151</v>
      </c>
      <c r="C139" s="19" t="s">
        <v>8</v>
      </c>
      <c r="D139" s="20">
        <v>1</v>
      </c>
      <c r="E139" s="19" t="s">
        <v>153</v>
      </c>
      <c r="F139" s="20">
        <v>1</v>
      </c>
      <c r="G139" s="27" t="str">
        <f t="shared" si="11"/>
        <v>http://www.greenwayhealth.com/solution/electronic-dental-records/</v>
      </c>
      <c r="H139" s="23">
        <v>42447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9">
        <v>1515</v>
      </c>
      <c r="B140" s="19" t="s">
        <v>151</v>
      </c>
      <c r="C140" s="19" t="s">
        <v>8</v>
      </c>
      <c r="D140" s="20">
        <v>1</v>
      </c>
      <c r="E140" s="19" t="s">
        <v>154</v>
      </c>
      <c r="F140" s="20">
        <v>1</v>
      </c>
      <c r="G140" s="27" t="str">
        <f t="shared" si="11"/>
        <v>http://www.greenwayhealth.com/solution/electronic-dental-records/</v>
      </c>
      <c r="H140" s="23">
        <v>42447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9">
        <v>1515</v>
      </c>
      <c r="B141" s="19" t="s">
        <v>151</v>
      </c>
      <c r="C141" s="19" t="s">
        <v>8</v>
      </c>
      <c r="D141" s="20">
        <v>1</v>
      </c>
      <c r="E141" s="19" t="s">
        <v>155</v>
      </c>
      <c r="F141" s="20">
        <v>1</v>
      </c>
      <c r="G141" s="27" t="str">
        <f t="shared" si="11"/>
        <v>http://www.greenwayhealth.com/solution/electronic-dental-records/</v>
      </c>
      <c r="H141" s="23">
        <v>42447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9">
        <v>1515</v>
      </c>
      <c r="B142" s="19" t="s">
        <v>151</v>
      </c>
      <c r="C142" s="19" t="s">
        <v>8</v>
      </c>
      <c r="D142" s="20">
        <v>1</v>
      </c>
      <c r="E142" s="19" t="s">
        <v>156</v>
      </c>
      <c r="F142" s="20">
        <v>1</v>
      </c>
      <c r="G142" s="27" t="str">
        <f t="shared" si="11"/>
        <v>http://www.greenwayhealth.com/solution/electronic-dental-records/</v>
      </c>
      <c r="H142" s="23">
        <v>42447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9">
        <v>1515</v>
      </c>
      <c r="B143" s="19" t="s">
        <v>151</v>
      </c>
      <c r="C143" s="19" t="s">
        <v>8</v>
      </c>
      <c r="D143" s="20">
        <v>1</v>
      </c>
      <c r="E143" s="19" t="s">
        <v>157</v>
      </c>
      <c r="F143" s="20">
        <v>1</v>
      </c>
      <c r="G143" s="27" t="str">
        <f t="shared" si="11"/>
        <v>http://www.greenwayhealth.com/solution/electronic-dental-records/</v>
      </c>
      <c r="H143" s="23">
        <v>42447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9">
        <v>1515</v>
      </c>
      <c r="B144" s="19" t="s">
        <v>151</v>
      </c>
      <c r="C144" s="19" t="s">
        <v>8</v>
      </c>
      <c r="D144" s="20">
        <v>1</v>
      </c>
      <c r="E144" s="19" t="s">
        <v>158</v>
      </c>
      <c r="F144" s="20">
        <v>1</v>
      </c>
      <c r="G144" s="27" t="str">
        <f t="shared" si="11"/>
        <v>http://www.greenwayhealth.com/solution/electronic-dental-records/</v>
      </c>
      <c r="H144" s="23">
        <v>42447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9">
        <v>1515</v>
      </c>
      <c r="B145" s="19" t="s">
        <v>151</v>
      </c>
      <c r="C145" s="19" t="s">
        <v>8</v>
      </c>
      <c r="D145" s="20">
        <v>1</v>
      </c>
      <c r="E145" s="19" t="s">
        <v>159</v>
      </c>
      <c r="F145" s="20">
        <v>1</v>
      </c>
      <c r="G145" s="27" t="str">
        <f t="shared" si="11"/>
        <v>http://www.greenwayhealth.com/solution/electronic-dental-records/</v>
      </c>
      <c r="H145" s="23">
        <v>42447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9">
        <v>1515</v>
      </c>
      <c r="B146" s="19" t="s">
        <v>151</v>
      </c>
      <c r="C146" s="19" t="s">
        <v>8</v>
      </c>
      <c r="D146" s="20">
        <v>1</v>
      </c>
      <c r="E146" s="19" t="s">
        <v>160</v>
      </c>
      <c r="F146" s="20">
        <v>1</v>
      </c>
      <c r="G146" s="27" t="str">
        <f t="shared" si="11"/>
        <v>http://www.greenwayhealth.com/solution/electronic-dental-records/</v>
      </c>
      <c r="H146" s="23">
        <v>42447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9">
        <v>1515</v>
      </c>
      <c r="B147" s="19" t="s">
        <v>151</v>
      </c>
      <c r="C147" s="19" t="s">
        <v>8</v>
      </c>
      <c r="D147" s="20">
        <v>1</v>
      </c>
      <c r="E147" s="19" t="s">
        <v>161</v>
      </c>
      <c r="F147" s="20">
        <v>1</v>
      </c>
      <c r="G147" s="27" t="str">
        <f t="shared" si="11"/>
        <v>http://www.greenwayhealth.com/solution/electronic-dental-records/</v>
      </c>
      <c r="H147" s="23">
        <v>42447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9">
        <v>1515</v>
      </c>
      <c r="B148" s="19" t="s">
        <v>151</v>
      </c>
      <c r="C148" s="19" t="s">
        <v>8</v>
      </c>
      <c r="D148" s="20">
        <v>1</v>
      </c>
      <c r="E148" s="19" t="s">
        <v>163</v>
      </c>
      <c r="F148" s="20">
        <v>1</v>
      </c>
      <c r="G148" s="27" t="str">
        <f t="shared" ref="G148:G160" si="12">HYPERLINK("http://www.greenwayhealth.com/solution/electronic-health-record-practice-management/","http://www.greenwayhealth.com/solution/electronic-health-record-practice-management/")</f>
        <v>http://www.greenwayhealth.com/solution/electronic-health-record-practice-management/</v>
      </c>
      <c r="H148" s="23">
        <v>42447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9">
        <v>1515</v>
      </c>
      <c r="B149" s="19" t="s">
        <v>151</v>
      </c>
      <c r="C149" s="19" t="s">
        <v>8</v>
      </c>
      <c r="D149" s="20">
        <v>1</v>
      </c>
      <c r="E149" s="19" t="s">
        <v>164</v>
      </c>
      <c r="F149" s="20">
        <v>1</v>
      </c>
      <c r="G149" s="27" t="str">
        <f t="shared" si="12"/>
        <v>http://www.greenwayhealth.com/solution/electronic-health-record-practice-management/</v>
      </c>
      <c r="H149" s="23">
        <v>42447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9">
        <v>1515</v>
      </c>
      <c r="B150" s="19" t="s">
        <v>151</v>
      </c>
      <c r="C150" s="19" t="s">
        <v>8</v>
      </c>
      <c r="D150" s="20">
        <v>1</v>
      </c>
      <c r="E150" s="19" t="s">
        <v>165</v>
      </c>
      <c r="F150" s="20">
        <v>1</v>
      </c>
      <c r="G150" s="27" t="str">
        <f t="shared" si="12"/>
        <v>http://www.greenwayhealth.com/solution/electronic-health-record-practice-management/</v>
      </c>
      <c r="H150" s="23">
        <v>42447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9">
        <v>1515</v>
      </c>
      <c r="B151" s="19" t="s">
        <v>151</v>
      </c>
      <c r="C151" s="19" t="s">
        <v>8</v>
      </c>
      <c r="D151" s="20">
        <v>1</v>
      </c>
      <c r="E151" s="19" t="s">
        <v>164</v>
      </c>
      <c r="F151" s="20">
        <v>1</v>
      </c>
      <c r="G151" s="27" t="str">
        <f t="shared" si="12"/>
        <v>http://www.greenwayhealth.com/solution/electronic-health-record-practice-management/</v>
      </c>
      <c r="H151" s="23">
        <v>42447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9">
        <v>1515</v>
      </c>
      <c r="B152" s="19" t="s">
        <v>151</v>
      </c>
      <c r="C152" s="19" t="s">
        <v>8</v>
      </c>
      <c r="D152" s="20">
        <v>1</v>
      </c>
      <c r="E152" s="19" t="s">
        <v>165</v>
      </c>
      <c r="F152" s="20">
        <v>1</v>
      </c>
      <c r="G152" s="27" t="str">
        <f t="shared" si="12"/>
        <v>http://www.greenwayhealth.com/solution/electronic-health-record-practice-management/</v>
      </c>
      <c r="H152" s="23">
        <v>42447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9">
        <v>1515</v>
      </c>
      <c r="B153" s="19" t="s">
        <v>151</v>
      </c>
      <c r="C153" s="19" t="s">
        <v>8</v>
      </c>
      <c r="D153" s="20">
        <v>1</v>
      </c>
      <c r="E153" s="19" t="s">
        <v>166</v>
      </c>
      <c r="F153" s="20">
        <v>1</v>
      </c>
      <c r="G153" s="27" t="str">
        <f t="shared" si="12"/>
        <v>http://www.greenwayhealth.com/solution/electronic-health-record-practice-management/</v>
      </c>
      <c r="H153" s="23">
        <v>42447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9">
        <v>1515</v>
      </c>
      <c r="B154" s="19" t="s">
        <v>151</v>
      </c>
      <c r="C154" s="19" t="s">
        <v>8</v>
      </c>
      <c r="D154" s="20">
        <v>1</v>
      </c>
      <c r="E154" s="19" t="s">
        <v>167</v>
      </c>
      <c r="F154" s="20">
        <v>1</v>
      </c>
      <c r="G154" s="27" t="str">
        <f t="shared" si="12"/>
        <v>http://www.greenwayhealth.com/solution/electronic-health-record-practice-management/</v>
      </c>
      <c r="H154" s="23">
        <v>42447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9">
        <v>1515</v>
      </c>
      <c r="B155" s="19" t="s">
        <v>151</v>
      </c>
      <c r="C155" s="19" t="s">
        <v>8</v>
      </c>
      <c r="D155" s="20">
        <v>1</v>
      </c>
      <c r="E155" s="19" t="s">
        <v>168</v>
      </c>
      <c r="F155" s="20">
        <v>1</v>
      </c>
      <c r="G155" s="27" t="str">
        <f t="shared" si="12"/>
        <v>http://www.greenwayhealth.com/solution/electronic-health-record-practice-management/</v>
      </c>
      <c r="H155" s="23">
        <v>42447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9">
        <v>1515</v>
      </c>
      <c r="B156" s="19" t="s">
        <v>151</v>
      </c>
      <c r="C156" s="19" t="s">
        <v>8</v>
      </c>
      <c r="D156" s="20">
        <v>1</v>
      </c>
      <c r="E156" s="19" t="s">
        <v>169</v>
      </c>
      <c r="F156" s="20">
        <v>1</v>
      </c>
      <c r="G156" s="27" t="str">
        <f t="shared" si="12"/>
        <v>http://www.greenwayhealth.com/solution/electronic-health-record-practice-management/</v>
      </c>
      <c r="H156" s="23">
        <v>42447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9">
        <v>1515</v>
      </c>
      <c r="B157" s="19" t="s">
        <v>151</v>
      </c>
      <c r="C157" s="19" t="s">
        <v>8</v>
      </c>
      <c r="D157" s="20">
        <v>1</v>
      </c>
      <c r="E157" s="19" t="s">
        <v>170</v>
      </c>
      <c r="F157" s="20">
        <v>1</v>
      </c>
      <c r="G157" s="27" t="str">
        <f t="shared" si="12"/>
        <v>http://www.greenwayhealth.com/solution/electronic-health-record-practice-management/</v>
      </c>
      <c r="H157" s="23">
        <v>42447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9">
        <v>1515</v>
      </c>
      <c r="B158" s="19" t="s">
        <v>151</v>
      </c>
      <c r="C158" s="19" t="s">
        <v>8</v>
      </c>
      <c r="D158" s="20">
        <v>1</v>
      </c>
      <c r="E158" s="19" t="s">
        <v>171</v>
      </c>
      <c r="F158" s="20">
        <v>1</v>
      </c>
      <c r="G158" s="27" t="str">
        <f t="shared" si="12"/>
        <v>http://www.greenwayhealth.com/solution/electronic-health-record-practice-management/</v>
      </c>
      <c r="H158" s="23">
        <v>42447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9">
        <v>1515</v>
      </c>
      <c r="B159" s="19" t="s">
        <v>151</v>
      </c>
      <c r="C159" s="19" t="s">
        <v>8</v>
      </c>
      <c r="D159" s="20">
        <v>1</v>
      </c>
      <c r="E159" s="19" t="s">
        <v>172</v>
      </c>
      <c r="F159" s="20">
        <v>1</v>
      </c>
      <c r="G159" s="27" t="str">
        <f t="shared" si="12"/>
        <v>http://www.greenwayhealth.com/solution/electronic-health-record-practice-management/</v>
      </c>
      <c r="H159" s="23">
        <v>42447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9">
        <v>1515</v>
      </c>
      <c r="B160" s="19" t="s">
        <v>151</v>
      </c>
      <c r="C160" s="19" t="s">
        <v>8</v>
      </c>
      <c r="D160" s="20">
        <v>1</v>
      </c>
      <c r="E160" s="19" t="s">
        <v>172</v>
      </c>
      <c r="F160" s="20">
        <v>1</v>
      </c>
      <c r="G160" s="27" t="str">
        <f t="shared" si="12"/>
        <v>http://www.greenwayhealth.com/solution/electronic-health-record-practice-management/</v>
      </c>
      <c r="H160" s="23">
        <v>42447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9">
        <v>1515</v>
      </c>
      <c r="B161" s="19" t="s">
        <v>151</v>
      </c>
      <c r="C161" s="19" t="s">
        <v>8</v>
      </c>
      <c r="D161" s="20">
        <v>1</v>
      </c>
      <c r="E161" s="19" t="s">
        <v>173</v>
      </c>
      <c r="F161" s="20">
        <v>1</v>
      </c>
      <c r="G161" s="27" t="str">
        <f t="shared" ref="G161:G166" si="13">HYPERLINK("http://www.greenwayhealth.com/solution/chc-electronic-health-records/","http://www.greenwayhealth.com/solution/chc-electronic-health-records/")</f>
        <v>http://www.greenwayhealth.com/solution/chc-electronic-health-records/</v>
      </c>
      <c r="H161" s="23">
        <v>42447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9">
        <v>1515</v>
      </c>
      <c r="B162" s="19" t="s">
        <v>151</v>
      </c>
      <c r="C162" s="19" t="s">
        <v>8</v>
      </c>
      <c r="D162" s="20">
        <v>1</v>
      </c>
      <c r="E162" s="19" t="s">
        <v>174</v>
      </c>
      <c r="F162" s="20">
        <v>1</v>
      </c>
      <c r="G162" s="27" t="str">
        <f t="shared" si="13"/>
        <v>http://www.greenwayhealth.com/solution/chc-electronic-health-records/</v>
      </c>
      <c r="H162" s="23">
        <v>42447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9">
        <v>1515</v>
      </c>
      <c r="B163" s="19" t="s">
        <v>151</v>
      </c>
      <c r="C163" s="19" t="s">
        <v>8</v>
      </c>
      <c r="D163" s="20">
        <v>1</v>
      </c>
      <c r="E163" s="19" t="s">
        <v>175</v>
      </c>
      <c r="F163" s="20">
        <v>1</v>
      </c>
      <c r="G163" s="27" t="str">
        <f t="shared" si="13"/>
        <v>http://www.greenwayhealth.com/solution/chc-electronic-health-records/</v>
      </c>
      <c r="H163" s="23">
        <v>42447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9">
        <v>1515</v>
      </c>
      <c r="B164" s="19" t="s">
        <v>151</v>
      </c>
      <c r="C164" s="19" t="s">
        <v>8</v>
      </c>
      <c r="D164" s="20">
        <v>1</v>
      </c>
      <c r="E164" s="19" t="s">
        <v>170</v>
      </c>
      <c r="F164" s="20">
        <v>1</v>
      </c>
      <c r="G164" s="27" t="str">
        <f t="shared" si="13"/>
        <v>http://www.greenwayhealth.com/solution/chc-electronic-health-records/</v>
      </c>
      <c r="H164" s="23">
        <v>42447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9">
        <v>1515</v>
      </c>
      <c r="B165" s="19" t="s">
        <v>151</v>
      </c>
      <c r="C165" s="19" t="s">
        <v>8</v>
      </c>
      <c r="D165" s="20">
        <v>1</v>
      </c>
      <c r="E165" s="19" t="s">
        <v>176</v>
      </c>
      <c r="F165" s="20">
        <v>1</v>
      </c>
      <c r="G165" s="27" t="str">
        <f t="shared" si="13"/>
        <v>http://www.greenwayhealth.com/solution/chc-electronic-health-records/</v>
      </c>
      <c r="H165" s="23">
        <v>42447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9">
        <v>1515</v>
      </c>
      <c r="B166" s="19" t="s">
        <v>151</v>
      </c>
      <c r="C166" s="19" t="s">
        <v>8</v>
      </c>
      <c r="D166" s="20">
        <v>1</v>
      </c>
      <c r="E166" s="19" t="s">
        <v>176</v>
      </c>
      <c r="F166" s="20">
        <v>1</v>
      </c>
      <c r="G166" s="27" t="str">
        <f t="shared" si="13"/>
        <v>http://www.greenwayhealth.com/solution/chc-electronic-health-records/</v>
      </c>
      <c r="H166" s="23">
        <v>42447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9">
        <v>1515</v>
      </c>
      <c r="B167" s="19" t="s">
        <v>151</v>
      </c>
      <c r="C167" s="19" t="s">
        <v>8</v>
      </c>
      <c r="D167" s="20">
        <v>1</v>
      </c>
      <c r="E167" s="19" t="s">
        <v>177</v>
      </c>
      <c r="F167" s="20">
        <v>1</v>
      </c>
      <c r="G167" s="27" t="str">
        <f t="shared" ref="G167:G172" si="14">HYPERLINK("http://www.greenwayhealth.com/solution/practice-management-enterprises/","http://www.greenwayhealth.com/solution/practice-management-enterprises/")</f>
        <v>http://www.greenwayhealth.com/solution/practice-management-enterprises/</v>
      </c>
      <c r="H167" s="23">
        <v>42447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9">
        <v>1515</v>
      </c>
      <c r="B168" s="19" t="s">
        <v>151</v>
      </c>
      <c r="C168" s="19" t="s">
        <v>8</v>
      </c>
      <c r="D168" s="20">
        <v>1</v>
      </c>
      <c r="E168" s="19" t="s">
        <v>178</v>
      </c>
      <c r="F168" s="20">
        <v>1</v>
      </c>
      <c r="G168" s="27" t="str">
        <f t="shared" si="14"/>
        <v>http://www.greenwayhealth.com/solution/practice-management-enterprises/</v>
      </c>
      <c r="H168" s="23">
        <v>42447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9">
        <v>1515</v>
      </c>
      <c r="B169" s="19" t="s">
        <v>151</v>
      </c>
      <c r="C169" s="19" t="s">
        <v>8</v>
      </c>
      <c r="D169" s="20">
        <v>1</v>
      </c>
      <c r="E169" s="19" t="s">
        <v>179</v>
      </c>
      <c r="F169" s="20">
        <v>1</v>
      </c>
      <c r="G169" s="27" t="str">
        <f t="shared" si="14"/>
        <v>http://www.greenwayhealth.com/solution/practice-management-enterprises/</v>
      </c>
      <c r="H169" s="23">
        <v>42447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9">
        <v>1515</v>
      </c>
      <c r="B170" s="19" t="s">
        <v>151</v>
      </c>
      <c r="C170" s="19" t="s">
        <v>8</v>
      </c>
      <c r="D170" s="20">
        <v>1</v>
      </c>
      <c r="E170" s="19" t="s">
        <v>180</v>
      </c>
      <c r="F170" s="20">
        <v>1</v>
      </c>
      <c r="G170" s="27" t="str">
        <f t="shared" si="14"/>
        <v>http://www.greenwayhealth.com/solution/practice-management-enterprises/</v>
      </c>
      <c r="H170" s="23">
        <v>42447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9">
        <v>1515</v>
      </c>
      <c r="B171" s="19" t="s">
        <v>151</v>
      </c>
      <c r="C171" s="19" t="s">
        <v>8</v>
      </c>
      <c r="D171" s="20">
        <v>1</v>
      </c>
      <c r="E171" s="19" t="s">
        <v>181</v>
      </c>
      <c r="F171" s="20">
        <v>1</v>
      </c>
      <c r="G171" s="27" t="str">
        <f t="shared" si="14"/>
        <v>http://www.greenwayhealth.com/solution/practice-management-enterprises/</v>
      </c>
      <c r="H171" s="23">
        <v>42447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9">
        <v>1515</v>
      </c>
      <c r="B172" s="19" t="s">
        <v>151</v>
      </c>
      <c r="C172" s="19" t="s">
        <v>8</v>
      </c>
      <c r="D172" s="20">
        <v>1</v>
      </c>
      <c r="E172" s="19" t="s">
        <v>182</v>
      </c>
      <c r="F172" s="20">
        <v>1</v>
      </c>
      <c r="G172" s="27" t="str">
        <f t="shared" si="14"/>
        <v>http://www.greenwayhealth.com/solution/practice-management-enterprises/</v>
      </c>
      <c r="H172" s="23">
        <v>42447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9">
        <v>1520</v>
      </c>
      <c r="B173" s="19" t="s">
        <v>183</v>
      </c>
      <c r="C173" s="19" t="s">
        <v>8</v>
      </c>
      <c r="D173" s="20">
        <v>2</v>
      </c>
      <c r="E173" s="21" t="s">
        <v>1998</v>
      </c>
      <c r="F173" s="20">
        <v>0</v>
      </c>
      <c r="G173" s="19"/>
      <c r="H173" s="23">
        <v>42447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9">
        <v>1522</v>
      </c>
      <c r="B174" s="19" t="s">
        <v>185</v>
      </c>
      <c r="C174" s="19" t="s">
        <v>8</v>
      </c>
      <c r="D174" s="20">
        <v>2</v>
      </c>
      <c r="E174" s="21" t="s">
        <v>1999</v>
      </c>
      <c r="F174" s="20">
        <v>0</v>
      </c>
      <c r="G174" s="19"/>
      <c r="H174" s="23">
        <v>42447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9">
        <v>1523</v>
      </c>
      <c r="B175" s="19" t="s">
        <v>186</v>
      </c>
      <c r="C175" s="19" t="s">
        <v>8</v>
      </c>
      <c r="D175" s="20">
        <v>2</v>
      </c>
      <c r="E175" s="21" t="s">
        <v>2000</v>
      </c>
      <c r="F175" s="20">
        <v>0</v>
      </c>
      <c r="G175" s="19"/>
      <c r="H175" s="23">
        <v>42447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9">
        <v>1526</v>
      </c>
      <c r="B176" s="19" t="s">
        <v>187</v>
      </c>
      <c r="C176" s="19" t="s">
        <v>8</v>
      </c>
      <c r="D176" s="20">
        <v>0</v>
      </c>
      <c r="E176" s="21" t="s">
        <v>2001</v>
      </c>
      <c r="F176" s="20">
        <v>0</v>
      </c>
      <c r="G176" s="27" t="str">
        <f t="shared" ref="G176:G177" si="15">HYPERLINK("http://www.healthec.com/drummond-certificates/","http://www.healthec.com/drummond-certificates/")</f>
        <v>http://www.healthec.com/drummond-certificates/</v>
      </c>
      <c r="H176" s="23">
        <v>42447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9">
        <v>1527</v>
      </c>
      <c r="B177" s="19" t="s">
        <v>188</v>
      </c>
      <c r="C177" s="19" t="s">
        <v>8</v>
      </c>
      <c r="D177" s="20">
        <v>0</v>
      </c>
      <c r="E177" s="21" t="s">
        <v>2002</v>
      </c>
      <c r="F177" s="20">
        <v>0</v>
      </c>
      <c r="G177" s="27" t="str">
        <f t="shared" si="15"/>
        <v>http://www.healthec.com/drummond-certificates/</v>
      </c>
      <c r="H177" s="23">
        <v>42447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9">
        <v>1531</v>
      </c>
      <c r="B178" s="19" t="s">
        <v>1097</v>
      </c>
      <c r="C178" s="21" t="s">
        <v>8</v>
      </c>
      <c r="D178" s="20">
        <v>1</v>
      </c>
      <c r="E178" s="21" t="s">
        <v>2003</v>
      </c>
      <c r="F178" s="20">
        <v>0</v>
      </c>
      <c r="G178" s="25" t="s">
        <v>201</v>
      </c>
      <c r="H178" s="23">
        <v>42447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9">
        <v>1537</v>
      </c>
      <c r="B179" s="19" t="s">
        <v>190</v>
      </c>
      <c r="C179" s="19" t="s">
        <v>8</v>
      </c>
      <c r="D179" s="20">
        <v>1</v>
      </c>
      <c r="E179" s="21" t="s">
        <v>2004</v>
      </c>
      <c r="F179" s="20">
        <v>0</v>
      </c>
      <c r="G179" s="27" t="str">
        <f>HYPERLINK("https://quick-charts.com/certification-details/","https://quick-charts.com/certification-details/")</f>
        <v>https://quick-charts.com/certification-details/</v>
      </c>
      <c r="H179" s="23">
        <v>42447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9">
        <v>1539</v>
      </c>
      <c r="B180" s="19" t="s">
        <v>192</v>
      </c>
      <c r="C180" s="19" t="s">
        <v>8</v>
      </c>
      <c r="D180" s="20">
        <v>1</v>
      </c>
      <c r="E180" s="21" t="s">
        <v>2005</v>
      </c>
      <c r="F180" s="20">
        <v>0</v>
      </c>
      <c r="G180" s="27" t="str">
        <f>HYPERLINK("http://www.healogics.com/i-heal","http://www.healogics.com/i-heal")</f>
        <v>http://www.healogics.com/i-heal</v>
      </c>
      <c r="H180" s="23">
        <v>42447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9">
        <v>1540</v>
      </c>
      <c r="B181" s="19" t="s">
        <v>193</v>
      </c>
      <c r="C181" s="19" t="s">
        <v>8</v>
      </c>
      <c r="D181" s="20">
        <v>0</v>
      </c>
      <c r="E181" s="21" t="s">
        <v>2006</v>
      </c>
      <c r="F181" s="20">
        <v>0</v>
      </c>
      <c r="G181" s="27" t="str">
        <f>HYPERLINK("http://www.has.com/medifile.htm","http://www.has.com/medifile.htm")</f>
        <v>http://www.has.com/medifile.htm</v>
      </c>
      <c r="H181" s="23">
        <v>42447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9">
        <v>1550</v>
      </c>
      <c r="B182" s="19" t="s">
        <v>194</v>
      </c>
      <c r="C182" s="19" t="s">
        <v>8</v>
      </c>
      <c r="D182" s="20">
        <v>1</v>
      </c>
      <c r="E182" s="21" t="s">
        <v>2007</v>
      </c>
      <c r="F182" s="20">
        <v>0</v>
      </c>
      <c r="G182" s="27" t="str">
        <f>HYPERLINK("https://www.healthgorilla.com/home/company/about/faq/","https://www.healthgorilla.com/home/company/about/faq/")</f>
        <v>https://www.healthgorilla.com/home/company/about/faq/</v>
      </c>
      <c r="H182" s="23">
        <v>42447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9">
        <v>1561</v>
      </c>
      <c r="B183" s="19" t="s">
        <v>195</v>
      </c>
      <c r="C183" s="19" t="s">
        <v>8</v>
      </c>
      <c r="D183" s="20">
        <v>1</v>
      </c>
      <c r="E183" s="21" t="s">
        <v>2008</v>
      </c>
      <c r="F183" s="20">
        <v>0</v>
      </c>
      <c r="G183" s="27" t="str">
        <f>HYPERLINK("http://www.healthaxis.com/electronic-health-records/","http://www.healthaxis.com/electronic-health-records/")</f>
        <v>http://www.healthaxis.com/electronic-health-records/</v>
      </c>
      <c r="H183" s="23">
        <v>42447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9">
        <v>1562</v>
      </c>
      <c r="B184" s="19" t="s">
        <v>196</v>
      </c>
      <c r="C184" s="19" t="s">
        <v>8</v>
      </c>
      <c r="D184" s="20">
        <v>1</v>
      </c>
      <c r="E184" s="21" t="s">
        <v>2009</v>
      </c>
      <c r="F184" s="30">
        <v>0</v>
      </c>
      <c r="G184" s="35" t="str">
        <f>HYPERLINK("http://www.healthfusion.com/ehr-meaningful-use/meaningful-use-certification/","http://www.healthfusion.com/ehr-meaningful-use/meaningful-use-certification/")</f>
        <v>http://www.healthfusion.com/ehr-meaningful-use/meaningful-use-certification/</v>
      </c>
      <c r="H184" s="23">
        <v>42447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9"/>
      <c r="B185" s="19" t="s">
        <v>197</v>
      </c>
      <c r="C185" s="19" t="s">
        <v>8</v>
      </c>
      <c r="D185" s="20">
        <v>1</v>
      </c>
      <c r="E185" s="21" t="s">
        <v>2010</v>
      </c>
      <c r="F185" s="30">
        <v>0</v>
      </c>
      <c r="G185" s="35" t="str">
        <f>HYPERLINK("http://ecqmpro.com/ecqm-pro-ehr-meaningful-use-certifications/","http://ecqmpro.com/ecqm-pro-ehr-meaningful-use-certifications/")</f>
        <v>http://ecqmpro.com/ecqm-pro-ehr-meaningful-use-certifications/</v>
      </c>
      <c r="H185" s="23">
        <v>42447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9">
        <v>1581</v>
      </c>
      <c r="B186" s="19" t="s">
        <v>198</v>
      </c>
      <c r="C186" s="19" t="s">
        <v>8</v>
      </c>
      <c r="D186" s="20">
        <v>1</v>
      </c>
      <c r="E186" s="21" t="s">
        <v>2011</v>
      </c>
      <c r="F186" s="30">
        <v>0</v>
      </c>
      <c r="G186" s="35" t="str">
        <f>HYPERLINK("https://hellohealth.com/ehr/resources/meaningful-use/","https://hellohealth.com/ehr/resources/meaningful-use/")</f>
        <v>https://hellohealth.com/ehr/resources/meaningful-use/</v>
      </c>
      <c r="H186" s="23">
        <v>42447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9">
        <v>1590</v>
      </c>
      <c r="B187" s="19" t="s">
        <v>202</v>
      </c>
      <c r="C187" s="19" t="s">
        <v>8</v>
      </c>
      <c r="D187" s="20">
        <v>1</v>
      </c>
      <c r="E187" s="21" t="s">
        <v>2012</v>
      </c>
      <c r="F187" s="30">
        <v>0</v>
      </c>
      <c r="G187" s="35" t="str">
        <f>HYPERLINK("http://www.holonsolutions.com/certifications.html","http://www.holonsolutions.com/certifications.html")</f>
        <v>http://www.holonsolutions.com/certifications.html</v>
      </c>
      <c r="H187" s="23">
        <v>42447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9">
        <v>1598</v>
      </c>
      <c r="B188" s="19" t="s">
        <v>203</v>
      </c>
      <c r="C188" s="19" t="s">
        <v>8</v>
      </c>
      <c r="D188" s="20">
        <v>1</v>
      </c>
      <c r="E188" s="21" t="s">
        <v>2013</v>
      </c>
      <c r="F188" s="30">
        <v>0</v>
      </c>
      <c r="G188" s="35" t="str">
        <f>HYPERLINK("http://www.icanotes.com/content/onc-atcb-certification","http://www.icanotes.com/content/onc-atcb-certification")</f>
        <v>http://www.icanotes.com/content/onc-atcb-certification</v>
      </c>
      <c r="H188" s="23">
        <v>42447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9"/>
      <c r="B189" s="19" t="s">
        <v>205</v>
      </c>
      <c r="C189" s="19" t="s">
        <v>8</v>
      </c>
      <c r="D189" s="20">
        <v>1</v>
      </c>
      <c r="E189" s="21" t="s">
        <v>2014</v>
      </c>
      <c r="F189" s="30">
        <v>0</v>
      </c>
      <c r="G189" s="35" t="str">
        <f>HYPERLINK("http://www.icare.com/affordable/","http://www.icare.com/affordable/")</f>
        <v>http://www.icare.com/affordable/</v>
      </c>
      <c r="H189" s="23">
        <v>42447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9">
        <v>1601</v>
      </c>
      <c r="B190" s="19" t="s">
        <v>206</v>
      </c>
      <c r="C190" s="19" t="s">
        <v>8</v>
      </c>
      <c r="D190" s="20">
        <v>1</v>
      </c>
      <c r="E190" s="21" t="s">
        <v>2015</v>
      </c>
      <c r="F190" s="30">
        <v>0</v>
      </c>
      <c r="G190" s="35" t="str">
        <f>HYPERLINK("http://icssoftware.net/products/sammyehr/","http://icssoftware.net/products/sammyehr/")</f>
        <v>http://icssoftware.net/products/sammyehr/</v>
      </c>
      <c r="H190" s="23">
        <v>42447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9">
        <v>1617</v>
      </c>
      <c r="B191" s="19" t="s">
        <v>211</v>
      </c>
      <c r="C191" s="19" t="s">
        <v>8</v>
      </c>
      <c r="D191" s="20">
        <v>1</v>
      </c>
      <c r="E191" s="21" t="s">
        <v>2016</v>
      </c>
      <c r="F191" s="30">
        <v>0</v>
      </c>
      <c r="G191" s="35" t="str">
        <f>HYPERLINK("http://www.ircsinc.com/index.php?page=software-vireo","http://www.ircsinc.com/index.php?page=software-vireo")</f>
        <v>http://www.ircsinc.com/index.php?page=software-vireo</v>
      </c>
      <c r="H191" s="23">
        <v>42447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9">
        <v>1622</v>
      </c>
      <c r="B192" s="19" t="s">
        <v>213</v>
      </c>
      <c r="C192" s="19" t="s">
        <v>8</v>
      </c>
      <c r="D192" s="20">
        <v>1</v>
      </c>
      <c r="E192" s="21" t="s">
        <v>2017</v>
      </c>
      <c r="F192" s="30">
        <v>0</v>
      </c>
      <c r="G192" s="35" t="str">
        <f>HYPERLINK("http://www.ibeza.net/certifications","http://www.ibeza.net/certifications")</f>
        <v>http://www.ibeza.net/certifications</v>
      </c>
      <c r="H192" s="23">
        <v>42447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9"/>
      <c r="B193" s="36" t="s">
        <v>214</v>
      </c>
      <c r="C193" s="19" t="s">
        <v>8</v>
      </c>
      <c r="D193" s="20">
        <v>1</v>
      </c>
      <c r="E193" s="21" t="s">
        <v>2018</v>
      </c>
      <c r="F193" s="30">
        <v>0</v>
      </c>
      <c r="G193" s="35" t="str">
        <f>HYPERLINK("http://www.imedicware.com/Drummond","http://www.imedicware.com/Drummond")</f>
        <v>http://www.imedicware.com/Drummond</v>
      </c>
      <c r="H193" s="23">
        <v>42447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9">
        <v>1628</v>
      </c>
      <c r="B194" s="19" t="s">
        <v>215</v>
      </c>
      <c r="C194" s="19" t="s">
        <v>8</v>
      </c>
      <c r="D194" s="20">
        <v>1</v>
      </c>
      <c r="E194" s="21" t="s">
        <v>2019</v>
      </c>
      <c r="F194" s="20">
        <v>0</v>
      </c>
      <c r="G194" s="25" t="s">
        <v>2020</v>
      </c>
      <c r="H194" s="23">
        <v>42447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9">
        <v>1644</v>
      </c>
      <c r="B195" s="19" t="s">
        <v>218</v>
      </c>
      <c r="C195" s="19" t="s">
        <v>8</v>
      </c>
      <c r="D195" s="20">
        <v>1</v>
      </c>
      <c r="E195" s="21" t="s">
        <v>2021</v>
      </c>
      <c r="F195" s="20">
        <v>0</v>
      </c>
      <c r="G195" s="27" t="str">
        <f>HYPERLINK("http://www.infor.com/product-summary/healthcare/cloverleaf-integration-suite/","http://www.infor.com/product-summary/healthcare/cloverleaf-integration-suite/")</f>
        <v>http://www.infor.com/product-summary/healthcare/cloverleaf-integration-suite/</v>
      </c>
      <c r="H195" s="23">
        <v>42447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9">
        <v>1647</v>
      </c>
      <c r="B196" s="19" t="s">
        <v>219</v>
      </c>
      <c r="C196" s="19" t="s">
        <v>8</v>
      </c>
      <c r="D196" s="20">
        <v>1</v>
      </c>
      <c r="E196" s="21" t="s">
        <v>2022</v>
      </c>
      <c r="F196" s="20">
        <v>0</v>
      </c>
      <c r="G196" s="27" t="str">
        <f>HYPERLINK("http://www.inforiainc.com/our_company/drummond_certification.html","http://www.inforiainc.com/our_company/drummond_certification.html")</f>
        <v>http://www.inforiainc.com/our_company/drummond_certification.html</v>
      </c>
      <c r="H196" s="23">
        <v>42447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9.25" customHeight="1" x14ac:dyDescent="0.25">
      <c r="A197" s="19">
        <v>1652</v>
      </c>
      <c r="B197" s="19" t="s">
        <v>221</v>
      </c>
      <c r="C197" s="19" t="s">
        <v>8</v>
      </c>
      <c r="D197" s="20">
        <v>1</v>
      </c>
      <c r="E197" s="21" t="s">
        <v>2023</v>
      </c>
      <c r="F197" s="37">
        <v>0</v>
      </c>
      <c r="G197" s="38" t="str">
        <f>HYPERLINK("http://www.clinicsource.com/clinicsource-earns-prestigious-onc-acb-2014-certification/","http://www.clinicsource.com/clinicsource-earns-prestigious-onc-acb-2014-certification/")</f>
        <v>http://www.clinicsource.com/clinicsource-earns-prestigious-onc-acb-2014-certification/</v>
      </c>
      <c r="H197" s="23">
        <v>42447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9">
        <v>1659</v>
      </c>
      <c r="B198" s="19" t="s">
        <v>222</v>
      </c>
      <c r="C198" s="19" t="s">
        <v>8</v>
      </c>
      <c r="D198" s="20">
        <v>1</v>
      </c>
      <c r="E198" s="21" t="s">
        <v>2024</v>
      </c>
      <c r="F198" s="30">
        <v>0</v>
      </c>
      <c r="G198" s="35" t="str">
        <f>HYPERLINK("https://www.kno2.com/resources","https://www.kno2.com/resources")</f>
        <v>https://www.kno2.com/resources</v>
      </c>
      <c r="H198" s="23">
        <v>42447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9">
        <v>1678</v>
      </c>
      <c r="B199" s="19" t="s">
        <v>227</v>
      </c>
      <c r="C199" s="19" t="s">
        <v>8</v>
      </c>
      <c r="D199" s="20">
        <v>1</v>
      </c>
      <c r="E199" s="21" t="s">
        <v>2025</v>
      </c>
      <c r="F199" s="30">
        <v>0</v>
      </c>
      <c r="G199" s="35" t="str">
        <f>HYPERLINK("http://integrityemr.com/","http://integrityemr.com/")</f>
        <v>http://integrityemr.com/</v>
      </c>
      <c r="H199" s="23">
        <v>42447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9">
        <v>1681</v>
      </c>
      <c r="B200" s="19" t="s">
        <v>228</v>
      </c>
      <c r="C200" s="19" t="s">
        <v>8</v>
      </c>
      <c r="D200" s="20">
        <v>1</v>
      </c>
      <c r="E200" s="21" t="s">
        <v>2026</v>
      </c>
      <c r="F200" s="30">
        <v>0</v>
      </c>
      <c r="G200" s="35" t="str">
        <f>HYPERLINK("http://intellicure.com/Drummond.aspx","http://intellicure.com/Drummond.aspx")</f>
        <v>http://intellicure.com/Drummond.aspx</v>
      </c>
      <c r="H200" s="23">
        <v>42447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9"/>
      <c r="B201" s="19" t="s">
        <v>229</v>
      </c>
      <c r="C201" s="19" t="s">
        <v>8</v>
      </c>
      <c r="D201" s="20">
        <v>1</v>
      </c>
      <c r="E201" s="21" t="s">
        <v>2027</v>
      </c>
      <c r="F201" s="30">
        <v>0</v>
      </c>
      <c r="G201" s="35" t="str">
        <f>HYPERLINK("http://us.icw-global.com/solutions/icw-patient-engagement.html","http://us.icw-global.com/solutions/icw-patient-engagement.html")</f>
        <v>http://us.icw-global.com/solutions/icw-patient-engagement.html</v>
      </c>
      <c r="H201" s="23">
        <v>42447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9">
        <v>1684</v>
      </c>
      <c r="B202" s="19" t="s">
        <v>230</v>
      </c>
      <c r="C202" s="19" t="s">
        <v>8</v>
      </c>
      <c r="D202" s="20">
        <v>0</v>
      </c>
      <c r="E202" s="21" t="s">
        <v>2028</v>
      </c>
      <c r="F202" s="20">
        <v>0</v>
      </c>
      <c r="G202" s="25" t="s">
        <v>2029</v>
      </c>
      <c r="H202" s="23">
        <v>42447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9"/>
      <c r="B203" s="19" t="s">
        <v>233</v>
      </c>
      <c r="C203" s="19" t="s">
        <v>8</v>
      </c>
      <c r="D203" s="20">
        <v>1</v>
      </c>
      <c r="E203" s="33" t="s">
        <v>2030</v>
      </c>
      <c r="F203" s="39">
        <v>0</v>
      </c>
      <c r="G203" s="35" t="str">
        <f>HYPERLINK("http://isalushealthcare.com/ehr-features/meaningful-use","http://isalushealthcare.com/ehr-features/meaningful-use")</f>
        <v>http://isalushealthcare.com/ehr-features/meaningful-use</v>
      </c>
      <c r="H203" s="23">
        <v>42447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9">
        <v>1702</v>
      </c>
      <c r="B204" s="19" t="s">
        <v>234</v>
      </c>
      <c r="C204" s="19" t="s">
        <v>8</v>
      </c>
      <c r="D204" s="20">
        <v>1</v>
      </c>
      <c r="E204" s="21" t="s">
        <v>2031</v>
      </c>
      <c r="F204" s="30">
        <v>0</v>
      </c>
      <c r="G204" s="35" t="str">
        <f>HYPERLINK("http://clinictracker.com/features/meaningful-use","http://clinictracker.com/features/meaningful-use")</f>
        <v>http://clinictracker.com/features/meaningful-use</v>
      </c>
      <c r="H204" s="23">
        <v>42447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9">
        <v>1712</v>
      </c>
      <c r="B205" s="19" t="s">
        <v>237</v>
      </c>
      <c r="C205" s="19" t="s">
        <v>8</v>
      </c>
      <c r="D205" s="20">
        <v>0</v>
      </c>
      <c r="E205" s="21" t="s">
        <v>2032</v>
      </c>
      <c r="F205" s="30">
        <v>0</v>
      </c>
      <c r="G205" s="35" t="str">
        <f>HYPERLINK("http://www.doxpedo.com/ehr-incentive/","http://www.doxpedo.com/ehr-incentive/")</f>
        <v>http://www.doxpedo.com/ehr-incentive/</v>
      </c>
      <c r="H205" s="23">
        <v>42447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9">
        <v>1720</v>
      </c>
      <c r="B206" s="19" t="s">
        <v>240</v>
      </c>
      <c r="C206" s="19" t="s">
        <v>8</v>
      </c>
      <c r="D206" s="20">
        <v>0</v>
      </c>
      <c r="E206" s="21" t="s">
        <v>2033</v>
      </c>
      <c r="F206" s="30">
        <v>0</v>
      </c>
      <c r="G206" s="35" t="str">
        <f>HYPERLINK("http://www.drsdoc.com/","www.drsdoc.com")</f>
        <v>www.drsdoc.com</v>
      </c>
      <c r="H206" s="23">
        <v>42447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9">
        <v>1724</v>
      </c>
      <c r="B207" s="19" t="s">
        <v>241</v>
      </c>
      <c r="C207" s="19" t="s">
        <v>8</v>
      </c>
      <c r="D207" s="20">
        <v>1</v>
      </c>
      <c r="E207" s="21" t="s">
        <v>2034</v>
      </c>
      <c r="F207" s="30">
        <v>0</v>
      </c>
      <c r="G207" s="35" t="str">
        <f>HYPERLINK("http://www.keymedicalsoftware.com/home/keychart-electronic-medical-records","http://www.keymedicalsoftware.com/home/keychart-electronic-medical-records")</f>
        <v>http://www.keymedicalsoftware.com/home/keychart-electronic-medical-records</v>
      </c>
      <c r="H207" s="23">
        <v>42447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9">
        <v>1739</v>
      </c>
      <c r="B208" s="19" t="s">
        <v>243</v>
      </c>
      <c r="C208" s="19" t="s">
        <v>8</v>
      </c>
      <c r="D208" s="20">
        <v>1</v>
      </c>
      <c r="E208" s="21" t="s">
        <v>2035</v>
      </c>
      <c r="F208" s="30">
        <v>0</v>
      </c>
      <c r="G208" s="35" t="str">
        <f>HYPERLINK("http://home.meditech.com/en/d/regulatoryresources/pages/certification.htm","http://home.meditech.com/en/d/regulatoryresources/pages/certification.htm")</f>
        <v>http://home.meditech.com/en/d/regulatoryresources/pages/certification.htm</v>
      </c>
      <c r="H208" s="23">
        <v>42447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9">
        <v>1742</v>
      </c>
      <c r="B209" s="19" t="s">
        <v>244</v>
      </c>
      <c r="C209" s="19" t="s">
        <v>8</v>
      </c>
      <c r="D209" s="20">
        <v>1</v>
      </c>
      <c r="E209" s="21" t="s">
        <v>2036</v>
      </c>
      <c r="F209" s="30">
        <v>0</v>
      </c>
      <c r="G209" s="35" t="str">
        <f>HYPERLINK("http://laurisonline.com/certinfo.aspx","http://laurisonline.com/certinfo.aspx")</f>
        <v>http://laurisonline.com/certinfo.aspx</v>
      </c>
      <c r="H209" s="23">
        <v>42447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9">
        <v>1752</v>
      </c>
      <c r="B210" s="19" t="s">
        <v>245</v>
      </c>
      <c r="C210" s="19" t="s">
        <v>8</v>
      </c>
      <c r="D210" s="20">
        <v>2</v>
      </c>
      <c r="E210" s="21" t="s">
        <v>2037</v>
      </c>
      <c r="F210" s="20">
        <v>0</v>
      </c>
      <c r="G210" s="19"/>
      <c r="H210" s="23">
        <v>42447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9">
        <v>1762</v>
      </c>
      <c r="B211" s="19" t="s">
        <v>1234</v>
      </c>
      <c r="C211" s="21" t="s">
        <v>8</v>
      </c>
      <c r="D211" s="20">
        <v>1</v>
      </c>
      <c r="E211" s="21" t="s">
        <v>2038</v>
      </c>
      <c r="F211" s="20">
        <v>0</v>
      </c>
      <c r="G211" s="25" t="s">
        <v>2039</v>
      </c>
      <c r="H211" s="23">
        <v>42447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9">
        <v>1768</v>
      </c>
      <c r="B212" s="19" t="s">
        <v>246</v>
      </c>
      <c r="C212" s="19" t="s">
        <v>8</v>
      </c>
      <c r="D212" s="20">
        <v>1</v>
      </c>
      <c r="E212" s="21" t="s">
        <v>2040</v>
      </c>
      <c r="F212" s="30">
        <v>0</v>
      </c>
      <c r="G212" s="35" t="str">
        <f>HYPERLINK("https://www.cattailssoftware.com/clientportal/?page=login","https://www.cattailssoftware.com/clientportal/?page=login")</f>
        <v>https://www.cattailssoftware.com/clientportal/?page=login</v>
      </c>
      <c r="H212" s="23">
        <v>42447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9">
        <v>1771</v>
      </c>
      <c r="B213" s="19" t="s">
        <v>248</v>
      </c>
      <c r="C213" s="19" t="s">
        <v>8</v>
      </c>
      <c r="D213" s="20">
        <v>1</v>
      </c>
      <c r="E213" s="21" t="s">
        <v>2041</v>
      </c>
      <c r="F213" s="30">
        <v>0</v>
      </c>
      <c r="G213" s="35" t="str">
        <f>HYPERLINK("http://www.mdlogic.com/support/value-added-services","http://www.mdlogic.com/support/value-added-services")</f>
        <v>http://www.mdlogic.com/support/value-added-services</v>
      </c>
      <c r="H213" s="23">
        <v>42447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9">
        <v>1794</v>
      </c>
      <c r="B214" s="28" t="s">
        <v>250</v>
      </c>
      <c r="C214" s="28" t="s">
        <v>8</v>
      </c>
      <c r="D214" s="20">
        <v>1</v>
      </c>
      <c r="E214" s="31" t="s">
        <v>252</v>
      </c>
      <c r="F214" s="20">
        <v>1</v>
      </c>
      <c r="G214" s="27" t="str">
        <f t="shared" ref="G214:G217" si="16">HYPERLINK("http://www.medhost.com/offerings/business-intelligence/business-intelligence-certification","http://www.medhost.com/offerings/business-intelligence/business-intelligence-certification")</f>
        <v>http://www.medhost.com/offerings/business-intelligence/business-intelligence-certification</v>
      </c>
      <c r="H214" s="23">
        <v>42447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9">
        <v>1794</v>
      </c>
      <c r="B215" s="28" t="s">
        <v>250</v>
      </c>
      <c r="C215" s="28" t="s">
        <v>8</v>
      </c>
      <c r="D215" s="20">
        <v>1</v>
      </c>
      <c r="E215" s="31" t="s">
        <v>253</v>
      </c>
      <c r="F215" s="20">
        <v>1</v>
      </c>
      <c r="G215" s="27" t="str">
        <f t="shared" si="16"/>
        <v>http://www.medhost.com/offerings/business-intelligence/business-intelligence-certification</v>
      </c>
      <c r="H215" s="23">
        <v>42447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9">
        <v>1794</v>
      </c>
      <c r="B216" s="28" t="s">
        <v>250</v>
      </c>
      <c r="C216" s="28" t="s">
        <v>8</v>
      </c>
      <c r="D216" s="20">
        <v>1</v>
      </c>
      <c r="E216" s="31" t="s">
        <v>254</v>
      </c>
      <c r="F216" s="20">
        <v>1</v>
      </c>
      <c r="G216" s="27" t="str">
        <f t="shared" si="16"/>
        <v>http://www.medhost.com/offerings/business-intelligence/business-intelligence-certification</v>
      </c>
      <c r="H216" s="23">
        <v>42447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9">
        <v>1794</v>
      </c>
      <c r="B217" s="28" t="s">
        <v>250</v>
      </c>
      <c r="C217" s="28" t="s">
        <v>8</v>
      </c>
      <c r="D217" s="20">
        <v>1</v>
      </c>
      <c r="E217" s="31" t="s">
        <v>251</v>
      </c>
      <c r="F217" s="20">
        <v>1</v>
      </c>
      <c r="G217" s="27" t="str">
        <f t="shared" si="16"/>
        <v>http://www.medhost.com/offerings/business-intelligence/business-intelligence-certification</v>
      </c>
      <c r="H217" s="23">
        <v>42447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9">
        <v>1794</v>
      </c>
      <c r="B218" s="28" t="s">
        <v>250</v>
      </c>
      <c r="C218" s="28" t="s">
        <v>8</v>
      </c>
      <c r="D218" s="20">
        <v>1</v>
      </c>
      <c r="E218" s="31" t="s">
        <v>264</v>
      </c>
      <c r="F218" s="20">
        <v>1</v>
      </c>
      <c r="G218" s="27" t="str">
        <f t="shared" ref="G218:G226" si="17">HYPERLINK("http://www.medhost.com/about-us/meaningful-use-certification","http://www.medhost.com/about-us/meaningful-use-certification")</f>
        <v>http://www.medhost.com/about-us/meaningful-use-certification</v>
      </c>
      <c r="H218" s="23">
        <v>42447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9">
        <v>1794</v>
      </c>
      <c r="B219" s="28" t="s">
        <v>250</v>
      </c>
      <c r="C219" s="28" t="s">
        <v>8</v>
      </c>
      <c r="D219" s="20">
        <v>1</v>
      </c>
      <c r="E219" s="31" t="s">
        <v>263</v>
      </c>
      <c r="F219" s="20">
        <v>1</v>
      </c>
      <c r="G219" s="27" t="str">
        <f t="shared" si="17"/>
        <v>http://www.medhost.com/about-us/meaningful-use-certification</v>
      </c>
      <c r="H219" s="23">
        <v>42447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9">
        <v>1794</v>
      </c>
      <c r="B220" s="28" t="s">
        <v>250</v>
      </c>
      <c r="C220" s="28" t="s">
        <v>8</v>
      </c>
      <c r="D220" s="20">
        <v>1</v>
      </c>
      <c r="E220" s="31" t="s">
        <v>262</v>
      </c>
      <c r="F220" s="20">
        <v>1</v>
      </c>
      <c r="G220" s="27" t="str">
        <f t="shared" si="17"/>
        <v>http://www.medhost.com/about-us/meaningful-use-certification</v>
      </c>
      <c r="H220" s="23">
        <v>42447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9">
        <v>1794</v>
      </c>
      <c r="B221" s="28" t="s">
        <v>250</v>
      </c>
      <c r="C221" s="28" t="s">
        <v>8</v>
      </c>
      <c r="D221" s="20">
        <v>1</v>
      </c>
      <c r="E221" s="31" t="s">
        <v>261</v>
      </c>
      <c r="F221" s="20">
        <v>1</v>
      </c>
      <c r="G221" s="27" t="str">
        <f t="shared" si="17"/>
        <v>http://www.medhost.com/about-us/meaningful-use-certification</v>
      </c>
      <c r="H221" s="23">
        <v>42447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9">
        <v>1794</v>
      </c>
      <c r="B222" s="28" t="s">
        <v>250</v>
      </c>
      <c r="C222" s="28" t="s">
        <v>8</v>
      </c>
      <c r="D222" s="20">
        <v>1</v>
      </c>
      <c r="E222" s="31" t="s">
        <v>258</v>
      </c>
      <c r="F222" s="20">
        <v>1</v>
      </c>
      <c r="G222" s="27" t="str">
        <f t="shared" si="17"/>
        <v>http://www.medhost.com/about-us/meaningful-use-certification</v>
      </c>
      <c r="H222" s="23">
        <v>42447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9">
        <v>1794</v>
      </c>
      <c r="B223" s="28" t="s">
        <v>250</v>
      </c>
      <c r="C223" s="28" t="s">
        <v>8</v>
      </c>
      <c r="D223" s="20">
        <v>1</v>
      </c>
      <c r="E223" s="31" t="s">
        <v>259</v>
      </c>
      <c r="F223" s="20">
        <v>1</v>
      </c>
      <c r="G223" s="27" t="str">
        <f t="shared" si="17"/>
        <v>http://www.medhost.com/about-us/meaningful-use-certification</v>
      </c>
      <c r="H223" s="23">
        <v>42447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9">
        <v>1794</v>
      </c>
      <c r="B224" s="28" t="s">
        <v>250</v>
      </c>
      <c r="C224" s="28" t="s">
        <v>8</v>
      </c>
      <c r="D224" s="20">
        <v>1</v>
      </c>
      <c r="E224" s="31" t="s">
        <v>260</v>
      </c>
      <c r="F224" s="20">
        <v>1</v>
      </c>
      <c r="G224" s="27" t="str">
        <f t="shared" si="17"/>
        <v>http://www.medhost.com/about-us/meaningful-use-certification</v>
      </c>
      <c r="H224" s="23">
        <v>42447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9">
        <v>1794</v>
      </c>
      <c r="B225" s="28" t="s">
        <v>250</v>
      </c>
      <c r="C225" s="28" t="s">
        <v>8</v>
      </c>
      <c r="D225" s="20">
        <v>1</v>
      </c>
      <c r="E225" s="31" t="s">
        <v>255</v>
      </c>
      <c r="F225" s="20">
        <v>1</v>
      </c>
      <c r="G225" s="27" t="str">
        <f t="shared" si="17"/>
        <v>http://www.medhost.com/about-us/meaningful-use-certification</v>
      </c>
      <c r="H225" s="23">
        <v>42447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9">
        <v>1794</v>
      </c>
      <c r="B226" s="28" t="s">
        <v>250</v>
      </c>
      <c r="C226" s="28" t="s">
        <v>8</v>
      </c>
      <c r="D226" s="20">
        <v>1</v>
      </c>
      <c r="E226" s="31" t="s">
        <v>257</v>
      </c>
      <c r="F226" s="20">
        <v>1</v>
      </c>
      <c r="G226" s="27" t="str">
        <f t="shared" si="17"/>
        <v>http://www.medhost.com/about-us/meaningful-use-certification</v>
      </c>
      <c r="H226" s="23">
        <v>42447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9">
        <v>1794</v>
      </c>
      <c r="B227" s="28" t="s">
        <v>250</v>
      </c>
      <c r="C227" s="28" t="s">
        <v>8</v>
      </c>
      <c r="D227" s="20">
        <v>1</v>
      </c>
      <c r="E227" s="31" t="s">
        <v>265</v>
      </c>
      <c r="F227" s="20">
        <v>1</v>
      </c>
      <c r="G227" s="27" t="str">
        <f t="shared" ref="G227:G234" si="18">HYPERLINK("http://www.medhost.com/offerings/edis/edis-certification","http://www.medhost.com/offerings/edis/edis-certification")</f>
        <v>http://www.medhost.com/offerings/edis/edis-certification</v>
      </c>
      <c r="H227" s="23">
        <v>42447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9">
        <v>1794</v>
      </c>
      <c r="B228" s="28" t="s">
        <v>250</v>
      </c>
      <c r="C228" s="28" t="s">
        <v>8</v>
      </c>
      <c r="D228" s="20">
        <v>1</v>
      </c>
      <c r="E228" s="31" t="s">
        <v>266</v>
      </c>
      <c r="F228" s="20">
        <v>1</v>
      </c>
      <c r="G228" s="27" t="str">
        <f t="shared" si="18"/>
        <v>http://www.medhost.com/offerings/edis/edis-certification</v>
      </c>
      <c r="H228" s="23">
        <v>42447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9">
        <v>1794</v>
      </c>
      <c r="B229" s="28" t="s">
        <v>250</v>
      </c>
      <c r="C229" s="28" t="s">
        <v>8</v>
      </c>
      <c r="D229" s="20">
        <v>1</v>
      </c>
      <c r="E229" s="31" t="s">
        <v>267</v>
      </c>
      <c r="F229" s="20">
        <v>1</v>
      </c>
      <c r="G229" s="27" t="str">
        <f t="shared" si="18"/>
        <v>http://www.medhost.com/offerings/edis/edis-certification</v>
      </c>
      <c r="H229" s="23">
        <v>42447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9">
        <v>1794</v>
      </c>
      <c r="B230" s="28" t="s">
        <v>250</v>
      </c>
      <c r="C230" s="28" t="s">
        <v>8</v>
      </c>
      <c r="D230" s="20">
        <v>1</v>
      </c>
      <c r="E230" s="31" t="s">
        <v>268</v>
      </c>
      <c r="F230" s="20">
        <v>1</v>
      </c>
      <c r="G230" s="27" t="str">
        <f t="shared" si="18"/>
        <v>http://www.medhost.com/offerings/edis/edis-certification</v>
      </c>
      <c r="H230" s="23">
        <v>42447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9">
        <v>1794</v>
      </c>
      <c r="B231" s="28" t="s">
        <v>250</v>
      </c>
      <c r="C231" s="28" t="s">
        <v>8</v>
      </c>
      <c r="D231" s="20">
        <v>1</v>
      </c>
      <c r="E231" s="31" t="s">
        <v>269</v>
      </c>
      <c r="F231" s="20">
        <v>1</v>
      </c>
      <c r="G231" s="27" t="str">
        <f t="shared" si="18"/>
        <v>http://www.medhost.com/offerings/edis/edis-certification</v>
      </c>
      <c r="H231" s="23">
        <v>42447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9">
        <v>1794</v>
      </c>
      <c r="B232" s="28" t="s">
        <v>250</v>
      </c>
      <c r="C232" s="28" t="s">
        <v>8</v>
      </c>
      <c r="D232" s="20">
        <v>1</v>
      </c>
      <c r="E232" s="31" t="s">
        <v>270</v>
      </c>
      <c r="F232" s="20">
        <v>1</v>
      </c>
      <c r="G232" s="27" t="str">
        <f t="shared" si="18"/>
        <v>http://www.medhost.com/offerings/edis/edis-certification</v>
      </c>
      <c r="H232" s="23">
        <v>42447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9">
        <v>1794</v>
      </c>
      <c r="B233" s="28" t="s">
        <v>250</v>
      </c>
      <c r="C233" s="28" t="s">
        <v>8</v>
      </c>
      <c r="D233" s="20">
        <v>1</v>
      </c>
      <c r="E233" s="31" t="s">
        <v>2042</v>
      </c>
      <c r="F233" s="20">
        <v>1</v>
      </c>
      <c r="G233" s="27" t="str">
        <f t="shared" si="18"/>
        <v>http://www.medhost.com/offerings/edis/edis-certification</v>
      </c>
      <c r="H233" s="23">
        <v>42447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9">
        <v>1794</v>
      </c>
      <c r="B234" s="28" t="s">
        <v>250</v>
      </c>
      <c r="C234" s="28" t="s">
        <v>8</v>
      </c>
      <c r="D234" s="20">
        <v>1</v>
      </c>
      <c r="E234" s="31" t="s">
        <v>271</v>
      </c>
      <c r="F234" s="20">
        <v>1</v>
      </c>
      <c r="G234" s="27" t="str">
        <f t="shared" si="18"/>
        <v>http://www.medhost.com/offerings/edis/edis-certification</v>
      </c>
      <c r="H234" s="23">
        <v>42447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9">
        <v>1794</v>
      </c>
      <c r="B235" s="28" t="s">
        <v>250</v>
      </c>
      <c r="C235" s="28" t="s">
        <v>8</v>
      </c>
      <c r="D235" s="20">
        <v>1</v>
      </c>
      <c r="E235" s="31" t="s">
        <v>285</v>
      </c>
      <c r="F235" s="20">
        <v>1</v>
      </c>
      <c r="G235" s="27" t="str">
        <f t="shared" ref="G235:G257" si="19">HYPERLINK("http://www.medhost.com/about-us/meaningful-use-certification","http://www.medhost.com/about-us/meaningful-use-certification")</f>
        <v>http://www.medhost.com/about-us/meaningful-use-certification</v>
      </c>
      <c r="H235" s="23">
        <v>42447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9">
        <v>1794</v>
      </c>
      <c r="B236" s="28" t="s">
        <v>250</v>
      </c>
      <c r="C236" s="28" t="s">
        <v>8</v>
      </c>
      <c r="D236" s="20">
        <v>1</v>
      </c>
      <c r="E236" s="31" t="s">
        <v>281</v>
      </c>
      <c r="F236" s="20">
        <v>1</v>
      </c>
      <c r="G236" s="27" t="str">
        <f t="shared" si="19"/>
        <v>http://www.medhost.com/about-us/meaningful-use-certification</v>
      </c>
      <c r="H236" s="23">
        <v>42447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9">
        <v>1794</v>
      </c>
      <c r="B237" s="28" t="s">
        <v>250</v>
      </c>
      <c r="C237" s="28" t="s">
        <v>8</v>
      </c>
      <c r="D237" s="20">
        <v>1</v>
      </c>
      <c r="E237" s="31" t="s">
        <v>282</v>
      </c>
      <c r="F237" s="20">
        <v>1</v>
      </c>
      <c r="G237" s="27" t="str">
        <f t="shared" si="19"/>
        <v>http://www.medhost.com/about-us/meaningful-use-certification</v>
      </c>
      <c r="H237" s="23">
        <v>42447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9">
        <v>1794</v>
      </c>
      <c r="B238" s="28" t="s">
        <v>250</v>
      </c>
      <c r="C238" s="28" t="s">
        <v>8</v>
      </c>
      <c r="D238" s="20">
        <v>1</v>
      </c>
      <c r="E238" s="31" t="s">
        <v>283</v>
      </c>
      <c r="F238" s="20">
        <v>1</v>
      </c>
      <c r="G238" s="27" t="str">
        <f t="shared" si="19"/>
        <v>http://www.medhost.com/about-us/meaningful-use-certification</v>
      </c>
      <c r="H238" s="23">
        <v>42447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9">
        <v>1794</v>
      </c>
      <c r="B239" s="28" t="s">
        <v>250</v>
      </c>
      <c r="C239" s="28" t="s">
        <v>8</v>
      </c>
      <c r="D239" s="20">
        <v>1</v>
      </c>
      <c r="E239" s="31" t="s">
        <v>284</v>
      </c>
      <c r="F239" s="20">
        <v>1</v>
      </c>
      <c r="G239" s="27" t="str">
        <f t="shared" si="19"/>
        <v>http://www.medhost.com/about-us/meaningful-use-certification</v>
      </c>
      <c r="H239" s="23">
        <v>42447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9">
        <v>1794</v>
      </c>
      <c r="B240" s="28" t="s">
        <v>250</v>
      </c>
      <c r="C240" s="28" t="s">
        <v>8</v>
      </c>
      <c r="D240" s="20">
        <v>1</v>
      </c>
      <c r="E240" s="31" t="s">
        <v>280</v>
      </c>
      <c r="F240" s="20">
        <v>1</v>
      </c>
      <c r="G240" s="27" t="str">
        <f t="shared" si="19"/>
        <v>http://www.medhost.com/about-us/meaningful-use-certification</v>
      </c>
      <c r="H240" s="23">
        <v>42447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9">
        <v>1794</v>
      </c>
      <c r="B241" s="28" t="s">
        <v>250</v>
      </c>
      <c r="C241" s="28" t="s">
        <v>8</v>
      </c>
      <c r="D241" s="20">
        <v>1</v>
      </c>
      <c r="E241" s="31" t="s">
        <v>277</v>
      </c>
      <c r="F241" s="20">
        <v>1</v>
      </c>
      <c r="G241" s="27" t="str">
        <f t="shared" si="19"/>
        <v>http://www.medhost.com/about-us/meaningful-use-certification</v>
      </c>
      <c r="H241" s="23">
        <v>42447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9">
        <v>1794</v>
      </c>
      <c r="B242" s="28" t="s">
        <v>250</v>
      </c>
      <c r="C242" s="28" t="s">
        <v>8</v>
      </c>
      <c r="D242" s="20">
        <v>1</v>
      </c>
      <c r="E242" s="31" t="s">
        <v>278</v>
      </c>
      <c r="F242" s="20">
        <v>1</v>
      </c>
      <c r="G242" s="27" t="str">
        <f t="shared" si="19"/>
        <v>http://www.medhost.com/about-us/meaningful-use-certification</v>
      </c>
      <c r="H242" s="23">
        <v>42447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9">
        <v>1794</v>
      </c>
      <c r="B243" s="28" t="s">
        <v>250</v>
      </c>
      <c r="C243" s="28" t="s">
        <v>8</v>
      </c>
      <c r="D243" s="20">
        <v>1</v>
      </c>
      <c r="E243" s="31" t="s">
        <v>279</v>
      </c>
      <c r="F243" s="20">
        <v>1</v>
      </c>
      <c r="G243" s="27" t="str">
        <f t="shared" si="19"/>
        <v>http://www.medhost.com/about-us/meaningful-use-certification</v>
      </c>
      <c r="H243" s="23">
        <v>42447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9">
        <v>1794</v>
      </c>
      <c r="B244" s="28" t="s">
        <v>250</v>
      </c>
      <c r="C244" s="28" t="s">
        <v>8</v>
      </c>
      <c r="D244" s="20">
        <v>1</v>
      </c>
      <c r="E244" s="31" t="s">
        <v>275</v>
      </c>
      <c r="F244" s="20">
        <v>1</v>
      </c>
      <c r="G244" s="27" t="str">
        <f t="shared" si="19"/>
        <v>http://www.medhost.com/about-us/meaningful-use-certification</v>
      </c>
      <c r="H244" s="23">
        <v>42447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9">
        <v>1794</v>
      </c>
      <c r="B245" s="28" t="s">
        <v>250</v>
      </c>
      <c r="C245" s="28" t="s">
        <v>8</v>
      </c>
      <c r="D245" s="20">
        <v>1</v>
      </c>
      <c r="E245" s="31" t="s">
        <v>276</v>
      </c>
      <c r="F245" s="20">
        <v>1</v>
      </c>
      <c r="G245" s="27" t="str">
        <f t="shared" si="19"/>
        <v>http://www.medhost.com/about-us/meaningful-use-certification</v>
      </c>
      <c r="H245" s="23">
        <v>42447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9">
        <v>1794</v>
      </c>
      <c r="B246" s="28" t="s">
        <v>250</v>
      </c>
      <c r="C246" s="28" t="s">
        <v>8</v>
      </c>
      <c r="D246" s="20">
        <v>1</v>
      </c>
      <c r="E246" s="31" t="s">
        <v>287</v>
      </c>
      <c r="F246" s="20">
        <v>1</v>
      </c>
      <c r="G246" s="27" t="str">
        <f t="shared" si="19"/>
        <v>http://www.medhost.com/about-us/meaningful-use-certification</v>
      </c>
      <c r="H246" s="23">
        <v>42447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9">
        <v>1794</v>
      </c>
      <c r="B247" s="28" t="s">
        <v>250</v>
      </c>
      <c r="C247" s="28" t="s">
        <v>8</v>
      </c>
      <c r="D247" s="20">
        <v>1</v>
      </c>
      <c r="E247" s="31" t="s">
        <v>288</v>
      </c>
      <c r="F247" s="20">
        <v>1</v>
      </c>
      <c r="G247" s="27" t="str">
        <f t="shared" si="19"/>
        <v>http://www.medhost.com/about-us/meaningful-use-certification</v>
      </c>
      <c r="H247" s="23">
        <v>42447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9">
        <v>1794</v>
      </c>
      <c r="B248" s="28" t="s">
        <v>250</v>
      </c>
      <c r="C248" s="28" t="s">
        <v>8</v>
      </c>
      <c r="D248" s="20">
        <v>1</v>
      </c>
      <c r="E248" s="31" t="s">
        <v>289</v>
      </c>
      <c r="F248" s="20">
        <v>1</v>
      </c>
      <c r="G248" s="27" t="str">
        <f t="shared" si="19"/>
        <v>http://www.medhost.com/about-us/meaningful-use-certification</v>
      </c>
      <c r="H248" s="23">
        <v>42447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9">
        <v>1794</v>
      </c>
      <c r="B249" s="28" t="s">
        <v>250</v>
      </c>
      <c r="C249" s="28" t="s">
        <v>8</v>
      </c>
      <c r="D249" s="20">
        <v>1</v>
      </c>
      <c r="E249" s="31" t="s">
        <v>2043</v>
      </c>
      <c r="F249" s="20">
        <v>1</v>
      </c>
      <c r="G249" s="27" t="str">
        <f t="shared" si="19"/>
        <v>http://www.medhost.com/about-us/meaningful-use-certification</v>
      </c>
      <c r="H249" s="23">
        <v>42447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9">
        <v>1794</v>
      </c>
      <c r="B250" s="28" t="s">
        <v>250</v>
      </c>
      <c r="C250" s="28" t="s">
        <v>8</v>
      </c>
      <c r="D250" s="20">
        <v>1</v>
      </c>
      <c r="E250" s="31" t="s">
        <v>2044</v>
      </c>
      <c r="F250" s="20">
        <v>1</v>
      </c>
      <c r="G250" s="27" t="str">
        <f t="shared" si="19"/>
        <v>http://www.medhost.com/about-us/meaningful-use-certification</v>
      </c>
      <c r="H250" s="23">
        <v>42447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9">
        <v>1794</v>
      </c>
      <c r="B251" s="28" t="s">
        <v>250</v>
      </c>
      <c r="C251" s="28" t="s">
        <v>8</v>
      </c>
      <c r="D251" s="20">
        <v>1</v>
      </c>
      <c r="E251" s="31" t="s">
        <v>2045</v>
      </c>
      <c r="F251" s="20">
        <v>1</v>
      </c>
      <c r="G251" s="27" t="str">
        <f t="shared" si="19"/>
        <v>http://www.medhost.com/about-us/meaningful-use-certification</v>
      </c>
      <c r="H251" s="23">
        <v>42447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9">
        <v>1794</v>
      </c>
      <c r="B252" s="28" t="s">
        <v>250</v>
      </c>
      <c r="C252" s="28" t="s">
        <v>8</v>
      </c>
      <c r="D252" s="20">
        <v>1</v>
      </c>
      <c r="E252" s="31" t="s">
        <v>2046</v>
      </c>
      <c r="F252" s="20">
        <v>1</v>
      </c>
      <c r="G252" s="27" t="str">
        <f t="shared" si="19"/>
        <v>http://www.medhost.com/about-us/meaningful-use-certification</v>
      </c>
      <c r="H252" s="23">
        <v>42447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9">
        <v>1794</v>
      </c>
      <c r="B253" s="28" t="s">
        <v>250</v>
      </c>
      <c r="C253" s="28" t="s">
        <v>8</v>
      </c>
      <c r="D253" s="20">
        <v>1</v>
      </c>
      <c r="E253" s="31" t="s">
        <v>2047</v>
      </c>
      <c r="F253" s="20">
        <v>1</v>
      </c>
      <c r="G253" s="27" t="str">
        <f t="shared" si="19"/>
        <v>http://www.medhost.com/about-us/meaningful-use-certification</v>
      </c>
      <c r="H253" s="23">
        <v>42447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9">
        <v>1794</v>
      </c>
      <c r="B254" s="28" t="s">
        <v>250</v>
      </c>
      <c r="C254" s="28" t="s">
        <v>8</v>
      </c>
      <c r="D254" s="20">
        <v>1</v>
      </c>
      <c r="E254" s="31" t="s">
        <v>2048</v>
      </c>
      <c r="F254" s="20">
        <v>1</v>
      </c>
      <c r="G254" s="27" t="str">
        <f t="shared" si="19"/>
        <v>http://www.medhost.com/about-us/meaningful-use-certification</v>
      </c>
      <c r="H254" s="23">
        <v>42447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9">
        <v>1794</v>
      </c>
      <c r="B255" s="28" t="s">
        <v>250</v>
      </c>
      <c r="C255" s="28" t="s">
        <v>8</v>
      </c>
      <c r="D255" s="20">
        <v>1</v>
      </c>
      <c r="E255" s="31" t="s">
        <v>290</v>
      </c>
      <c r="F255" s="20">
        <v>1</v>
      </c>
      <c r="G255" s="27" t="str">
        <f t="shared" si="19"/>
        <v>http://www.medhost.com/about-us/meaningful-use-certification</v>
      </c>
      <c r="H255" s="23">
        <v>42447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9">
        <v>1794</v>
      </c>
      <c r="B256" s="28" t="s">
        <v>250</v>
      </c>
      <c r="C256" s="28" t="s">
        <v>8</v>
      </c>
      <c r="D256" s="20">
        <v>1</v>
      </c>
      <c r="E256" s="31" t="s">
        <v>291</v>
      </c>
      <c r="F256" s="20">
        <v>1</v>
      </c>
      <c r="G256" s="27" t="str">
        <f t="shared" si="19"/>
        <v>http://www.medhost.com/about-us/meaningful-use-certification</v>
      </c>
      <c r="H256" s="23">
        <v>42447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9">
        <v>1794</v>
      </c>
      <c r="B257" s="28" t="s">
        <v>250</v>
      </c>
      <c r="C257" s="28" t="s">
        <v>8</v>
      </c>
      <c r="D257" s="40">
        <v>1</v>
      </c>
      <c r="E257" s="31" t="s">
        <v>292</v>
      </c>
      <c r="F257" s="20">
        <v>1</v>
      </c>
      <c r="G257" s="27" t="str">
        <f t="shared" si="19"/>
        <v>http://www.medhost.com/about-us/meaningful-use-certification</v>
      </c>
      <c r="H257" s="23">
        <v>42447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9">
        <v>1794</v>
      </c>
      <c r="B258" s="28" t="s">
        <v>250</v>
      </c>
      <c r="C258" s="28" t="s">
        <v>8</v>
      </c>
      <c r="D258" s="20">
        <v>1</v>
      </c>
      <c r="E258" s="31" t="s">
        <v>2049</v>
      </c>
      <c r="F258" s="20">
        <v>1</v>
      </c>
      <c r="G258" s="25" t="s">
        <v>2050</v>
      </c>
      <c r="H258" s="23">
        <v>42447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9">
        <v>1794</v>
      </c>
      <c r="B259" s="28" t="s">
        <v>250</v>
      </c>
      <c r="C259" s="28" t="s">
        <v>8</v>
      </c>
      <c r="D259" s="20">
        <v>1</v>
      </c>
      <c r="E259" s="31" t="s">
        <v>298</v>
      </c>
      <c r="F259" s="20">
        <v>1</v>
      </c>
      <c r="G259" s="25" t="s">
        <v>294</v>
      </c>
      <c r="H259" s="23">
        <v>42447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9">
        <v>1794</v>
      </c>
      <c r="B260" s="28" t="s">
        <v>250</v>
      </c>
      <c r="C260" s="28" t="s">
        <v>8</v>
      </c>
      <c r="D260" s="20">
        <v>1</v>
      </c>
      <c r="E260" s="31" t="s">
        <v>299</v>
      </c>
      <c r="F260" s="20">
        <v>1</v>
      </c>
      <c r="G260" s="25" t="s">
        <v>294</v>
      </c>
      <c r="H260" s="23">
        <v>42447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9">
        <v>1794</v>
      </c>
      <c r="B261" s="28" t="s">
        <v>250</v>
      </c>
      <c r="C261" s="28" t="s">
        <v>8</v>
      </c>
      <c r="D261" s="20">
        <v>1</v>
      </c>
      <c r="E261" s="31" t="s">
        <v>296</v>
      </c>
      <c r="F261" s="20">
        <v>1</v>
      </c>
      <c r="G261" s="25" t="s">
        <v>294</v>
      </c>
      <c r="H261" s="23">
        <v>42447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9">
        <v>1794</v>
      </c>
      <c r="B262" s="28" t="s">
        <v>250</v>
      </c>
      <c r="C262" s="28" t="s">
        <v>8</v>
      </c>
      <c r="D262" s="20">
        <v>1</v>
      </c>
      <c r="E262" s="31" t="s">
        <v>297</v>
      </c>
      <c r="F262" s="20">
        <v>1</v>
      </c>
      <c r="G262" s="25" t="s">
        <v>294</v>
      </c>
      <c r="H262" s="23">
        <v>42447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9">
        <v>1794</v>
      </c>
      <c r="B263" s="28" t="s">
        <v>250</v>
      </c>
      <c r="C263" s="28" t="s">
        <v>8</v>
      </c>
      <c r="D263" s="20">
        <v>1</v>
      </c>
      <c r="E263" s="31" t="s">
        <v>300</v>
      </c>
      <c r="F263" s="20">
        <v>1</v>
      </c>
      <c r="G263" s="25" t="s">
        <v>294</v>
      </c>
      <c r="H263" s="23">
        <v>42447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9">
        <v>1794</v>
      </c>
      <c r="B264" s="28" t="s">
        <v>250</v>
      </c>
      <c r="C264" s="28" t="s">
        <v>8</v>
      </c>
      <c r="D264" s="20">
        <v>1</v>
      </c>
      <c r="E264" s="31" t="s">
        <v>301</v>
      </c>
      <c r="F264" s="20">
        <v>1</v>
      </c>
      <c r="G264" s="25" t="s">
        <v>294</v>
      </c>
      <c r="H264" s="23">
        <v>42447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9">
        <v>1794</v>
      </c>
      <c r="B265" s="28" t="s">
        <v>250</v>
      </c>
      <c r="C265" s="28" t="s">
        <v>8</v>
      </c>
      <c r="D265" s="20">
        <v>1</v>
      </c>
      <c r="E265" s="31" t="s">
        <v>293</v>
      </c>
      <c r="F265" s="20">
        <v>1</v>
      </c>
      <c r="G265" s="25" t="s">
        <v>294</v>
      </c>
      <c r="H265" s="23">
        <v>42447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9">
        <v>1794</v>
      </c>
      <c r="B266" s="28" t="s">
        <v>250</v>
      </c>
      <c r="C266" s="28" t="s">
        <v>8</v>
      </c>
      <c r="D266" s="20">
        <v>1</v>
      </c>
      <c r="E266" s="31" t="s">
        <v>295</v>
      </c>
      <c r="F266" s="20">
        <v>1</v>
      </c>
      <c r="G266" s="25" t="s">
        <v>294</v>
      </c>
      <c r="H266" s="23">
        <v>42447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9">
        <v>1794</v>
      </c>
      <c r="B267" s="28" t="s">
        <v>250</v>
      </c>
      <c r="C267" s="28" t="s">
        <v>8</v>
      </c>
      <c r="D267" s="20">
        <v>1</v>
      </c>
      <c r="E267" s="31" t="s">
        <v>304</v>
      </c>
      <c r="F267" s="20">
        <v>1</v>
      </c>
      <c r="G267" s="25" t="s">
        <v>294</v>
      </c>
      <c r="H267" s="23">
        <v>42447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9">
        <v>1794</v>
      </c>
      <c r="B268" s="28" t="s">
        <v>250</v>
      </c>
      <c r="C268" s="28" t="s">
        <v>8</v>
      </c>
      <c r="D268" s="20">
        <v>1</v>
      </c>
      <c r="E268" s="31" t="s">
        <v>305</v>
      </c>
      <c r="F268" s="20">
        <v>1</v>
      </c>
      <c r="G268" s="25" t="s">
        <v>294</v>
      </c>
      <c r="H268" s="23">
        <v>42447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9">
        <v>1794</v>
      </c>
      <c r="B269" s="28" t="s">
        <v>250</v>
      </c>
      <c r="C269" s="28" t="s">
        <v>8</v>
      </c>
      <c r="D269" s="20">
        <v>1</v>
      </c>
      <c r="E269" s="31" t="s">
        <v>306</v>
      </c>
      <c r="F269" s="20">
        <v>1</v>
      </c>
      <c r="G269" s="25" t="s">
        <v>294</v>
      </c>
      <c r="H269" s="23">
        <v>42447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9">
        <v>1794</v>
      </c>
      <c r="B270" s="28" t="s">
        <v>250</v>
      </c>
      <c r="C270" s="28" t="s">
        <v>8</v>
      </c>
      <c r="D270" s="20">
        <v>1</v>
      </c>
      <c r="E270" s="31" t="s">
        <v>307</v>
      </c>
      <c r="F270" s="20">
        <v>1</v>
      </c>
      <c r="G270" s="25" t="s">
        <v>294</v>
      </c>
      <c r="H270" s="23">
        <v>42447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9">
        <v>1795</v>
      </c>
      <c r="B271" s="28" t="s">
        <v>311</v>
      </c>
      <c r="C271" s="28" t="s">
        <v>8</v>
      </c>
      <c r="D271" s="20">
        <v>1</v>
      </c>
      <c r="E271" s="31" t="s">
        <v>308</v>
      </c>
      <c r="F271" s="20">
        <v>1</v>
      </c>
      <c r="G271" s="25" t="s">
        <v>256</v>
      </c>
      <c r="H271" s="23">
        <v>42447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9">
        <v>1795</v>
      </c>
      <c r="B272" s="28" t="s">
        <v>311</v>
      </c>
      <c r="C272" s="28" t="s">
        <v>8</v>
      </c>
      <c r="D272" s="20">
        <v>1</v>
      </c>
      <c r="E272" s="31" t="s">
        <v>310</v>
      </c>
      <c r="F272" s="20">
        <v>1</v>
      </c>
      <c r="G272" s="25" t="s">
        <v>256</v>
      </c>
      <c r="H272" s="23">
        <v>42447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9">
        <v>1795</v>
      </c>
      <c r="B273" s="28" t="s">
        <v>311</v>
      </c>
      <c r="C273" s="28" t="s">
        <v>8</v>
      </c>
      <c r="D273" s="20">
        <v>1</v>
      </c>
      <c r="E273" s="31" t="s">
        <v>309</v>
      </c>
      <c r="F273" s="20">
        <v>1</v>
      </c>
      <c r="G273" s="25" t="s">
        <v>256</v>
      </c>
      <c r="H273" s="23">
        <v>42447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9">
        <v>1795</v>
      </c>
      <c r="B274" s="28" t="s">
        <v>311</v>
      </c>
      <c r="C274" s="28" t="s">
        <v>8</v>
      </c>
      <c r="D274" s="20">
        <v>1</v>
      </c>
      <c r="E274" s="31" t="s">
        <v>286</v>
      </c>
      <c r="F274" s="20">
        <v>1</v>
      </c>
      <c r="G274" s="41" t="s">
        <v>256</v>
      </c>
      <c r="H274" s="23">
        <v>42447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9">
        <v>1795</v>
      </c>
      <c r="B275" s="28" t="s">
        <v>311</v>
      </c>
      <c r="C275" s="28" t="s">
        <v>8</v>
      </c>
      <c r="D275" s="20">
        <v>1</v>
      </c>
      <c r="E275" s="31" t="s">
        <v>2051</v>
      </c>
      <c r="F275" s="20">
        <v>1</v>
      </c>
      <c r="G275" s="25" t="s">
        <v>2050</v>
      </c>
      <c r="H275" s="23">
        <v>42447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9">
        <v>1795</v>
      </c>
      <c r="B276" s="28" t="s">
        <v>311</v>
      </c>
      <c r="C276" s="28" t="s">
        <v>8</v>
      </c>
      <c r="D276" s="20">
        <v>1</v>
      </c>
      <c r="E276" s="31" t="s">
        <v>2052</v>
      </c>
      <c r="F276" s="20">
        <v>1</v>
      </c>
      <c r="G276" s="25" t="s">
        <v>2050</v>
      </c>
      <c r="H276" s="23">
        <v>42447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9">
        <v>1795</v>
      </c>
      <c r="B277" s="28" t="s">
        <v>311</v>
      </c>
      <c r="C277" s="28" t="s">
        <v>8</v>
      </c>
      <c r="D277" s="20">
        <v>1</v>
      </c>
      <c r="E277" s="31" t="s">
        <v>2053</v>
      </c>
      <c r="F277" s="20">
        <v>1</v>
      </c>
      <c r="G277" s="25" t="s">
        <v>2050</v>
      </c>
      <c r="H277" s="23">
        <v>42447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9">
        <v>1795</v>
      </c>
      <c r="B278" s="28" t="s">
        <v>311</v>
      </c>
      <c r="C278" s="28" t="s">
        <v>8</v>
      </c>
      <c r="D278" s="20">
        <v>1</v>
      </c>
      <c r="E278" s="31" t="s">
        <v>2054</v>
      </c>
      <c r="F278" s="20">
        <v>1</v>
      </c>
      <c r="G278" s="25" t="s">
        <v>2050</v>
      </c>
      <c r="H278" s="23">
        <v>42447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21">
        <v>1796</v>
      </c>
      <c r="B279" s="28" t="s">
        <v>312</v>
      </c>
      <c r="C279" s="28" t="s">
        <v>8</v>
      </c>
      <c r="D279" s="20">
        <v>1</v>
      </c>
      <c r="E279" s="42" t="s">
        <v>2055</v>
      </c>
      <c r="F279" s="20">
        <v>1</v>
      </c>
      <c r="G279" s="25" t="s">
        <v>2050</v>
      </c>
      <c r="H279" s="23">
        <v>42447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21">
        <v>1796</v>
      </c>
      <c r="B280" s="28" t="s">
        <v>312</v>
      </c>
      <c r="C280" s="28" t="s">
        <v>8</v>
      </c>
      <c r="D280" s="20">
        <v>1</v>
      </c>
      <c r="E280" s="31" t="s">
        <v>303</v>
      </c>
      <c r="F280" s="20">
        <v>1</v>
      </c>
      <c r="G280" s="25" t="s">
        <v>294</v>
      </c>
      <c r="H280" s="23">
        <v>42447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21">
        <v>1796</v>
      </c>
      <c r="B281" s="28" t="s">
        <v>312</v>
      </c>
      <c r="C281" s="28" t="s">
        <v>8</v>
      </c>
      <c r="D281" s="20">
        <v>1</v>
      </c>
      <c r="E281" s="31" t="s">
        <v>302</v>
      </c>
      <c r="F281" s="20">
        <v>1</v>
      </c>
      <c r="G281" s="25" t="s">
        <v>294</v>
      </c>
      <c r="H281" s="23">
        <v>42447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21">
        <v>1797</v>
      </c>
      <c r="B282" s="28" t="s">
        <v>313</v>
      </c>
      <c r="C282" s="28" t="s">
        <v>8</v>
      </c>
      <c r="D282" s="20">
        <v>1</v>
      </c>
      <c r="E282" s="31" t="s">
        <v>272</v>
      </c>
      <c r="F282" s="20">
        <v>1</v>
      </c>
      <c r="G282" s="27" t="str">
        <f t="shared" ref="G282:G284" si="20">HYPERLINK("http://www.medhost.com/offerings/edis/edis-certification","http://www.medhost.com/offerings/edis/edis-certification")</f>
        <v>http://www.medhost.com/offerings/edis/edis-certification</v>
      </c>
      <c r="H282" s="23">
        <v>42447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21">
        <v>1797</v>
      </c>
      <c r="B283" s="28" t="s">
        <v>313</v>
      </c>
      <c r="C283" s="28" t="s">
        <v>8</v>
      </c>
      <c r="D283" s="20">
        <v>1</v>
      </c>
      <c r="E283" s="31" t="s">
        <v>273</v>
      </c>
      <c r="F283" s="20">
        <v>1</v>
      </c>
      <c r="G283" s="27" t="str">
        <f t="shared" si="20"/>
        <v>http://www.medhost.com/offerings/edis/edis-certification</v>
      </c>
      <c r="H283" s="23">
        <v>42447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21">
        <v>1797</v>
      </c>
      <c r="B284" s="28" t="s">
        <v>313</v>
      </c>
      <c r="C284" s="28" t="s">
        <v>8</v>
      </c>
      <c r="D284" s="20">
        <v>1</v>
      </c>
      <c r="E284" s="31" t="s">
        <v>274</v>
      </c>
      <c r="F284" s="20">
        <v>1</v>
      </c>
      <c r="G284" s="27" t="str">
        <f t="shared" si="20"/>
        <v>http://www.medhost.com/offerings/edis/edis-certification</v>
      </c>
      <c r="H284" s="23">
        <v>42447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9">
        <v>1804</v>
      </c>
      <c r="B285" s="19" t="s">
        <v>1342</v>
      </c>
      <c r="C285" s="21" t="s">
        <v>8</v>
      </c>
      <c r="D285" s="20">
        <v>1</v>
      </c>
      <c r="E285" s="42" t="s">
        <v>2056</v>
      </c>
      <c r="F285" s="20">
        <v>0</v>
      </c>
      <c r="G285" s="25" t="s">
        <v>2057</v>
      </c>
      <c r="H285" s="23">
        <v>42447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9">
        <v>1828</v>
      </c>
      <c r="B286" s="19" t="s">
        <v>1256</v>
      </c>
      <c r="C286" s="21" t="s">
        <v>8</v>
      </c>
      <c r="D286" s="20">
        <v>2</v>
      </c>
      <c r="E286" s="21" t="s">
        <v>2058</v>
      </c>
      <c r="F286" s="20">
        <v>0</v>
      </c>
      <c r="G286" s="19"/>
      <c r="H286" s="23">
        <v>42447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9">
        <v>1829</v>
      </c>
      <c r="B287" s="19" t="s">
        <v>1257</v>
      </c>
      <c r="C287" s="21" t="s">
        <v>8</v>
      </c>
      <c r="D287" s="20">
        <v>2</v>
      </c>
      <c r="E287" s="21" t="s">
        <v>2059</v>
      </c>
      <c r="F287" s="20">
        <v>0</v>
      </c>
      <c r="G287" s="19"/>
      <c r="H287" s="23">
        <v>42447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9">
        <v>1836</v>
      </c>
      <c r="B288" s="19" t="s">
        <v>1279</v>
      </c>
      <c r="C288" s="21" t="s">
        <v>8</v>
      </c>
      <c r="D288" s="20">
        <v>1</v>
      </c>
      <c r="E288" s="21" t="s">
        <v>2060</v>
      </c>
      <c r="F288" s="20">
        <v>0</v>
      </c>
      <c r="G288" s="25" t="s">
        <v>2061</v>
      </c>
      <c r="H288" s="23">
        <v>42447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9"/>
      <c r="B289" s="19" t="s">
        <v>189</v>
      </c>
      <c r="C289" s="19" t="s">
        <v>8</v>
      </c>
      <c r="D289" s="20">
        <v>1</v>
      </c>
      <c r="E289" s="21" t="s">
        <v>2062</v>
      </c>
      <c r="F289" s="30">
        <v>0</v>
      </c>
      <c r="G289" s="35" t="str">
        <f>HYPERLINK("http://medallies.com/Drummond_Certification.html","http://medallies.com/Drummond_Certification.html")</f>
        <v>http://medallies.com/Drummond_Certification.html</v>
      </c>
      <c r="H289" s="23">
        <v>42447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9">
        <v>1841</v>
      </c>
      <c r="B290" s="19" t="s">
        <v>317</v>
      </c>
      <c r="C290" s="21" t="s">
        <v>8</v>
      </c>
      <c r="D290" s="20">
        <v>1</v>
      </c>
      <c r="E290" s="21" t="s">
        <v>2063</v>
      </c>
      <c r="F290" s="20">
        <v>0</v>
      </c>
      <c r="G290" s="25" t="s">
        <v>2064</v>
      </c>
      <c r="H290" s="23">
        <v>42447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9">
        <v>1844</v>
      </c>
      <c r="B291" s="19" t="s">
        <v>319</v>
      </c>
      <c r="C291" s="19" t="s">
        <v>8</v>
      </c>
      <c r="D291" s="20">
        <v>1</v>
      </c>
      <c r="E291" s="21" t="s">
        <v>2065</v>
      </c>
      <c r="F291" s="30">
        <v>0</v>
      </c>
      <c r="G291" s="35" t="str">
        <f t="shared" ref="G291" si="21">HYPERLINK("http://www.medevolve.com/mission-critical-solutions/ehr/","http://www.medevolve.com/mission-critical-solutions/ehr/")</f>
        <v>http://www.medevolve.com/mission-critical-solutions/ehr/</v>
      </c>
      <c r="H291" s="23">
        <v>42447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9">
        <v>1847</v>
      </c>
      <c r="B292" s="19" t="s">
        <v>323</v>
      </c>
      <c r="C292" s="19" t="s">
        <v>8</v>
      </c>
      <c r="D292" s="20">
        <v>1</v>
      </c>
      <c r="E292" s="21" t="s">
        <v>2066</v>
      </c>
      <c r="F292" s="20">
        <v>0</v>
      </c>
      <c r="G292" s="25" t="s">
        <v>2067</v>
      </c>
      <c r="H292" s="23">
        <v>42447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9">
        <v>1851</v>
      </c>
      <c r="B293" s="19" t="s">
        <v>325</v>
      </c>
      <c r="C293" s="19" t="s">
        <v>8</v>
      </c>
      <c r="D293" s="20">
        <v>1</v>
      </c>
      <c r="E293" s="21" t="s">
        <v>2068</v>
      </c>
      <c r="F293" s="30">
        <v>0</v>
      </c>
      <c r="G293" s="35" t="str">
        <f>HYPERLINK("http://mednetmedical.com/certifications.html","http://mednetmedical.com/certifications.html")</f>
        <v>http://mednetmedical.com/certifications.html</v>
      </c>
      <c r="H293" s="23">
        <v>42447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9">
        <v>1854</v>
      </c>
      <c r="B294" s="19" t="s">
        <v>326</v>
      </c>
      <c r="C294" s="19" t="s">
        <v>8</v>
      </c>
      <c r="D294" s="20">
        <v>1</v>
      </c>
      <c r="E294" s="21" t="s">
        <v>2069</v>
      </c>
      <c r="F294" s="30">
        <v>0</v>
      </c>
      <c r="G294" s="43" t="s">
        <v>2070</v>
      </c>
      <c r="H294" s="23">
        <v>42447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9">
        <v>1874</v>
      </c>
      <c r="B295" s="19" t="s">
        <v>327</v>
      </c>
      <c r="C295" s="21" t="s">
        <v>8</v>
      </c>
      <c r="D295" s="20">
        <v>1</v>
      </c>
      <c r="E295" s="21" t="s">
        <v>2071</v>
      </c>
      <c r="F295" s="30">
        <v>0</v>
      </c>
      <c r="G295" s="35" t="str">
        <f t="shared" ref="G295" si="22">HYPERLINK("http://www.medirecpr.com/index-1.html","http://www.medirecpr.com/index-1.html")</f>
        <v>http://www.medirecpr.com/index-1.html</v>
      </c>
      <c r="H295" s="23">
        <v>42447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9">
        <v>1883</v>
      </c>
      <c r="B296" s="19" t="s">
        <v>329</v>
      </c>
      <c r="C296" s="21" t="s">
        <v>8</v>
      </c>
      <c r="D296" s="20">
        <v>1</v>
      </c>
      <c r="E296" s="21" t="s">
        <v>2072</v>
      </c>
      <c r="F296" s="30">
        <v>0</v>
      </c>
      <c r="G296" s="35" t="str">
        <f>HYPERLINK("https://www.webchartnow.com/drummond","https://www.webchartnow.com/drummond")</f>
        <v>https://www.webchartnow.com/drummond</v>
      </c>
      <c r="H296" s="23">
        <v>42447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9">
        <v>1885</v>
      </c>
      <c r="B297" s="19" t="s">
        <v>330</v>
      </c>
      <c r="C297" s="21" t="s">
        <v>8</v>
      </c>
      <c r="D297" s="20">
        <v>1</v>
      </c>
      <c r="E297" s="21" t="s">
        <v>2073</v>
      </c>
      <c r="F297" s="20">
        <v>0</v>
      </c>
      <c r="G297" s="35" t="str">
        <f>HYPERLINK("http://home.meditech.com/en/d/regulatoryresources/pages/certification.htm","http://home.meditech.com/en/d/regulatoryresources/pages/certification.htm")</f>
        <v>http://home.meditech.com/en/d/regulatoryresources/pages/certification.htm</v>
      </c>
      <c r="H297" s="23">
        <v>42447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9">
        <v>1886</v>
      </c>
      <c r="B298" s="19" t="s">
        <v>331</v>
      </c>
      <c r="C298" s="21" t="s">
        <v>8</v>
      </c>
      <c r="D298" s="20">
        <v>1</v>
      </c>
      <c r="E298" s="21" t="s">
        <v>2074</v>
      </c>
      <c r="F298" s="30">
        <v>0</v>
      </c>
      <c r="G298" s="35" t="str">
        <f>HYPERLINK("http://home.meditech.com/en/d/regulatoryresources/pages/certification.htm","http://home.meditech.com/en/d/regulatoryresources/pages/certification.htm")</f>
        <v>http://home.meditech.com/en/d/regulatoryresources/pages/certification.htm</v>
      </c>
      <c r="H298" s="23">
        <v>42447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9">
        <v>1889</v>
      </c>
      <c r="B299" s="19" t="s">
        <v>332</v>
      </c>
      <c r="C299" s="21" t="s">
        <v>8</v>
      </c>
      <c r="D299" s="20">
        <v>1</v>
      </c>
      <c r="E299" s="21" t="s">
        <v>2075</v>
      </c>
      <c r="F299" s="30">
        <v>0</v>
      </c>
      <c r="G299" s="35" t="str">
        <f>HYPERLINK("https://charmtracker.com/ehr/meaningful-use-certified-ehr.html","https://charmtracker.com/ehr/meaningful-use-certified-ehr.html")</f>
        <v>https://charmtracker.com/ehr/meaningful-use-certified-ehr.html</v>
      </c>
      <c r="H299" s="23">
        <v>42447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9">
        <v>1910</v>
      </c>
      <c r="B300" s="19" t="s">
        <v>333</v>
      </c>
      <c r="C300" s="21" t="s">
        <v>8</v>
      </c>
      <c r="D300" s="20">
        <v>0</v>
      </c>
      <c r="E300" s="21" t="s">
        <v>2076</v>
      </c>
      <c r="F300" s="20">
        <v>0</v>
      </c>
      <c r="G300" s="27" t="str">
        <f>HYPERLINK("http://www.mediware.com/rehabilitation/why-mediware/meaningful-use-rehabilitation/","http://www.mediware.com/rehabilitation/why-mediware/meaningful-use-rehabilitation/")</f>
        <v>http://www.mediware.com/rehabilitation/why-mediware/meaningful-use-rehabilitation/</v>
      </c>
      <c r="H300" s="23">
        <v>42447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9">
        <v>1918</v>
      </c>
      <c r="B301" s="19" t="s">
        <v>336</v>
      </c>
      <c r="C301" s="21" t="s">
        <v>8</v>
      </c>
      <c r="D301" s="20">
        <v>1</v>
      </c>
      <c r="E301" s="21" t="s">
        <v>2077</v>
      </c>
      <c r="F301" s="20">
        <v>0</v>
      </c>
      <c r="G301" s="27" t="str">
        <f>HYPERLINK("http://medstreaming.com/Products/EMR","http://medstreaming.com/Products/EMR")</f>
        <v>http://medstreaming.com/Products/EMR</v>
      </c>
      <c r="H301" s="23">
        <v>42447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9">
        <v>1919</v>
      </c>
      <c r="B302" s="19" t="s">
        <v>337</v>
      </c>
      <c r="C302" s="21" t="s">
        <v>8</v>
      </c>
      <c r="D302" s="20">
        <v>1</v>
      </c>
      <c r="E302" s="21" t="s">
        <v>2078</v>
      </c>
      <c r="F302" s="20">
        <v>0</v>
      </c>
      <c r="G302" s="27" t="str">
        <f>HYPERLINK("http://www.medtech.ws/","http://www.medtech.ws/")</f>
        <v>http://www.medtech.ws/</v>
      </c>
      <c r="H302" s="23">
        <v>42447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9">
        <v>1925</v>
      </c>
      <c r="B303" s="19" t="s">
        <v>339</v>
      </c>
      <c r="C303" s="21" t="s">
        <v>8</v>
      </c>
      <c r="D303" s="20">
        <v>1</v>
      </c>
      <c r="E303" s="21" t="s">
        <v>2079</v>
      </c>
      <c r="F303" s="20">
        <v>0</v>
      </c>
      <c r="G303" s="27" t="str">
        <f>HYPERLINK("http://www.merge.com/Landing-Pages/Associated-Charges.aspx#MergeRIS","http://www.merge.com/Landing-Pages/Associated-Charges.aspx#MergeRIS")</f>
        <v>http://www.merge.com/Landing-Pages/Associated-Charges.aspx#MergeRIS</v>
      </c>
      <c r="H303" s="23">
        <v>42447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9">
        <v>1928</v>
      </c>
      <c r="B304" s="19" t="s">
        <v>340</v>
      </c>
      <c r="C304" s="21" t="s">
        <v>8</v>
      </c>
      <c r="D304" s="20">
        <v>1</v>
      </c>
      <c r="E304" s="21" t="s">
        <v>2080</v>
      </c>
      <c r="F304" s="20">
        <v>0</v>
      </c>
      <c r="G304" s="27" t="str">
        <f>HYPERLINK("http://www.merge.com/Landing-Pages/Associated-Charges.aspx#MergeRIS","http://www.merge.com/Landing-Pages/Associated-Charges.aspx#MergeRIS")</f>
        <v>http://www.merge.com/Landing-Pages/Associated-Charges.aspx#MergeRIS</v>
      </c>
      <c r="H304" s="23">
        <v>42447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9">
        <v>1934</v>
      </c>
      <c r="B305" s="19" t="s">
        <v>341</v>
      </c>
      <c r="C305" s="21" t="s">
        <v>8</v>
      </c>
      <c r="D305" s="20">
        <v>0</v>
      </c>
      <c r="E305" s="21" t="s">
        <v>2081</v>
      </c>
      <c r="F305" s="20">
        <v>0</v>
      </c>
      <c r="G305" s="35" t="str">
        <f>HYPERLINK("https://www.practicestudio.net/Company/CompanyInformation/Certifications.aspx#Drummond","https://www.practicestudio.net/Company/CompanyInformation/Certifications.aspx#Drummond")</f>
        <v>https://www.practicestudio.net/Company/CompanyInformation/Certifications.aspx#Drummond</v>
      </c>
      <c r="H305" s="23">
        <v>42447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9">
        <v>1935</v>
      </c>
      <c r="B306" s="19" t="s">
        <v>342</v>
      </c>
      <c r="C306" s="21" t="s">
        <v>8</v>
      </c>
      <c r="D306" s="20">
        <v>1</v>
      </c>
      <c r="E306" s="21" t="s">
        <v>2082</v>
      </c>
      <c r="F306" s="20">
        <v>0</v>
      </c>
      <c r="G306" s="35" t="str">
        <f>HYPERLINK("https://www.healthvault.com/us/en/Meaningful-Use","https://www.healthvault.com/us/en/Meaningful-Use")</f>
        <v>https://www.healthvault.com/us/en/Meaningful-Use</v>
      </c>
      <c r="H306" s="23">
        <v>42447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9">
        <v>1940</v>
      </c>
      <c r="B307" s="19" t="s">
        <v>343</v>
      </c>
      <c r="C307" s="19" t="s">
        <v>8</v>
      </c>
      <c r="D307" s="20">
        <v>1</v>
      </c>
      <c r="E307" s="21" t="s">
        <v>2083</v>
      </c>
      <c r="F307" s="20">
        <v>0</v>
      </c>
      <c r="G307" s="27" t="str">
        <f>HYPERLINK("http://charttalk.net/2012/price-transparency/","http://charttalk.net/2012/price-transparency/")</f>
        <v>http://charttalk.net/2012/price-transparency/</v>
      </c>
      <c r="H307" s="23">
        <v>42447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9">
        <v>1943</v>
      </c>
      <c r="B308" s="19" t="s">
        <v>344</v>
      </c>
      <c r="C308" s="21" t="s">
        <v>8</v>
      </c>
      <c r="D308" s="20">
        <v>2</v>
      </c>
      <c r="E308" s="21" t="s">
        <v>2084</v>
      </c>
      <c r="F308" s="20">
        <v>0</v>
      </c>
      <c r="G308" s="19"/>
      <c r="H308" s="23">
        <v>42447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9">
        <v>1946</v>
      </c>
      <c r="B309" s="19" t="s">
        <v>345</v>
      </c>
      <c r="C309" s="21" t="s">
        <v>8</v>
      </c>
      <c r="D309" s="20">
        <v>1</v>
      </c>
      <c r="E309" s="21" t="s">
        <v>2085</v>
      </c>
      <c r="F309" s="20">
        <v>0</v>
      </c>
      <c r="G309" s="27" t="str">
        <f>HYPERLINK("http://www.mitchellandmccormick.net/products---services.html","http://www.mitchellandmccormick.net/products---services.html")</f>
        <v>http://www.mitchellandmccormick.net/products---services.html</v>
      </c>
      <c r="H309" s="23">
        <v>42447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9">
        <v>1951</v>
      </c>
      <c r="B310" s="19" t="s">
        <v>346</v>
      </c>
      <c r="C310" s="21" t="s">
        <v>8</v>
      </c>
      <c r="D310" s="20">
        <v>1</v>
      </c>
      <c r="E310" s="21" t="s">
        <v>2086</v>
      </c>
      <c r="F310" s="20">
        <v>0</v>
      </c>
      <c r="G310" s="27" t="str">
        <f t="shared" ref="G310" si="23">HYPERLINK("http://www.modulemd.com/value-stack/ONC-Certified.html","http://www.modulemd.com/value-stack/ONC-Certified.html")</f>
        <v>http://www.modulemd.com/value-stack/ONC-Certified.html</v>
      </c>
      <c r="H310" s="23">
        <v>42447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9"/>
      <c r="B311" s="19" t="s">
        <v>348</v>
      </c>
      <c r="C311" s="21" t="s">
        <v>8</v>
      </c>
      <c r="D311" s="20">
        <v>1</v>
      </c>
      <c r="E311" s="21" t="s">
        <v>2087</v>
      </c>
      <c r="F311" s="20">
        <v>0</v>
      </c>
      <c r="G311" s="27" t="str">
        <f>HYPERLINK("http://www.mydoctorschart.com/disclosures","http://www.mydoctorschart.com/disclosures")</f>
        <v>http://www.mydoctorschart.com/disclosures</v>
      </c>
      <c r="H311" s="23">
        <v>42447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9">
        <v>1970</v>
      </c>
      <c r="B312" s="19" t="s">
        <v>350</v>
      </c>
      <c r="C312" s="21" t="s">
        <v>8</v>
      </c>
      <c r="D312" s="20">
        <v>1</v>
      </c>
      <c r="E312" s="21" t="s">
        <v>2088</v>
      </c>
      <c r="F312" s="20">
        <v>0</v>
      </c>
      <c r="G312" s="27" t="str">
        <f>HYPERLINK("http://www.techcareehr.com/","http://www.techcareehr.com/")</f>
        <v>http://www.techcareehr.com/</v>
      </c>
      <c r="H312" s="23">
        <v>42447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9">
        <v>1979</v>
      </c>
      <c r="B313" s="19" t="s">
        <v>351</v>
      </c>
      <c r="C313" s="21" t="s">
        <v>8</v>
      </c>
      <c r="D313" s="20">
        <v>1</v>
      </c>
      <c r="E313" s="21" t="s">
        <v>2089</v>
      </c>
      <c r="F313" s="20">
        <v>0</v>
      </c>
      <c r="G313" s="27" t="str">
        <f>HYPERLINK("http://navishealth.com/products/engage/","http://navishealth.com/products/engage/")</f>
        <v>http://navishealth.com/products/engage/</v>
      </c>
      <c r="H313" s="23">
        <v>42447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9">
        <v>1984</v>
      </c>
      <c r="B314" s="19" t="s">
        <v>352</v>
      </c>
      <c r="C314" s="21" t="s">
        <v>8</v>
      </c>
      <c r="D314" s="20">
        <v>1</v>
      </c>
      <c r="E314" s="21" t="s">
        <v>2090</v>
      </c>
      <c r="F314" s="20">
        <v>1</v>
      </c>
      <c r="G314" s="27" t="str">
        <f t="shared" ref="G314:G315" si="24">HYPERLINK("http://www.nethealth.com/products/urgent-care/urgent-care-emr/","http://www.nethealth.com/products/urgent-care/urgent-care-emr/")</f>
        <v>http://www.nethealth.com/products/urgent-care/urgent-care-emr/</v>
      </c>
      <c r="H314" s="23">
        <v>42447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9">
        <v>1984</v>
      </c>
      <c r="B315" s="19" t="s">
        <v>352</v>
      </c>
      <c r="C315" s="21" t="s">
        <v>8</v>
      </c>
      <c r="D315" s="20">
        <v>1</v>
      </c>
      <c r="E315" s="21" t="s">
        <v>2091</v>
      </c>
      <c r="F315" s="20">
        <v>1</v>
      </c>
      <c r="G315" s="27" t="str">
        <f t="shared" si="24"/>
        <v>http://www.nethealth.com/products/urgent-care/urgent-care-emr/</v>
      </c>
      <c r="H315" s="23">
        <v>42447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9">
        <v>1984</v>
      </c>
      <c r="B316" s="19" t="s">
        <v>352</v>
      </c>
      <c r="C316" s="21" t="s">
        <v>8</v>
      </c>
      <c r="D316" s="20">
        <v>1</v>
      </c>
      <c r="E316" s="21" t="s">
        <v>2092</v>
      </c>
      <c r="F316" s="20">
        <v>1</v>
      </c>
      <c r="G316" s="27" t="s">
        <v>2093</v>
      </c>
      <c r="H316" s="23">
        <v>42447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9">
        <v>1984</v>
      </c>
      <c r="B317" s="19" t="s">
        <v>352</v>
      </c>
      <c r="C317" s="21" t="s">
        <v>8</v>
      </c>
      <c r="D317" s="20">
        <v>1</v>
      </c>
      <c r="E317" s="21" t="s">
        <v>2094</v>
      </c>
      <c r="F317" s="20">
        <v>1</v>
      </c>
      <c r="G317" s="27" t="s">
        <v>2093</v>
      </c>
      <c r="H317" s="23">
        <v>42447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9">
        <v>2000</v>
      </c>
      <c r="B318" s="19" t="s">
        <v>354</v>
      </c>
      <c r="C318" s="21" t="s">
        <v>8</v>
      </c>
      <c r="D318" s="20">
        <v>1</v>
      </c>
      <c r="E318" s="21" t="s">
        <v>2095</v>
      </c>
      <c r="F318" s="20">
        <v>0</v>
      </c>
      <c r="G318" s="27" t="str">
        <f>HYPERLINK("http://www.nextstepsolutionsinc.com/product-info-behaviorial-health-software.php","http://www.nextstepsolutionsinc.com/product-info-behaviorial-health-software.php")</f>
        <v>http://www.nextstepsolutionsinc.com/product-info-behaviorial-health-software.php</v>
      </c>
      <c r="H318" s="23">
        <v>42447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9">
        <v>2001</v>
      </c>
      <c r="B319" s="19" t="s">
        <v>355</v>
      </c>
      <c r="C319" s="21" t="s">
        <v>8</v>
      </c>
      <c r="D319" s="20">
        <v>1</v>
      </c>
      <c r="E319" s="21" t="s">
        <v>2096</v>
      </c>
      <c r="F319" s="20">
        <v>0</v>
      </c>
      <c r="G319" s="27" t="str">
        <f t="shared" ref="G319:G320" si="25">HYPERLINK("http://www.nexusclinical.com/certification/","http://www.nexusclinical.com/certification/")</f>
        <v>http://www.nexusclinical.com/certification/</v>
      </c>
      <c r="H319" s="23">
        <v>42447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9">
        <v>2002</v>
      </c>
      <c r="B320" s="19" t="s">
        <v>356</v>
      </c>
      <c r="C320" s="21" t="s">
        <v>8</v>
      </c>
      <c r="D320" s="20">
        <v>1</v>
      </c>
      <c r="E320" s="21" t="s">
        <v>2097</v>
      </c>
      <c r="F320" s="20">
        <v>0</v>
      </c>
      <c r="G320" s="35" t="str">
        <f t="shared" si="25"/>
        <v>http://www.nexusclinical.com/certification/</v>
      </c>
      <c r="H320" s="23">
        <v>42447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9">
        <v>2013</v>
      </c>
      <c r="B321" s="19" t="s">
        <v>358</v>
      </c>
      <c r="C321" s="21" t="s">
        <v>8</v>
      </c>
      <c r="D321" s="20">
        <v>1</v>
      </c>
      <c r="E321" s="44" t="s">
        <v>2098</v>
      </c>
      <c r="F321" s="20">
        <v>0</v>
      </c>
      <c r="G321" s="27" t="str">
        <f>HYPERLINK("http://www.nablemd.com/#certification","http://www.nablemd.com/#certification")</f>
        <v>http://www.nablemd.com/#certification</v>
      </c>
      <c r="H321" s="23">
        <v>42447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9">
        <v>2018</v>
      </c>
      <c r="B322" s="19" t="s">
        <v>359</v>
      </c>
      <c r="C322" s="21" t="s">
        <v>8</v>
      </c>
      <c r="D322" s="20">
        <v>1</v>
      </c>
      <c r="E322" s="21" t="s">
        <v>2099</v>
      </c>
      <c r="F322" s="20">
        <v>0</v>
      </c>
      <c r="G322" s="27" t="str">
        <f t="shared" ref="G322:G323" si="26">HYPERLINK("http://oasite.com/ONC_certification.asp","http://oasite.com/ONC_certification.asp")</f>
        <v>http://oasite.com/ONC_certification.asp</v>
      </c>
      <c r="H322" s="23">
        <v>42447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9">
        <v>2019</v>
      </c>
      <c r="B323" s="19" t="s">
        <v>360</v>
      </c>
      <c r="C323" s="21" t="s">
        <v>8</v>
      </c>
      <c r="D323" s="20">
        <v>1</v>
      </c>
      <c r="E323" s="21" t="s">
        <v>2100</v>
      </c>
      <c r="F323" s="20">
        <v>0</v>
      </c>
      <c r="G323" s="27" t="str">
        <f t="shared" si="26"/>
        <v>http://oasite.com/ONC_certification.asp</v>
      </c>
      <c r="H323" s="23">
        <v>42447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9">
        <v>2020</v>
      </c>
      <c r="B324" s="19" t="s">
        <v>361</v>
      </c>
      <c r="C324" s="19" t="s">
        <v>8</v>
      </c>
      <c r="D324" s="20">
        <v>1</v>
      </c>
      <c r="E324" s="21" t="s">
        <v>2101</v>
      </c>
      <c r="F324" s="20">
        <v>0</v>
      </c>
      <c r="G324" s="27" t="str">
        <f>HYPERLINK("http://www.flexmedical.com/education/mu/certification.aspx","http://www.flexmedical.com/education/mu/certification.aspx")</f>
        <v>http://www.flexmedical.com/education/mu/certification.aspx</v>
      </c>
      <c r="H324" s="23">
        <v>42447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9">
        <v>2021</v>
      </c>
      <c r="B325" s="19" t="s">
        <v>362</v>
      </c>
      <c r="C325" s="19" t="s">
        <v>8</v>
      </c>
      <c r="D325" s="20">
        <v>1</v>
      </c>
      <c r="E325" s="21" t="s">
        <v>2102</v>
      </c>
      <c r="F325" s="20">
        <v>0</v>
      </c>
      <c r="G325" s="27" t="s">
        <v>2103</v>
      </c>
      <c r="H325" s="23">
        <v>42447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9">
        <v>2029</v>
      </c>
      <c r="B326" s="19" t="s">
        <v>364</v>
      </c>
      <c r="C326" s="19" t="s">
        <v>8</v>
      </c>
      <c r="D326" s="20">
        <v>1</v>
      </c>
      <c r="E326" s="21" t="s">
        <v>2104</v>
      </c>
      <c r="F326" s="20">
        <v>0</v>
      </c>
      <c r="G326" s="27" t="str">
        <f>HYPERLINK("http://www.ocuco.us/certification.html","http://www.ocuco.us/certification.html")</f>
        <v>http://www.ocuco.us/certification.html</v>
      </c>
      <c r="H326" s="23">
        <v>42447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9">
        <v>2030</v>
      </c>
      <c r="B327" s="21" t="s">
        <v>2105</v>
      </c>
      <c r="C327" s="19" t="s">
        <v>8</v>
      </c>
      <c r="D327" s="20">
        <v>1</v>
      </c>
      <c r="E327" s="21" t="s">
        <v>2106</v>
      </c>
      <c r="F327" s="20">
        <v>0</v>
      </c>
      <c r="G327" s="27" t="str">
        <f t="shared" ref="G327:G328" si="27">HYPERLINK("https://cms.officeally.com/acb-certification.aspx","https://cms.officeally.com/acb-certification.aspx")</f>
        <v>https://cms.officeally.com/acb-certification.aspx</v>
      </c>
      <c r="H327" s="23">
        <v>42447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9">
        <v>2031</v>
      </c>
      <c r="B328" s="19" t="s">
        <v>366</v>
      </c>
      <c r="C328" s="19" t="s">
        <v>8</v>
      </c>
      <c r="D328" s="20">
        <v>1</v>
      </c>
      <c r="E328" s="21" t="s">
        <v>2107</v>
      </c>
      <c r="F328" s="20">
        <v>0</v>
      </c>
      <c r="G328" s="27" t="str">
        <f t="shared" si="27"/>
        <v>https://cms.officeally.com/acb-certification.aspx</v>
      </c>
      <c r="H328" s="23">
        <v>42447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9">
        <v>2038</v>
      </c>
      <c r="B329" s="19" t="s">
        <v>368</v>
      </c>
      <c r="C329" s="21" t="s">
        <v>8</v>
      </c>
      <c r="D329" s="20">
        <v>1</v>
      </c>
      <c r="E329" s="21" t="s">
        <v>2108</v>
      </c>
      <c r="F329" s="20">
        <v>0</v>
      </c>
      <c r="G329" s="27" t="str">
        <f>HYPERLINK("http://omedix.com/products/patient-portal/meaningful-use/","http://omedix.com/products/patient-portal/meaningful-use/")</f>
        <v>http://omedix.com/products/patient-portal/meaningful-use/</v>
      </c>
      <c r="H329" s="23">
        <v>42447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9">
        <v>2045</v>
      </c>
      <c r="B330" s="19" t="s">
        <v>369</v>
      </c>
      <c r="C330" s="19" t="s">
        <v>8</v>
      </c>
      <c r="D330" s="20">
        <v>1</v>
      </c>
      <c r="E330" s="21" t="s">
        <v>2109</v>
      </c>
      <c r="F330" s="30">
        <v>0</v>
      </c>
      <c r="G330" s="27" t="str">
        <f>HYPERLINK("http://opendental.com/manual/ehrlicense.html","http://opendental.com/manual/ehrlicense.html")</f>
        <v>http://opendental.com/manual/ehrlicense.html</v>
      </c>
      <c r="H330" s="23">
        <v>42447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9">
        <v>2046</v>
      </c>
      <c r="B331" s="19" t="s">
        <v>370</v>
      </c>
      <c r="C331" s="19" t="s">
        <v>8</v>
      </c>
      <c r="D331" s="20">
        <v>1</v>
      </c>
      <c r="E331" s="21" t="s">
        <v>2110</v>
      </c>
      <c r="F331" s="20">
        <v>0</v>
      </c>
      <c r="G331" s="27" t="str">
        <f>HYPERLINK("http://healthcareoss.com/wp-content/uploads/2016/03/Mandatory-Disclosure-Statement-MCEMR-2-25-2016-1.pdf","http://healthcareoss.com/wp-content/uploads/2016/03/Mandatory-Disclosure-Statement-MCEMR-2-25-2016-1.pdf")</f>
        <v>http://healthcareoss.com/wp-content/uploads/2016/03/Mandatory-Disclosure-Statement-MCEMR-2-25-2016-1.pdf</v>
      </c>
      <c r="H331" s="23">
        <v>42447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9">
        <v>2062</v>
      </c>
      <c r="B332" s="19" t="s">
        <v>373</v>
      </c>
      <c r="C332" s="21" t="s">
        <v>8</v>
      </c>
      <c r="D332" s="20">
        <v>1</v>
      </c>
      <c r="E332" s="21" t="s">
        <v>2111</v>
      </c>
      <c r="F332" s="20">
        <v>0</v>
      </c>
      <c r="G332" s="27" t="str">
        <f>HYPERLINK("http://pbomd.com/price.htm","http://pbomd.com/price.htm")</f>
        <v>http://pbomd.com/price.htm</v>
      </c>
      <c r="H332" s="23">
        <v>42447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9">
        <v>2063</v>
      </c>
      <c r="B333" s="19" t="s">
        <v>374</v>
      </c>
      <c r="C333" s="21" t="s">
        <v>8</v>
      </c>
      <c r="D333" s="20">
        <v>1</v>
      </c>
      <c r="E333" s="21" t="s">
        <v>2112</v>
      </c>
      <c r="F333" s="20">
        <v>0</v>
      </c>
      <c r="G333" s="27" t="str">
        <f>HYPERLINK("http://pbsinet.com/products-and-services/medical-solutions/","http://pbsinet.com/products-and-services/medical-solutions/")</f>
        <v>http://pbsinet.com/products-and-services/medical-solutions/</v>
      </c>
      <c r="H333" s="23">
        <v>42447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9">
        <v>2067</v>
      </c>
      <c r="B334" s="19" t="s">
        <v>375</v>
      </c>
      <c r="C334" s="21" t="s">
        <v>8</v>
      </c>
      <c r="D334" s="20">
        <v>0</v>
      </c>
      <c r="E334" s="21" t="s">
        <v>2113</v>
      </c>
      <c r="F334" s="20">
        <v>0</v>
      </c>
      <c r="G334" s="27" t="str">
        <f>HYPERLINK("http://pcisgold.com/#fDrummond","http://pcisgold.com/#fDrummond")</f>
        <v>http://pcisgold.com/#fDrummond</v>
      </c>
      <c r="H334" s="23">
        <v>42447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9">
        <v>2070</v>
      </c>
      <c r="B335" s="19" t="s">
        <v>1454</v>
      </c>
      <c r="C335" s="21" t="s">
        <v>8</v>
      </c>
      <c r="D335" s="20">
        <v>1</v>
      </c>
      <c r="E335" s="21" t="s">
        <v>2114</v>
      </c>
      <c r="F335" s="20">
        <v>0</v>
      </c>
      <c r="G335" s="25" t="s">
        <v>2115</v>
      </c>
      <c r="H335" s="23">
        <v>42447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9"/>
      <c r="B336" s="19" t="s">
        <v>376</v>
      </c>
      <c r="C336" s="21" t="s">
        <v>8</v>
      </c>
      <c r="D336" s="20">
        <v>2</v>
      </c>
      <c r="E336" s="21" t="s">
        <v>2116</v>
      </c>
      <c r="F336" s="20">
        <v>0</v>
      </c>
      <c r="G336" s="25"/>
      <c r="H336" s="23">
        <v>42447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9">
        <v>2078</v>
      </c>
      <c r="B337" s="19" t="s">
        <v>377</v>
      </c>
      <c r="C337" s="21" t="s">
        <v>8</v>
      </c>
      <c r="D337" s="20">
        <v>1</v>
      </c>
      <c r="E337" s="21" t="s">
        <v>2117</v>
      </c>
      <c r="F337" s="20">
        <v>0</v>
      </c>
      <c r="G337" s="27" t="str">
        <f>HYPERLINK("http://patagoniahealth.com/advantages/affordability/","http://patagoniahealth.com/advantages/affordability/")</f>
        <v>http://patagoniahealth.com/advantages/affordability/</v>
      </c>
      <c r="H337" s="23">
        <v>42447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9">
        <v>2087</v>
      </c>
      <c r="B338" s="19" t="s">
        <v>1469</v>
      </c>
      <c r="C338" s="21" t="s">
        <v>8</v>
      </c>
      <c r="D338" s="20">
        <v>1</v>
      </c>
      <c r="E338" s="21" t="s">
        <v>2118</v>
      </c>
      <c r="F338" s="20">
        <v>0</v>
      </c>
      <c r="G338" s="25" t="s">
        <v>2119</v>
      </c>
      <c r="H338" s="23">
        <v>42447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9">
        <v>2097</v>
      </c>
      <c r="B339" s="19" t="s">
        <v>378</v>
      </c>
      <c r="C339" s="21" t="s">
        <v>8</v>
      </c>
      <c r="D339" s="20">
        <v>0</v>
      </c>
      <c r="E339" s="21" t="s">
        <v>2120</v>
      </c>
      <c r="F339" s="20">
        <v>0</v>
      </c>
      <c r="G339" s="27" t="str">
        <f>HYPERLINK("http://www.phoenixortho.net/phoenix-ortho-receives-meaningful-use-stage-ii-certification.html","http://www.phoenixortho.net/phoenix-ortho-receives-meaningful-use-stage-ii-certification.html")</f>
        <v>http://www.phoenixortho.net/phoenix-ortho-receives-meaningful-use-stage-ii-certification.html</v>
      </c>
      <c r="H339" s="23">
        <v>42447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9">
        <v>2101</v>
      </c>
      <c r="B340" s="19" t="s">
        <v>380</v>
      </c>
      <c r="C340" s="21" t="s">
        <v>8</v>
      </c>
      <c r="D340" s="20">
        <v>1</v>
      </c>
      <c r="E340" s="21" t="s">
        <v>2121</v>
      </c>
      <c r="F340" s="20">
        <v>0</v>
      </c>
      <c r="G340" s="27" t="str">
        <f>HYPERLINK("http://www.pcc.com/pcc-experience/solution/","http://www.pcc.com/pcc-experience/solution/")</f>
        <v>http://www.pcc.com/pcc-experience/solution/</v>
      </c>
      <c r="H340" s="23">
        <v>42447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9">
        <v>2113</v>
      </c>
      <c r="B341" s="19" t="s">
        <v>383</v>
      </c>
      <c r="C341" s="21" t="s">
        <v>8</v>
      </c>
      <c r="D341" s="20">
        <v>1</v>
      </c>
      <c r="E341" s="21" t="s">
        <v>2122</v>
      </c>
      <c r="F341" s="20">
        <v>0</v>
      </c>
      <c r="G341" s="27" t="str">
        <f>HYPERLINK("http://www.plexustg.com/solutions_touch_mu.html","http://www.plexustg.com/solutions_touch_mu.html")</f>
        <v>http://www.plexustg.com/solutions_touch_mu.html</v>
      </c>
      <c r="H341" s="23">
        <v>42447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9">
        <v>2119</v>
      </c>
      <c r="B342" s="19" t="s">
        <v>384</v>
      </c>
      <c r="C342" s="21" t="s">
        <v>8</v>
      </c>
      <c r="D342" s="20">
        <v>1</v>
      </c>
      <c r="E342" s="21" t="s">
        <v>2123</v>
      </c>
      <c r="F342" s="20">
        <v>0</v>
      </c>
      <c r="G342" s="27" t="str">
        <f>HYPERLINK("http://pbsinet.com/products-and-services/medical-solutions/","http://pbsinet.com/products-and-services/medical-solutions/")</f>
        <v>http://pbsinet.com/products-and-services/medical-solutions/</v>
      </c>
      <c r="H342" s="23">
        <v>42447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9">
        <v>2135</v>
      </c>
      <c r="B343" s="19" t="s">
        <v>388</v>
      </c>
      <c r="C343" s="21" t="s">
        <v>8</v>
      </c>
      <c r="D343" s="20">
        <v>1</v>
      </c>
      <c r="E343" s="21" t="s">
        <v>2124</v>
      </c>
      <c r="F343" s="20">
        <v>0</v>
      </c>
      <c r="G343" s="27" t="str">
        <f>HYPERLINK("http://precisioncare.com/news-and-events/","http://precisioncare.com/news-and-events/")</f>
        <v>http://precisioncare.com/news-and-events/</v>
      </c>
      <c r="H343" s="23">
        <v>42447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9">
        <v>2145</v>
      </c>
      <c r="B344" s="19" t="s">
        <v>389</v>
      </c>
      <c r="C344" s="21" t="s">
        <v>8</v>
      </c>
      <c r="D344" s="20">
        <v>1</v>
      </c>
      <c r="E344" s="21" t="s">
        <v>2125</v>
      </c>
      <c r="F344" s="20">
        <v>0</v>
      </c>
      <c r="G344" s="27" t="str">
        <f>HYPERLINK("http://www.procompsoftware.com/Landers/Page/3/Certified-EHR","http://www.procompsoftware.com/Landers/Page/3/Certified-EHR")</f>
        <v>http://www.procompsoftware.com/Landers/Page/3/Certified-EHR</v>
      </c>
      <c r="H344" s="23">
        <v>42447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9">
        <v>2151</v>
      </c>
      <c r="B345" s="19" t="s">
        <v>390</v>
      </c>
      <c r="C345" s="21" t="s">
        <v>8</v>
      </c>
      <c r="D345" s="20">
        <v>1</v>
      </c>
      <c r="E345" s="21" t="s">
        <v>2126</v>
      </c>
      <c r="F345" s="20">
        <v>0</v>
      </c>
      <c r="G345" s="27" t="str">
        <f>HYPERLINK("http://mdsuite.com/meaningful-use-disclosure/","http://mdsuite.com/meaningful-use-disclosure/")</f>
        <v>http://mdsuite.com/meaningful-use-disclosure/</v>
      </c>
      <c r="H345" s="23">
        <v>42447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9">
        <v>2155</v>
      </c>
      <c r="B346" s="19" t="s">
        <v>391</v>
      </c>
      <c r="C346" s="21" t="s">
        <v>8</v>
      </c>
      <c r="D346" s="20">
        <v>1</v>
      </c>
      <c r="E346" s="21" t="s">
        <v>2127</v>
      </c>
      <c r="F346" s="20">
        <v>0</v>
      </c>
      <c r="G346" s="25" t="str">
        <f t="shared" ref="G346:G347" si="28">HYPERLINK("http://prognosisinnovation.com/our-products/onc-certified/","http://prognosisinnovation.com/our-products/onc-certified/")</f>
        <v>http://prognosisinnovation.com/our-products/onc-certified/</v>
      </c>
      <c r="H346" s="23">
        <v>42447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9">
        <v>2156</v>
      </c>
      <c r="B347" s="19" t="s">
        <v>392</v>
      </c>
      <c r="C347" s="21" t="s">
        <v>8</v>
      </c>
      <c r="D347" s="20">
        <v>1</v>
      </c>
      <c r="E347" s="21" t="s">
        <v>2128</v>
      </c>
      <c r="F347" s="20">
        <v>0</v>
      </c>
      <c r="G347" s="27" t="str">
        <f t="shared" si="28"/>
        <v>http://prognosisinnovation.com/our-products/onc-certified/</v>
      </c>
      <c r="H347" s="23">
        <v>42447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9">
        <v>2157</v>
      </c>
      <c r="B348" s="19" t="s">
        <v>393</v>
      </c>
      <c r="C348" s="21" t="s">
        <v>8</v>
      </c>
      <c r="D348" s="20">
        <v>1</v>
      </c>
      <c r="E348" s="21" t="s">
        <v>2129</v>
      </c>
      <c r="F348" s="20">
        <v>0</v>
      </c>
      <c r="G348" s="27" t="str">
        <f>HYPERLINK("http://patientprompt.com/meaningful-use/","http://patientprompt.com/meaningful-use/")</f>
        <v>http://patientprompt.com/meaningful-use/</v>
      </c>
      <c r="H348" s="23">
        <v>42447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9">
        <v>2159</v>
      </c>
      <c r="B349" s="19" t="s">
        <v>394</v>
      </c>
      <c r="C349" s="21" t="s">
        <v>8</v>
      </c>
      <c r="D349" s="20">
        <v>2</v>
      </c>
      <c r="E349" s="21" t="s">
        <v>2130</v>
      </c>
      <c r="F349" s="20">
        <v>0</v>
      </c>
      <c r="G349" s="19"/>
      <c r="H349" s="23">
        <v>42447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9">
        <v>2166</v>
      </c>
      <c r="B350" s="19" t="s">
        <v>395</v>
      </c>
      <c r="C350" s="21" t="s">
        <v>8</v>
      </c>
      <c r="D350" s="20">
        <v>1</v>
      </c>
      <c r="E350" s="21" t="s">
        <v>2131</v>
      </c>
      <c r="F350" s="20">
        <v>0</v>
      </c>
      <c r="G350" s="27" t="str">
        <f t="shared" ref="G350:G351" si="29">HYPERLINK("http://www.qrshs.com/2014","http://www.qrshs.com/2014")</f>
        <v>http://www.qrshs.com/2014</v>
      </c>
      <c r="H350" s="23">
        <v>42447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9">
        <v>2167</v>
      </c>
      <c r="B351" s="19" t="s">
        <v>396</v>
      </c>
      <c r="C351" s="21" t="s">
        <v>8</v>
      </c>
      <c r="D351" s="20">
        <v>1</v>
      </c>
      <c r="E351" s="21" t="s">
        <v>2132</v>
      </c>
      <c r="F351" s="20">
        <v>0</v>
      </c>
      <c r="G351" s="27" t="str">
        <f t="shared" si="29"/>
        <v>http://www.qrshs.com/2014</v>
      </c>
      <c r="H351" s="23">
        <v>42447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9">
        <v>2168</v>
      </c>
      <c r="B352" s="19" t="s">
        <v>397</v>
      </c>
      <c r="C352" s="21" t="s">
        <v>8</v>
      </c>
      <c r="D352" s="20">
        <v>1</v>
      </c>
      <c r="E352" s="21" t="s">
        <v>2133</v>
      </c>
      <c r="F352" s="20">
        <v>0</v>
      </c>
      <c r="G352" s="27" t="str">
        <f t="shared" ref="G352:G353" si="30">HYPERLINK("http://www.quadramed.com/en/solutions_services/clinical_solutions/certifications/united_states/","http://www.quadramed.com/en/solutions_services/clinical_solutions/certifications/united_states/")</f>
        <v>http://www.quadramed.com/en/solutions_services/clinical_solutions/certifications/united_states/</v>
      </c>
      <c r="H352" s="23">
        <v>42447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9">
        <v>2169</v>
      </c>
      <c r="B353" s="19" t="s">
        <v>398</v>
      </c>
      <c r="C353" s="21" t="s">
        <v>8</v>
      </c>
      <c r="D353" s="20">
        <v>1</v>
      </c>
      <c r="E353" s="21" t="s">
        <v>2134</v>
      </c>
      <c r="F353" s="20">
        <v>0</v>
      </c>
      <c r="G353" s="27" t="str">
        <f t="shared" si="30"/>
        <v>http://www.quadramed.com/en/solutions_services/clinical_solutions/certifications/united_states/</v>
      </c>
      <c r="H353" s="23">
        <v>42447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9">
        <v>2170</v>
      </c>
      <c r="B354" s="19" t="s">
        <v>399</v>
      </c>
      <c r="C354" s="21" t="s">
        <v>8</v>
      </c>
      <c r="D354" s="20">
        <v>1</v>
      </c>
      <c r="E354" s="21" t="s">
        <v>2135</v>
      </c>
      <c r="F354" s="20">
        <v>0</v>
      </c>
      <c r="G354" s="27" t="str">
        <f>HYPERLINK("http://www.qualifacts.com/news/qualifacts-achieves-comprehensive-stage-2-meaningful-use-certification/","http://www.qualifacts.com/news/qualifacts-achieves-comprehensive-stage-2-meaningful-use-certification/")</f>
        <v>http://www.qualifacts.com/news/qualifacts-achieves-comprehensive-stage-2-meaningful-use-certification/</v>
      </c>
      <c r="H354" s="23">
        <v>42447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9">
        <v>2185</v>
      </c>
      <c r="B355" s="19" t="s">
        <v>401</v>
      </c>
      <c r="C355" s="21" t="s">
        <v>8</v>
      </c>
      <c r="D355" s="20">
        <v>1</v>
      </c>
      <c r="E355" s="21" t="s">
        <v>2136</v>
      </c>
      <c r="F355" s="30">
        <v>0</v>
      </c>
      <c r="G355" s="27" t="str">
        <f>HYPERLINK("http://www.raintreeinc.com/certifications/","http://www.raintreeinc.com/certifications/")</f>
        <v>http://www.raintreeinc.com/certifications/</v>
      </c>
      <c r="H355" s="23">
        <v>42447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9">
        <v>2190</v>
      </c>
      <c r="B356" s="19" t="s">
        <v>402</v>
      </c>
      <c r="C356" s="21" t="s">
        <v>8</v>
      </c>
      <c r="D356" s="20">
        <v>1</v>
      </c>
      <c r="E356" s="21" t="s">
        <v>2137</v>
      </c>
      <c r="F356" s="20">
        <v>0</v>
      </c>
      <c r="G356" s="27" t="str">
        <f>HYPERLINK("http://www.relimedsolutions.com/certification.html","http://www.relimedsolutions.com/certification.html")</f>
        <v>http://www.relimedsolutions.com/certification.html</v>
      </c>
      <c r="H356" s="23">
        <v>42447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9">
        <v>2193</v>
      </c>
      <c r="B357" s="19" t="s">
        <v>403</v>
      </c>
      <c r="C357" s="21" t="s">
        <v>8</v>
      </c>
      <c r="D357" s="20">
        <v>2</v>
      </c>
      <c r="E357" s="21" t="s">
        <v>2138</v>
      </c>
      <c r="F357" s="20">
        <v>0</v>
      </c>
      <c r="G357" s="19"/>
      <c r="H357" s="23">
        <v>42447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9">
        <v>2207</v>
      </c>
      <c r="B358" s="19" t="s">
        <v>1550</v>
      </c>
      <c r="C358" s="21" t="s">
        <v>8</v>
      </c>
      <c r="D358" s="20">
        <v>2</v>
      </c>
      <c r="E358" s="21" t="s">
        <v>2139</v>
      </c>
      <c r="F358" s="20">
        <v>0</v>
      </c>
      <c r="G358" s="25"/>
      <c r="H358" s="23">
        <v>42447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9">
        <v>2213</v>
      </c>
      <c r="B359" s="19" t="s">
        <v>404</v>
      </c>
      <c r="C359" s="21" t="s">
        <v>8</v>
      </c>
      <c r="D359" s="20">
        <v>1</v>
      </c>
      <c r="E359" s="21" t="s">
        <v>2140</v>
      </c>
      <c r="F359" s="30">
        <v>0</v>
      </c>
      <c r="G359" s="27" t="str">
        <f>HYPERLINK("http://www.rwhc.com/Services/QualityPrograms/RWHCMeaningfulUseeMeasuresSolution.aspx","http://www.rwhc.com/Services/QualityPrograms/RWHCMeaningfulUseeMeasuresSolution.aspx")</f>
        <v>http://www.rwhc.com/Services/QualityPrograms/RWHCMeaningfulUseeMeasuresSolution.aspx</v>
      </c>
      <c r="H359" s="23">
        <v>42447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9">
        <v>2223</v>
      </c>
      <c r="B360" s="19" t="s">
        <v>405</v>
      </c>
      <c r="C360" s="21" t="s">
        <v>8</v>
      </c>
      <c r="D360" s="20">
        <v>1</v>
      </c>
      <c r="E360" s="21" t="s">
        <v>2141</v>
      </c>
      <c r="F360" s="20">
        <v>0</v>
      </c>
      <c r="G360" s="27" t="str">
        <f>HYPERLINK("http://www.soapware.com/2014-edition-drummond-certified-ehr/","http://www.soapware.com/2014-edition-drummond-certified-ehr/")</f>
        <v>http://www.soapware.com/2014-edition-drummond-certified-ehr/</v>
      </c>
      <c r="H360" s="23">
        <v>42447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9">
        <v>2227</v>
      </c>
      <c r="B361" s="19" t="s">
        <v>406</v>
      </c>
      <c r="C361" s="21" t="s">
        <v>8</v>
      </c>
      <c r="D361" s="20">
        <v>1</v>
      </c>
      <c r="E361" s="21" t="s">
        <v>2142</v>
      </c>
      <c r="F361" s="20">
        <v>0</v>
      </c>
      <c r="G361" s="27" t="str">
        <f>HYPERLINK("http://sticomputer.com/meaningfuluse/","http://sticomputer.com/meaningfuluse/")</f>
        <v>http://sticomputer.com/meaningfuluse/</v>
      </c>
      <c r="H361" s="23">
        <v>42447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9">
        <v>2230</v>
      </c>
      <c r="B362" s="19" t="s">
        <v>407</v>
      </c>
      <c r="C362" s="21" t="s">
        <v>8</v>
      </c>
      <c r="D362" s="20">
        <v>1</v>
      </c>
      <c r="E362" s="21" t="s">
        <v>2143</v>
      </c>
      <c r="F362" s="20">
        <v>0</v>
      </c>
      <c r="G362" s="27" t="str">
        <f>HYPERLINK("http://sajix.com/PressReleases.php?pg=news","http://sajix.com/PressReleases.php?pg=news")</f>
        <v>http://sajix.com/PressReleases.php?pg=news</v>
      </c>
      <c r="H362" s="23">
        <v>42447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9">
        <v>2243</v>
      </c>
      <c r="B363" s="19" t="s">
        <v>410</v>
      </c>
      <c r="C363" s="21" t="s">
        <v>8</v>
      </c>
      <c r="D363" s="20">
        <v>1</v>
      </c>
      <c r="E363" s="21" t="s">
        <v>2144</v>
      </c>
      <c r="F363" s="30">
        <v>0</v>
      </c>
      <c r="G363" s="27" t="str">
        <f>HYPERLINK("http://www.bravadohealth.com/certified-ehr","http://www.bravadohealth.com/certified-ehr")</f>
        <v>http://www.bravadohealth.com/certified-ehr</v>
      </c>
      <c r="H363" s="23">
        <v>42447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9">
        <v>2246</v>
      </c>
      <c r="B364" s="19" t="s">
        <v>411</v>
      </c>
      <c r="C364" s="21" t="s">
        <v>8</v>
      </c>
      <c r="D364" s="20">
        <v>1</v>
      </c>
      <c r="E364" s="21" t="s">
        <v>2145</v>
      </c>
      <c r="F364" s="20">
        <v>0</v>
      </c>
      <c r="G364" s="27" t="s">
        <v>2146</v>
      </c>
      <c r="H364" s="23">
        <v>42447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9">
        <v>2253</v>
      </c>
      <c r="B365" s="19" t="s">
        <v>412</v>
      </c>
      <c r="C365" s="21" t="s">
        <v>8</v>
      </c>
      <c r="D365" s="20">
        <v>1</v>
      </c>
      <c r="E365" s="21" t="s">
        <v>2147</v>
      </c>
      <c r="F365" s="30">
        <v>0</v>
      </c>
      <c r="G365" s="27" t="str">
        <f>HYPERLINK("http://www.totaldental.com/ehr-certification-dental-software","http://www.totaldental.com/ehr-certification-dental-software")</f>
        <v>http://www.totaldental.com/ehr-certification-dental-software</v>
      </c>
      <c r="H365" s="23">
        <v>42447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9">
        <v>2266</v>
      </c>
      <c r="B366" s="19" t="s">
        <v>413</v>
      </c>
      <c r="C366" s="21" t="s">
        <v>8</v>
      </c>
      <c r="D366" s="20">
        <v>0</v>
      </c>
      <c r="E366" s="21" t="s">
        <v>2148</v>
      </c>
      <c r="F366" s="20">
        <v>0</v>
      </c>
      <c r="G366" s="27" t="str">
        <f>HYPERLINK("http://www.silkone.com/EHR-MU-Disclosure.aspx","http://www.silkone.com/EHR-MU-Disclosure.aspx")</f>
        <v>http://www.silkone.com/EHR-MU-Disclosure.aspx</v>
      </c>
      <c r="H366" s="23">
        <v>42447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9">
        <v>2272</v>
      </c>
      <c r="B367" s="19" t="s">
        <v>415</v>
      </c>
      <c r="C367" s="21" t="s">
        <v>8</v>
      </c>
      <c r="D367" s="20">
        <v>1</v>
      </c>
      <c r="E367" s="21" t="s">
        <v>2149</v>
      </c>
      <c r="F367" s="20">
        <v>0</v>
      </c>
      <c r="G367" s="27" t="str">
        <f>HYPERLINK("https://pimsyehr.com/resources/meaningful-use","https://pimsyehr.com/resources/meaningful-use")</f>
        <v>https://pimsyehr.com/resources/meaningful-use</v>
      </c>
      <c r="H367" s="23">
        <v>42447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9">
        <v>2282</v>
      </c>
      <c r="B368" s="19" t="s">
        <v>416</v>
      </c>
      <c r="C368" s="21" t="s">
        <v>8</v>
      </c>
      <c r="D368" s="20">
        <v>1</v>
      </c>
      <c r="E368" s="21" t="s">
        <v>2150</v>
      </c>
      <c r="F368" s="30">
        <v>0</v>
      </c>
      <c r="G368" s="27" t="str">
        <f>HYPERLINK("http://sohisystems.com/ehrCertification.html","http://sohisystems.com/ehrCertification.html")</f>
        <v>http://sohisystems.com/ehrCertification.html</v>
      </c>
      <c r="H368" s="23">
        <v>42447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9">
        <v>2284</v>
      </c>
      <c r="B369" s="19" t="s">
        <v>1608</v>
      </c>
      <c r="C369" s="21" t="s">
        <v>8</v>
      </c>
      <c r="D369" s="20">
        <v>1</v>
      </c>
      <c r="E369" s="21" t="s">
        <v>2151</v>
      </c>
      <c r="F369" s="20">
        <v>0</v>
      </c>
      <c r="G369" s="27" t="s">
        <v>2152</v>
      </c>
      <c r="H369" s="23">
        <v>42447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9">
        <v>2286</v>
      </c>
      <c r="B370" s="19" t="s">
        <v>417</v>
      </c>
      <c r="C370" s="21" t="s">
        <v>8</v>
      </c>
      <c r="D370" s="20">
        <v>1</v>
      </c>
      <c r="E370" s="21" t="s">
        <v>2153</v>
      </c>
      <c r="F370" s="20">
        <v>0</v>
      </c>
      <c r="G370" s="27" t="str">
        <f>HYPERLINK("http://sourcemed.net/specialty-hospital-software","http://sourcemed.net/specialty-hospital-software")</f>
        <v>http://sourcemed.net/specialty-hospital-software</v>
      </c>
      <c r="H370" s="23">
        <v>42447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9">
        <v>2287</v>
      </c>
      <c r="B371" s="19" t="s">
        <v>418</v>
      </c>
      <c r="C371" s="21" t="s">
        <v>8</v>
      </c>
      <c r="D371" s="20">
        <v>2</v>
      </c>
      <c r="E371" s="21" t="s">
        <v>2154</v>
      </c>
      <c r="F371" s="20">
        <v>0</v>
      </c>
      <c r="G371" s="19"/>
      <c r="H371" s="23">
        <v>42447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9">
        <v>2289</v>
      </c>
      <c r="B372" s="19" t="s">
        <v>419</v>
      </c>
      <c r="C372" s="21" t="s">
        <v>8</v>
      </c>
      <c r="D372" s="20">
        <v>2</v>
      </c>
      <c r="E372" s="21" t="s">
        <v>2155</v>
      </c>
      <c r="F372" s="20">
        <v>0</v>
      </c>
      <c r="G372" s="19"/>
      <c r="H372" s="23">
        <v>42447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9"/>
      <c r="B373" s="19" t="s">
        <v>421</v>
      </c>
      <c r="C373" s="21" t="s">
        <v>8</v>
      </c>
      <c r="D373" s="20">
        <v>1</v>
      </c>
      <c r="E373" s="21" t="s">
        <v>2156</v>
      </c>
      <c r="F373" s="20">
        <v>0</v>
      </c>
      <c r="G373" s="27" t="str">
        <f>HYPERLINK("http://www.synaphealth.com/drummond-certificate/","http://www.synaphealth.com/drummond-certificate/")</f>
        <v>http://www.synaphealth.com/drummond-certificate/</v>
      </c>
      <c r="H373" s="23">
        <v>42447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9">
        <v>2298</v>
      </c>
      <c r="B374" s="19" t="s">
        <v>423</v>
      </c>
      <c r="C374" s="21" t="s">
        <v>8</v>
      </c>
      <c r="D374" s="20">
        <v>1</v>
      </c>
      <c r="E374" s="21" t="s">
        <v>2157</v>
      </c>
      <c r="F374" s="20">
        <v>0</v>
      </c>
      <c r="G374" s="27" t="str">
        <f t="shared" ref="G374:G375" si="31">HYPERLINK("http://www.standingstoneinc.com/","http://www.standingstoneinc.com/")</f>
        <v>http://www.standingstoneinc.com/</v>
      </c>
      <c r="H374" s="23">
        <v>42447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9">
        <v>2299</v>
      </c>
      <c r="B375" s="19" t="s">
        <v>424</v>
      </c>
      <c r="C375" s="21" t="s">
        <v>8</v>
      </c>
      <c r="D375" s="20">
        <v>1</v>
      </c>
      <c r="E375" s="21" t="s">
        <v>2158</v>
      </c>
      <c r="F375" s="20">
        <v>0</v>
      </c>
      <c r="G375" s="27" t="str">
        <f t="shared" si="31"/>
        <v>http://www.standingstoneinc.com/</v>
      </c>
      <c r="H375" s="23">
        <v>42447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9">
        <v>2301</v>
      </c>
      <c r="B376" s="19" t="s">
        <v>425</v>
      </c>
      <c r="C376" s="21" t="s">
        <v>8</v>
      </c>
      <c r="D376" s="20">
        <v>1</v>
      </c>
      <c r="E376" s="21" t="s">
        <v>2159</v>
      </c>
      <c r="F376" s="20">
        <v>0</v>
      </c>
      <c r="G376" s="27" t="str">
        <f>HYPERLINK("https://www.starmedllc.com/","https://www.starmedllc.com/")</f>
        <v>https://www.starmedllc.com/</v>
      </c>
      <c r="H376" s="23">
        <v>42447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9">
        <v>2307</v>
      </c>
      <c r="B377" s="19" t="s">
        <v>426</v>
      </c>
      <c r="C377" s="21" t="s">
        <v>8</v>
      </c>
      <c r="D377" s="20">
        <v>0</v>
      </c>
      <c r="E377" s="21" t="s">
        <v>2160</v>
      </c>
      <c r="F377" s="20">
        <v>0</v>
      </c>
      <c r="G377" s="25" t="s">
        <v>2161</v>
      </c>
      <c r="H377" s="23">
        <v>42447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9">
        <v>2335</v>
      </c>
      <c r="B378" s="19" t="s">
        <v>429</v>
      </c>
      <c r="C378" s="19" t="s">
        <v>8</v>
      </c>
      <c r="D378" s="20">
        <v>1</v>
      </c>
      <c r="E378" s="21" t="s">
        <v>2162</v>
      </c>
      <c r="F378" s="20">
        <v>0</v>
      </c>
      <c r="G378" s="25" t="s">
        <v>2163</v>
      </c>
      <c r="H378" s="23">
        <v>42447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9">
        <v>2338</v>
      </c>
      <c r="B379" s="19" t="s">
        <v>430</v>
      </c>
      <c r="C379" s="19" t="s">
        <v>8</v>
      </c>
      <c r="D379" s="20">
        <v>1</v>
      </c>
      <c r="E379" s="21" t="s">
        <v>2164</v>
      </c>
      <c r="F379" s="20">
        <v>0</v>
      </c>
      <c r="G379" s="27" t="str">
        <f>HYPERLINK("http://www.mdrhythm.com/mdrhythm-onc2014.html","http://www.mdrhythm.com/mdrhythm-onc2014.html")</f>
        <v>http://www.mdrhythm.com/mdrhythm-onc2014.html</v>
      </c>
      <c r="H379" s="23">
        <v>42447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9">
        <v>2349</v>
      </c>
      <c r="B380" s="19" t="s">
        <v>431</v>
      </c>
      <c r="C380" s="19" t="s">
        <v>8</v>
      </c>
      <c r="D380" s="20">
        <v>1</v>
      </c>
      <c r="E380" s="21" t="s">
        <v>2165</v>
      </c>
      <c r="F380" s="20">
        <v>0</v>
      </c>
      <c r="G380" s="27" t="str">
        <f>HYPERLINK("http://www.echoman.com/meaningful-use/","http://www.echoman.com/meaningful-use/")</f>
        <v>http://www.echoman.com/meaningful-use/</v>
      </c>
      <c r="H380" s="23">
        <v>42447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9"/>
      <c r="B381" s="19" t="s">
        <v>432</v>
      </c>
      <c r="C381" s="19" t="s">
        <v>8</v>
      </c>
      <c r="D381" s="20">
        <v>0</v>
      </c>
      <c r="E381" s="21" t="s">
        <v>2166</v>
      </c>
      <c r="F381" s="20">
        <v>0</v>
      </c>
      <c r="G381" s="27" t="str">
        <f>HYPERLINK("http://thegaragein.com/ignite","http://thegaragein.com/ignite")</f>
        <v>http://thegaragein.com/ignite</v>
      </c>
      <c r="H381" s="23">
        <v>42447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9">
        <v>2352</v>
      </c>
      <c r="B382" s="19" t="s">
        <v>433</v>
      </c>
      <c r="C382" s="19" t="s">
        <v>8</v>
      </c>
      <c r="D382" s="20">
        <v>1</v>
      </c>
      <c r="E382" s="21" t="s">
        <v>2167</v>
      </c>
      <c r="F382" s="20">
        <v>0</v>
      </c>
      <c r="G382" s="27" t="str">
        <f>HYPERLINK("http://shamsgroup.com/healthcare-solutions/certified-mu-solutions/","http://shamsgroup.com/healthcare-solutions/certified-mu-solutions/")</f>
        <v>http://shamsgroup.com/healthcare-solutions/certified-mu-solutions/</v>
      </c>
      <c r="H382" s="23">
        <v>42447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9">
        <v>2355</v>
      </c>
      <c r="B383" s="19" t="s">
        <v>1652</v>
      </c>
      <c r="C383" s="21" t="s">
        <v>8</v>
      </c>
      <c r="D383" s="20">
        <v>1</v>
      </c>
      <c r="E383" s="21" t="s">
        <v>2168</v>
      </c>
      <c r="F383" s="20">
        <v>0</v>
      </c>
      <c r="G383" s="25" t="s">
        <v>2169</v>
      </c>
      <c r="H383" s="23">
        <v>42447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9">
        <v>2357</v>
      </c>
      <c r="B384" s="19" t="s">
        <v>435</v>
      </c>
      <c r="C384" s="19" t="s">
        <v>8</v>
      </c>
      <c r="D384" s="20">
        <v>1</v>
      </c>
      <c r="E384" s="21" t="s">
        <v>2170</v>
      </c>
      <c r="F384" s="20">
        <v>0</v>
      </c>
      <c r="G384" s="27" t="str">
        <f>HYPERLINK("http://www.thrasys.com/about/","http://www.thrasys.com/about/")</f>
        <v>http://www.thrasys.com/about/</v>
      </c>
      <c r="H384" s="23">
        <v>42447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9">
        <v>2365</v>
      </c>
      <c r="B385" s="19" t="s">
        <v>437</v>
      </c>
      <c r="C385" s="19" t="s">
        <v>8</v>
      </c>
      <c r="D385" s="20">
        <v>1</v>
      </c>
      <c r="E385" s="21" t="s">
        <v>2171</v>
      </c>
      <c r="F385" s="20">
        <v>0</v>
      </c>
      <c r="G385" s="27" t="str">
        <f>HYPERLINK("https://www.tranquilmoney.com/disclosure.html","https://www.tranquilmoney.com/disclosure.html")</f>
        <v>https://www.tranquilmoney.com/disclosure.html</v>
      </c>
      <c r="H385" s="23">
        <v>42447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9">
        <v>2366</v>
      </c>
      <c r="B386" s="19" t="s">
        <v>438</v>
      </c>
      <c r="C386" s="19" t="s">
        <v>8</v>
      </c>
      <c r="D386" s="20">
        <v>1</v>
      </c>
      <c r="E386" s="21" t="s">
        <v>2172</v>
      </c>
      <c r="F386" s="20">
        <v>0</v>
      </c>
      <c r="G386" s="25" t="s">
        <v>2173</v>
      </c>
      <c r="H386" s="23">
        <v>42447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9">
        <v>2376</v>
      </c>
      <c r="B387" s="19" t="s">
        <v>439</v>
      </c>
      <c r="C387" s="19" t="s">
        <v>8</v>
      </c>
      <c r="D387" s="20">
        <v>1</v>
      </c>
      <c r="E387" s="21" t="s">
        <v>2174</v>
      </c>
      <c r="F387" s="20">
        <v>1</v>
      </c>
      <c r="G387" s="27" t="str">
        <f>HYPERLINK("http://truvenhealth.com/your-healthcare-focus/hospital-management-decisions/meaningful-use-quality-manager","http://truvenhealth.com/your-healthcare-focus/hospital-management-decisions/meaningful-use-quality-manager")</f>
        <v>http://truvenhealth.com/your-healthcare-focus/hospital-management-decisions/meaningful-use-quality-manager</v>
      </c>
      <c r="H387" s="23">
        <v>42447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9">
        <v>2378</v>
      </c>
      <c r="B388" s="19" t="s">
        <v>440</v>
      </c>
      <c r="C388" s="19" t="s">
        <v>8</v>
      </c>
      <c r="D388" s="20">
        <v>1</v>
      </c>
      <c r="E388" s="21" t="s">
        <v>2175</v>
      </c>
      <c r="F388" s="20">
        <v>0</v>
      </c>
      <c r="G388" s="27" t="str">
        <f>HYPERLINK("http://www.twinsailstech.com/","http://www.twinsailstech.com/")</f>
        <v>http://www.twinsailstech.com/</v>
      </c>
      <c r="H388" s="23">
        <v>42447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9">
        <v>2394</v>
      </c>
      <c r="B389" s="19" t="s">
        <v>443</v>
      </c>
      <c r="C389" s="19" t="s">
        <v>8</v>
      </c>
      <c r="D389" s="20">
        <v>1</v>
      </c>
      <c r="E389" s="21" t="s">
        <v>2176</v>
      </c>
      <c r="F389" s="20">
        <v>0</v>
      </c>
      <c r="G389" s="27" t="str">
        <f>HYPERLINK("https://umbiedentalcare.com/price_transparency.html","https://umbiedentalcare.com/price_transparency.html")</f>
        <v>https://umbiedentalcare.com/price_transparency.html</v>
      </c>
      <c r="H389" s="23">
        <v>42447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9">
        <v>2398</v>
      </c>
      <c r="B390" s="19" t="s">
        <v>444</v>
      </c>
      <c r="C390" s="19" t="s">
        <v>8</v>
      </c>
      <c r="D390" s="20">
        <v>1</v>
      </c>
      <c r="E390" s="21" t="s">
        <v>2177</v>
      </c>
      <c r="F390" s="20">
        <v>0</v>
      </c>
      <c r="G390" s="27" t="str">
        <f>HYPERLINK("http://www.unicharts.com/certification.html","http://www.unicharts.com/certification.html")</f>
        <v>http://www.unicharts.com/certification.html</v>
      </c>
      <c r="H390" s="23">
        <v>42447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9">
        <v>2399</v>
      </c>
      <c r="B391" s="19" t="s">
        <v>445</v>
      </c>
      <c r="C391" s="19" t="s">
        <v>8</v>
      </c>
      <c r="D391" s="20">
        <v>1</v>
      </c>
      <c r="E391" s="21" t="s">
        <v>2178</v>
      </c>
      <c r="F391" s="20">
        <v>0</v>
      </c>
      <c r="G391" s="27" t="str">
        <f>HYPERLINK("http://unityware.com/us/about/mu-certification/","http://unityware.com/us/about/mu-certification/")</f>
        <v>http://unityware.com/us/about/mu-certification/</v>
      </c>
      <c r="H391" s="23">
        <v>42447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9">
        <v>2406</v>
      </c>
      <c r="B392" s="19" t="s">
        <v>446</v>
      </c>
      <c r="C392" s="19" t="s">
        <v>8</v>
      </c>
      <c r="D392" s="20">
        <v>1</v>
      </c>
      <c r="E392" s="21" t="s">
        <v>2179</v>
      </c>
      <c r="F392" s="20">
        <v>0</v>
      </c>
      <c r="G392" s="27" t="str">
        <f>HYPERLINK("https://www.updox.com/updox-2014-1-onc-hit-certification","https://www.updox.com/updox-2014-1-onc-hit-certification")</f>
        <v>https://www.updox.com/updox-2014-1-onc-hit-certification</v>
      </c>
      <c r="H392" s="23">
        <v>42447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9">
        <v>2417</v>
      </c>
      <c r="B393" s="19" t="s">
        <v>1699</v>
      </c>
      <c r="C393" s="21" t="s">
        <v>8</v>
      </c>
      <c r="D393" s="20">
        <v>2</v>
      </c>
      <c r="E393" s="21" t="s">
        <v>2180</v>
      </c>
      <c r="F393" s="20">
        <v>0</v>
      </c>
      <c r="G393" s="19"/>
      <c r="H393" s="23">
        <v>42447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9">
        <v>2421</v>
      </c>
      <c r="B394" s="19" t="s">
        <v>448</v>
      </c>
      <c r="C394" s="19" t="s">
        <v>8</v>
      </c>
      <c r="D394" s="20">
        <v>1</v>
      </c>
      <c r="E394" s="21" t="s">
        <v>2181</v>
      </c>
      <c r="F394" s="20">
        <v>0</v>
      </c>
      <c r="G394" s="25" t="s">
        <v>2182</v>
      </c>
      <c r="H394" s="23">
        <v>42447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9"/>
      <c r="B395" s="19" t="s">
        <v>449</v>
      </c>
      <c r="C395" s="19" t="s">
        <v>8</v>
      </c>
      <c r="D395" s="20">
        <v>1</v>
      </c>
      <c r="E395" s="21" t="s">
        <v>2183</v>
      </c>
      <c r="F395" s="20">
        <v>0</v>
      </c>
      <c r="G395" s="27" t="str">
        <f>HYPERLINK("http://www.vigiboss.com/md4front/ehr-meaningful-use-certification/","http://www.vigiboss.com/md4front/ehr-meaningful-use-certification/")</f>
        <v>http://www.vigiboss.com/md4front/ehr-meaningful-use-certification/</v>
      </c>
      <c r="H395" s="23">
        <v>42447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9">
        <v>2433</v>
      </c>
      <c r="B396" s="19" t="s">
        <v>451</v>
      </c>
      <c r="C396" s="19" t="s">
        <v>8</v>
      </c>
      <c r="D396" s="20">
        <v>1</v>
      </c>
      <c r="E396" s="21" t="s">
        <v>2184</v>
      </c>
      <c r="F396" s="20">
        <v>0</v>
      </c>
      <c r="G396" s="27" t="str">
        <f>HYPERLINK("http://visiontree.com/information/newsevents/meaningfuluse/","http://visiontree.com/information/newsevents/meaningfuluse/")</f>
        <v>http://visiontree.com/information/newsevents/meaningfuluse/</v>
      </c>
      <c r="H396" s="23">
        <v>42447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9">
        <v>2434</v>
      </c>
      <c r="B397" s="19" t="s">
        <v>452</v>
      </c>
      <c r="C397" s="19" t="s">
        <v>8</v>
      </c>
      <c r="D397" s="20">
        <v>1</v>
      </c>
      <c r="E397" s="21" t="s">
        <v>2185</v>
      </c>
      <c r="F397" s="20">
        <v>0</v>
      </c>
      <c r="G397" s="27" t="str">
        <f>HYPERLINK("http://www.startyouruprise.com/certification","http://www.startyouruprise.com/certification")</f>
        <v>http://www.startyouruprise.com/certification</v>
      </c>
      <c r="H397" s="23">
        <v>42447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9">
        <v>2436</v>
      </c>
      <c r="B398" s="19" t="s">
        <v>453</v>
      </c>
      <c r="C398" s="19" t="s">
        <v>8</v>
      </c>
      <c r="D398" s="20">
        <v>1</v>
      </c>
      <c r="E398" s="21" t="s">
        <v>2186</v>
      </c>
      <c r="F398" s="20">
        <v>0</v>
      </c>
      <c r="G398" s="25" t="s">
        <v>2187</v>
      </c>
      <c r="H398" s="23">
        <v>42447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9">
        <v>2443</v>
      </c>
      <c r="B399" s="19" t="s">
        <v>454</v>
      </c>
      <c r="C399" s="19" t="s">
        <v>8</v>
      </c>
      <c r="D399" s="20">
        <v>1</v>
      </c>
      <c r="E399" s="21" t="s">
        <v>2188</v>
      </c>
      <c r="F399" s="20">
        <v>0</v>
      </c>
      <c r="G399" s="27" t="str">
        <f>HYPERLINK("http://ismartehr.com/"," http://ismartehr.com/")</f>
        <v xml:space="preserve"> http://ismartehr.com/</v>
      </c>
      <c r="H399" s="23">
        <v>42447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9">
        <v>2454</v>
      </c>
      <c r="B400" s="19" t="s">
        <v>456</v>
      </c>
      <c r="C400" s="19" t="s">
        <v>8</v>
      </c>
      <c r="D400" s="20">
        <v>1</v>
      </c>
      <c r="E400" s="21" t="s">
        <v>2189</v>
      </c>
      <c r="F400" s="20">
        <v>0</v>
      </c>
      <c r="G400" s="27" t="str">
        <f>HYPERLINK("http://www.welligent.com/meaningful-use/","http://www.welligent.com/meaningful-use/")</f>
        <v>http://www.welligent.com/meaningful-use/</v>
      </c>
      <c r="H400" s="23">
        <v>42447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9">
        <v>2465</v>
      </c>
      <c r="B401" s="19" t="s">
        <v>457</v>
      </c>
      <c r="C401" s="19" t="s">
        <v>8</v>
      </c>
      <c r="D401" s="20">
        <v>1</v>
      </c>
      <c r="E401" s="21" t="s">
        <v>2190</v>
      </c>
      <c r="F401" s="20">
        <v>0</v>
      </c>
      <c r="G401" s="27" t="str">
        <f>HYPERLINK("http://www.practicedirector.com/","http://www.practicedirector.com/")</f>
        <v>http://www.practicedirector.com/</v>
      </c>
      <c r="H401" s="23">
        <v>42447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9">
        <v>2481</v>
      </c>
      <c r="B402" s="19" t="s">
        <v>458</v>
      </c>
      <c r="C402" s="19" t="s">
        <v>8</v>
      </c>
      <c r="D402" s="20">
        <v>1</v>
      </c>
      <c r="E402" s="31" t="s">
        <v>2191</v>
      </c>
      <c r="F402" s="20">
        <v>0</v>
      </c>
      <c r="G402" s="27" t="str">
        <f t="shared" ref="G402:G403" si="32">HYPERLINK("http://www.medhost.com/about-us/yourcareuniverse-certification","http://www.medhost.com/about-us/yourcareuniverse-certification")</f>
        <v>http://www.medhost.com/about-us/yourcareuniverse-certification</v>
      </c>
      <c r="H402" s="23">
        <v>42447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9">
        <v>2482</v>
      </c>
      <c r="B403" s="19" t="s">
        <v>459</v>
      </c>
      <c r="C403" s="19" t="s">
        <v>8</v>
      </c>
      <c r="D403" s="20">
        <v>1</v>
      </c>
      <c r="E403" s="31" t="s">
        <v>2192</v>
      </c>
      <c r="F403" s="20">
        <v>1</v>
      </c>
      <c r="G403" s="27" t="str">
        <f t="shared" si="32"/>
        <v>http://www.medhost.com/about-us/yourcareuniverse-certification</v>
      </c>
      <c r="H403" s="23">
        <v>42447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9">
        <v>2495</v>
      </c>
      <c r="B404" s="19" t="s">
        <v>460</v>
      </c>
      <c r="C404" s="19" t="s">
        <v>8</v>
      </c>
      <c r="D404" s="20">
        <v>1</v>
      </c>
      <c r="E404" s="21" t="s">
        <v>2193</v>
      </c>
      <c r="F404" s="20">
        <v>0</v>
      </c>
      <c r="G404" s="22" t="str">
        <f>HYPERLINK("http://info.digichart.com/drummond-certified","http://info.digichart.com/drummond-certified")</f>
        <v>http://info.digichart.com/drummond-certified</v>
      </c>
      <c r="H404" s="23">
        <v>42447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9">
        <v>2505</v>
      </c>
      <c r="B405" s="19" t="s">
        <v>462</v>
      </c>
      <c r="C405" s="19" t="s">
        <v>8</v>
      </c>
      <c r="D405" s="20">
        <v>1</v>
      </c>
      <c r="E405" s="21" t="s">
        <v>2194</v>
      </c>
      <c r="F405" s="20">
        <v>0</v>
      </c>
      <c r="G405" s="27" t="str">
        <f>HYPERLINK("https://www.eclinicalworks.com/resources/meaningful-use-disclosure/","https://www.eclinicalworks.com/resources/meaningful-use-disclosure/")</f>
        <v>https://www.eclinicalworks.com/resources/meaningful-use-disclosure/</v>
      </c>
      <c r="H405" s="23">
        <v>42447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9">
        <v>2518</v>
      </c>
      <c r="B406" s="19" t="s">
        <v>981</v>
      </c>
      <c r="C406" s="19" t="s">
        <v>8</v>
      </c>
      <c r="D406" s="20">
        <v>1</v>
      </c>
      <c r="E406" s="21" t="s">
        <v>2195</v>
      </c>
      <c r="F406" s="20">
        <v>0</v>
      </c>
      <c r="G406" s="27" t="str">
        <f>HYPERLINK("https://www.mywellnessbuddy.com/learn-more","https://www.mywellnessbuddy.com/learn-more")</f>
        <v>https://www.mywellnessbuddy.com/learn-more</v>
      </c>
      <c r="H406" s="23">
        <v>42447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9">
        <v>2546</v>
      </c>
      <c r="B407" s="19" t="s">
        <v>465</v>
      </c>
      <c r="C407" s="19" t="s">
        <v>8</v>
      </c>
      <c r="D407" s="20">
        <v>1</v>
      </c>
      <c r="E407" s="21" t="s">
        <v>2196</v>
      </c>
      <c r="F407" s="20">
        <v>0</v>
      </c>
      <c r="G407" s="27" t="str">
        <f>HYPERLINK("http://medq.com/ehr.html","http://medq.com/ehr.html")</f>
        <v>http://medq.com/ehr.html</v>
      </c>
      <c r="H407" s="23">
        <v>42447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9">
        <v>2554</v>
      </c>
      <c r="B408" s="19" t="s">
        <v>1701</v>
      </c>
      <c r="C408" s="21" t="s">
        <v>8</v>
      </c>
      <c r="D408" s="20">
        <v>1</v>
      </c>
      <c r="E408" s="21" t="s">
        <v>2197</v>
      </c>
      <c r="F408" s="20">
        <v>0</v>
      </c>
      <c r="G408" s="25" t="s">
        <v>2198</v>
      </c>
      <c r="H408" s="23">
        <v>42447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</sheetData>
  <hyperlinks>
    <hyperlink ref="G2" r:id="rId1" location="disclosure-statement" display="http://www.advancedmd.com/products/electronic-health-records - disclosure-statement"/>
    <hyperlink ref="G3" r:id="rId2" display="http://www.alert-online.com/news/company/alert-ehr-v264-is-2014-edition-certified"/>
    <hyperlink ref="G4" r:id="rId3"/>
    <hyperlink ref="G5" r:id="rId4"/>
    <hyperlink ref="G6" r:id="rId5" display="http://www.acmeware.com/meaningful-use-for-eligible-hospitals.aspx"/>
    <hyperlink ref="G7" r:id="rId6" display="http://www.acmeware.com/meaningful-use-for-eligible-hospitals.aspx"/>
    <hyperlink ref="G8" r:id="rId7" display="http://www.acmeware.com/meaningful-use-for-eligible-providers.aspx"/>
    <hyperlink ref="G9" r:id="rId8" display="http://www.acmeware.com/meaningful-use-for-eligible-hospitals.aspx"/>
    <hyperlink ref="G10" r:id="rId9" display="http://www.acmeware.com/meaningful-use-for-eligible-providers.aspx"/>
    <hyperlink ref="G13" r:id="rId10" display="http://www.allscripts.com/terms-of-use/documents"/>
    <hyperlink ref="G14" r:id="rId11" display="http://www.allscripts.com/terms-of-use/documents"/>
    <hyperlink ref="G15" r:id="rId12" display="http://www.americanmedicalsolution.com/AMS/HeliosEMR.aspx"/>
    <hyperlink ref="G16" r:id="rId13" display="http://www.amritamedical.com/drummondCert.html"/>
    <hyperlink ref="G17" r:id="rId14" display="http://www.antheliohealth.com/engage.html"/>
    <hyperlink ref="G18" r:id="rId15" display="http://www.antheliohealth.com/patient-pulse.html"/>
    <hyperlink ref="G19" r:id="rId16" display="http://www.antheliohealth.com/patient-pulse.html"/>
    <hyperlink ref="G20" r:id="rId17" display="https://www.arw.in/blog/cozeva-certified-2014-modular-ehr-drummond-group"/>
    <hyperlink ref="G21" r:id="rId18" display="https://aretehs.com/ehr.html"/>
    <hyperlink ref="G22" r:id="rId19" display="http://aspyra.com/cyberlab-meaningful-use/"/>
    <hyperlink ref="G23" r:id="rId20" display="http://atlasmedical.com/products/labworks/"/>
    <hyperlink ref="G24" r:id="rId21" display="http://www.azaleahealth.com/resources/industry-topics/meaningful-use/"/>
    <hyperlink ref="G25" r:id="rId22" display="http://www.oncochart.com/meaningful-use/"/>
    <hyperlink ref="G26" r:id="rId23"/>
    <hyperlink ref="G27" r:id="rId24" display="http://www.businet.com/transparency.htm"/>
    <hyperlink ref="G28" r:id="rId25" display="http://www.odonline.net/pricing-information/"/>
    <hyperlink ref="G30" r:id="rId26" display="http://www.carecloud.com/meaningful-use-certified-ehr/"/>
    <hyperlink ref="G31" r:id="rId27" display="http://careevolution.com/technology-mu.html"/>
    <hyperlink ref="G32" r:id="rId28" display="http://www.caresync.com/ccm/index.php"/>
    <hyperlink ref="G33" r:id="rId29" display="http://blog.carepaths.com/features/onc-certification/"/>
    <hyperlink ref="G35" r:id="rId30" display="http://www.chartlogic.com/certifications/"/>
    <hyperlink ref="G36" r:id="rId31" display="http://www.citiustech.com/solutions/bi-clinical_13.1_ONC-Mandatory-Disclosure-Statement.aspx"/>
    <hyperlink ref="G37" r:id="rId32" display="http://www.citiustech.com/solutions/bi-clinical_15.7_NZ_ONC-Mandatory-Disclosure-Statement.aspx"/>
    <hyperlink ref="G38" r:id="rId33" display="http://www.citiustech.com/solutions/bi-clinical_15.7_NZ_ONC-Mandatory-Disclosure-Statement.aspx"/>
    <hyperlink ref="G39" r:id="rId34" display="http://www.citiustech.com/solutions/bi-clinical_13.1_ONC-Mandatory-Disclosure-Statement.aspx"/>
    <hyperlink ref="G40" r:id="rId35" display="http://www.citiustech.com/solutions/cq-iq_ONC-Mandatory-Disclosure-Statement"/>
    <hyperlink ref="G41" r:id="rId36" display="http://www.citiustech.com/solutions/cq-iq_ONC-Mandatory-Disclosure-Statement"/>
    <hyperlink ref="G42" r:id="rId37" display="http://web.claimtrak.com/legal-notice/"/>
    <hyperlink ref="G43" r:id="rId38" display="https://www.claimpower.com/emr-cert.htm"/>
    <hyperlink ref="G45" r:id="rId39" display="http://www.clinicmax.com/Complete_Ambulatory_EHR.html"/>
    <hyperlink ref="G46" r:id="rId40" display="http://www.clinigence.com/meaningful-use-disclosure"/>
    <hyperlink ref="G47" r:id="rId41" display="http://clinixmd.com/ehr/clinixmd-receives-onc-acb-2014-edition-certification/"/>
    <hyperlink ref="G48" r:id="rId42" display="http://cocentrix.com/platform/electronic-health-record/"/>
    <hyperlink ref="G49" r:id="rId43" display="http://codonix.com/"/>
    <hyperlink ref="G50" r:id="rId44" display="http://esphealth.org/redmine/"/>
    <hyperlink ref="G51" r:id="rId45" display="http://www.compulinkadvantage.com/about-compulink/certification/"/>
    <hyperlink ref="G53" r:id="rId46" display="http://www.coresolutionsinc.com/wp-content/uploads/2013/08/Complete-MU-2-Certification-Press-Release.pdf"/>
    <hyperlink ref="G54" r:id="rId47" display="http://corepointhealth.com/onc-certified"/>
    <hyperlink ref="G56" r:id="rId48" display="http://www.criterions.com/"/>
    <hyperlink ref="G57" r:id="rId49" display="http://www.cubehealthcare.com/drummond-certification"/>
    <hyperlink ref="G58" r:id="rId50" display="http://mdsuite.com/meaningful-use-disclosure/"/>
    <hyperlink ref="G59" r:id="rId51" display="http://datalinksoftware.com/products-emr-trinity"/>
    <hyperlink ref="G60" r:id="rId52" display="http://dawsystems.com/emr.html"/>
    <hyperlink ref="G61" r:id="rId53" display="http://www.digidms.com/disclosure.htm"/>
    <hyperlink ref="G62" r:id="rId54" display="http://emr-electronicmedicalrecords.com/ehr_certification.htm"/>
    <hyperlink ref="G63" r:id="rId55" display="http://doctorsoft.com/"/>
    <hyperlink ref="G64" r:id="rId56"/>
    <hyperlink ref="G65" r:id="rId57" display="http://www.docutracinc.com/meaningful_use_disclosure/"/>
    <hyperlink ref="G66" r:id="rId58" display="http://www.ehrez.com/"/>
    <hyperlink ref="G67" r:id="rId59" display="http://www.ezbis.com/cehrtdisclosure.htm"/>
    <hyperlink ref="G68" r:id="rId60" display="https://www.medformixvue.com/meaningful-use-statement.html"/>
    <hyperlink ref="G69" r:id="rId61" display="http://emrconnect.com/products.html"/>
    <hyperlink ref="G70" r:id="rId62" display="http://www.epowerdoc.com/en/compliance_and_roi/"/>
    <hyperlink ref="G71" r:id="rId63" location="fully-certified" display="https://ezderm.com/features/ - fully-certified"/>
    <hyperlink ref="G72" r:id="rId64" display="http://www.mdchartsolutions.com/aboutus/certification.php"/>
    <hyperlink ref="G73" r:id="rId65" display="https://www.elekta.com/software-solutions/meaningful-use.html"/>
    <hyperlink ref="G74" r:id="rId66" display="http://www.emdeon.com/ehrlite/"/>
    <hyperlink ref="G75" r:id="rId67" display="http://www.encite.us/support-services/meaningful-use/"/>
    <hyperlink ref="G76" r:id="rId68" display="http://equicarehealth.com/products/active-patient-portal/meaningful-use-certification/"/>
    <hyperlink ref="G77" r:id="rId69" display="http://www.etransmedia.com/technology-solutions/electronic-health-records/"/>
    <hyperlink ref="G78" r:id="rId70" display="http://www.etransmedia.com/technology-solutions/electronic-health-records/"/>
    <hyperlink ref="G79" r:id="rId71" display="http://www.exemplomedical.com/News/CurrentNews.aspx?EventId=23"/>
    <hyperlink ref="G80" r:id="rId72" display="http://www.exscribe.com/ehr-certification"/>
    <hyperlink ref="G81" r:id="rId73" display="http://www.eyemdemr.com/products_Incentives.htm"/>
    <hyperlink ref="G82" r:id="rId74" display="http://eyepegasus.com/"/>
    <hyperlink ref="G84" r:id="rId75" display="http://www.falconehr.com/meaningful-use-certificate/"/>
    <hyperlink ref="G85" r:id="rId76" display="http://www.first-insight.com/News_Events-ARRA-HITECHACT.html"/>
    <hyperlink ref="G88" r:id="rId77" display="http://footholdtechnology.com/"/>
    <hyperlink ref="G89" r:id="rId78"/>
    <hyperlink ref="G90" r:id="rId79" display="http://www.forwardadvantage.com/solutions/health-information-exchange/communication-director-system-platform/data-express/data-express-version-3-80-2014-edition-certified/"/>
    <hyperlink ref="G91" r:id="rId80" display="http://physicianflow.com/"/>
    <hyperlink ref="G92" r:id="rId81" location="tabs/tab691E86107CB648E1A3FCD53A15BE9530" display="http://www3.gehealthcare.com/en/Products/Categories/Healthcare_IT/~/link.aspx?_id=A658D910255B416686DF679886E0BD7A&amp;_z=z - tabs/tab691E86107CB648E1A3FCD53A15BE9530"/>
    <hyperlink ref="G93" r:id="rId82" location="tabs/tab691E86107CB648E1A3FCD53A15BE9530" display="http://www3.gehealthcare.com/en/Products/Categories/Healthcare_IT/~/link.aspx?_id=A658D910255B416686DF679886E0BD7A&amp;_z=z - tabs/tab691E86107CB648E1A3FCD53A15BE9530"/>
    <hyperlink ref="G94" r:id="rId83" location="tabs/tab691E86107CB648E1A3FCD53A15BE9530" display="http://www3.gehealthcare.com/en/Products/Categories/Healthcare_IT/~/link.aspx?_id=A658D910255B416686DF679886E0BD7A&amp;_z=z - tabs/tab691E86107CB648E1A3FCD53A15BE9530"/>
    <hyperlink ref="G95" r:id="rId84" location="tabs/tab691E86107CB648E1A3FCD53A15BE9530" display="http://www3.gehealthcare.com/en/Products/Categories/Healthcare_IT/~/link.aspx?_id=A658D910255B416686DF679886E0BD7A&amp;_z=z - tabs/tab691E86107CB648E1A3FCD53A15BE9530"/>
    <hyperlink ref="G96" r:id="rId85" location="tabs/tab691E86107CB648E1A3FCD53A15BE9530" display="http://www3.gehealthcare.com/en/Products/Categories/Healthcare_IT/~/link.aspx?_id=A658D910255B416686DF679886E0BD7A&amp;_z=z - tabs/tab691E86107CB648E1A3FCD53A15BE9530"/>
    <hyperlink ref="G97" r:id="rId86" location="tabs/tab691E86107CB648E1A3FCD53A15BE9530" display="http://www3.gehealthcare.com/en/Products/Categories/Healthcare_IT/~/link.aspx?_id=A658D910255B416686DF679886E0BD7A&amp;_z=z - tabs/tab691E86107CB648E1A3FCD53A15BE9530"/>
    <hyperlink ref="G98" r:id="rId87"/>
    <hyperlink ref="G99" r:id="rId88"/>
    <hyperlink ref="G100" r:id="rId89"/>
    <hyperlink ref="G101" r:id="rId90"/>
    <hyperlink ref="G102" r:id="rId91"/>
    <hyperlink ref="G103" r:id="rId92"/>
    <hyperlink ref="G104" r:id="rId93"/>
    <hyperlink ref="G105" r:id="rId94"/>
    <hyperlink ref="G106" r:id="rId95"/>
    <hyperlink ref="G107" r:id="rId96"/>
    <hyperlink ref="G108" r:id="rId97"/>
    <hyperlink ref="G109" r:id="rId98"/>
    <hyperlink ref="G110" r:id="rId99"/>
    <hyperlink ref="G111" r:id="rId100"/>
    <hyperlink ref="G112" r:id="rId101"/>
    <hyperlink ref="G113" r:id="rId102"/>
    <hyperlink ref="G114" r:id="rId103"/>
    <hyperlink ref="G115" r:id="rId104"/>
    <hyperlink ref="G116" r:id="rId105"/>
    <hyperlink ref="G117" r:id="rId106"/>
    <hyperlink ref="G118" r:id="rId107"/>
    <hyperlink ref="G119" r:id="rId108"/>
    <hyperlink ref="G120" r:id="rId109"/>
    <hyperlink ref="G121" r:id="rId110"/>
    <hyperlink ref="G122" r:id="rId111"/>
    <hyperlink ref="G123" r:id="rId112"/>
    <hyperlink ref="G124" r:id="rId113"/>
    <hyperlink ref="G125" r:id="rId114"/>
    <hyperlink ref="G126" r:id="rId115"/>
    <hyperlink ref="G127" r:id="rId116"/>
    <hyperlink ref="G128" r:id="rId117" location="tabs/tab691E86107CB648E1A3FCD53A15BE9530"/>
    <hyperlink ref="G129" r:id="rId118" location="tabs/tab691E86107CB648E1A3FCD53A15BE9530"/>
    <hyperlink ref="G130" r:id="rId119" location="tabs/tab691E86107CB648E1A3FCD53A15BE9530"/>
    <hyperlink ref="G131" r:id="rId120" location="tabs/tab691E86107CB648E1A3FCD53A15BE9530"/>
    <hyperlink ref="G132" r:id="rId121" display="http://www.gemmsnet.com/certification.html"/>
    <hyperlink ref="G133" r:id="rId122" location="tabs/tab691E86107CB648E1A3FCD53A15BE9530"/>
    <hyperlink ref="G134" r:id="rId123" display="http://www.gehrimed.com/certification/"/>
    <hyperlink ref="G135" r:id="rId124" display="http://getwellnetwork.com/news/getwellnetwork-achieves-meaningful-use-certification-ambulatory-solution"/>
    <hyperlink ref="G137" r:id="rId125" display="http://www.greenwayhealth.com/solution/electronic-health-record-practice-management/"/>
    <hyperlink ref="G138" r:id="rId126" display="http://www.greenwayhealth.com/solution/electronic-dental-records/"/>
    <hyperlink ref="G139" r:id="rId127" display="http://www.greenwayhealth.com/solution/electronic-dental-records/"/>
    <hyperlink ref="G140" r:id="rId128" display="http://www.greenwayhealth.com/solution/electronic-dental-records/"/>
    <hyperlink ref="G141" r:id="rId129" display="http://www.greenwayhealth.com/solution/electronic-dental-records/"/>
    <hyperlink ref="G142" r:id="rId130" display="http://www.greenwayhealth.com/solution/electronic-dental-records/"/>
    <hyperlink ref="G143" r:id="rId131" display="http://www.greenwayhealth.com/solution/electronic-dental-records/"/>
    <hyperlink ref="G144" r:id="rId132" display="http://www.greenwayhealth.com/solution/electronic-dental-records/"/>
    <hyperlink ref="G145" r:id="rId133" display="http://www.greenwayhealth.com/solution/electronic-dental-records/"/>
    <hyperlink ref="G146" r:id="rId134" display="http://www.greenwayhealth.com/solution/electronic-dental-records/"/>
    <hyperlink ref="G147" r:id="rId135" display="http://www.greenwayhealth.com/solution/electronic-dental-records/"/>
    <hyperlink ref="G148" r:id="rId136" display="http://www.greenwayhealth.com/solution/electronic-health-record-practice-management/"/>
    <hyperlink ref="G149" r:id="rId137" display="http://www.greenwayhealth.com/solution/electronic-health-record-practice-management/"/>
    <hyperlink ref="G150" r:id="rId138" display="http://www.greenwayhealth.com/solution/electronic-health-record-practice-management/"/>
    <hyperlink ref="G151" r:id="rId139" display="http://www.greenwayhealth.com/solution/electronic-health-record-practice-management/"/>
    <hyperlink ref="G152" r:id="rId140" display="http://www.greenwayhealth.com/solution/electronic-health-record-practice-management/"/>
    <hyperlink ref="G153" r:id="rId141" display="http://www.greenwayhealth.com/solution/electronic-health-record-practice-management/"/>
    <hyperlink ref="G154" r:id="rId142" display="http://www.greenwayhealth.com/solution/electronic-health-record-practice-management/"/>
    <hyperlink ref="G155" r:id="rId143" display="http://www.greenwayhealth.com/solution/electronic-health-record-practice-management/"/>
    <hyperlink ref="G156" r:id="rId144" display="http://www.greenwayhealth.com/solution/electronic-health-record-practice-management/"/>
    <hyperlink ref="G157" r:id="rId145" display="http://www.greenwayhealth.com/solution/electronic-health-record-practice-management/"/>
    <hyperlink ref="G158" r:id="rId146" display="http://www.greenwayhealth.com/solution/electronic-health-record-practice-management/"/>
    <hyperlink ref="G159" r:id="rId147" display="http://www.greenwayhealth.com/solution/electronic-health-record-practice-management/"/>
    <hyperlink ref="G160" r:id="rId148" display="http://www.greenwayhealth.com/solution/electronic-health-record-practice-management/"/>
    <hyperlink ref="G161" r:id="rId149" display="http://www.greenwayhealth.com/solution/chc-electronic-health-records/"/>
    <hyperlink ref="G162" r:id="rId150" display="http://www.greenwayhealth.com/solution/chc-electronic-health-records/"/>
    <hyperlink ref="G163" r:id="rId151" display="http://www.greenwayhealth.com/solution/chc-electronic-health-records/"/>
    <hyperlink ref="G164" r:id="rId152" display="http://www.greenwayhealth.com/solution/chc-electronic-health-records/"/>
    <hyperlink ref="G165" r:id="rId153" display="http://www.greenwayhealth.com/solution/chc-electronic-health-records/"/>
    <hyperlink ref="G166" r:id="rId154" display="http://www.greenwayhealth.com/solution/chc-electronic-health-records/"/>
    <hyperlink ref="G167" r:id="rId155" display="http://www.greenwayhealth.com/solution/practice-management-enterprises/"/>
    <hyperlink ref="G168" r:id="rId156" display="http://www.greenwayhealth.com/solution/practice-management-enterprises/"/>
    <hyperlink ref="G169" r:id="rId157" display="http://www.greenwayhealth.com/solution/practice-management-enterprises/"/>
    <hyperlink ref="G170" r:id="rId158" display="http://www.greenwayhealth.com/solution/practice-management-enterprises/"/>
    <hyperlink ref="G171" r:id="rId159" display="http://www.greenwayhealth.com/solution/practice-management-enterprises/"/>
    <hyperlink ref="G172" r:id="rId160" display="http://www.greenwayhealth.com/solution/practice-management-enterprises/"/>
    <hyperlink ref="G176" r:id="rId161" display="http://www.healthec.com/drummond-certificates/"/>
    <hyperlink ref="G177" r:id="rId162" display="http://www.healthec.com/drummond-certificates/"/>
    <hyperlink ref="G178" r:id="rId163"/>
    <hyperlink ref="G179" r:id="rId164" display="https://quick-charts.com/certification-details/"/>
    <hyperlink ref="G180" r:id="rId165" display="http://www.healogics.com/i-heal"/>
    <hyperlink ref="G181" r:id="rId166" display="http://www.has.com/medifile.htm"/>
    <hyperlink ref="G182" r:id="rId167" display="https://www.healthgorilla.com/home/company/about/faq/"/>
    <hyperlink ref="G183" r:id="rId168" display="http://www.healthaxis.com/electronic-health-records/"/>
    <hyperlink ref="G184" r:id="rId169" display="http://www.healthfusion.com/ehr-meaningful-use/meaningful-use-certification/"/>
    <hyperlink ref="G185" r:id="rId170" display="http://ecqmpro.com/ecqm-pro-ehr-meaningful-use-certifications/"/>
    <hyperlink ref="G186" r:id="rId171" display="https://hellohealth.com/ehr/resources/meaningful-use/"/>
    <hyperlink ref="G187" r:id="rId172" display="http://www.holonsolutions.com/certifications.html"/>
    <hyperlink ref="G188" r:id="rId173" display="http://www.icanotes.com/content/onc-atcb-certification"/>
    <hyperlink ref="G189" r:id="rId174" display="http://www.icare.com/affordable/"/>
    <hyperlink ref="G190" r:id="rId175" display="http://icssoftware.net/products/sammyehr/"/>
    <hyperlink ref="G191" r:id="rId176" display="http://www.ircsinc.com/index.php?page=software-vireo"/>
    <hyperlink ref="G192" r:id="rId177" display="http://www.ibeza.net/certifications"/>
    <hyperlink ref="G193" r:id="rId178" display="http://www.imedicware.com/Drummond"/>
    <hyperlink ref="G194" r:id="rId179"/>
    <hyperlink ref="G195" r:id="rId180" display="http://www.infor.com/product-summary/healthcare/cloverleaf-integration-suite/"/>
    <hyperlink ref="G196" r:id="rId181" display="http://www.inforiainc.com/our_company/drummond_certification.html"/>
    <hyperlink ref="G197" r:id="rId182" display="http://www.clinicsource.com/clinicsource-earns-prestigious-onc-acb-2014-certification/"/>
    <hyperlink ref="G198" r:id="rId183" display="https://www.kno2.com/resources"/>
    <hyperlink ref="G199" r:id="rId184" display="http://integrityemr.com/"/>
    <hyperlink ref="G200" r:id="rId185" display="http://intellicure.com/Drummond.aspx"/>
    <hyperlink ref="G201" r:id="rId186" display="http://us.icw-global.com/solutions/icw-patient-engagement.html"/>
    <hyperlink ref="G202" r:id="rId187"/>
    <hyperlink ref="G203" r:id="rId188" display="http://isalushealthcare.com/ehr-features/meaningful-use"/>
    <hyperlink ref="G204" r:id="rId189" display="http://clinictracker.com/features/meaningful-use"/>
    <hyperlink ref="G205" r:id="rId190" display="http://www.doxpedo.com/ehr-incentive/"/>
    <hyperlink ref="G206" r:id="rId191" display="http://www.drsdoc.com/"/>
    <hyperlink ref="G207" r:id="rId192" display="http://www.keymedicalsoftware.com/home/keychart-electronic-medical-records"/>
    <hyperlink ref="G208" r:id="rId193" display="http://home.meditech.com/en/d/regulatoryresources/pages/certification.htm"/>
    <hyperlink ref="G209" r:id="rId194" display="http://laurisonline.com/certinfo.aspx"/>
    <hyperlink ref="G211" r:id="rId195"/>
    <hyperlink ref="G212" r:id="rId196" display="https://www.cattailssoftware.com/clientportal/?page=login"/>
    <hyperlink ref="G213" r:id="rId197" display="http://www.mdlogic.com/support/value-added-services"/>
    <hyperlink ref="G214" r:id="rId198" display="http://www.medhost.com/offerings/business-intelligence/business-intelligence-certification"/>
    <hyperlink ref="G215" r:id="rId199" display="http://www.medhost.com/offerings/business-intelligence/business-intelligence-certification"/>
    <hyperlink ref="G216" r:id="rId200" display="http://www.medhost.com/offerings/business-intelligence/business-intelligence-certification"/>
    <hyperlink ref="G217" r:id="rId201" display="http://www.medhost.com/offerings/business-intelligence/business-intelligence-certification"/>
    <hyperlink ref="G218" r:id="rId202" display="http://www.medhost.com/about-us/meaningful-use-certification"/>
    <hyperlink ref="G219" r:id="rId203" display="http://www.medhost.com/about-us/meaningful-use-certification"/>
    <hyperlink ref="G220" r:id="rId204" display="http://www.medhost.com/about-us/meaningful-use-certification"/>
    <hyperlink ref="G221" r:id="rId205" display="http://www.medhost.com/about-us/meaningful-use-certification"/>
    <hyperlink ref="G222" r:id="rId206" display="http://www.medhost.com/about-us/meaningful-use-certification"/>
    <hyperlink ref="G223" r:id="rId207" display="http://www.medhost.com/about-us/meaningful-use-certification"/>
    <hyperlink ref="G224" r:id="rId208" display="http://www.medhost.com/about-us/meaningful-use-certification"/>
    <hyperlink ref="G225" r:id="rId209" display="http://www.medhost.com/about-us/meaningful-use-certification"/>
    <hyperlink ref="G226" r:id="rId210" display="http://www.medhost.com/about-us/meaningful-use-certification"/>
    <hyperlink ref="G227" r:id="rId211" display="http://www.medhost.com/offerings/edis/edis-certification"/>
    <hyperlink ref="G228" r:id="rId212" display="http://www.medhost.com/offerings/edis/edis-certification"/>
    <hyperlink ref="G229" r:id="rId213" display="http://www.medhost.com/offerings/edis/edis-certification"/>
    <hyperlink ref="G230" r:id="rId214" display="http://www.medhost.com/offerings/edis/edis-certification"/>
    <hyperlink ref="G231" r:id="rId215" display="http://www.medhost.com/offerings/edis/edis-certification"/>
    <hyperlink ref="G232" r:id="rId216" display="http://www.medhost.com/offerings/edis/edis-certification"/>
    <hyperlink ref="G233" r:id="rId217" display="http://www.medhost.com/offerings/edis/edis-certification"/>
    <hyperlink ref="G234" r:id="rId218" display="http://www.medhost.com/offerings/edis/edis-certification"/>
    <hyperlink ref="G235" r:id="rId219" display="http://www.medhost.com/about-us/meaningful-use-certification"/>
    <hyperlink ref="G236" r:id="rId220" display="http://www.medhost.com/about-us/meaningful-use-certification"/>
    <hyperlink ref="G237" r:id="rId221" display="http://www.medhost.com/about-us/meaningful-use-certification"/>
    <hyperlink ref="G238" r:id="rId222" display="http://www.medhost.com/about-us/meaningful-use-certification"/>
    <hyperlink ref="G239" r:id="rId223" display="http://www.medhost.com/about-us/meaningful-use-certification"/>
    <hyperlink ref="G240" r:id="rId224" display="http://www.medhost.com/about-us/meaningful-use-certification"/>
    <hyperlink ref="G241" r:id="rId225" display="http://www.medhost.com/about-us/meaningful-use-certification"/>
    <hyperlink ref="G242" r:id="rId226" display="http://www.medhost.com/about-us/meaningful-use-certification"/>
    <hyperlink ref="G243" r:id="rId227" display="http://www.medhost.com/about-us/meaningful-use-certification"/>
    <hyperlink ref="G244" r:id="rId228" display="http://www.medhost.com/about-us/meaningful-use-certification"/>
    <hyperlink ref="G245" r:id="rId229" display="http://www.medhost.com/about-us/meaningful-use-certification"/>
    <hyperlink ref="G246" r:id="rId230" display="http://www.medhost.com/about-us/meaningful-use-certification"/>
    <hyperlink ref="G247" r:id="rId231" display="http://www.medhost.com/about-us/meaningful-use-certification"/>
    <hyperlink ref="G248" r:id="rId232" display="http://www.medhost.com/about-us/meaningful-use-certification"/>
    <hyperlink ref="G249" r:id="rId233" display="http://www.medhost.com/about-us/meaningful-use-certification"/>
    <hyperlink ref="G250" r:id="rId234" display="http://www.medhost.com/about-us/meaningful-use-certification"/>
    <hyperlink ref="G251" r:id="rId235" display="http://www.medhost.com/about-us/meaningful-use-certification"/>
    <hyperlink ref="G252" r:id="rId236" display="http://www.medhost.com/about-us/meaningful-use-certification"/>
    <hyperlink ref="G253" r:id="rId237" display="http://www.medhost.com/about-us/meaningful-use-certification"/>
    <hyperlink ref="G254" r:id="rId238" display="http://www.medhost.com/about-us/meaningful-use-certification"/>
    <hyperlink ref="G255" r:id="rId239" display="http://www.medhost.com/about-us/meaningful-use-certification"/>
    <hyperlink ref="G256" r:id="rId240" display="http://www.medhost.com/about-us/meaningful-use-certification"/>
    <hyperlink ref="G257" r:id="rId241" display="http://www.medhost.com/about-us/meaningful-use-certification"/>
    <hyperlink ref="G258" r:id="rId242"/>
    <hyperlink ref="G259" r:id="rId243"/>
    <hyperlink ref="G260" r:id="rId244"/>
    <hyperlink ref="G261" r:id="rId245"/>
    <hyperlink ref="G262" r:id="rId246"/>
    <hyperlink ref="G263" r:id="rId247"/>
    <hyperlink ref="G264" r:id="rId248"/>
    <hyperlink ref="G265" r:id="rId249"/>
    <hyperlink ref="G266" r:id="rId250"/>
    <hyperlink ref="G267" r:id="rId251"/>
    <hyperlink ref="G268" r:id="rId252"/>
    <hyperlink ref="G269" r:id="rId253"/>
    <hyperlink ref="G270" r:id="rId254"/>
    <hyperlink ref="G271" r:id="rId255"/>
    <hyperlink ref="G272" r:id="rId256"/>
    <hyperlink ref="G273" r:id="rId257"/>
    <hyperlink ref="G274" r:id="rId258"/>
    <hyperlink ref="G275" r:id="rId259"/>
    <hyperlink ref="G276" r:id="rId260"/>
    <hyperlink ref="G277" r:id="rId261"/>
    <hyperlink ref="G278" r:id="rId262"/>
    <hyperlink ref="G279" r:id="rId263"/>
    <hyperlink ref="G280" r:id="rId264"/>
    <hyperlink ref="G281" r:id="rId265"/>
    <hyperlink ref="G282" r:id="rId266" display="http://www.medhost.com/offerings/edis/edis-certification"/>
    <hyperlink ref="G283" r:id="rId267" display="http://www.medhost.com/offerings/edis/edis-certification"/>
    <hyperlink ref="G284" r:id="rId268" display="http://www.medhost.com/offerings/edis/edis-certification"/>
    <hyperlink ref="G285" r:id="rId269"/>
    <hyperlink ref="G288" r:id="rId270"/>
    <hyperlink ref="G289" r:id="rId271" display="http://medallies.com/Drummond_Certification.html"/>
    <hyperlink ref="G290" r:id="rId272"/>
    <hyperlink ref="G291" r:id="rId273" display="http://www.medevolve.com/mission-critical-solutions/ehr/"/>
    <hyperlink ref="G292" r:id="rId274" location="/MU/MU2"/>
    <hyperlink ref="G293" r:id="rId275" display="http://mednetmedical.com/certifications.html"/>
    <hyperlink ref="G294" r:id="rId276"/>
    <hyperlink ref="G295" r:id="rId277" display="http://www.medirecpr.com/index-1.html"/>
    <hyperlink ref="G296" r:id="rId278" display="https://www.webchartnow.com/drummond"/>
    <hyperlink ref="G298" r:id="rId279" display="http://home.meditech.com/en/d/regulatoryresources/pages/certification.htm"/>
    <hyperlink ref="G299" r:id="rId280" display="https://charmtracker.com/ehr/meaningful-use-certified-ehr.html"/>
    <hyperlink ref="G300" r:id="rId281" display="http://www.mediware.com/rehabilitation/why-mediware/meaningful-use-rehabilitation/"/>
    <hyperlink ref="G301" r:id="rId282" display="http://medstreaming.com/Products/EMR"/>
    <hyperlink ref="G302" r:id="rId283" display="http://www.medtech.ws/"/>
    <hyperlink ref="G303" r:id="rId284" location="MergeRIS" display="http://www.merge.com/Landing-Pages/Associated-Charges.aspx - MergeRIS"/>
    <hyperlink ref="G304" r:id="rId285" location="MergeRIS" display="http://www.merge.com/Landing-Pages/Associated-Charges.aspx - MergeRIS"/>
    <hyperlink ref="G305" r:id="rId286" location="Drummond" display="https://www.practicestudio.net/Company/CompanyInformation/Certifications.aspx - Drummond"/>
    <hyperlink ref="G306" r:id="rId287" display="https://www.healthvault.com/us/en/Meaningful-Use"/>
    <hyperlink ref="G307" r:id="rId288" display="http://charttalk.net/2012/price-transparency/"/>
    <hyperlink ref="G309" r:id="rId289" display="http://www.mitchellandmccormick.net/products---services.html"/>
    <hyperlink ref="G310" r:id="rId290" display="http://www.modulemd.com/value-stack/ONC-Certified.html"/>
    <hyperlink ref="G311" r:id="rId291" display="http://www.mydoctorschart.com/disclosures"/>
    <hyperlink ref="G312" r:id="rId292" display="http://www.techcareehr.com/"/>
    <hyperlink ref="G313" r:id="rId293" display="http://navishealth.com/products/engage/"/>
    <hyperlink ref="G314" r:id="rId294" display="http://www.nethealth.com/products/urgent-care/urgent-care-emr/"/>
    <hyperlink ref="G315" r:id="rId295" display="http://www.nethealth.com/products/urgent-care/urgent-care-emr/"/>
    <hyperlink ref="G316" r:id="rId296"/>
    <hyperlink ref="G317" r:id="rId297"/>
    <hyperlink ref="G318" r:id="rId298" display="http://www.nextstepsolutionsinc.com/product-info-behaviorial-health-software.php"/>
    <hyperlink ref="G319" r:id="rId299" display="http://www.nexusclinical.com/certification/"/>
    <hyperlink ref="G320" r:id="rId300" display="http://www.nexusclinical.com/certification/"/>
    <hyperlink ref="G321" r:id="rId301" location="certification" display="http://www.nablemd.com/ - certification"/>
    <hyperlink ref="G322" r:id="rId302" display="http://oasite.com/ONC_certification.asp"/>
    <hyperlink ref="G323" r:id="rId303" display="http://oasite.com/ONC_certification.asp"/>
    <hyperlink ref="G324" r:id="rId304" display="http://www.flexmedical.com/education/mu/certification.aspx"/>
    <hyperlink ref="G325" r:id="rId305"/>
    <hyperlink ref="G326" r:id="rId306" display="http://www.ocuco.us/certification.html"/>
    <hyperlink ref="G327" r:id="rId307" display="https://cms.officeally.com/acb-certification.aspx"/>
    <hyperlink ref="G328" r:id="rId308" display="https://cms.officeally.com/acb-certification.aspx"/>
    <hyperlink ref="G329" r:id="rId309" display="http://omedix.com/products/patient-portal/meaningful-use/"/>
    <hyperlink ref="G330" r:id="rId310" display="http://opendental.com/manual/ehrlicense.html"/>
    <hyperlink ref="G331" r:id="rId311" display="http://healthcareoss.com/wp-content/uploads/2016/03/Mandatory-Disclosure-Statement-MCEMR-2-25-2016-1.pdf"/>
    <hyperlink ref="G332" r:id="rId312" display="http://pbomd.com/price.htm"/>
    <hyperlink ref="G333" r:id="rId313" display="http://pbsinet.com/products-and-services/medical-solutions/"/>
    <hyperlink ref="G334" r:id="rId314" location="fDrummond" display="http://pcisgold.com/ - fDrummond"/>
    <hyperlink ref="G335" r:id="rId315"/>
    <hyperlink ref="G337" r:id="rId316" display="http://patagoniahealth.com/advantages/affordability/"/>
    <hyperlink ref="G338" r:id="rId317"/>
    <hyperlink ref="G339" r:id="rId318" display="http://www.phoenixortho.net/phoenix-ortho-receives-meaningful-use-stage-ii-certification.html"/>
    <hyperlink ref="G340" r:id="rId319" display="http://www.pcc.com/pcc-experience/solution/"/>
    <hyperlink ref="G341" r:id="rId320" display="http://www.plexustg.com/solutions_touch_mu.html"/>
    <hyperlink ref="G342" r:id="rId321" display="http://pbsinet.com/products-and-services/medical-solutions/"/>
    <hyperlink ref="G343" r:id="rId322" display="http://precisioncare.com/news-and-events/"/>
    <hyperlink ref="G344" r:id="rId323" display="http://www.procompsoftware.com/Landers/Page/3/Certified-EHR"/>
    <hyperlink ref="G345" r:id="rId324" display="http://mdsuite.com/meaningful-use-disclosure/"/>
    <hyperlink ref="G346" r:id="rId325" display="http://prognosisinnovation.com/our-products/onc-certified/"/>
    <hyperlink ref="G347" r:id="rId326" display="http://prognosisinnovation.com/our-products/onc-certified/"/>
    <hyperlink ref="G348" r:id="rId327" display="http://patientprompt.com/meaningful-use/"/>
    <hyperlink ref="G350" r:id="rId328" display="http://www.qrshs.com/2014"/>
    <hyperlink ref="G351" r:id="rId329" display="http://www.qrshs.com/2014"/>
    <hyperlink ref="G352" r:id="rId330" display="http://www.quadramed.com/en/solutions_services/clinical_solutions/certifications/united_states/"/>
    <hyperlink ref="G353" r:id="rId331" display="http://www.quadramed.com/en/solutions_services/clinical_solutions/certifications/united_states/"/>
    <hyperlink ref="G354" r:id="rId332" display="http://www.qualifacts.com/news/qualifacts-achieves-comprehensive-stage-2-meaningful-use-certification/"/>
    <hyperlink ref="G355" r:id="rId333" display="http://www.raintreeinc.com/certifications/"/>
    <hyperlink ref="G356" r:id="rId334" display="http://www.relimedsolutions.com/certification.html"/>
    <hyperlink ref="G359" r:id="rId335" display="http://www.rwhc.com/Services/QualityPrograms/RWHCMeaningfulUseeMeasuresSolution.aspx"/>
    <hyperlink ref="G360" r:id="rId336" display="http://www.soapware.com/2014-edition-drummond-certified-ehr/"/>
    <hyperlink ref="G361" r:id="rId337" display="http://sticomputer.com/meaningfuluse/"/>
    <hyperlink ref="G362" r:id="rId338" display="http://sajix.com/PressReleases.php?pg=news"/>
    <hyperlink ref="G363" r:id="rId339" display="http://www.bravadohealth.com/certified-ehr"/>
    <hyperlink ref="G364" r:id="rId340"/>
    <hyperlink ref="G365" r:id="rId341" display="http://www.totaldental.com/ehr-certification-dental-software"/>
    <hyperlink ref="G366" r:id="rId342" display="http://www.silkone.com/EHR-MU-Disclosure.aspx"/>
    <hyperlink ref="G367" r:id="rId343" display="https://pimsyehr.com/resources/meaningful-use"/>
    <hyperlink ref="G368" r:id="rId344" display="http://sohisystems.com/ehrCertification.html"/>
    <hyperlink ref="G369" r:id="rId345"/>
    <hyperlink ref="G370" r:id="rId346" display="http://sourcemed.net/specialty-hospital-software"/>
    <hyperlink ref="G373" r:id="rId347" display="http://www.synaphealth.com/drummond-certificate/"/>
    <hyperlink ref="G374" r:id="rId348" display="http://www.standingstoneinc.com/"/>
    <hyperlink ref="G375" r:id="rId349" display="http://www.standingstoneinc.com/"/>
    <hyperlink ref="G376" r:id="rId350" display="https://www.starmedllc.com/"/>
    <hyperlink ref="G377" r:id="rId351"/>
    <hyperlink ref="G378" r:id="rId352"/>
    <hyperlink ref="G379" r:id="rId353" display="http://www.mdrhythm.com/mdrhythm-onc2014.html"/>
    <hyperlink ref="G380" r:id="rId354" display="http://www.echoman.com/meaningful-use/"/>
    <hyperlink ref="G381" r:id="rId355" display="http://thegaragein.com/ignite"/>
    <hyperlink ref="G382" r:id="rId356" display="http://shamsgroup.com/healthcare-solutions/certified-mu-solutions/"/>
    <hyperlink ref="G383" r:id="rId357"/>
    <hyperlink ref="G384" r:id="rId358" display="http://www.thrasys.com/about/"/>
    <hyperlink ref="G385" r:id="rId359" display="https://www.tranquilmoney.com/disclosure.html"/>
    <hyperlink ref="G386" r:id="rId360"/>
    <hyperlink ref="G387" r:id="rId361" display="http://truvenhealth.com/your-healthcare-focus/hospital-management-decisions/meaningful-use-quality-manager"/>
    <hyperlink ref="G388" r:id="rId362" display="http://www.twinsailstech.com/"/>
    <hyperlink ref="G389" r:id="rId363" display="https://umbiedentalcare.com/price_transparency.html"/>
    <hyperlink ref="G390" r:id="rId364" display="http://www.unicharts.com/certification.html"/>
    <hyperlink ref="G391" r:id="rId365" display="http://unityware.com/us/about/mu-certification/"/>
    <hyperlink ref="G392" r:id="rId366" display="https://www.updox.com/updox-2014-1-onc-hit-certification"/>
    <hyperlink ref="G394" r:id="rId367" location="&amp;panel1-1"/>
    <hyperlink ref="G395" r:id="rId368" display="http://www.vigiboss.com/md4front/ehr-meaningful-use-certification/"/>
    <hyperlink ref="G396" r:id="rId369" display="http://visiontree.com/information/newsevents/meaningfuluse/"/>
    <hyperlink ref="G397" r:id="rId370" display="http://www.startyouruprise.com/certification"/>
    <hyperlink ref="G398" r:id="rId371"/>
    <hyperlink ref="G399" r:id="rId372" display="http://ismartehr.com/"/>
    <hyperlink ref="G400" r:id="rId373" display="http://www.welligent.com/meaningful-use/"/>
    <hyperlink ref="G401" r:id="rId374" display="http://www.practicedirector.com/"/>
    <hyperlink ref="G402" r:id="rId375" display="http://www.medhost.com/about-us/yourcareuniverse-certification"/>
    <hyperlink ref="G403" r:id="rId376" display="http://www.medhost.com/about-us/yourcareuniverse-certification"/>
    <hyperlink ref="G404" r:id="rId377" display="http://info.digichart.com/drummond-certified"/>
    <hyperlink ref="G405" r:id="rId378" display="https://www.eclinicalworks.com/resources/meaningful-use-disclosure/"/>
    <hyperlink ref="G406" r:id="rId379" display="https://www.mywellnessbuddy.com/learn-more"/>
    <hyperlink ref="G407" r:id="rId380" display="http://medq.com/ehr.html"/>
    <hyperlink ref="G408" r:id="rId381"/>
    <hyperlink ref="G297" r:id="rId382" display="http://home.meditech.com/en/d/regulatoryresources/pages/certification.htm"/>
  </hyperlinks>
  <pageMargins left="0.7" right="0.7" top="0.75" bottom="0.75" header="0.3" footer="0.3"/>
  <pageSetup orientation="portrait" r:id="rId3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5"/>
  <sheetViews>
    <sheetView topLeftCell="A377" workbookViewId="0">
      <selection activeCell="E2" sqref="E2:F408"/>
    </sheetView>
  </sheetViews>
  <sheetFormatPr defaultRowHeight="15" x14ac:dyDescent="0.25"/>
  <cols>
    <col min="1" max="1" width="25" style="2" customWidth="1"/>
    <col min="2" max="2" width="15.140625" style="2" customWidth="1"/>
    <col min="3" max="4" width="9.140625" style="2"/>
    <col min="5" max="5" width="30.5703125" style="2" customWidth="1"/>
    <col min="6" max="6" width="47.140625" style="2" customWidth="1"/>
    <col min="7" max="7" width="21" style="2" customWidth="1"/>
    <col min="8" max="8" width="23.28515625" style="2" customWidth="1"/>
    <col min="9" max="9" width="23.85546875" style="2" customWidth="1"/>
    <col min="10" max="16384" width="9.140625" style="2"/>
  </cols>
  <sheetData>
    <row r="1" spans="1:8" x14ac:dyDescent="0.25">
      <c r="A1" s="5" t="s">
        <v>1872</v>
      </c>
      <c r="B1" s="5" t="s">
        <v>1875</v>
      </c>
      <c r="C1" s="5" t="s">
        <v>1878</v>
      </c>
      <c r="D1" s="5" t="s">
        <v>1879</v>
      </c>
      <c r="E1" s="5" t="s">
        <v>1766</v>
      </c>
      <c r="F1" s="6" t="s">
        <v>1767</v>
      </c>
      <c r="G1" s="5" t="s">
        <v>1768</v>
      </c>
      <c r="H1" s="8" t="s">
        <v>1769</v>
      </c>
    </row>
    <row r="2" spans="1:8" x14ac:dyDescent="0.25">
      <c r="A2" s="2" t="str">
        <f>IF(ISBLANK(Drummond!D2),FALSE,LOOKUP(Drummond!D2,Lookup!$A$2:$B$4))</f>
        <v>Affirmative</v>
      </c>
      <c r="B2" s="2" t="str">
        <f>IF(ISBLANK(Drummond!E2),FALSE,TRIM(Drummond!E2))</f>
        <v>09112014-2755-1</v>
      </c>
      <c r="C2" s="2" t="str">
        <f>IF(ISBLANK(Drummond!F2),FALSE,LOOKUP(Drummond!F2,Lookup!$A$6:$B$7))</f>
        <v>All</v>
      </c>
      <c r="D2" s="2" t="str">
        <f>IF(ISBLANK(Drummond!G2),FALSE,Drummond!G2)</f>
        <v>http://www.advancedmd.com/products/electronic-health-records#disclosure-statement</v>
      </c>
      <c r="E2" s="2" t="str">
        <f>IF(NOT(ISBLANK(Drummond!D2)),IF(OR(ISBLANK(Drummond!E2),Drummond!E2="N/A"),"no acb code",CONCATENATE(Lookup!F$1,A2,Lookup!G$1,B2,Lookup!H$1,H$1,Lookup!I$1)),"no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'09112014-2755-1' and cb."name" = 'Drummond Group Inc.' and cp.product_version_id = pv.product_version_id and pv.product_id = p.product_id and p.vendor_id = vend.vendor_id;</v>
      </c>
      <c r="F2" s="2" t="str">
        <f>IF(AND(NOT(ISBLANK(Drummond!G2)),Drummond!G2&lt;&gt;"N/A"),IF(C2="All",CONCATENATE(Lookup!F$2,D2,Lookup!G$2,B2,Lookup!H$2,H$1,Lookup!I$2),CONCATENATE(Lookup!F$3,D2,Lookup!G$3,B2,Lookup!H$3)),"no url")</f>
        <v>update openchpl.certified_product as cp set transparency_attestation_url = 'http://www.advancedmd.com/products/electronic-health-records#disclosure-statement' from (select certified_product_id from (select vend.vendor_code from openchpl.certified_product as cp, openchpl.product_version as pv, openchpl.product as p, openchpl.vendor as vend where cp.acb_certification_id = '09112014-2755-1'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" spans="1:8" x14ac:dyDescent="0.25">
      <c r="A3" s="2" t="str">
        <f>IF(ISBLANK(Drummond!D3),FALSE,LOOKUP(Drummond!D3,Lookup!$A$2:$B$4))</f>
        <v>Negative</v>
      </c>
      <c r="B3" s="2" t="str">
        <f>IF(ISBLANK(Drummond!E3),FALSE,TRIM(Drummond!E3))</f>
        <v>11212014-2701-1</v>
      </c>
      <c r="C3" s="2" t="str">
        <f>IF(ISBLANK(Drummond!F3),FALSE,LOOKUP(Drummond!F3,Lookup!$A$6:$B$7))</f>
        <v>All</v>
      </c>
      <c r="D3" s="2" t="str">
        <f>IF(ISBLANK(Drummond!G3),FALSE,Drummond!G3)</f>
        <v>http://www.alert-online.com/news/company/alert-ehr-v264-is-2014-edition-certified</v>
      </c>
      <c r="E3" s="2" t="str">
        <f>IF(NOT(ISBLANK(Drummond!D3)),IF(OR(ISBLANK(Drummond!E3),Drummond!E3="N/A"),"no acb code",CONCATENATE(Lookup!F$1,A3,Lookup!G$1,B3,Lookup!H$1,H$1,Lookup!I$1)),"no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'11212014-2701-1' and cb."name" = 'Drummond Group Inc.' and cp.product_version_id = pv.product_version_id and pv.product_id = p.product_id and p.vendor_id = vend.vendor_id;</v>
      </c>
      <c r="F3" s="2" t="str">
        <f>IF(AND(NOT(ISBLANK(Drummond!G3)),Drummond!G3&lt;&gt;"N/A"),IF(C3="All",CONCATENATE(Lookup!F$2,D3,Lookup!G$2,B3,Lookup!H$2,H$1,Lookup!I$2),CONCATENATE(Lookup!F$3,D3,Lookup!G$3,B3,Lookup!H$3)),"no url")</f>
        <v>update openchpl.certified_product as cp set transparency_attestation_url = 'http://www.alert-online.com/news/company/alert-ehr-v264-is-2014-edition-certified' from (select certified_product_id from (select vend.vendor_code from openchpl.certified_product as cp, openchpl.product_version as pv, openchpl.product as p, openchpl.vendor as vend where cp.acb_certification_id = '11212014-2701-1'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" spans="1:8" x14ac:dyDescent="0.25">
      <c r="A4" s="2" t="str">
        <f>IF(ISBLANK(Drummond!D4),FALSE,LOOKUP(Drummond!D4,Lookup!$A$2:$B$4))</f>
        <v>Affirmative</v>
      </c>
      <c r="B4" s="2" t="str">
        <f>IF(ISBLANK(Drummond!E4),FALSE,TRIM(Drummond!E4))</f>
        <v>03202014-2546-1</v>
      </c>
      <c r="C4" s="2" t="str">
        <f>IF(ISBLANK(Drummond!F4),FALSE,LOOKUP(Drummond!F4,Lookup!$A$6:$B$7))</f>
        <v>All</v>
      </c>
      <c r="D4" s="2" t="str">
        <f>IF(ISBLANK(Drummond!G4),FALSE,Drummond!G4)</f>
        <v>http://www.allscripts.com/terms-of-use/documents</v>
      </c>
      <c r="E4" s="2" t="str">
        <f>IF(NOT(ISBLANK(Drummond!D4)),IF(OR(ISBLANK(Drummond!E4),Drummond!E4="N/A"),"no acb code",CONCATENATE(Lookup!F$1,A4,Lookup!G$1,B4,Lookup!H$1,H$1,Lookup!I$1)),"no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'03202014-2546-1' and cb."name" = 'Drummond Group Inc.' and cp.product_version_id = pv.product_version_id and pv.product_id = p.product_id and p.vendor_id = vend.vendor_id;</v>
      </c>
      <c r="F4" s="2" t="str">
        <f>IF(AND(NOT(ISBLANK(Drummond!G4)),Drummond!G4&lt;&gt;"N/A"),IF(C4="All",CONCATENATE(Lookup!F$2,D4,Lookup!G$2,B4,Lookup!H$2,H$1,Lookup!I$2),CONCATENATE(Lookup!F$3,D4,Lookup!G$3,B4,Lookup!H$3)),"no url")</f>
        <v>update openchpl.certified_product as cp set transparency_attestation_url = 'http://www.allscripts.com/terms-of-use/documents' from (select certified_product_id from (select vend.vendor_code from openchpl.certified_product as cp, openchpl.product_version as pv, openchpl.product as p, openchpl.vendor as vend where cp.acb_certification_id = '03202014-2546-1'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" spans="1:8" x14ac:dyDescent="0.25">
      <c r="A5" s="2" t="str">
        <f>IF(ISBLANK(Drummond!D5),FALSE,LOOKUP(Drummond!D5,Lookup!$A$2:$B$4))</f>
        <v>Affirmative</v>
      </c>
      <c r="B5" s="2" t="str">
        <f>IF(ISBLANK(Drummond!E5),FALSE,TRIM(Drummond!E5))</f>
        <v>02072014-2156-1</v>
      </c>
      <c r="C5" s="2" t="str">
        <f>IF(ISBLANK(Drummond!F5),FALSE,LOOKUP(Drummond!F5,Lookup!$A$6:$B$7))</f>
        <v>All</v>
      </c>
      <c r="D5" s="2" t="str">
        <f>IF(ISBLANK(Drummond!G5),FALSE,Drummond!G5)</f>
        <v>http://crystalpm.com/certification/</v>
      </c>
      <c r="E5" s="2" t="str">
        <f>IF(NOT(ISBLANK(Drummond!D5)),IF(OR(ISBLANK(Drummond!E5),Drummond!E5="N/A"),"no acb code",CONCATENATE(Lookup!F$1,A5,Lookup!G$1,B5,Lookup!H$1,H$1,Lookup!I$1)),"no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'02072014-2156-1' and cb."name" = 'Drummond Group Inc.' and cp.product_version_id = pv.product_version_id and pv.product_id = p.product_id and p.vendor_id = vend.vendor_id;</v>
      </c>
      <c r="F5" s="2" t="str">
        <f>IF(AND(NOT(ISBLANK(Drummond!G5)),Drummond!G5&lt;&gt;"N/A"),IF(C5="All",CONCATENATE(Lookup!F$2,D5,Lookup!G$2,B5,Lookup!H$2,H$1,Lookup!I$2),CONCATENATE(Lookup!F$3,D5,Lookup!G$3,B5,Lookup!H$3)),"no url")</f>
        <v>update openchpl.certified_product as cp set transparency_attestation_url = 'http://crystalpm.com/certification/' from (select certified_product_id from (select vend.vendor_code from openchpl.certified_product as cp, openchpl.product_version as pv, openchpl.product as p, openchpl.vendor as vend where cp.acb_certification_id = '02072014-2156-1'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" spans="1:8" x14ac:dyDescent="0.25">
      <c r="A6" s="2" t="str">
        <f>IF(ISBLANK(Drummond!D6),FALSE,LOOKUP(Drummond!D6,Lookup!$A$2:$B$4))</f>
        <v>Affirmative</v>
      </c>
      <c r="B6" s="2" t="str">
        <f>IF(ISBLANK(Drummond!E6),FALSE,TRIM(Drummond!E6))</f>
        <v>05082014-2325-9</v>
      </c>
      <c r="C6" s="2" t="str">
        <f>IF(ISBLANK(Drummond!F6),FALSE,LOOKUP(Drummond!F6,Lookup!$A$6:$B$7))</f>
        <v>Single</v>
      </c>
      <c r="D6" s="2" t="str">
        <f>IF(ISBLANK(Drummond!G6),FALSE,Drummond!G6)</f>
        <v>http://www.acmeware.com/meaningful-use-for-eligible-hospitals.aspx</v>
      </c>
      <c r="E6" s="2" t="str">
        <f>IF(NOT(ISBLANK(Drummond!D6)),IF(OR(ISBLANK(Drummond!E6),Drummond!E6="N/A"),"no acb code",CONCATENATE(Lookup!F$1,A6,Lookup!G$1,B6,Lookup!H$1,H$1,Lookup!I$1)),"no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'05082014-2325-9' and cb."name" = 'Drummond Group Inc.' and cp.product_version_id = pv.product_version_id and pv.product_id = p.product_id and p.vendor_id = vend.vendor_id;</v>
      </c>
      <c r="F6" s="2" t="str">
        <f>IF(AND(NOT(ISBLANK(Drummond!G6)),Drummond!G6&lt;&gt;"N/A"),IF(C6="All",CONCATENATE(Lookup!F$2,D6,Lookup!G$2,B6,Lookup!H$2,H$1,Lookup!I$2),CONCATENATE(Lookup!F$3,D6,Lookup!G$3,B6,Lookup!H$3)),"no url")</f>
        <v>update openchpl.certified_product as cp set transparency_attestation_url = 'http://www.acmeware.com/meaningful-use-for-eligible-hospitals.aspx' from (select certified_product_id from openchpl.certified_product as cp where cp.acb_certification_id = '05082014-2325-9') as subquery where cp.certified_product_id = subquery.certified_product_id;</v>
      </c>
    </row>
    <row r="7" spans="1:8" x14ac:dyDescent="0.25">
      <c r="A7" s="2" t="str">
        <f>IF(ISBLANK(Drummond!D7),FALSE,LOOKUP(Drummond!D7,Lookup!$A$2:$B$4))</f>
        <v>Affirmative</v>
      </c>
      <c r="B7" s="2" t="str">
        <f>IF(ISBLANK(Drummond!E7),FALSE,TRIM(Drummond!E7))</f>
        <v>09262013-2128-9</v>
      </c>
      <c r="C7" s="2" t="str">
        <f>IF(ISBLANK(Drummond!F7),FALSE,LOOKUP(Drummond!F7,Lookup!$A$6:$B$7))</f>
        <v>Single</v>
      </c>
      <c r="D7" s="2" t="str">
        <f>IF(ISBLANK(Drummond!G7),FALSE,Drummond!G7)</f>
        <v>http://www.acmeware.com/meaningful-use-for-eligible-hospitals.aspx</v>
      </c>
      <c r="E7" s="2" t="str">
        <f>IF(NOT(ISBLANK(Drummond!D7)),IF(OR(ISBLANK(Drummond!E7),Drummond!E7="N/A"),"no acb code",CONCATENATE(Lookup!F$1,A7,Lookup!G$1,B7,Lookup!H$1,H$1,Lookup!I$1)),"no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'09262013-2128-9' and cb."name" = 'Drummond Group Inc.' and cp.product_version_id = pv.product_version_id and pv.product_id = p.product_id and p.vendor_id = vend.vendor_id;</v>
      </c>
      <c r="F7" s="2" t="str">
        <f>IF(AND(NOT(ISBLANK(Drummond!G7)),Drummond!G7&lt;&gt;"N/A"),IF(C7="All",CONCATENATE(Lookup!F$2,D7,Lookup!G$2,B7,Lookup!H$2,H$1,Lookup!I$2),CONCATENATE(Lookup!F$3,D7,Lookup!G$3,B7,Lookup!H$3)),"no url")</f>
        <v>update openchpl.certified_product as cp set transparency_attestation_url = 'http://www.acmeware.com/meaningful-use-for-eligible-hospitals.aspx' from (select certified_product_id from openchpl.certified_product as cp where cp.acb_certification_id = '09262013-2128-9') as subquery where cp.certified_product_id = subquery.certified_product_id;</v>
      </c>
    </row>
    <row r="8" spans="1:8" x14ac:dyDescent="0.25">
      <c r="A8" s="2" t="str">
        <f>IF(ISBLANK(Drummond!D8),FALSE,LOOKUP(Drummond!D8,Lookup!$A$2:$B$4))</f>
        <v>Affirmative</v>
      </c>
      <c r="B8" s="2" t="str">
        <f>IF(ISBLANK(Drummond!E8),FALSE,TRIM(Drummond!E8))</f>
        <v>12032015-4440-6</v>
      </c>
      <c r="C8" s="2" t="str">
        <f>IF(ISBLANK(Drummond!F8),FALSE,LOOKUP(Drummond!F8,Lookup!$A$6:$B$7))</f>
        <v>Single</v>
      </c>
      <c r="D8" s="2" t="str">
        <f>IF(ISBLANK(Drummond!G8),FALSE,Drummond!G8)</f>
        <v>http://www.acmeware.com/meaningful-use-for-eligible-providers.aspx</v>
      </c>
      <c r="E8" s="2" t="str">
        <f>IF(NOT(ISBLANK(Drummond!D8)),IF(OR(ISBLANK(Drummond!E8),Drummond!E8="N/A"),"no acb code",CONCATENATE(Lookup!F$1,A8,Lookup!G$1,B8,Lookup!H$1,H$1,Lookup!I$1)),"no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'12032015-4440-6' and cb."name" = 'Drummond Group Inc.' and cp.product_version_id = pv.product_version_id and pv.product_id = p.product_id and p.vendor_id = vend.vendor_id;</v>
      </c>
      <c r="F8" s="2" t="str">
        <f>IF(AND(NOT(ISBLANK(Drummond!G8)),Drummond!G8&lt;&gt;"N/A"),IF(C8="All",CONCATENATE(Lookup!F$2,D8,Lookup!G$2,B8,Lookup!H$2,H$1,Lookup!I$2),CONCATENATE(Lookup!F$3,D8,Lookup!G$3,B8,Lookup!H$3)),"no url")</f>
        <v>update openchpl.certified_product as cp set transparency_attestation_url = 'http://www.acmeware.com/meaningful-use-for-eligible-providers.aspx' from (select certified_product_id from openchpl.certified_product as cp where cp.acb_certification_id = '12032015-4440-6') as subquery where cp.certified_product_id = subquery.certified_product_id;</v>
      </c>
    </row>
    <row r="9" spans="1:8" x14ac:dyDescent="0.25">
      <c r="A9" s="2" t="str">
        <f>IF(ISBLANK(Drummond!D9),FALSE,LOOKUP(Drummond!D9,Lookup!$A$2:$B$4))</f>
        <v>Affirmative</v>
      </c>
      <c r="B9" s="2" t="str">
        <f>IF(ISBLANK(Drummond!E9),FALSE,TRIM(Drummond!E9))</f>
        <v>11212013-2324-9</v>
      </c>
      <c r="C9" s="2" t="str">
        <f>IF(ISBLANK(Drummond!F9),FALSE,LOOKUP(Drummond!F9,Lookup!$A$6:$B$7))</f>
        <v>Single</v>
      </c>
      <c r="D9" s="2" t="str">
        <f>IF(ISBLANK(Drummond!G9),FALSE,Drummond!G9)</f>
        <v>http://www.acmeware.com/meaningful-use-for-eligible-hospitals.aspx</v>
      </c>
      <c r="E9" s="2" t="str">
        <f>IF(NOT(ISBLANK(Drummond!D9)),IF(OR(ISBLANK(Drummond!E9),Drummond!E9="N/A"),"no acb code",CONCATENATE(Lookup!F$1,A9,Lookup!G$1,B9,Lookup!H$1,H$1,Lookup!I$1)),"no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'11212013-2324-9' and cb."name" = 'Drummond Group Inc.' and cp.product_version_id = pv.product_version_id and pv.product_id = p.product_id and p.vendor_id = vend.vendor_id;</v>
      </c>
      <c r="F9" s="2" t="str">
        <f>IF(AND(NOT(ISBLANK(Drummond!G9)),Drummond!G9&lt;&gt;"N/A"),IF(C9="All",CONCATENATE(Lookup!F$2,D9,Lookup!G$2,B9,Lookup!H$2,H$1,Lookup!I$2),CONCATENATE(Lookup!F$3,D9,Lookup!G$3,B9,Lookup!H$3)),"no url")</f>
        <v>update openchpl.certified_product as cp set transparency_attestation_url = 'http://www.acmeware.com/meaningful-use-for-eligible-hospitals.aspx' from (select certified_product_id from openchpl.certified_product as cp where cp.acb_certification_id = '11212013-2324-9') as subquery where cp.certified_product_id = subquery.certified_product_id;</v>
      </c>
    </row>
    <row r="10" spans="1:8" x14ac:dyDescent="0.25">
      <c r="A10" s="2" t="str">
        <f>IF(ISBLANK(Drummond!D10),FALSE,LOOKUP(Drummond!D10,Lookup!$A$2:$B$4))</f>
        <v>Affirmative</v>
      </c>
      <c r="B10" s="2" t="str">
        <f>IF(ISBLANK(Drummond!E10),FALSE,TRIM(Drummond!E10))</f>
        <v>12302014-2976-6</v>
      </c>
      <c r="C10" s="2" t="str">
        <f>IF(ISBLANK(Drummond!F10),FALSE,LOOKUP(Drummond!F10,Lookup!$A$6:$B$7))</f>
        <v>Single</v>
      </c>
      <c r="D10" s="2" t="str">
        <f>IF(ISBLANK(Drummond!G10),FALSE,Drummond!G10)</f>
        <v>http://www.acmeware.com/meaningful-use-for-eligible-providers.aspx</v>
      </c>
      <c r="E10" s="2" t="str">
        <f>IF(NOT(ISBLANK(Drummond!D10)),IF(OR(ISBLANK(Drummond!E10),Drummond!E10="N/A"),"no acb code",CONCATENATE(Lookup!F$1,A10,Lookup!G$1,B10,Lookup!H$1,H$1,Lookup!I$1)),"no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'12302014-2976-6' and cb."name" = 'Drummond Group Inc.' and cp.product_version_id = pv.product_version_id and pv.product_id = p.product_id and p.vendor_id = vend.vendor_id;</v>
      </c>
      <c r="F10" s="2" t="str">
        <f>IF(AND(NOT(ISBLANK(Drummond!G10)),Drummond!G10&lt;&gt;"N/A"),IF(C10="All",CONCATENATE(Lookup!F$2,D10,Lookup!G$2,B10,Lookup!H$2,H$1,Lookup!I$2),CONCATENATE(Lookup!F$3,D10,Lookup!G$3,B10,Lookup!H$3)),"no url")</f>
        <v>update openchpl.certified_product as cp set transparency_attestation_url = 'http://www.acmeware.com/meaningful-use-for-eligible-providers.aspx' from (select certified_product_id from openchpl.certified_product as cp where cp.acb_certification_id = '12302014-2976-6') as subquery where cp.certified_product_id = subquery.certified_product_id;</v>
      </c>
    </row>
    <row r="11" spans="1:8" x14ac:dyDescent="0.25">
      <c r="A11" s="2" t="str">
        <f>IF(ISBLANK(Drummond!D11),FALSE,LOOKUP(Drummond!D11,Lookup!$A$2:$B$4))</f>
        <v>Negative</v>
      </c>
      <c r="B11" s="2" t="str">
        <f>IF(ISBLANK(Drummond!E11),FALSE,TRIM(Drummond!E11))</f>
        <v>02162015-2416-3</v>
      </c>
      <c r="C11" s="2" t="str">
        <f>IF(ISBLANK(Drummond!F11),FALSE,LOOKUP(Drummond!F11,Lookup!$A$6:$B$7))</f>
        <v>All</v>
      </c>
      <c r="D11" s="2" t="str">
        <f>IF(ISBLANK(Drummond!G11),FALSE,Drummond!G11)</f>
        <v>http://www.writepad.com/#!meaningful-use/syrai</v>
      </c>
      <c r="E11" s="2" t="str">
        <f>IF(NOT(ISBLANK(Drummond!D11)),IF(OR(ISBLANK(Drummond!E11),Drummond!E11="N/A"),"no acb code",CONCATENATE(Lookup!F$1,A11,Lookup!G$1,B11,Lookup!H$1,H$1,Lookup!I$1)),"no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'02162015-2416-3' and cb."name" = 'Drummond Group Inc.' and cp.product_version_id = pv.product_version_id and pv.product_id = p.product_id and p.vendor_id = vend.vendor_id;</v>
      </c>
      <c r="F11" s="2" t="str">
        <f>IF(AND(NOT(ISBLANK(Drummond!G11)),Drummond!G11&lt;&gt;"N/A"),IF(C11="All",CONCATENATE(Lookup!F$2,D11,Lookup!G$2,B11,Lookup!H$2,H$1,Lookup!I$2),CONCATENATE(Lookup!F$3,D11,Lookup!G$3,B11,Lookup!H$3)),"no url")</f>
        <v>update openchpl.certified_product as cp set transparency_attestation_url = 'http://www.writepad.com/#!meaningful-use/syrai' from (select certified_product_id from (select vend.vendor_code from openchpl.certified_product as cp, openchpl.product_version as pv, openchpl.product as p, openchpl.vendor as vend where cp.acb_certification_id = '02162015-2416-3'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" spans="1:8" x14ac:dyDescent="0.25">
      <c r="A12" s="2" t="str">
        <f>IF(ISBLANK(Drummond!D12),FALSE,LOOKUP(Drummond!D12,Lookup!$A$2:$B$4))</f>
        <v>Affirmative</v>
      </c>
      <c r="B12" s="2" t="str">
        <f>IF(ISBLANK(Drummond!E12),FALSE,TRIM(Drummond!E12))</f>
        <v>07102014-2482-6</v>
      </c>
      <c r="C12" s="2" t="str">
        <f>IF(ISBLANK(Drummond!F12),FALSE,LOOKUP(Drummond!F12,Lookup!$A$6:$B$7))</f>
        <v>All</v>
      </c>
      <c r="D12" s="2" t="str">
        <f>IF(ISBLANK(Drummond!G12),FALSE,Drummond!G12)</f>
        <v>https://paydc.com/about-paydc/ehr-certification/</v>
      </c>
      <c r="E12" s="2" t="str">
        <f>IF(NOT(ISBLANK(Drummond!D12)),IF(OR(ISBLANK(Drummond!E12),Drummond!E12="N/A"),"no acb code",CONCATENATE(Lookup!F$1,A12,Lookup!G$1,B12,Lookup!H$1,H$1,Lookup!I$1)),"no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'07102014-2482-6' and cb."name" = 'Drummond Group Inc.' and cp.product_version_id = pv.product_version_id and pv.product_id = p.product_id and p.vendor_id = vend.vendor_id;</v>
      </c>
      <c r="F12" s="2" t="str">
        <f>IF(AND(NOT(ISBLANK(Drummond!G12)),Drummond!G12&lt;&gt;"N/A"),IF(C12="All",CONCATENATE(Lookup!F$2,D12,Lookup!G$2,B12,Lookup!H$2,H$1,Lookup!I$2),CONCATENATE(Lookup!F$3,D12,Lookup!G$3,B12,Lookup!H$3)),"no url")</f>
        <v>update openchpl.certified_product as cp set transparency_attestation_url = 'https://paydc.com/about-paydc/ehr-certification/' from (select certified_product_id from (select vend.vendor_code from openchpl.certified_product as cp, openchpl.product_version as pv, openchpl.product as p, openchpl.vendor as vend where cp.acb_certification_id = '07102014-2482-6'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" spans="1:8" x14ac:dyDescent="0.25">
      <c r="A13" s="2" t="str">
        <f>IF(ISBLANK(Drummond!D13),FALSE,LOOKUP(Drummond!D13,Lookup!$A$2:$B$4))</f>
        <v>Affirmative</v>
      </c>
      <c r="B13" s="2" t="str">
        <f>IF(ISBLANK(Drummond!E13),FALSE,TRIM(Drummond!E13))</f>
        <v>08022013-1889-1</v>
      </c>
      <c r="C13" s="2" t="str">
        <f>IF(ISBLANK(Drummond!F13),FALSE,LOOKUP(Drummond!F13,Lookup!$A$6:$B$7))</f>
        <v>All</v>
      </c>
      <c r="D13" s="2" t="str">
        <f>IF(ISBLANK(Drummond!G13),FALSE,Drummond!G13)</f>
        <v>http://www.allscripts.com/terms-of-use/documents</v>
      </c>
      <c r="E13" s="2" t="str">
        <f>IF(NOT(ISBLANK(Drummond!D13)),IF(OR(ISBLANK(Drummond!E13),Drummond!E13="N/A"),"no acb code",CONCATENATE(Lookup!F$1,A13,Lookup!G$1,B13,Lookup!H$1,H$1,Lookup!I$1)),"no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'08022013-1889-1' and cb."name" = 'Drummond Group Inc.' and cp.product_version_id = pv.product_version_id and pv.product_id = p.product_id and p.vendor_id = vend.vendor_id;</v>
      </c>
      <c r="F13" s="2" t="str">
        <f>IF(AND(NOT(ISBLANK(Drummond!G13)),Drummond!G13&lt;&gt;"N/A"),IF(C13="All",CONCATENATE(Lookup!F$2,D13,Lookup!G$2,B13,Lookup!H$2,H$1,Lookup!I$2),CONCATENATE(Lookup!F$3,D13,Lookup!G$3,B13,Lookup!H$3)),"no url")</f>
        <v>update openchpl.certified_product as cp set transparency_attestation_url = 'http://www.allscripts.com/terms-of-use/documents' from (select certified_product_id from (select vend.vendor_code from openchpl.certified_product as cp, openchpl.product_version as pv, openchpl.product as p, openchpl.vendor as vend where cp.acb_certification_id = '08022013-1889-1'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" spans="1:8" x14ac:dyDescent="0.25">
      <c r="A14" s="2" t="str">
        <f>IF(ISBLANK(Drummond!D14),FALSE,LOOKUP(Drummond!D14,Lookup!$A$2:$B$4))</f>
        <v>Affirmative</v>
      </c>
      <c r="B14" s="2" t="str">
        <f>IF(ISBLANK(Drummond!E14),FALSE,TRIM(Drummond!E14))</f>
        <v>10222015-4500-6</v>
      </c>
      <c r="C14" s="2" t="str">
        <f>IF(ISBLANK(Drummond!F14),FALSE,LOOKUP(Drummond!F14,Lookup!$A$6:$B$7))</f>
        <v>All</v>
      </c>
      <c r="D14" s="2" t="str">
        <f>IF(ISBLANK(Drummond!G14),FALSE,Drummond!G14)</f>
        <v>http://www.allscripts.com/terms-of-use/documents</v>
      </c>
      <c r="E14" s="2" t="str">
        <f>IF(NOT(ISBLANK(Drummond!D14)),IF(OR(ISBLANK(Drummond!E14),Drummond!E14="N/A"),"no acb code",CONCATENATE(Lookup!F$1,A14,Lookup!G$1,B14,Lookup!H$1,H$1,Lookup!I$1)),"no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'10222015-4500-6' and cb."name" = 'Drummond Group Inc.' and cp.product_version_id = pv.product_version_id and pv.product_id = p.product_id and p.vendor_id = vend.vendor_id;</v>
      </c>
      <c r="F14" s="2" t="str">
        <f>IF(AND(NOT(ISBLANK(Drummond!G14)),Drummond!G14&lt;&gt;"N/A"),IF(C14="All",CONCATENATE(Lookup!F$2,D14,Lookup!G$2,B14,Lookup!H$2,H$1,Lookup!I$2),CONCATENATE(Lookup!F$3,D14,Lookup!G$3,B14,Lookup!H$3)),"no url")</f>
        <v>update openchpl.certified_product as cp set transparency_attestation_url = 'http://www.allscripts.com/terms-of-use/documents' from (select certified_product_id from (select vend.vendor_code from openchpl.certified_product as cp, openchpl.product_version as pv, openchpl.product as p, openchpl.vendor as vend where cp.acb_certification_id = '10222015-4500-6'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" spans="1:8" x14ac:dyDescent="0.25">
      <c r="A15" s="2" t="str">
        <f>IF(ISBLANK(Drummond!D15),FALSE,LOOKUP(Drummond!D15,Lookup!$A$2:$B$4))</f>
        <v>Affirmative</v>
      </c>
      <c r="B15" s="2" t="str">
        <f>IF(ISBLANK(Drummond!E15),FALSE,TRIM(Drummond!E15))</f>
        <v>05142015-2820-8</v>
      </c>
      <c r="C15" s="2" t="str">
        <f>IF(ISBLANK(Drummond!F15),FALSE,LOOKUP(Drummond!F15,Lookup!$A$6:$B$7))</f>
        <v>All</v>
      </c>
      <c r="D15" s="2" t="str">
        <f>IF(ISBLANK(Drummond!G15),FALSE,Drummond!G15)</f>
        <v>http://www.americanmedicalsolution.com/AMS/HeliosEMR.aspx</v>
      </c>
      <c r="E15" s="2" t="str">
        <f>IF(NOT(ISBLANK(Drummond!D15)),IF(OR(ISBLANK(Drummond!E15),Drummond!E15="N/A"),"no acb code",CONCATENATE(Lookup!F$1,A15,Lookup!G$1,B15,Lookup!H$1,H$1,Lookup!I$1)),"no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'05142015-2820-8' and cb."name" = 'Drummond Group Inc.' and cp.product_version_id = pv.product_version_id and pv.product_id = p.product_id and p.vendor_id = vend.vendor_id;</v>
      </c>
      <c r="F15" s="2" t="str">
        <f>IF(AND(NOT(ISBLANK(Drummond!G15)),Drummond!G15&lt;&gt;"N/A"),IF(C15="All",CONCATENATE(Lookup!F$2,D15,Lookup!G$2,B15,Lookup!H$2,H$1,Lookup!I$2),CONCATENATE(Lookup!F$3,D15,Lookup!G$3,B15,Lookup!H$3)),"no url")</f>
        <v>update openchpl.certified_product as cp set transparency_attestation_url = 'http://www.americanmedicalsolution.com/AMS/HeliosEMR.aspx' from (select certified_product_id from (select vend.vendor_code from openchpl.certified_product as cp, openchpl.product_version as pv, openchpl.product as p, openchpl.vendor as vend where cp.acb_certification_id = '05142015-2820-8'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" spans="1:8" x14ac:dyDescent="0.25">
      <c r="A16" s="2" t="str">
        <f>IF(ISBLANK(Drummond!D16),FALSE,LOOKUP(Drummond!D16,Lookup!$A$2:$B$4))</f>
        <v>Affirmative</v>
      </c>
      <c r="B16" s="2" t="str">
        <f>IF(ISBLANK(Drummond!E16),FALSE,TRIM(Drummond!E16))</f>
        <v>10092014-2853-6</v>
      </c>
      <c r="C16" s="2" t="str">
        <f>IF(ISBLANK(Drummond!F16),FALSE,LOOKUP(Drummond!F16,Lookup!$A$6:$B$7))</f>
        <v>All</v>
      </c>
      <c r="D16" s="2" t="str">
        <f>IF(ISBLANK(Drummond!G16),FALSE,Drummond!G16)</f>
        <v>http://www.amritamedical.com/drummondCert.html</v>
      </c>
      <c r="E16" s="2" t="str">
        <f>IF(NOT(ISBLANK(Drummond!D16)),IF(OR(ISBLANK(Drummond!E16),Drummond!E16="N/A"),"no acb code",CONCATENATE(Lookup!F$1,A16,Lookup!G$1,B16,Lookup!H$1,H$1,Lookup!I$1)),"no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'10092014-2853-6' and cb."name" = 'Drummond Group Inc.' and cp.product_version_id = pv.product_version_id and pv.product_id = p.product_id and p.vendor_id = vend.vendor_id;</v>
      </c>
      <c r="F16" s="2" t="str">
        <f>IF(AND(NOT(ISBLANK(Drummond!G16)),Drummond!G16&lt;&gt;"N/A"),IF(C16="All",CONCATENATE(Lookup!F$2,D16,Lookup!G$2,B16,Lookup!H$2,H$1,Lookup!I$2),CONCATENATE(Lookup!F$3,D16,Lookup!G$3,B16,Lookup!H$3)),"no url")</f>
        <v>update openchpl.certified_product as cp set transparency_attestation_url = 'http://www.amritamedical.com/drummondCert.html' from (select certified_product_id from (select vend.vendor_code from openchpl.certified_product as cp, openchpl.product_version as pv, openchpl.product as p, openchpl.vendor as vend where cp.acb_certification_id = '10092014-2853-6'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" spans="1:6" x14ac:dyDescent="0.25">
      <c r="A17" s="2" t="str">
        <f>IF(ISBLANK(Drummond!D17),FALSE,LOOKUP(Drummond!D17,Lookup!$A$2:$B$4))</f>
        <v>Affirmative</v>
      </c>
      <c r="B17" s="2" t="str">
        <f>IF(ISBLANK(Drummond!E17),FALSE,TRIM(Drummond!E17))</f>
        <v>05072015-0209-6</v>
      </c>
      <c r="C17" s="2" t="str">
        <f>IF(ISBLANK(Drummond!F17),FALSE,LOOKUP(Drummond!F17,Lookup!$A$6:$B$7))</f>
        <v>Single</v>
      </c>
      <c r="D17" s="2" t="str">
        <f>IF(ISBLANK(Drummond!G17),FALSE,Drummond!G17)</f>
        <v>http://www.antheliohealth.com/engage.html</v>
      </c>
      <c r="E17" s="2" t="str">
        <f>IF(NOT(ISBLANK(Drummond!D17)),IF(OR(ISBLANK(Drummond!E17),Drummond!E17="N/A"),"no acb code",CONCATENATE(Lookup!F$1,A17,Lookup!G$1,B17,Lookup!H$1,H$1,Lookup!I$1)),"no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'05072015-0209-6' and cb."name" = 'Drummond Group Inc.' and cp.product_version_id = pv.product_version_id and pv.product_id = p.product_id and p.vendor_id = vend.vendor_id;</v>
      </c>
      <c r="F17" s="2" t="str">
        <f>IF(AND(NOT(ISBLANK(Drummond!G17)),Drummond!G17&lt;&gt;"N/A"),IF(C17="All",CONCATENATE(Lookup!F$2,D17,Lookup!G$2,B17,Lookup!H$2,H$1,Lookup!I$2),CONCATENATE(Lookup!F$3,D17,Lookup!G$3,B17,Lookup!H$3)),"no url")</f>
        <v>update openchpl.certified_product as cp set transparency_attestation_url = 'http://www.antheliohealth.com/engage.html' from (select certified_product_id from openchpl.certified_product as cp where cp.acb_certification_id = '05072015-0209-6') as subquery where cp.certified_product_id = subquery.certified_product_id;</v>
      </c>
    </row>
    <row r="18" spans="1:6" x14ac:dyDescent="0.25">
      <c r="A18" s="2" t="str">
        <f>IF(ISBLANK(Drummond!D18),FALSE,LOOKUP(Drummond!D18,Lookup!$A$2:$B$4))</f>
        <v>Affirmative</v>
      </c>
      <c r="B18" s="2" t="str">
        <f>IF(ISBLANK(Drummond!E18),FALSE,TRIM(Drummond!E18))</f>
        <v>04142014-2655-6</v>
      </c>
      <c r="C18" s="2" t="str">
        <f>IF(ISBLANK(Drummond!F18),FALSE,LOOKUP(Drummond!F18,Lookup!$A$6:$B$7))</f>
        <v>Single</v>
      </c>
      <c r="D18" s="2" t="str">
        <f>IF(ISBLANK(Drummond!G18),FALSE,Drummond!G18)</f>
        <v>http://www.antheliohealth.com/patient-pulse.html</v>
      </c>
      <c r="E18" s="2" t="str">
        <f>IF(NOT(ISBLANK(Drummond!D18)),IF(OR(ISBLANK(Drummond!E18),Drummond!E18="N/A"),"no acb code",CONCATENATE(Lookup!F$1,A18,Lookup!G$1,B18,Lookup!H$1,H$1,Lookup!I$1)),"no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'04142014-2655-6' and cb."name" = 'Drummond Group Inc.' and cp.product_version_id = pv.product_version_id and pv.product_id = p.product_id and p.vendor_id = vend.vendor_id;</v>
      </c>
      <c r="F18" s="2" t="str">
        <f>IF(AND(NOT(ISBLANK(Drummond!G18)),Drummond!G18&lt;&gt;"N/A"),IF(C18="All",CONCATENATE(Lookup!F$2,D18,Lookup!G$2,B18,Lookup!H$2,H$1,Lookup!I$2),CONCATENATE(Lookup!F$3,D18,Lookup!G$3,B18,Lookup!H$3)),"no url")</f>
        <v>update openchpl.certified_product as cp set transparency_attestation_url = 'http://www.antheliohealth.com/patient-pulse.html' from (select certified_product_id from openchpl.certified_product as cp where cp.acb_certification_id = '04142014-2655-6') as subquery where cp.certified_product_id = subquery.certified_product_id;</v>
      </c>
    </row>
    <row r="19" spans="1:6" x14ac:dyDescent="0.25">
      <c r="A19" s="2" t="str">
        <f>IF(ISBLANK(Drummond!D19),FALSE,LOOKUP(Drummond!D19,Lookup!$A$2:$B$4))</f>
        <v>Affirmative</v>
      </c>
      <c r="B19" s="2" t="str">
        <f>IF(ISBLANK(Drummond!E19),FALSE,TRIM(Drummond!E19))</f>
        <v>04142014-2654-6</v>
      </c>
      <c r="C19" s="2" t="str">
        <f>IF(ISBLANK(Drummond!F19),FALSE,LOOKUP(Drummond!F19,Lookup!$A$6:$B$7))</f>
        <v>Single</v>
      </c>
      <c r="D19" s="2" t="str">
        <f>IF(ISBLANK(Drummond!G19),FALSE,Drummond!G19)</f>
        <v>http://www.antheliohealth.com/patient-pulse.html</v>
      </c>
      <c r="E19" s="2" t="str">
        <f>IF(NOT(ISBLANK(Drummond!D19)),IF(OR(ISBLANK(Drummond!E19),Drummond!E19="N/A"),"no acb code",CONCATENATE(Lookup!F$1,A19,Lookup!G$1,B19,Lookup!H$1,H$1,Lookup!I$1)),"no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'04142014-2654-6' and cb."name" = 'Drummond Group Inc.' and cp.product_version_id = pv.product_version_id and pv.product_id = p.product_id and p.vendor_id = vend.vendor_id;</v>
      </c>
      <c r="F19" s="2" t="str">
        <f>IF(AND(NOT(ISBLANK(Drummond!G19)),Drummond!G19&lt;&gt;"N/A"),IF(C19="All",CONCATENATE(Lookup!F$2,D19,Lookup!G$2,B19,Lookup!H$2,H$1,Lookup!I$2),CONCATENATE(Lookup!F$3,D19,Lookup!G$3,B19,Lookup!H$3)),"no url")</f>
        <v>update openchpl.certified_product as cp set transparency_attestation_url = 'http://www.antheliohealth.com/patient-pulse.html' from (select certified_product_id from openchpl.certified_product as cp where cp.acb_certification_id = '04142014-2654-6') as subquery where cp.certified_product_id = subquery.certified_product_id;</v>
      </c>
    </row>
    <row r="20" spans="1:6" x14ac:dyDescent="0.25">
      <c r="A20" s="2" t="str">
        <f>IF(ISBLANK(Drummond!D20),FALSE,LOOKUP(Drummond!D20,Lookup!$A$2:$B$4))</f>
        <v>Affirmative</v>
      </c>
      <c r="B20" s="2" t="str">
        <f>IF(ISBLANK(Drummond!E20),FALSE,TRIM(Drummond!E20))</f>
        <v>07242014-2647-8</v>
      </c>
      <c r="C20" s="2" t="str">
        <f>IF(ISBLANK(Drummond!F20),FALSE,LOOKUP(Drummond!F20,Lookup!$A$6:$B$7))</f>
        <v>All</v>
      </c>
      <c r="D20" s="2" t="str">
        <f>IF(ISBLANK(Drummond!G20),FALSE,Drummond!G20)</f>
        <v>https://www.arw.in/blog/cozeva-certified-2014-modular-ehr-drummond-group</v>
      </c>
      <c r="E20" s="2" t="str">
        <f>IF(NOT(ISBLANK(Drummond!D20)),IF(OR(ISBLANK(Drummond!E20),Drummond!E20="N/A"),"no acb code",CONCATENATE(Lookup!F$1,A20,Lookup!G$1,B20,Lookup!H$1,H$1,Lookup!I$1)),"no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'07242014-2647-8' and cb."name" = 'Drummond Group Inc.' and cp.product_version_id = pv.product_version_id and pv.product_id = p.product_id and p.vendor_id = vend.vendor_id;</v>
      </c>
      <c r="F20" s="2" t="str">
        <f>IF(AND(NOT(ISBLANK(Drummond!G20)),Drummond!G20&lt;&gt;"N/A"),IF(C20="All",CONCATENATE(Lookup!F$2,D20,Lookup!G$2,B20,Lookup!H$2,H$1,Lookup!I$2),CONCATENATE(Lookup!F$3,D20,Lookup!G$3,B20,Lookup!H$3)),"no url")</f>
        <v>update openchpl.certified_product as cp set transparency_attestation_url = 'https://www.arw.in/blog/cozeva-certified-2014-modular-ehr-drummond-group' from (select certified_product_id from (select vend.vendor_code from openchpl.certified_product as cp, openchpl.product_version as pv, openchpl.product as p, openchpl.vendor as vend where cp.acb_certification_id = '07242014-2647-8'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" spans="1:6" x14ac:dyDescent="0.25">
      <c r="A21" s="2" t="str">
        <f>IF(ISBLANK(Drummond!D21),FALSE,LOOKUP(Drummond!D21,Lookup!$A$2:$B$4))</f>
        <v>Affirmative</v>
      </c>
      <c r="B21" s="2" t="str">
        <f>IF(ISBLANK(Drummond!E21),FALSE,TRIM(Drummond!E21))</f>
        <v>08142014-2058-5</v>
      </c>
      <c r="C21" s="2" t="str">
        <f>IF(ISBLANK(Drummond!F21),FALSE,LOOKUP(Drummond!F21,Lookup!$A$6:$B$7))</f>
        <v>All</v>
      </c>
      <c r="D21" s="2" t="str">
        <f>IF(ISBLANK(Drummond!G21),FALSE,Drummond!G21)</f>
        <v>https://aretehs.com/ehr.html</v>
      </c>
      <c r="E21" s="2" t="str">
        <f>IF(NOT(ISBLANK(Drummond!D21)),IF(OR(ISBLANK(Drummond!E21),Drummond!E21="N/A"),"no acb code",CONCATENATE(Lookup!F$1,A21,Lookup!G$1,B21,Lookup!H$1,H$1,Lookup!I$1)),"no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'08142014-2058-5' and cb."name" = 'Drummond Group Inc.' and cp.product_version_id = pv.product_version_id and pv.product_id = p.product_id and p.vendor_id = vend.vendor_id;</v>
      </c>
      <c r="F21" s="2" t="str">
        <f>IF(AND(NOT(ISBLANK(Drummond!G21)),Drummond!G21&lt;&gt;"N/A"),IF(C21="All",CONCATENATE(Lookup!F$2,D21,Lookup!G$2,B21,Lookup!H$2,H$1,Lookup!I$2),CONCATENATE(Lookup!F$3,D21,Lookup!G$3,B21,Lookup!H$3)),"no url")</f>
        <v>update openchpl.certified_product as cp set transparency_attestation_url = 'https://aretehs.com/ehr.html' from (select certified_product_id from (select vend.vendor_code from openchpl.certified_product as cp, openchpl.product_version as pv, openchpl.product as p, openchpl.vendor as vend where cp.acb_certification_id = '08142014-2058-5'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2" spans="1:6" x14ac:dyDescent="0.25">
      <c r="A22" s="2" t="str">
        <f>IF(ISBLANK(Drummond!D22),FALSE,LOOKUP(Drummond!D22,Lookup!$A$2:$B$4))</f>
        <v>Affirmative</v>
      </c>
      <c r="B22" s="2" t="str">
        <f>IF(ISBLANK(Drummond!E22),FALSE,TRIM(Drummond!E22))</f>
        <v>05162014-2602-9</v>
      </c>
      <c r="C22" s="2" t="str">
        <f>IF(ISBLANK(Drummond!F22),FALSE,LOOKUP(Drummond!F22,Lookup!$A$6:$B$7))</f>
        <v>All</v>
      </c>
      <c r="D22" s="2" t="str">
        <f>IF(ISBLANK(Drummond!G22),FALSE,Drummond!G22)</f>
        <v>http://aspyra.com/cyberlab-meaningful-use/</v>
      </c>
      <c r="E22" s="2" t="str">
        <f>IF(NOT(ISBLANK(Drummond!D22)),IF(OR(ISBLANK(Drummond!E22),Drummond!E22="N/A"),"no acb code",CONCATENATE(Lookup!F$1,A22,Lookup!G$1,B22,Lookup!H$1,H$1,Lookup!I$1)),"no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'05162014-2602-9' and cb."name" = 'Drummond Group Inc.' and cp.product_version_id = pv.product_version_id and pv.product_id = p.product_id and p.vendor_id = vend.vendor_id;</v>
      </c>
      <c r="F22" s="2" t="str">
        <f>IF(AND(NOT(ISBLANK(Drummond!G22)),Drummond!G22&lt;&gt;"N/A"),IF(C22="All",CONCATENATE(Lookup!F$2,D22,Lookup!G$2,B22,Lookup!H$2,H$1,Lookup!I$2),CONCATENATE(Lookup!F$3,D22,Lookup!G$3,B22,Lookup!H$3)),"no url")</f>
        <v>update openchpl.certified_product as cp set transparency_attestation_url = 'http://aspyra.com/cyberlab-meaningful-use/' from (select certified_product_id from (select vend.vendor_code from openchpl.certified_product as cp, openchpl.product_version as pv, openchpl.product as p, openchpl.vendor as vend where cp.acb_certification_id = '05162014-2602-9'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3" spans="1:6" x14ac:dyDescent="0.25">
      <c r="A23" s="2" t="str">
        <f>IF(ISBLANK(Drummond!D23),FALSE,LOOKUP(Drummond!D23,Lookup!$A$2:$B$4))</f>
        <v>Affirmative</v>
      </c>
      <c r="B23" s="2" t="str">
        <f>IF(ISBLANK(Drummond!E23),FALSE,TRIM(Drummond!E23))</f>
        <v>04142014-2027-6</v>
      </c>
      <c r="C23" s="2" t="str">
        <f>IF(ISBLANK(Drummond!F23),FALSE,LOOKUP(Drummond!F23,Lookup!$A$6:$B$7))</f>
        <v>All</v>
      </c>
      <c r="D23" s="2" t="str">
        <f>IF(ISBLANK(Drummond!G23),FALSE,Drummond!G23)</f>
        <v>http://atlasmedical.com/products/labworks/</v>
      </c>
      <c r="E23" s="2" t="str">
        <f>IF(NOT(ISBLANK(Drummond!D23)),IF(OR(ISBLANK(Drummond!E23),Drummond!E23="N/A"),"no acb code",CONCATENATE(Lookup!F$1,A23,Lookup!G$1,B23,Lookup!H$1,H$1,Lookup!I$1)),"no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'04142014-2027-6' and cb."name" = 'Drummond Group Inc.' and cp.product_version_id = pv.product_version_id and pv.product_id = p.product_id and p.vendor_id = vend.vendor_id;</v>
      </c>
      <c r="F23" s="2" t="str">
        <f>IF(AND(NOT(ISBLANK(Drummond!G23)),Drummond!G23&lt;&gt;"N/A"),IF(C23="All",CONCATENATE(Lookup!F$2,D23,Lookup!G$2,B23,Lookup!H$2,H$1,Lookup!I$2),CONCATENATE(Lookup!F$3,D23,Lookup!G$3,B23,Lookup!H$3)),"no url")</f>
        <v>update openchpl.certified_product as cp set transparency_attestation_url = 'http://atlasmedical.com/products/labworks/' from (select certified_product_id from (select vend.vendor_code from openchpl.certified_product as cp, openchpl.product_version as pv, openchpl.product as p, openchpl.vendor as vend where cp.acb_certification_id = '04142014-2027-6'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4" spans="1:6" x14ac:dyDescent="0.25">
      <c r="A24" s="2" t="str">
        <f>IF(ISBLANK(Drummond!D24),FALSE,LOOKUP(Drummond!D24,Lookup!$A$2:$B$4))</f>
        <v>Affirmative</v>
      </c>
      <c r="B24" s="2" t="str">
        <f>IF(ISBLANK(Drummond!E24),FALSE,TRIM(Drummond!E24))</f>
        <v>10082015-3440-5</v>
      </c>
      <c r="C24" s="2" t="str">
        <f>IF(ISBLANK(Drummond!F24),FALSE,LOOKUP(Drummond!F24,Lookup!$A$6:$B$7))</f>
        <v>All</v>
      </c>
      <c r="D24" s="2" t="str">
        <f>IF(ISBLANK(Drummond!G24),FALSE,Drummond!G24)</f>
        <v>http://www.azaleahealth.com/resources/industry-topics/meaningful-use/</v>
      </c>
      <c r="E24" s="2" t="str">
        <f>IF(NOT(ISBLANK(Drummond!D24)),IF(OR(ISBLANK(Drummond!E24),Drummond!E24="N/A"),"no acb code",CONCATENATE(Lookup!F$1,A24,Lookup!G$1,B24,Lookup!H$1,H$1,Lookup!I$1)),"no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'10082015-3440-5' and cb."name" = 'Drummond Group Inc.' and cp.product_version_id = pv.product_version_id and pv.product_id = p.product_id and p.vendor_id = vend.vendor_id;</v>
      </c>
      <c r="F24" s="2" t="str">
        <f>IF(AND(NOT(ISBLANK(Drummond!G24)),Drummond!G24&lt;&gt;"N/A"),IF(C24="All",CONCATENATE(Lookup!F$2,D24,Lookup!G$2,B24,Lookup!H$2,H$1,Lookup!I$2),CONCATENATE(Lookup!F$3,D24,Lookup!G$3,B24,Lookup!H$3)),"no url")</f>
        <v>update openchpl.certified_product as cp set transparency_attestation_url = 'http://www.azaleahealth.com/resources/industry-topics/meaningful-use/' from (select certified_product_id from (select vend.vendor_code from openchpl.certified_product as cp, openchpl.product_version as pv, openchpl.product as p, openchpl.vendor as vend where cp.acb_certification_id = '10082015-3440-5'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5" spans="1:6" x14ac:dyDescent="0.25">
      <c r="A25" s="2" t="str">
        <f>IF(ISBLANK(Drummond!D25),FALSE,LOOKUP(Drummond!D25,Lookup!$A$2:$B$4))</f>
        <v>Affirmative</v>
      </c>
      <c r="B25" s="2" t="str">
        <f>IF(ISBLANK(Drummond!E25),FALSE,TRIM(Drummond!E25))</f>
        <v>07252013-1798-5</v>
      </c>
      <c r="C25" s="2" t="str">
        <f>IF(ISBLANK(Drummond!F25),FALSE,LOOKUP(Drummond!F25,Lookup!$A$6:$B$7))</f>
        <v>All</v>
      </c>
      <c r="D25" s="2" t="str">
        <f>IF(ISBLANK(Drummond!G25),FALSE,Drummond!G25)</f>
        <v>http://www.oncochart.com/meaningful-use/</v>
      </c>
      <c r="E25" s="2" t="str">
        <f>IF(NOT(ISBLANK(Drummond!D25)),IF(OR(ISBLANK(Drummond!E25),Drummond!E25="N/A"),"no acb code",CONCATENATE(Lookup!F$1,A25,Lookup!G$1,B25,Lookup!H$1,H$1,Lookup!I$1)),"no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'07252013-1798-5' and cb."name" = 'Drummond Group Inc.' and cp.product_version_id = pv.product_version_id and pv.product_id = p.product_id and p.vendor_id = vend.vendor_id;</v>
      </c>
      <c r="F25" s="2" t="str">
        <f>IF(AND(NOT(ISBLANK(Drummond!G25)),Drummond!G25&lt;&gt;"N/A"),IF(C25="All",CONCATENATE(Lookup!F$2,D25,Lookup!G$2,B25,Lookup!H$2,H$1,Lookup!I$2),CONCATENATE(Lookup!F$3,D25,Lookup!G$3,B25,Lookup!H$3)),"no url")</f>
        <v>update openchpl.certified_product as cp set transparency_attestation_url = 'http://www.oncochart.com/meaningful-use/' from (select certified_product_id from (select vend.vendor_code from openchpl.certified_product as cp, openchpl.product_version as pv, openchpl.product as p, openchpl.vendor as vend where cp.acb_certification_id = '07252013-1798-5'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6" spans="1:6" x14ac:dyDescent="0.25">
      <c r="A26" s="2" t="str">
        <f>IF(ISBLANK(Drummond!D26),FALSE,LOOKUP(Drummond!D26,Lookup!$A$2:$B$4))</f>
        <v>Affirmative</v>
      </c>
      <c r="B26" s="2" t="str">
        <f>IF(ISBLANK(Drummond!E26),FALSE,TRIM(Drummond!E26))</f>
        <v>12302014-2770-5</v>
      </c>
      <c r="C26" s="2" t="str">
        <f>IF(ISBLANK(Drummond!F26),FALSE,LOOKUP(Drummond!F26,Lookup!$A$6:$B$7))</f>
        <v>All</v>
      </c>
      <c r="D26" s="2" t="str">
        <f>IF(ISBLANK(Drummond!G26),FALSE,Drummond!G26)</f>
        <v>http://www.bradoc.net/solutions/ehr</v>
      </c>
      <c r="E26" s="2" t="str">
        <f>IF(NOT(ISBLANK(Drummond!D26)),IF(OR(ISBLANK(Drummond!E26),Drummond!E26="N/A"),"no acb code",CONCATENATE(Lookup!F$1,A26,Lookup!G$1,B26,Lookup!H$1,H$1,Lookup!I$1)),"no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'12302014-2770-5' and cb."name" = 'Drummond Group Inc.' and cp.product_version_id = pv.product_version_id and pv.product_id = p.product_id and p.vendor_id = vend.vendor_id;</v>
      </c>
      <c r="F26" s="2" t="str">
        <f>IF(AND(NOT(ISBLANK(Drummond!G26)),Drummond!G26&lt;&gt;"N/A"),IF(C26="All",CONCATENATE(Lookup!F$2,D26,Lookup!G$2,B26,Lookup!H$2,H$1,Lookup!I$2),CONCATENATE(Lookup!F$3,D26,Lookup!G$3,B26,Lookup!H$3)),"no url")</f>
        <v>update openchpl.certified_product as cp set transparency_attestation_url = 'http://www.bradoc.net/solutions/ehr' from (select certified_product_id from (select vend.vendor_code from openchpl.certified_product as cp, openchpl.product_version as pv, openchpl.product as p, openchpl.vendor as vend where cp.acb_certification_id = '12302014-2770-5'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7" spans="1:6" x14ac:dyDescent="0.25">
      <c r="A27" s="2" t="str">
        <f>IF(ISBLANK(Drummond!D27),FALSE,LOOKUP(Drummond!D27,Lookup!$A$2:$B$4))</f>
        <v>Affirmative</v>
      </c>
      <c r="B27" s="2" t="str">
        <f>IF(ISBLANK(Drummond!E27),FALSE,TRIM(Drummond!E27))</f>
        <v>09252014-2547-8</v>
      </c>
      <c r="C27" s="2" t="str">
        <f>IF(ISBLANK(Drummond!F27),FALSE,LOOKUP(Drummond!F27,Lookup!$A$6:$B$7))</f>
        <v>All</v>
      </c>
      <c r="D27" s="2" t="str">
        <f>IF(ISBLANK(Drummond!G27),FALSE,Drummond!G27)</f>
        <v>http://www.businet.com/transparency.htm</v>
      </c>
      <c r="E27" s="2" t="str">
        <f>IF(NOT(ISBLANK(Drummond!D27)),IF(OR(ISBLANK(Drummond!E27),Drummond!E27="N/A"),"no acb code",CONCATENATE(Lookup!F$1,A27,Lookup!G$1,B27,Lookup!H$1,H$1,Lookup!I$1)),"no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'09252014-2547-8' and cb."name" = 'Drummond Group Inc.' and cp.product_version_id = pv.product_version_id and pv.product_id = p.product_id and p.vendor_id = vend.vendor_id;</v>
      </c>
      <c r="F27" s="2" t="str">
        <f>IF(AND(NOT(ISBLANK(Drummond!G27)),Drummond!G27&lt;&gt;"N/A"),IF(C27="All",CONCATENATE(Lookup!F$2,D27,Lookup!G$2,B27,Lookup!H$2,H$1,Lookup!I$2),CONCATENATE(Lookup!F$3,D27,Lookup!G$3,B27,Lookup!H$3)),"no url")</f>
        <v>update openchpl.certified_product as cp set transparency_attestation_url = 'http://www.businet.com/transparency.htm' from (select certified_product_id from (select vend.vendor_code from openchpl.certified_product as cp, openchpl.product_version as pv, openchpl.product as p, openchpl.vendor as vend where cp.acb_certification_id = '09252014-2547-8'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" spans="1:6" x14ac:dyDescent="0.25">
      <c r="A28" s="2" t="str">
        <f>IF(ISBLANK(Drummond!D28),FALSE,LOOKUP(Drummond!D28,Lookup!$A$2:$B$4))</f>
        <v>Affirmative</v>
      </c>
      <c r="B28" s="2" t="str">
        <f>IF(ISBLANK(Drummond!E28),FALSE,TRIM(Drummond!E28))</f>
        <v>09172015-2160-8</v>
      </c>
      <c r="C28" s="2" t="str">
        <f>IF(ISBLANK(Drummond!F28),FALSE,LOOKUP(Drummond!F28,Lookup!$A$6:$B$7))</f>
        <v>All</v>
      </c>
      <c r="D28" s="2" t="str">
        <f>IF(ISBLANK(Drummond!G28),FALSE,Drummond!G28)</f>
        <v>http://www.odonline.net/pricing-information/</v>
      </c>
      <c r="E28" s="2" t="str">
        <f>IF(NOT(ISBLANK(Drummond!D28)),IF(OR(ISBLANK(Drummond!E28),Drummond!E28="N/A"),"no acb code",CONCATENATE(Lookup!F$1,A28,Lookup!G$1,B28,Lookup!H$1,H$1,Lookup!I$1)),"no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'09172015-2160-8' and cb."name" = 'Drummond Group Inc.' and cp.product_version_id = pv.product_version_id and pv.product_id = p.product_id and p.vendor_id = vend.vendor_id;</v>
      </c>
      <c r="F28" s="2" t="str">
        <f>IF(AND(NOT(ISBLANK(Drummond!G28)),Drummond!G28&lt;&gt;"N/A"),IF(C28="All",CONCATENATE(Lookup!F$2,D28,Lookup!G$2,B28,Lookup!H$2,H$1,Lookup!I$2),CONCATENATE(Lookup!F$3,D28,Lookup!G$3,B28,Lookup!H$3)),"no url")</f>
        <v>update openchpl.certified_product as cp set transparency_attestation_url = 'http://www.odonline.net/pricing-information/' from (select certified_product_id from (select vend.vendor_code from openchpl.certified_product as cp, openchpl.product_version as pv, openchpl.product as p, openchpl.vendor as vend where cp.acb_certification_id = '09172015-2160-8'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" spans="1:6" x14ac:dyDescent="0.25">
      <c r="A29" s="2" t="str">
        <f>IF(ISBLANK(Drummond!D29),FALSE,LOOKUP(Drummond!D29,Lookup!$A$2:$B$4))</f>
        <v>N/A</v>
      </c>
      <c r="B29" s="2" t="str">
        <f>IF(ISBLANK(Drummond!E29),FALSE,TRIM(Drummond!E29))</f>
        <v>09302014-2723-8</v>
      </c>
      <c r="C29" s="2" t="str">
        <f>IF(ISBLANK(Drummond!F29),FALSE,LOOKUP(Drummond!F29,Lookup!$A$6:$B$7))</f>
        <v>All</v>
      </c>
      <c r="D29" s="2" t="b">
        <f>IF(ISBLANK(Drummond!G29),FALSE,Drummond!G29)</f>
        <v>0</v>
      </c>
      <c r="E29" s="2" t="str">
        <f>IF(NOT(ISBLANK(Drummond!D29)),IF(OR(ISBLANK(Drummond!E29),Drummond!E29="N/A"),"no acb code",CONCATENATE(Lookup!F$1,A29,Lookup!G$1,B29,Lookup!H$1,H$1,Lookup!I$1)),"no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'09302014-2723-8' and cb."name" = 'Drummond Group Inc.' and cp.product_version_id = pv.product_version_id and pv.product_id = p.product_id and p.vendor_id = vend.vendor_id;</v>
      </c>
      <c r="F29" s="2" t="str">
        <f>IF(AND(NOT(ISBLANK(Drummond!G29)),Drummond!G29&lt;&gt;"N/A"),IF(C29="All",CONCATENATE(Lookup!F$2,D29,Lookup!G$2,B29,Lookup!H$2,H$1,Lookup!I$2),CONCATENATE(Lookup!F$3,D29,Lookup!G$3,B29,Lookup!H$3)),"no url")</f>
        <v>no url</v>
      </c>
    </row>
    <row r="30" spans="1:6" x14ac:dyDescent="0.25">
      <c r="A30" s="2" t="str">
        <f>IF(ISBLANK(Drummond!D30),FALSE,LOOKUP(Drummond!D30,Lookup!$A$2:$B$4))</f>
        <v>Affirmative</v>
      </c>
      <c r="B30" s="2" t="str">
        <f>IF(ISBLANK(Drummond!E30),FALSE,TRIM(Drummond!E30))</f>
        <v>12192013-2309-8</v>
      </c>
      <c r="C30" s="2" t="str">
        <f>IF(ISBLANK(Drummond!F30),FALSE,LOOKUP(Drummond!F30,Lookup!$A$6:$B$7))</f>
        <v>All</v>
      </c>
      <c r="D30" s="2" t="str">
        <f>IF(ISBLANK(Drummond!G30),FALSE,Drummond!G30)</f>
        <v>http://www.carecloud.com/meaningful-use-certified-ehr/</v>
      </c>
      <c r="E30" s="2" t="str">
        <f>IF(NOT(ISBLANK(Drummond!D30)),IF(OR(ISBLANK(Drummond!E30),Drummond!E30="N/A"),"no acb code",CONCATENATE(Lookup!F$1,A30,Lookup!G$1,B30,Lookup!H$1,H$1,Lookup!I$1)),"no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'12192013-2309-8' and cb."name" = 'Drummond Group Inc.' and cp.product_version_id = pv.product_version_id and pv.product_id = p.product_id and p.vendor_id = vend.vendor_id;</v>
      </c>
      <c r="F30" s="2" t="str">
        <f>IF(AND(NOT(ISBLANK(Drummond!G30)),Drummond!G30&lt;&gt;"N/A"),IF(C30="All",CONCATENATE(Lookup!F$2,D30,Lookup!G$2,B30,Lookup!H$2,H$1,Lookup!I$2),CONCATENATE(Lookup!F$3,D30,Lookup!G$3,B30,Lookup!H$3)),"no url")</f>
        <v>update openchpl.certified_product as cp set transparency_attestation_url = 'http://www.carecloud.com/meaningful-use-certified-ehr/' from (select certified_product_id from (select vend.vendor_code from openchpl.certified_product as cp, openchpl.product_version as pv, openchpl.product as p, openchpl.vendor as vend where cp.acb_certification_id = '12192013-2309-8'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" spans="1:6" x14ac:dyDescent="0.25">
      <c r="A31" s="2" t="str">
        <f>IF(ISBLANK(Drummond!D31),FALSE,LOOKUP(Drummond!D31,Lookup!$A$2:$B$4))</f>
        <v>Negative</v>
      </c>
      <c r="B31" s="2" t="str">
        <f>IF(ISBLANK(Drummond!E31),FALSE,TRIM(Drummond!E31))</f>
        <v>05092013-1786-1</v>
      </c>
      <c r="C31" s="2" t="str">
        <f>IF(ISBLANK(Drummond!F31),FALSE,LOOKUP(Drummond!F31,Lookup!$A$6:$B$7))</f>
        <v>All</v>
      </c>
      <c r="D31" s="2" t="str">
        <f>IF(ISBLANK(Drummond!G31),FALSE,Drummond!G31)</f>
        <v>http://careevolution.com/technology-mu.html</v>
      </c>
      <c r="E31" s="2" t="str">
        <f>IF(NOT(ISBLANK(Drummond!D31)),IF(OR(ISBLANK(Drummond!E31),Drummond!E31="N/A"),"no acb code",CONCATENATE(Lookup!F$1,A31,Lookup!G$1,B31,Lookup!H$1,H$1,Lookup!I$1)),"no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'05092013-1786-1' and cb."name" = 'Drummond Group Inc.' and cp.product_version_id = pv.product_version_id and pv.product_id = p.product_id and p.vendor_id = vend.vendor_id;</v>
      </c>
      <c r="F31" s="2" t="str">
        <f>IF(AND(NOT(ISBLANK(Drummond!G31)),Drummond!G31&lt;&gt;"N/A"),IF(C31="All",CONCATENATE(Lookup!F$2,D31,Lookup!G$2,B31,Lookup!H$2,H$1,Lookup!I$2),CONCATENATE(Lookup!F$3,D31,Lookup!G$3,B31,Lookup!H$3)),"no url")</f>
        <v>update openchpl.certified_product as cp set transparency_attestation_url = 'http://careevolution.com/technology-mu.html' from (select certified_product_id from (select vend.vendor_code from openchpl.certified_product as cp, openchpl.product_version as pv, openchpl.product as p, openchpl.vendor as vend where cp.acb_certification_id = '05092013-1786-1'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" spans="1:6" x14ac:dyDescent="0.25">
      <c r="A32" s="2" t="str">
        <f>IF(ISBLANK(Drummond!D32),FALSE,LOOKUP(Drummond!D32,Lookup!$A$2:$B$4))</f>
        <v>Affirmative</v>
      </c>
      <c r="B32" s="2" t="str">
        <f>IF(ISBLANK(Drummond!E32),FALSE,TRIM(Drummond!E32))</f>
        <v>02052015-3093-8</v>
      </c>
      <c r="C32" s="2" t="str">
        <f>IF(ISBLANK(Drummond!F32),FALSE,LOOKUP(Drummond!F32,Lookup!$A$6:$B$7))</f>
        <v>All</v>
      </c>
      <c r="D32" s="2" t="str">
        <f>IF(ISBLANK(Drummond!G32),FALSE,Drummond!G32)</f>
        <v>http://www.caresync.com/ccm/index.php</v>
      </c>
      <c r="E32" s="2" t="str">
        <f>IF(NOT(ISBLANK(Drummond!D32)),IF(OR(ISBLANK(Drummond!E32),Drummond!E32="N/A"),"no acb code",CONCATENATE(Lookup!F$1,A32,Lookup!G$1,B32,Lookup!H$1,H$1,Lookup!I$1)),"no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'02052015-3093-8' and cb."name" = 'Drummond Group Inc.' and cp.product_version_id = pv.product_version_id and pv.product_id = p.product_id and p.vendor_id = vend.vendor_id;</v>
      </c>
      <c r="F32" s="2" t="str">
        <f>IF(AND(NOT(ISBLANK(Drummond!G32)),Drummond!G32&lt;&gt;"N/A"),IF(C32="All",CONCATENATE(Lookup!F$2,D32,Lookup!G$2,B32,Lookup!H$2,H$1,Lookup!I$2),CONCATENATE(Lookup!F$3,D32,Lookup!G$3,B32,Lookup!H$3)),"no url")</f>
        <v>update openchpl.certified_product as cp set transparency_attestation_url = 'http://www.caresync.com/ccm/index.php' from (select certified_product_id from (select vend.vendor_code from openchpl.certified_product as cp, openchpl.product_version as pv, openchpl.product as p, openchpl.vendor as vend where cp.acb_certification_id = '02052015-3093-8'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" spans="1:6" x14ac:dyDescent="0.25">
      <c r="A33" s="2" t="str">
        <f>IF(ISBLANK(Drummond!D33),FALSE,LOOKUP(Drummond!D33,Lookup!$A$2:$B$4))</f>
        <v>Affirmative</v>
      </c>
      <c r="B33" s="2" t="str">
        <f>IF(ISBLANK(Drummond!E33),FALSE,TRIM(Drummond!E33))</f>
        <v>12302014-2735-5</v>
      </c>
      <c r="C33" s="2" t="str">
        <f>IF(ISBLANK(Drummond!F33),FALSE,LOOKUP(Drummond!F33,Lookup!$A$6:$B$7))</f>
        <v>All</v>
      </c>
      <c r="D33" s="2" t="str">
        <f>IF(ISBLANK(Drummond!G33),FALSE,Drummond!G33)</f>
        <v>http://blog.carepaths.com/features/onc-certification/</v>
      </c>
      <c r="E33" s="2" t="str">
        <f>IF(NOT(ISBLANK(Drummond!D33)),IF(OR(ISBLANK(Drummond!E33),Drummond!E33="N/A"),"no acb code",CONCATENATE(Lookup!F$1,A33,Lookup!G$1,B33,Lookup!H$1,H$1,Lookup!I$1)),"no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'12302014-2735-5' and cb."name" = 'Drummond Group Inc.' and cp.product_version_id = pv.product_version_id and pv.product_id = p.product_id and p.vendor_id = vend.vendor_id;</v>
      </c>
      <c r="F33" s="2" t="str">
        <f>IF(AND(NOT(ISBLANK(Drummond!G33)),Drummond!G33&lt;&gt;"N/A"),IF(C33="All",CONCATENATE(Lookup!F$2,D33,Lookup!G$2,B33,Lookup!H$2,H$1,Lookup!I$2),CONCATENATE(Lookup!F$3,D33,Lookup!G$3,B33,Lookup!H$3)),"no url")</f>
        <v>update openchpl.certified_product as cp set transparency_attestation_url = 'http://blog.carepaths.com/features/onc-certification/' from (select certified_product_id from (select vend.vendor_code from openchpl.certified_product as cp, openchpl.product_version as pv, openchpl.product as p, openchpl.vendor as vend where cp.acb_certification_id = '12302014-2735-5'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" spans="1:6" x14ac:dyDescent="0.25">
      <c r="A34" s="2" t="str">
        <f>IF(ISBLANK(Drummond!D34),FALSE,LOOKUP(Drummond!D34,Lookup!$A$2:$B$4))</f>
        <v>N/A</v>
      </c>
      <c r="B34" s="2" t="str">
        <f>IF(ISBLANK(Drummond!E34),FALSE,TRIM(Drummond!E34))</f>
        <v>09252014-2765-6</v>
      </c>
      <c r="C34" s="2" t="str">
        <f>IF(ISBLANK(Drummond!F34),FALSE,LOOKUP(Drummond!F34,Lookup!$A$6:$B$7))</f>
        <v>All</v>
      </c>
      <c r="D34" s="2" t="b">
        <f>IF(ISBLANK(Drummond!G34),FALSE,Drummond!G34)</f>
        <v>0</v>
      </c>
      <c r="E34" s="2" t="str">
        <f>IF(NOT(ISBLANK(Drummond!D34)),IF(OR(ISBLANK(Drummond!E34),Drummond!E34="N/A"),"no acb code",CONCATENATE(Lookup!F$1,A34,Lookup!G$1,B34,Lookup!H$1,H$1,Lookup!I$1)),"no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'09252014-2765-6' and cb."name" = 'Drummond Group Inc.' and cp.product_version_id = pv.product_version_id and pv.product_id = p.product_id and p.vendor_id = vend.vendor_id;</v>
      </c>
      <c r="F34" s="2" t="str">
        <f>IF(AND(NOT(ISBLANK(Drummond!G34)),Drummond!G34&lt;&gt;"N/A"),IF(C34="All",CONCATENATE(Lookup!F$2,D34,Lookup!G$2,B34,Lookup!H$2,H$1,Lookup!I$2),CONCATENATE(Lookup!F$3,D34,Lookup!G$3,B34,Lookup!H$3)),"no url")</f>
        <v>no url</v>
      </c>
    </row>
    <row r="35" spans="1:6" x14ac:dyDescent="0.25">
      <c r="A35" s="2" t="str">
        <f>IF(ISBLANK(Drummond!D35),FALSE,LOOKUP(Drummond!D35,Lookup!$A$2:$B$4))</f>
        <v>Affirmative</v>
      </c>
      <c r="B35" s="2" t="str">
        <f>IF(ISBLANK(Drummond!E35),FALSE,TRIM(Drummond!E35))</f>
        <v>03062014-1891-8</v>
      </c>
      <c r="C35" s="2" t="str">
        <f>IF(ISBLANK(Drummond!F35),FALSE,LOOKUP(Drummond!F35,Lookup!$A$6:$B$7))</f>
        <v>All</v>
      </c>
      <c r="D35" s="2" t="str">
        <f>IF(ISBLANK(Drummond!G35),FALSE,Drummond!G35)</f>
        <v>http://www.chartlogic.com/certifications/</v>
      </c>
      <c r="E35" s="2" t="str">
        <f>IF(NOT(ISBLANK(Drummond!D35)),IF(OR(ISBLANK(Drummond!E35),Drummond!E35="N/A"),"no acb code",CONCATENATE(Lookup!F$1,A35,Lookup!G$1,B35,Lookup!H$1,H$1,Lookup!I$1)),"no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'03062014-1891-8' and cb."name" = 'Drummond Group Inc.' and cp.product_version_id = pv.product_version_id and pv.product_id = p.product_id and p.vendor_id = vend.vendor_id;</v>
      </c>
      <c r="F35" s="2" t="str">
        <f>IF(AND(NOT(ISBLANK(Drummond!G35)),Drummond!G35&lt;&gt;"N/A"),IF(C35="All",CONCATENATE(Lookup!F$2,D35,Lookup!G$2,B35,Lookup!H$2,H$1,Lookup!I$2),CONCATENATE(Lookup!F$3,D35,Lookup!G$3,B35,Lookup!H$3)),"no url")</f>
        <v>update openchpl.certified_product as cp set transparency_attestation_url = 'http://www.chartlogic.com/certifications/' from (select certified_product_id from (select vend.vendor_code from openchpl.certified_product as cp, openchpl.product_version as pv, openchpl.product as p, openchpl.vendor as vend where cp.acb_certification_id = '03062014-1891-8'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" spans="1:6" x14ac:dyDescent="0.25">
      <c r="A36" s="2" t="str">
        <f>IF(ISBLANK(Drummond!D36),FALSE,LOOKUP(Drummond!D36,Lookup!$A$2:$B$4))</f>
        <v>Affirmative</v>
      </c>
      <c r="B36" s="2" t="str">
        <f>IF(ISBLANK(Drummond!E36),FALSE,TRIM(Drummond!E36))</f>
        <v>06062014-2800-9</v>
      </c>
      <c r="C36" s="2" t="str">
        <f>IF(ISBLANK(Drummond!F36),FALSE,LOOKUP(Drummond!F36,Lookup!$A$6:$B$7))</f>
        <v>Single</v>
      </c>
      <c r="D36" s="2" t="str">
        <f>IF(ISBLANK(Drummond!G36),FALSE,Drummond!G36)</f>
        <v>http://www.citiustech.com/solutions/bi-clinical_13.1_ONC-Mandatory-Disclosure-Statement.aspx</v>
      </c>
      <c r="E36" s="2" t="str">
        <f>IF(NOT(ISBLANK(Drummond!D36)),IF(OR(ISBLANK(Drummond!E36),Drummond!E36="N/A"),"no acb code",CONCATENATE(Lookup!F$1,A36,Lookup!G$1,B36,Lookup!H$1,H$1,Lookup!I$1)),"no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'06062014-2800-9' and cb."name" = 'Drummond Group Inc.' and cp.product_version_id = pv.product_version_id and pv.product_id = p.product_id and p.vendor_id = vend.vendor_id;</v>
      </c>
      <c r="F36" s="2" t="str">
        <f>IF(AND(NOT(ISBLANK(Drummond!G36)),Drummond!G36&lt;&gt;"N/A"),IF(C36="All",CONCATENATE(Lookup!F$2,D36,Lookup!G$2,B36,Lookup!H$2,H$1,Lookup!I$2),CONCATENATE(Lookup!F$3,D36,Lookup!G$3,B36,Lookup!H$3)),"no url")</f>
        <v>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'06062014-2800-9') as subquery where cp.certified_product_id = subquery.certified_product_id;</v>
      </c>
    </row>
    <row r="37" spans="1:6" x14ac:dyDescent="0.25">
      <c r="A37" s="2" t="str">
        <f>IF(ISBLANK(Drummond!D37),FALSE,LOOKUP(Drummond!D37,Lookup!$A$2:$B$4))</f>
        <v>Affirmative</v>
      </c>
      <c r="B37" s="2" t="str">
        <f>IF(ISBLANK(Drummond!E37),FALSE,TRIM(Drummond!E37))</f>
        <v>02182016-2803-8</v>
      </c>
      <c r="C37" s="2" t="str">
        <f>IF(ISBLANK(Drummond!F37),FALSE,LOOKUP(Drummond!F37,Lookup!$A$6:$B$7))</f>
        <v>Single</v>
      </c>
      <c r="D37" s="2" t="str">
        <f>IF(ISBLANK(Drummond!G37),FALSE,Drummond!G37)</f>
        <v>http://www.citiustech.com/solutions/bi-clinical_15.7_NZ_ONC-Mandatory-Disclosure-Statement.aspx</v>
      </c>
      <c r="E37" s="2" t="str">
        <f>IF(NOT(ISBLANK(Drummond!D37)),IF(OR(ISBLANK(Drummond!E37),Drummond!E37="N/A"),"no acb code",CONCATENATE(Lookup!F$1,A37,Lookup!G$1,B37,Lookup!H$1,H$1,Lookup!I$1)),"no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'02182016-2803-8' and cb."name" = 'Drummond Group Inc.' and cp.product_version_id = pv.product_version_id and pv.product_id = p.product_id and p.vendor_id = vend.vendor_id;</v>
      </c>
      <c r="F37" s="2" t="str">
        <f>IF(AND(NOT(ISBLANK(Drummond!G37)),Drummond!G37&lt;&gt;"N/A"),IF(C37="All",CONCATENATE(Lookup!F$2,D37,Lookup!G$2,B37,Lookup!H$2,H$1,Lookup!I$2),CONCATENATE(Lookup!F$3,D37,Lookup!G$3,B37,Lookup!H$3)),"no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'02182016-2803-8') as subquery where cp.certified_product_id = subquery.certified_product_id;</v>
      </c>
    </row>
    <row r="38" spans="1:6" x14ac:dyDescent="0.25">
      <c r="A38" s="2" t="str">
        <f>IF(ISBLANK(Drummond!D38),FALSE,LOOKUP(Drummond!D38,Lookup!$A$2:$B$4))</f>
        <v>Affirmative</v>
      </c>
      <c r="B38" s="2" t="str">
        <f>IF(ISBLANK(Drummond!E38),FALSE,TRIM(Drummond!E38))</f>
        <v>11122015-2802-8</v>
      </c>
      <c r="C38" s="2" t="str">
        <f>IF(ISBLANK(Drummond!F38),FALSE,LOOKUP(Drummond!F38,Lookup!$A$6:$B$7))</f>
        <v>Single</v>
      </c>
      <c r="D38" s="2" t="str">
        <f>IF(ISBLANK(Drummond!G38),FALSE,Drummond!G38)</f>
        <v>http://www.citiustech.com/solutions/bi-clinical_15.7_NZ_ONC-Mandatory-Disclosure-Statement.aspx</v>
      </c>
      <c r="E38" s="2" t="str">
        <f>IF(NOT(ISBLANK(Drummond!D38)),IF(OR(ISBLANK(Drummond!E38),Drummond!E38="N/A"),"no acb code",CONCATENATE(Lookup!F$1,A38,Lookup!G$1,B38,Lookup!H$1,H$1,Lookup!I$1)),"no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'11122015-2802-8' and cb."name" = 'Drummond Group Inc.' and cp.product_version_id = pv.product_version_id and pv.product_id = p.product_id and p.vendor_id = vend.vendor_id;</v>
      </c>
      <c r="F38" s="2" t="str">
        <f>IF(AND(NOT(ISBLANK(Drummond!G38)),Drummond!G38&lt;&gt;"N/A"),IF(C38="All",CONCATENATE(Lookup!F$2,D38,Lookup!G$2,B38,Lookup!H$2,H$1,Lookup!I$2),CONCATENATE(Lookup!F$3,D38,Lookup!G$3,B38,Lookup!H$3)),"no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'11122015-2802-8') as subquery where cp.certified_product_id = subquery.certified_product_id;</v>
      </c>
    </row>
    <row r="39" spans="1:6" x14ac:dyDescent="0.25">
      <c r="A39" s="2" t="str">
        <f>IF(ISBLANK(Drummond!D39),FALSE,LOOKUP(Drummond!D39,Lookup!$A$2:$B$4))</f>
        <v>Affirmative</v>
      </c>
      <c r="B39" s="2" t="str">
        <f>IF(ISBLANK(Drummond!E39),FALSE,TRIM(Drummond!E39))</f>
        <v>06062014-2801-9</v>
      </c>
      <c r="C39" s="2" t="str">
        <f>IF(ISBLANK(Drummond!F39),FALSE,LOOKUP(Drummond!F39,Lookup!$A$6:$B$7))</f>
        <v>Single</v>
      </c>
      <c r="D39" s="2" t="str">
        <f>IF(ISBLANK(Drummond!G39),FALSE,Drummond!G39)</f>
        <v>http://www.citiustech.com/solutions/bi-clinical_13.1_ONC-Mandatory-Disclosure-Statement.aspx</v>
      </c>
      <c r="E39" s="2" t="str">
        <f>IF(NOT(ISBLANK(Drummond!D39)),IF(OR(ISBLANK(Drummond!E39),Drummond!E39="N/A"),"no acb code",CONCATENATE(Lookup!F$1,A39,Lookup!G$1,B39,Lookup!H$1,H$1,Lookup!I$1)),"no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'06062014-2801-9' and cb."name" = 'Drummond Group Inc.' and cp.product_version_id = pv.product_version_id and pv.product_id = p.product_id and p.vendor_id = vend.vendor_id;</v>
      </c>
      <c r="F39" s="2" t="str">
        <f>IF(AND(NOT(ISBLANK(Drummond!G39)),Drummond!G39&lt;&gt;"N/A"),IF(C39="All",CONCATENATE(Lookup!F$2,D39,Lookup!G$2,B39,Lookup!H$2,H$1,Lookup!I$2),CONCATENATE(Lookup!F$3,D39,Lookup!G$3,B39,Lookup!H$3)),"no url")</f>
        <v>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'06062014-2801-9') as subquery where cp.certified_product_id = subquery.certified_product_id;</v>
      </c>
    </row>
    <row r="40" spans="1:6" x14ac:dyDescent="0.25">
      <c r="A40" s="2" t="str">
        <f>IF(ISBLANK(Drummond!D40),FALSE,LOOKUP(Drummond!D40,Lookup!$A$2:$B$4))</f>
        <v>Affirmative</v>
      </c>
      <c r="B40" s="2" t="str">
        <f>IF(ISBLANK(Drummond!E40),FALSE,TRIM(Drummond!E40))</f>
        <v>02182016-3110-3</v>
      </c>
      <c r="C40" s="2" t="str">
        <f>IF(ISBLANK(Drummond!F40),FALSE,LOOKUP(Drummond!F40,Lookup!$A$6:$B$7))</f>
        <v>Single</v>
      </c>
      <c r="D40" s="2" t="str">
        <f>IF(ISBLANK(Drummond!G40),FALSE,Drummond!G40)</f>
        <v>http://www.citiustech.com/solutions/cq-iq_ONC-Mandatory-Disclosure-Statement</v>
      </c>
      <c r="E40" s="2" t="str">
        <f>IF(NOT(ISBLANK(Drummond!D40)),IF(OR(ISBLANK(Drummond!E40),Drummond!E40="N/A"),"no acb code",CONCATENATE(Lookup!F$1,A40,Lookup!G$1,B40,Lookup!H$1,H$1,Lookup!I$1)),"no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'02182016-3110-3' and cb."name" = 'Drummond Group Inc.' and cp.product_version_id = pv.product_version_id and pv.product_id = p.product_id and p.vendor_id = vend.vendor_id;</v>
      </c>
      <c r="F40" s="2" t="str">
        <f>IF(AND(NOT(ISBLANK(Drummond!G40)),Drummond!G40&lt;&gt;"N/A"),IF(C40="All",CONCATENATE(Lookup!F$2,D40,Lookup!G$2,B40,Lookup!H$2,H$1,Lookup!I$2),CONCATENATE(Lookup!F$3,D40,Lookup!G$3,B40,Lookup!H$3)),"no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'02182016-3110-3') as subquery where cp.certified_product_id = subquery.certified_product_id;</v>
      </c>
    </row>
    <row r="41" spans="1:6" x14ac:dyDescent="0.25">
      <c r="A41" s="2" t="str">
        <f>IF(ISBLANK(Drummond!D41),FALSE,LOOKUP(Drummond!D41,Lookup!$A$2:$B$4))</f>
        <v>Affirmative</v>
      </c>
      <c r="B41" s="2" t="str">
        <f>IF(ISBLANK(Drummond!E41),FALSE,TRIM(Drummond!E41))</f>
        <v>11122015-3110-8</v>
      </c>
      <c r="C41" s="2" t="str">
        <f>IF(ISBLANK(Drummond!F41),FALSE,LOOKUP(Drummond!F41,Lookup!$A$6:$B$7))</f>
        <v>Single</v>
      </c>
      <c r="D41" s="2" t="str">
        <f>IF(ISBLANK(Drummond!G41),FALSE,Drummond!G41)</f>
        <v>http://www.citiustech.com/solutions/cq-iq_ONC-Mandatory-Disclosure-Statement</v>
      </c>
      <c r="E41" s="2" t="str">
        <f>IF(NOT(ISBLANK(Drummond!D41)),IF(OR(ISBLANK(Drummond!E41),Drummond!E41="N/A"),"no acb code",CONCATENATE(Lookup!F$1,A41,Lookup!G$1,B41,Lookup!H$1,H$1,Lookup!I$1)),"no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'11122015-3110-8' and cb."name" = 'Drummond Group Inc.' and cp.product_version_id = pv.product_version_id and pv.product_id = p.product_id and p.vendor_id = vend.vendor_id;</v>
      </c>
      <c r="F41" s="2" t="str">
        <f>IF(AND(NOT(ISBLANK(Drummond!G41)),Drummond!G41&lt;&gt;"N/A"),IF(C41="All",CONCATENATE(Lookup!F$2,D41,Lookup!G$2,B41,Lookup!H$2,H$1,Lookup!I$2),CONCATENATE(Lookup!F$3,D41,Lookup!G$3,B41,Lookup!H$3)),"no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'11122015-3110-8') as subquery where cp.certified_product_id = subquery.certified_product_id;</v>
      </c>
    </row>
    <row r="42" spans="1:6" x14ac:dyDescent="0.25">
      <c r="A42" s="2" t="str">
        <f>IF(ISBLANK(Drummond!D42),FALSE,LOOKUP(Drummond!D42,Lookup!$A$2:$B$4))</f>
        <v>Affirmative</v>
      </c>
      <c r="B42" s="2" t="str">
        <f>IF(ISBLANK(Drummond!E42),FALSE,TRIM(Drummond!E42))</f>
        <v>06052014-2531-8</v>
      </c>
      <c r="C42" s="2" t="str">
        <f>IF(ISBLANK(Drummond!F42),FALSE,LOOKUP(Drummond!F42,Lookup!$A$6:$B$7))</f>
        <v>All</v>
      </c>
      <c r="D42" s="2" t="str">
        <f>IF(ISBLANK(Drummond!G42),FALSE,Drummond!G42)</f>
        <v>http://web.claimtrak.com/legal-notice/</v>
      </c>
      <c r="E42" s="2" t="str">
        <f>IF(NOT(ISBLANK(Drummond!D42)),IF(OR(ISBLANK(Drummond!E42),Drummond!E42="N/A"),"no acb code",CONCATENATE(Lookup!F$1,A42,Lookup!G$1,B42,Lookup!H$1,H$1,Lookup!I$1)),"no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'06052014-2531-8' and cb."name" = 'Drummond Group Inc.' and cp.product_version_id = pv.product_version_id and pv.product_id = p.product_id and p.vendor_id = vend.vendor_id;</v>
      </c>
      <c r="F42" s="2" t="str">
        <f>IF(AND(NOT(ISBLANK(Drummond!G42)),Drummond!G42&lt;&gt;"N/A"),IF(C42="All",CONCATENATE(Lookup!F$2,D42,Lookup!G$2,B42,Lookup!H$2,H$1,Lookup!I$2),CONCATENATE(Lookup!F$3,D42,Lookup!G$3,B42,Lookup!H$3)),"no url")</f>
        <v>update openchpl.certified_product as cp set transparency_attestation_url = 'http://web.claimtrak.com/legal-notice/' from (select certified_product_id from (select vend.vendor_code from openchpl.certified_product as cp, openchpl.product_version as pv, openchpl.product as p, openchpl.vendor as vend where cp.acb_certification_id = '06052014-2531-8'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" spans="1:6" x14ac:dyDescent="0.25">
      <c r="A43" s="2" t="str">
        <f>IF(ISBLANK(Drummond!D43),FALSE,LOOKUP(Drummond!D43,Lookup!$A$2:$B$4))</f>
        <v>Affirmative</v>
      </c>
      <c r="B43" s="2" t="str">
        <f>IF(ISBLANK(Drummond!E43),FALSE,TRIM(Drummond!E43))</f>
        <v>09302014-2831-3</v>
      </c>
      <c r="C43" s="2" t="str">
        <f>IF(ISBLANK(Drummond!F43),FALSE,LOOKUP(Drummond!F43,Lookup!$A$6:$B$7))</f>
        <v>All</v>
      </c>
      <c r="D43" s="2" t="str">
        <f>IF(ISBLANK(Drummond!G43),FALSE,Drummond!G43)</f>
        <v>https://www.claimpower.com/emr-cert.htm</v>
      </c>
      <c r="E43" s="2" t="str">
        <f>IF(NOT(ISBLANK(Drummond!D43)),IF(OR(ISBLANK(Drummond!E43),Drummond!E43="N/A"),"no acb code",CONCATENATE(Lookup!F$1,A43,Lookup!G$1,B43,Lookup!H$1,H$1,Lookup!I$1)),"no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'09302014-2831-3' and cb."name" = 'Drummond Group Inc.' and cp.product_version_id = pv.product_version_id and pv.product_id = p.product_id and p.vendor_id = vend.vendor_id;</v>
      </c>
      <c r="F43" s="2" t="str">
        <f>IF(AND(NOT(ISBLANK(Drummond!G43)),Drummond!G43&lt;&gt;"N/A"),IF(C43="All",CONCATENATE(Lookup!F$2,D43,Lookup!G$2,B43,Lookup!H$2,H$1,Lookup!I$2),CONCATENATE(Lookup!F$3,D43,Lookup!G$3,B43,Lookup!H$3)),"no url")</f>
        <v>update openchpl.certified_product as cp set transparency_attestation_url = 'https://www.claimpower.com/emr-cert.htm' from (select certified_product_id from (select vend.vendor_code from openchpl.certified_product as cp, openchpl.product_version as pv, openchpl.product as p, openchpl.vendor as vend where cp.acb_certification_id = '09302014-2831-3'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4" spans="1:6" x14ac:dyDescent="0.25">
      <c r="A44" s="2" t="str">
        <f>IF(ISBLANK(Drummond!D44),FALSE,LOOKUP(Drummond!D44,Lookup!$A$2:$B$4))</f>
        <v>N/A</v>
      </c>
      <c r="B44" s="2" t="str">
        <f>IF(ISBLANK(Drummond!E44),FALSE,TRIM(Drummond!E44))</f>
        <v>08282014-2772-1</v>
      </c>
      <c r="C44" s="2" t="str">
        <f>IF(ISBLANK(Drummond!F44),FALSE,LOOKUP(Drummond!F44,Lookup!$A$6:$B$7))</f>
        <v>All</v>
      </c>
      <c r="D44" s="2" t="b">
        <f>IF(ISBLANK(Drummond!G44),FALSE,Drummond!G44)</f>
        <v>0</v>
      </c>
      <c r="E44" s="2" t="str">
        <f>IF(NOT(ISBLANK(Drummond!D44)),IF(OR(ISBLANK(Drummond!E44),Drummond!E44="N/A"),"no acb code",CONCATENATE(Lookup!F$1,A44,Lookup!G$1,B44,Lookup!H$1,H$1,Lookup!I$1)),"no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'08282014-2772-1' and cb."name" = 'Drummond Group Inc.' and cp.product_version_id = pv.product_version_id and pv.product_id = p.product_id and p.vendor_id = vend.vendor_id;</v>
      </c>
      <c r="F44" s="2" t="str">
        <f>IF(AND(NOT(ISBLANK(Drummond!G44)),Drummond!G44&lt;&gt;"N/A"),IF(C44="All",CONCATENATE(Lookup!F$2,D44,Lookup!G$2,B44,Lookup!H$2,H$1,Lookup!I$2),CONCATENATE(Lookup!F$3,D44,Lookup!G$3,B44,Lookup!H$3)),"no url")</f>
        <v>no url</v>
      </c>
    </row>
    <row r="45" spans="1:6" x14ac:dyDescent="0.25">
      <c r="A45" s="2" t="str">
        <f>IF(ISBLANK(Drummond!D45),FALSE,LOOKUP(Drummond!D45,Lookup!$A$2:$B$4))</f>
        <v>Affirmative</v>
      </c>
      <c r="B45" s="2" t="str">
        <f>IF(ISBLANK(Drummond!E45),FALSE,TRIM(Drummond!E45))</f>
        <v>08142014-2672-5</v>
      </c>
      <c r="C45" s="2" t="str">
        <f>IF(ISBLANK(Drummond!F45),FALSE,LOOKUP(Drummond!F45,Lookup!$A$6:$B$7))</f>
        <v>All</v>
      </c>
      <c r="D45" s="2" t="str">
        <f>IF(ISBLANK(Drummond!G45),FALSE,Drummond!G45)</f>
        <v>http://www.clinicmax.com/Complete_Ambulatory_EHR.html</v>
      </c>
      <c r="E45" s="2" t="str">
        <f>IF(NOT(ISBLANK(Drummond!D45)),IF(OR(ISBLANK(Drummond!E45),Drummond!E45="N/A"),"no acb code",CONCATENATE(Lookup!F$1,A45,Lookup!G$1,B45,Lookup!H$1,H$1,Lookup!I$1)),"no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'08142014-2672-5' and cb."name" = 'Drummond Group Inc.' and cp.product_version_id = pv.product_version_id and pv.product_id = p.product_id and p.vendor_id = vend.vendor_id;</v>
      </c>
      <c r="F45" s="2" t="str">
        <f>IF(AND(NOT(ISBLANK(Drummond!G45)),Drummond!G45&lt;&gt;"N/A"),IF(C45="All",CONCATENATE(Lookup!F$2,D45,Lookup!G$2,B45,Lookup!H$2,H$1,Lookup!I$2),CONCATENATE(Lookup!F$3,D45,Lookup!G$3,B45,Lookup!H$3)),"no url")</f>
        <v>update openchpl.certified_product as cp set transparency_attestation_url = 'http://www.clinicmax.com/Complete_Ambulatory_EHR.html' from (select certified_product_id from (select vend.vendor_code from openchpl.certified_product as cp, openchpl.product_version as pv, openchpl.product as p, openchpl.vendor as vend where cp.acb_certification_id = '08142014-2672-5'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6" spans="1:6" x14ac:dyDescent="0.25">
      <c r="A46" s="2" t="str">
        <f>IF(ISBLANK(Drummond!D46),FALSE,LOOKUP(Drummond!D46,Lookup!$A$2:$B$4))</f>
        <v>Affirmative</v>
      </c>
      <c r="B46" s="2" t="str">
        <f>IF(ISBLANK(Drummond!E46),FALSE,TRIM(Drummond!E46))</f>
        <v>03212014-2226-6</v>
      </c>
      <c r="C46" s="2" t="str">
        <f>IF(ISBLANK(Drummond!F46),FALSE,LOOKUP(Drummond!F46,Lookup!$A$6:$B$7))</f>
        <v>All</v>
      </c>
      <c r="D46" s="2" t="str">
        <f>IF(ISBLANK(Drummond!G46),FALSE,Drummond!G46)</f>
        <v>http://www.clinigence.com/meaningful-use-disclosure</v>
      </c>
      <c r="E46" s="2" t="str">
        <f>IF(NOT(ISBLANK(Drummond!D46)),IF(OR(ISBLANK(Drummond!E46),Drummond!E46="N/A"),"no acb code",CONCATENATE(Lookup!F$1,A46,Lookup!G$1,B46,Lookup!H$1,H$1,Lookup!I$1)),"no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'03212014-2226-6' and cb."name" = 'Drummond Group Inc.' and cp.product_version_id = pv.product_version_id and pv.product_id = p.product_id and p.vendor_id = vend.vendor_id;</v>
      </c>
      <c r="F46" s="2" t="str">
        <f>IF(AND(NOT(ISBLANK(Drummond!G46)),Drummond!G46&lt;&gt;"N/A"),IF(C46="All",CONCATENATE(Lookup!F$2,D46,Lookup!G$2,B46,Lookup!H$2,H$1,Lookup!I$2),CONCATENATE(Lookup!F$3,D46,Lookup!G$3,B46,Lookup!H$3)),"no url")</f>
        <v>update openchpl.certified_product as cp set transparency_attestation_url = 'http://www.clinigence.com/meaningful-use-disclosure' from (select certified_product_id from (select vend.vendor_code from openchpl.certified_product as cp, openchpl.product_version as pv, openchpl.product as p, openchpl.vendor as vend where cp.acb_certification_id = '03212014-2226-6'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7" spans="1:6" x14ac:dyDescent="0.25">
      <c r="A47" s="2" t="str">
        <f>IF(ISBLANK(Drummond!D47),FALSE,LOOKUP(Drummond!D47,Lookup!$A$2:$B$4))</f>
        <v>Affirmative</v>
      </c>
      <c r="B47" s="2" t="str">
        <f>IF(ISBLANK(Drummond!E47),FALSE,TRIM(Drummond!E47))</f>
        <v>06262014-2455-8</v>
      </c>
      <c r="C47" s="2" t="str">
        <f>IF(ISBLANK(Drummond!F47),FALSE,LOOKUP(Drummond!F47,Lookup!$A$6:$B$7))</f>
        <v>All</v>
      </c>
      <c r="D47" s="2" t="str">
        <f>IF(ISBLANK(Drummond!G47),FALSE,Drummond!G47)</f>
        <v>http://clinixmd.com/ehr/clinixmd-receives-onc-acb-2014-edition-certification/</v>
      </c>
      <c r="E47" s="2" t="str">
        <f>IF(NOT(ISBLANK(Drummond!D47)),IF(OR(ISBLANK(Drummond!E47),Drummond!E47="N/A"),"no acb code",CONCATENATE(Lookup!F$1,A47,Lookup!G$1,B47,Lookup!H$1,H$1,Lookup!I$1)),"no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'06262014-2455-8' and cb."name" = 'Drummond Group Inc.' and cp.product_version_id = pv.product_version_id and pv.product_id = p.product_id and p.vendor_id = vend.vendor_id;</v>
      </c>
      <c r="F47" s="2" t="str">
        <f>IF(AND(NOT(ISBLANK(Drummond!G47)),Drummond!G47&lt;&gt;"N/A"),IF(C47="All",CONCATENATE(Lookup!F$2,D47,Lookup!G$2,B47,Lookup!H$2,H$1,Lookup!I$2),CONCATENATE(Lookup!F$3,D47,Lookup!G$3,B47,Lookup!H$3)),"no url")</f>
        <v>update openchpl.certified_product as cp set transparency_attestation_url = 'http://clinixmd.com/ehr/clinixmd-receives-onc-acb-2014-edition-certification/' from (select certified_product_id from (select vend.vendor_code from openchpl.certified_product as cp, openchpl.product_version as pv, openchpl.product as p, openchpl.vendor as vend where cp.acb_certification_id = '06262014-2455-8'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8" spans="1:6" x14ac:dyDescent="0.25">
      <c r="A48" s="2" t="str">
        <f>IF(ISBLANK(Drummond!D48),FALSE,LOOKUP(Drummond!D48,Lookup!$A$2:$B$4))</f>
        <v>Affirmative</v>
      </c>
      <c r="B48" s="2" t="str">
        <f>IF(ISBLANK(Drummond!E48),FALSE,TRIM(Drummond!E48))</f>
        <v>01302014-2026-6</v>
      </c>
      <c r="C48" s="2" t="str">
        <f>IF(ISBLANK(Drummond!F48),FALSE,LOOKUP(Drummond!F48,Lookup!$A$6:$B$7))</f>
        <v>All</v>
      </c>
      <c r="D48" s="2" t="str">
        <f>IF(ISBLANK(Drummond!G48),FALSE,Drummond!G48)</f>
        <v>http://cocentrix.com/platform/electronic-health-record/</v>
      </c>
      <c r="E48" s="2" t="str">
        <f>IF(NOT(ISBLANK(Drummond!D48)),IF(OR(ISBLANK(Drummond!E48),Drummond!E48="N/A"),"no acb code",CONCATENATE(Lookup!F$1,A48,Lookup!G$1,B48,Lookup!H$1,H$1,Lookup!I$1)),"no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'01302014-2026-6' and cb."name" = 'Drummond Group Inc.' and cp.product_version_id = pv.product_version_id and pv.product_id = p.product_id and p.vendor_id = vend.vendor_id;</v>
      </c>
      <c r="F48" s="2" t="str">
        <f>IF(AND(NOT(ISBLANK(Drummond!G48)),Drummond!G48&lt;&gt;"N/A"),IF(C48="All",CONCATENATE(Lookup!F$2,D48,Lookup!G$2,B48,Lookup!H$2,H$1,Lookup!I$2),CONCATENATE(Lookup!F$3,D48,Lookup!G$3,B48,Lookup!H$3)),"no url")</f>
        <v>update openchpl.certified_product as cp set transparency_attestation_url = 'http://cocentrix.com/platform/electronic-health-record/' from (select certified_product_id from (select vend.vendor_code from openchpl.certified_product as cp, openchpl.product_version as pv, openchpl.product as p, openchpl.vendor as vend where cp.acb_certification_id = '01302014-2026-6'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9" spans="1:6" x14ac:dyDescent="0.25">
      <c r="A49" s="2" t="str">
        <f>IF(ISBLANK(Drummond!D49),FALSE,LOOKUP(Drummond!D49,Lookup!$A$2:$B$4))</f>
        <v>Affirmative</v>
      </c>
      <c r="B49" s="2" t="str">
        <f>IF(ISBLANK(Drummond!E49),FALSE,TRIM(Drummond!E49))</f>
        <v>03062014-2319-9</v>
      </c>
      <c r="C49" s="2" t="str">
        <f>IF(ISBLANK(Drummond!F49),FALSE,LOOKUP(Drummond!F49,Lookup!$A$6:$B$7))</f>
        <v>All</v>
      </c>
      <c r="D49" s="2" t="str">
        <f>IF(ISBLANK(Drummond!G49),FALSE,Drummond!G49)</f>
        <v>http://codonix.com/</v>
      </c>
      <c r="E49" s="2" t="str">
        <f>IF(NOT(ISBLANK(Drummond!D49)),IF(OR(ISBLANK(Drummond!E49),Drummond!E49="N/A"),"no acb code",CONCATENATE(Lookup!F$1,A49,Lookup!G$1,B49,Lookup!H$1,H$1,Lookup!I$1)),"no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'03062014-2319-9' and cb."name" = 'Drummond Group Inc.' and cp.product_version_id = pv.product_version_id and pv.product_id = p.product_id and p.vendor_id = vend.vendor_id;</v>
      </c>
      <c r="F49" s="2" t="str">
        <f>IF(AND(NOT(ISBLANK(Drummond!G49)),Drummond!G49&lt;&gt;"N/A"),IF(C49="All",CONCATENATE(Lookup!F$2,D49,Lookup!G$2,B49,Lookup!H$2,H$1,Lookup!I$2),CONCATENATE(Lookup!F$3,D49,Lookup!G$3,B49,Lookup!H$3)),"no url")</f>
        <v>update openchpl.certified_product as cp set transparency_attestation_url = 'http://codonix.com/' from (select certified_product_id from (select vend.vendor_code from openchpl.certified_product as cp, openchpl.product_version as pv, openchpl.product as p, openchpl.vendor as vend where cp.acb_certification_id = '03062014-2319-9'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0" spans="1:6" x14ac:dyDescent="0.25">
      <c r="A50" s="2" t="str">
        <f>IF(ISBLANK(Drummond!D50),FALSE,LOOKUP(Drummond!D50,Lookup!$A$2:$B$4))</f>
        <v>Affirmative</v>
      </c>
      <c r="B50" s="2" t="str">
        <f>IF(ISBLANK(Drummond!E50),FALSE,TRIM(Drummond!E50))</f>
        <v>06052014-2671-9</v>
      </c>
      <c r="C50" s="2" t="str">
        <f>IF(ISBLANK(Drummond!F50),FALSE,LOOKUP(Drummond!F50,Lookup!$A$6:$B$7))</f>
        <v>All</v>
      </c>
      <c r="D50" s="2" t="str">
        <f>IF(ISBLANK(Drummond!G50),FALSE,Drummond!G50)</f>
        <v>http://esphealth.org/redmine/</v>
      </c>
      <c r="E50" s="2" t="str">
        <f>IF(NOT(ISBLANK(Drummond!D50)),IF(OR(ISBLANK(Drummond!E50),Drummond!E50="N/A"),"no acb code",CONCATENATE(Lookup!F$1,A50,Lookup!G$1,B50,Lookup!H$1,H$1,Lookup!I$1)),"no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'06052014-2671-9' and cb."name" = 'Drummond Group Inc.' and cp.product_version_id = pv.product_version_id and pv.product_id = p.product_id and p.vendor_id = vend.vendor_id;</v>
      </c>
      <c r="F50" s="2" t="str">
        <f>IF(AND(NOT(ISBLANK(Drummond!G50)),Drummond!G50&lt;&gt;"N/A"),IF(C50="All",CONCATENATE(Lookup!F$2,D50,Lookup!G$2,B50,Lookup!H$2,H$1,Lookup!I$2),CONCATENATE(Lookup!F$3,D50,Lookup!G$3,B50,Lookup!H$3)),"no url")</f>
        <v>update openchpl.certified_product as cp set transparency_attestation_url = 'http://esphealth.org/redmine/' from (select certified_product_id from (select vend.vendor_code from openchpl.certified_product as cp, openchpl.product_version as pv, openchpl.product as p, openchpl.vendor as vend where cp.acb_certification_id = '06052014-2671-9'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" spans="1:6" x14ac:dyDescent="0.25">
      <c r="A51" s="2" t="str">
        <f>IF(ISBLANK(Drummond!D51),FALSE,LOOKUP(Drummond!D51,Lookup!$A$2:$B$4))</f>
        <v>Affirmative</v>
      </c>
      <c r="B51" s="2" t="str">
        <f>IF(ISBLANK(Drummond!E51),FALSE,TRIM(Drummond!E51))</f>
        <v>04022015-2866-3</v>
      </c>
      <c r="C51" s="2" t="str">
        <f>IF(ISBLANK(Drummond!F51),FALSE,LOOKUP(Drummond!F51,Lookup!$A$6:$B$7))</f>
        <v>All</v>
      </c>
      <c r="D51" s="2" t="str">
        <f>IF(ISBLANK(Drummond!G51),FALSE,Drummond!G51)</f>
        <v>http://www.compulinkadvantage.com/about-compulink/certification/</v>
      </c>
      <c r="E51" s="2" t="str">
        <f>IF(NOT(ISBLANK(Drummond!D51)),IF(OR(ISBLANK(Drummond!E51),Drummond!E51="N/A"),"no acb code",CONCATENATE(Lookup!F$1,A51,Lookup!G$1,B51,Lookup!H$1,H$1,Lookup!I$1)),"no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'04022015-2866-3' and cb."name" = 'Drummond Group Inc.' and cp.product_version_id = pv.product_version_id and pv.product_id = p.product_id and p.vendor_id = vend.vendor_id;</v>
      </c>
      <c r="F51" s="2" t="str">
        <f>IF(AND(NOT(ISBLANK(Drummond!G51)),Drummond!G51&lt;&gt;"N/A"),IF(C51="All",CONCATENATE(Lookup!F$2,D51,Lookup!G$2,B51,Lookup!H$2,H$1,Lookup!I$2),CONCATENATE(Lookup!F$3,D51,Lookup!G$3,B51,Lookup!H$3)),"no url")</f>
        <v>update openchpl.certified_product as cp set transparency_attestation_url = 'http://www.compulinkadvantage.com/about-compulink/certification/' from (select certified_product_id from (select vend.vendor_code from openchpl.certified_product as cp, openchpl.product_version as pv, openchpl.product as p, openchpl.vendor as vend where cp.acb_certification_id = '04022015-2866-3'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2" spans="1:6" x14ac:dyDescent="0.25">
      <c r="A52" s="2" t="str">
        <f>IF(ISBLANK(Drummond!D52),FALSE,LOOKUP(Drummond!D52,Lookup!$A$2:$B$4))</f>
        <v>N/A</v>
      </c>
      <c r="B52" s="2" t="str">
        <f>IF(ISBLANK(Drummond!E52),FALSE,TRIM(Drummond!E52))</f>
        <v>07212014-2597-1</v>
      </c>
      <c r="C52" s="2" t="str">
        <f>IF(ISBLANK(Drummond!F52),FALSE,LOOKUP(Drummond!F52,Lookup!$A$6:$B$7))</f>
        <v>All</v>
      </c>
      <c r="D52" s="2" t="b">
        <f>IF(ISBLANK(Drummond!G52),FALSE,Drummond!G52)</f>
        <v>0</v>
      </c>
      <c r="E52" s="2" t="str">
        <f>IF(NOT(ISBLANK(Drummond!D52)),IF(OR(ISBLANK(Drummond!E52),Drummond!E52="N/A"),"no acb code",CONCATENATE(Lookup!F$1,A52,Lookup!G$1,B52,Lookup!H$1,H$1,Lookup!I$1)),"no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'07212014-2597-1' and cb."name" = 'Drummond Group Inc.' and cp.product_version_id = pv.product_version_id and pv.product_id = p.product_id and p.vendor_id = vend.vendor_id;</v>
      </c>
      <c r="F52" s="2" t="str">
        <f>IF(AND(NOT(ISBLANK(Drummond!G52)),Drummond!G52&lt;&gt;"N/A"),IF(C52="All",CONCATENATE(Lookup!F$2,D52,Lookup!G$2,B52,Lookup!H$2,H$1,Lookup!I$2),CONCATENATE(Lookup!F$3,D52,Lookup!G$3,B52,Lookup!H$3)),"no url")</f>
        <v>no url</v>
      </c>
    </row>
    <row r="53" spans="1:6" x14ac:dyDescent="0.25">
      <c r="A53" s="2" t="str">
        <f>IF(ISBLANK(Drummond!D53),FALSE,LOOKUP(Drummond!D53,Lookup!$A$2:$B$4))</f>
        <v>Affirmative</v>
      </c>
      <c r="B53" s="2" t="str">
        <f>IF(ISBLANK(Drummond!E53),FALSE,TRIM(Drummond!E53))</f>
        <v>04142014-2606-5</v>
      </c>
      <c r="C53" s="2" t="str">
        <f>IF(ISBLANK(Drummond!F53),FALSE,LOOKUP(Drummond!F53,Lookup!$A$6:$B$7))</f>
        <v>All</v>
      </c>
      <c r="D53" s="2" t="str">
        <f>IF(ISBLANK(Drummond!G53),FALSE,Drummond!G53)</f>
        <v>http://www.coresolutionsinc.com/wp-content/uploads/2013/08/Complete-MU-2-Certification-Press-Release.pdf</v>
      </c>
      <c r="E53" s="2" t="str">
        <f>IF(NOT(ISBLANK(Drummond!D53)),IF(OR(ISBLANK(Drummond!E53),Drummond!E53="N/A"),"no acb code",CONCATENATE(Lookup!F$1,A53,Lookup!G$1,B53,Lookup!H$1,H$1,Lookup!I$1)),"no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'04142014-2606-5' and cb."name" = 'Drummond Group Inc.' and cp.product_version_id = pv.product_version_id and pv.product_id = p.product_id and p.vendor_id = vend.vendor_id;</v>
      </c>
      <c r="F53" s="2" t="str">
        <f>IF(AND(NOT(ISBLANK(Drummond!G53)),Drummond!G53&lt;&gt;"N/A"),IF(C53="All",CONCATENATE(Lookup!F$2,D53,Lookup!G$2,B53,Lookup!H$2,H$1,Lookup!I$2),CONCATENATE(Lookup!F$3,D53,Lookup!G$3,B53,Lookup!H$3)),"no url")</f>
        <v>update openchpl.certified_product as cp set transparency_attestation_url = 'http://www.coresolutionsinc.com/wp-content/uploads/2013/08/Complete-MU-2-Certification-Press-Release.pdf' from (select certified_product_id from (select vend.vendor_code from openchpl.certified_product as cp, openchpl.product_version as pv, openchpl.product as p, openchpl.vendor as vend where cp.acb_certification_id = '04142014-2606-5'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4" spans="1:6" x14ac:dyDescent="0.25">
      <c r="A54" s="2" t="str">
        <f>IF(ISBLANK(Drummond!D54),FALSE,LOOKUP(Drummond!D54,Lookup!$A$2:$B$4))</f>
        <v>Affirmative</v>
      </c>
      <c r="B54" s="2" t="str">
        <f>IF(ISBLANK(Drummond!E54),FALSE,TRIM(Drummond!E54))</f>
        <v>03132013-1785-6</v>
      </c>
      <c r="C54" s="2" t="str">
        <f>IF(ISBLANK(Drummond!F54),FALSE,LOOKUP(Drummond!F54,Lookup!$A$6:$B$7))</f>
        <v>All</v>
      </c>
      <c r="D54" s="2" t="str">
        <f>IF(ISBLANK(Drummond!G54),FALSE,Drummond!G54)</f>
        <v>http://corepointhealth.com/onc-certified</v>
      </c>
      <c r="E54" s="2" t="str">
        <f>IF(NOT(ISBLANK(Drummond!D54)),IF(OR(ISBLANK(Drummond!E54),Drummond!E54="N/A"),"no acb code",CONCATENATE(Lookup!F$1,A54,Lookup!G$1,B54,Lookup!H$1,H$1,Lookup!I$1)),"no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'03132013-1785-6' and cb."name" = 'Drummond Group Inc.' and cp.product_version_id = pv.product_version_id and pv.product_id = p.product_id and p.vendor_id = vend.vendor_id;</v>
      </c>
      <c r="F54" s="2" t="str">
        <f>IF(AND(NOT(ISBLANK(Drummond!G54)),Drummond!G54&lt;&gt;"N/A"),IF(C54="All",CONCATENATE(Lookup!F$2,D54,Lookup!G$2,B54,Lookup!H$2,H$1,Lookup!I$2),CONCATENATE(Lookup!F$3,D54,Lookup!G$3,B54,Lookup!H$3)),"no url")</f>
        <v>update openchpl.certified_product as cp set transparency_attestation_url = 'http://corepointhealth.com/onc-certified' from (select certified_product_id from (select vend.vendor_code from openchpl.certified_product as cp, openchpl.product_version as pv, openchpl.product as p, openchpl.vendor as vend where cp.acb_certification_id = '03132013-1785-6'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5" spans="1:6" x14ac:dyDescent="0.25">
      <c r="A55" s="2" t="str">
        <f>IF(ISBLANK(Drummond!D55),FALSE,LOOKUP(Drummond!D55,Lookup!$A$2:$B$4))</f>
        <v>N/A</v>
      </c>
      <c r="B55" s="2" t="str">
        <f>IF(ISBLANK(Drummond!E55),FALSE,TRIM(Drummond!E55))</f>
        <v>07102014-2676-3</v>
      </c>
      <c r="C55" s="2" t="str">
        <f>IF(ISBLANK(Drummond!F55),FALSE,LOOKUP(Drummond!F55,Lookup!$A$6:$B$7))</f>
        <v>All</v>
      </c>
      <c r="D55" s="2" t="b">
        <f>IF(ISBLANK(Drummond!G55),FALSE,Drummond!G55)</f>
        <v>0</v>
      </c>
      <c r="E55" s="2" t="str">
        <f>IF(NOT(ISBLANK(Drummond!D55)),IF(OR(ISBLANK(Drummond!E55),Drummond!E55="N/A"),"no acb code",CONCATENATE(Lookup!F$1,A55,Lookup!G$1,B55,Lookup!H$1,H$1,Lookup!I$1)),"no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'07102014-2676-3' and cb."name" = 'Drummond Group Inc.' and cp.product_version_id = pv.product_version_id and pv.product_id = p.product_id and p.vendor_id = vend.vendor_id;</v>
      </c>
      <c r="F55" s="2" t="str">
        <f>IF(AND(NOT(ISBLANK(Drummond!G55)),Drummond!G55&lt;&gt;"N/A"),IF(C55="All",CONCATENATE(Lookup!F$2,D55,Lookup!G$2,B55,Lookup!H$2,H$1,Lookup!I$2),CONCATENATE(Lookup!F$3,D55,Lookup!G$3,B55,Lookup!H$3)),"no url")</f>
        <v>no url</v>
      </c>
    </row>
    <row r="56" spans="1:6" x14ac:dyDescent="0.25">
      <c r="A56" s="2" t="str">
        <f>IF(ISBLANK(Drummond!D56),FALSE,LOOKUP(Drummond!D56,Lookup!$A$2:$B$4))</f>
        <v>Affirmative</v>
      </c>
      <c r="B56" s="2" t="str">
        <f>IF(ISBLANK(Drummond!E56),FALSE,TRIM(Drummond!E56))</f>
        <v>03212014-2401-5</v>
      </c>
      <c r="C56" s="2" t="str">
        <f>IF(ISBLANK(Drummond!F56),FALSE,LOOKUP(Drummond!F56,Lookup!$A$6:$B$7))</f>
        <v>All</v>
      </c>
      <c r="D56" s="2" t="str">
        <f>IF(ISBLANK(Drummond!G56),FALSE,Drummond!G56)</f>
        <v>http://www.criterions.com/</v>
      </c>
      <c r="E56" s="2" t="str">
        <f>IF(NOT(ISBLANK(Drummond!D56)),IF(OR(ISBLANK(Drummond!E56),Drummond!E56="N/A"),"no acb code",CONCATENATE(Lookup!F$1,A56,Lookup!G$1,B56,Lookup!H$1,H$1,Lookup!I$1)),"no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'03212014-2401-5' and cb."name" = 'Drummond Group Inc.' and cp.product_version_id = pv.product_version_id and pv.product_id = p.product_id and p.vendor_id = vend.vendor_id;</v>
      </c>
      <c r="F56" s="2" t="str">
        <f>IF(AND(NOT(ISBLANK(Drummond!G56)),Drummond!G56&lt;&gt;"N/A"),IF(C56="All",CONCATENATE(Lookup!F$2,D56,Lookup!G$2,B56,Lookup!H$2,H$1,Lookup!I$2),CONCATENATE(Lookup!F$3,D56,Lookup!G$3,B56,Lookup!H$3)),"no url")</f>
        <v>update openchpl.certified_product as cp set transparency_attestation_url = 'http://www.criterions.com/' from (select certified_product_id from (select vend.vendor_code from openchpl.certified_product as cp, openchpl.product_version as pv, openchpl.product as p, openchpl.vendor as vend where cp.acb_certification_id = '03212014-2401-5'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7" spans="1:6" x14ac:dyDescent="0.25">
      <c r="A57" s="2" t="str">
        <f>IF(ISBLANK(Drummond!D57),FALSE,LOOKUP(Drummond!D57,Lookup!$A$2:$B$4))</f>
        <v>Negative</v>
      </c>
      <c r="B57" s="2" t="str">
        <f>IF(ISBLANK(Drummond!E57),FALSE,TRIM(Drummond!E57))</f>
        <v>07242014-2535-3</v>
      </c>
      <c r="C57" s="2" t="str">
        <f>IF(ISBLANK(Drummond!F57),FALSE,LOOKUP(Drummond!F57,Lookup!$A$6:$B$7))</f>
        <v>All</v>
      </c>
      <c r="D57" s="2" t="str">
        <f>IF(ISBLANK(Drummond!G57),FALSE,Drummond!G57)</f>
        <v>http://www.cubehealthcare.com/drummond-certification</v>
      </c>
      <c r="E57" s="2" t="str">
        <f>IF(NOT(ISBLANK(Drummond!D57)),IF(OR(ISBLANK(Drummond!E57),Drummond!E57="N/A"),"no acb code",CONCATENATE(Lookup!F$1,A57,Lookup!G$1,B57,Lookup!H$1,H$1,Lookup!I$1)),"no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'07242014-2535-3' and cb."name" = 'Drummond Group Inc.' and cp.product_version_id = pv.product_version_id and pv.product_id = p.product_id and p.vendor_id = vend.vendor_id;</v>
      </c>
      <c r="F57" s="2" t="str">
        <f>IF(AND(NOT(ISBLANK(Drummond!G57)),Drummond!G57&lt;&gt;"N/A"),IF(C57="All",CONCATENATE(Lookup!F$2,D57,Lookup!G$2,B57,Lookup!H$2,H$1,Lookup!I$2),CONCATENATE(Lookup!F$3,D57,Lookup!G$3,B57,Lookup!H$3)),"no url")</f>
        <v>update openchpl.certified_product as cp set transparency_attestation_url = 'http://www.cubehealthcare.com/drummond-certification' from (select certified_product_id from (select vend.vendor_code from openchpl.certified_product as cp, openchpl.product_version as pv, openchpl.product as p, openchpl.vendor as vend where cp.acb_certification_id = '07242014-2535-3'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8" spans="1:6" x14ac:dyDescent="0.25">
      <c r="A58" s="2" t="str">
        <f>IF(ISBLANK(Drummond!D58),FALSE,LOOKUP(Drummond!D58,Lookup!$A$2:$B$4))</f>
        <v>Affirmative</v>
      </c>
      <c r="B58" s="2" t="str">
        <f>IF(ISBLANK(Drummond!E58),FALSE,TRIM(Drummond!E58))</f>
        <v>04282014-2296-1</v>
      </c>
      <c r="C58" s="2" t="str">
        <f>IF(ISBLANK(Drummond!F58),FALSE,LOOKUP(Drummond!F58,Lookup!$A$6:$B$7))</f>
        <v>All</v>
      </c>
      <c r="D58" s="2" t="str">
        <f>IF(ISBLANK(Drummond!G58),FALSE,Drummond!G58)</f>
        <v>http://mdsuite.com/meaningful-use-disclosure/</v>
      </c>
      <c r="E58" s="2" t="str">
        <f>IF(NOT(ISBLANK(Drummond!D58)),IF(OR(ISBLANK(Drummond!E58),Drummond!E58="N/A"),"no acb code",CONCATENATE(Lookup!F$1,A58,Lookup!G$1,B58,Lookup!H$1,H$1,Lookup!I$1)),"no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'04282014-2296-1' and cb."name" = 'Drummond Group Inc.' and cp.product_version_id = pv.product_version_id and pv.product_id = p.product_id and p.vendor_id = vend.vendor_id;</v>
      </c>
      <c r="F58" s="2" t="str">
        <f>IF(AND(NOT(ISBLANK(Drummond!G58)),Drummond!G58&lt;&gt;"N/A"),IF(C58="All",CONCATENATE(Lookup!F$2,D58,Lookup!G$2,B58,Lookup!H$2,H$1,Lookup!I$2),CONCATENATE(Lookup!F$3,D58,Lookup!G$3,B58,Lookup!H$3)),"no url")</f>
        <v>update openchpl.certified_product as cp set transparency_attestation_url = 'http://mdsuite.com/meaningful-use-disclosure/' from (select certified_product_id from (select vend.vendor_code from openchpl.certified_product as cp, openchpl.product_version as pv, openchpl.product as p, openchpl.vendor as vend where cp.acb_certification_id = '04282014-2296-1'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9" spans="1:6" x14ac:dyDescent="0.25">
      <c r="A59" s="2" t="str">
        <f>IF(ISBLANK(Drummond!D59),FALSE,LOOKUP(Drummond!D59,Lookup!$A$2:$B$4))</f>
        <v>Affirmative</v>
      </c>
      <c r="B59" s="2" t="str">
        <f>IF(ISBLANK(Drummond!E59),FALSE,TRIM(Drummond!E59))</f>
        <v>08062015-2943-3</v>
      </c>
      <c r="C59" s="2" t="str">
        <f>IF(ISBLANK(Drummond!F59),FALSE,LOOKUP(Drummond!F59,Lookup!$A$6:$B$7))</f>
        <v>All</v>
      </c>
      <c r="D59" s="2" t="str">
        <f>IF(ISBLANK(Drummond!G59),FALSE,Drummond!G59)</f>
        <v>http://datalinksoftware.com/products-emr-trinity</v>
      </c>
      <c r="E59" s="2" t="str">
        <f>IF(NOT(ISBLANK(Drummond!D59)),IF(OR(ISBLANK(Drummond!E59),Drummond!E59="N/A"),"no acb code",CONCATENATE(Lookup!F$1,A59,Lookup!G$1,B59,Lookup!H$1,H$1,Lookup!I$1)),"no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'08062015-2943-3' and cb."name" = 'Drummond Group Inc.' and cp.product_version_id = pv.product_version_id and pv.product_id = p.product_id and p.vendor_id = vend.vendor_id;</v>
      </c>
      <c r="F59" s="2" t="str">
        <f>IF(AND(NOT(ISBLANK(Drummond!G59)),Drummond!G59&lt;&gt;"N/A"),IF(C59="All",CONCATENATE(Lookup!F$2,D59,Lookup!G$2,B59,Lookup!H$2,H$1,Lookup!I$2),CONCATENATE(Lookup!F$3,D59,Lookup!G$3,B59,Lookup!H$3)),"no url")</f>
        <v>update openchpl.certified_product as cp set transparency_attestation_url = 'http://datalinksoftware.com/products-emr-trinity' from (select certified_product_id from (select vend.vendor_code from openchpl.certified_product as cp, openchpl.product_version as pv, openchpl.product as p, openchpl.vendor as vend where cp.acb_certification_id = '08062015-2943-3'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0" spans="1:6" x14ac:dyDescent="0.25">
      <c r="A60" s="2" t="str">
        <f>IF(ISBLANK(Drummond!D60),FALSE,LOOKUP(Drummond!D60,Lookup!$A$2:$B$4))</f>
        <v>Affirmative</v>
      </c>
      <c r="B60" s="2" t="str">
        <f>IF(ISBLANK(Drummond!E60),FALSE,TRIM(Drummond!E60))</f>
        <v>09172015-2677-5</v>
      </c>
      <c r="C60" s="2" t="str">
        <f>IF(ISBLANK(Drummond!F60),FALSE,LOOKUP(Drummond!F60,Lookup!$A$6:$B$7))</f>
        <v>All</v>
      </c>
      <c r="D60" s="2" t="str">
        <f>IF(ISBLANK(Drummond!G60),FALSE,Drummond!G60)</f>
        <v>http://dawsystems.com/emr.html</v>
      </c>
      <c r="E60" s="2" t="str">
        <f>IF(NOT(ISBLANK(Drummond!D60)),IF(OR(ISBLANK(Drummond!E60),Drummond!E60="N/A"),"no acb code",CONCATENATE(Lookup!F$1,A60,Lookup!G$1,B60,Lookup!H$1,H$1,Lookup!I$1)),"no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'09172015-2677-5' and cb."name" = 'Drummond Group Inc.' and cp.product_version_id = pv.product_version_id and pv.product_id = p.product_id and p.vendor_id = vend.vendor_id;</v>
      </c>
      <c r="F60" s="2" t="str">
        <f>IF(AND(NOT(ISBLANK(Drummond!G60)),Drummond!G60&lt;&gt;"N/A"),IF(C60="All",CONCATENATE(Lookup!F$2,D60,Lookup!G$2,B60,Lookup!H$2,H$1,Lookup!I$2),CONCATENATE(Lookup!F$3,D60,Lookup!G$3,B60,Lookup!H$3)),"no url")</f>
        <v>update openchpl.certified_product as cp set transparency_attestation_url = 'http://dawsystems.com/emr.html' from (select certified_product_id from (select vend.vendor_code from openchpl.certified_product as cp, openchpl.product_version as pv, openchpl.product as p, openchpl.vendor as vend where cp.acb_certification_id = '09172015-2677-5'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1" spans="1:6" x14ac:dyDescent="0.25">
      <c r="A61" s="2" t="str">
        <f>IF(ISBLANK(Drummond!D61),FALSE,LOOKUP(Drummond!D61,Lookup!$A$2:$B$4))</f>
        <v>Affirmative</v>
      </c>
      <c r="B61" s="2" t="str">
        <f>IF(ISBLANK(Drummond!E61),FALSE,TRIM(Drummond!E61))</f>
        <v>10312013-2236-5</v>
      </c>
      <c r="C61" s="2" t="str">
        <f>IF(ISBLANK(Drummond!F61),FALSE,LOOKUP(Drummond!F61,Lookup!$A$6:$B$7))</f>
        <v>All</v>
      </c>
      <c r="D61" s="2" t="str">
        <f>IF(ISBLANK(Drummond!G61),FALSE,Drummond!G61)</f>
        <v>http://www.digidms.com/disclosure.htm</v>
      </c>
      <c r="E61" s="2" t="str">
        <f>IF(NOT(ISBLANK(Drummond!D61)),IF(OR(ISBLANK(Drummond!E61),Drummond!E61="N/A"),"no acb code",CONCATENATE(Lookup!F$1,A61,Lookup!G$1,B61,Lookup!H$1,H$1,Lookup!I$1)),"no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'10312013-2236-5' and cb."name" = 'Drummond Group Inc.' and cp.product_version_id = pv.product_version_id and pv.product_id = p.product_id and p.vendor_id = vend.vendor_id;</v>
      </c>
      <c r="F61" s="2" t="str">
        <f>IF(AND(NOT(ISBLANK(Drummond!G61)),Drummond!G61&lt;&gt;"N/A"),IF(C61="All",CONCATENATE(Lookup!F$2,D61,Lookup!G$2,B61,Lookup!H$2,H$1,Lookup!I$2),CONCATENATE(Lookup!F$3,D61,Lookup!G$3,B61,Lookup!H$3)),"no url")</f>
        <v>update openchpl.certified_product as cp set transparency_attestation_url = 'http://www.digidms.com/disclosure.htm' from (select certified_product_id from (select vend.vendor_code from openchpl.certified_product as cp, openchpl.product_version as pv, openchpl.product as p, openchpl.vendor as vend where cp.acb_certification_id = '10312013-2236-5'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2" spans="1:6" x14ac:dyDescent="0.25">
      <c r="A62" s="2" t="str">
        <f>IF(ISBLANK(Drummond!D62),FALSE,LOOKUP(Drummond!D62,Lookup!$A$2:$B$4))</f>
        <v>Negative</v>
      </c>
      <c r="B62" s="2" t="str">
        <f>IF(ISBLANK(Drummond!E62),FALSE,TRIM(Drummond!E62))</f>
        <v>05012014-2620-1</v>
      </c>
      <c r="C62" s="2" t="str">
        <f>IF(ISBLANK(Drummond!F62),FALSE,LOOKUP(Drummond!F62,Lookup!$A$6:$B$7))</f>
        <v>All</v>
      </c>
      <c r="D62" s="2" t="str">
        <f>IF(ISBLANK(Drummond!G62),FALSE,Drummond!G62)</f>
        <v>http://emr-electronicmedicalrecords.com/ehr_certification.htm</v>
      </c>
      <c r="E62" s="2" t="str">
        <f>IF(NOT(ISBLANK(Drummond!D62)),IF(OR(ISBLANK(Drummond!E62),Drummond!E62="N/A"),"no acb code",CONCATENATE(Lookup!F$1,A62,Lookup!G$1,B62,Lookup!H$1,H$1,Lookup!I$1)),"no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'05012014-2620-1' and cb."name" = 'Drummond Group Inc.' and cp.product_version_id = pv.product_version_id and pv.product_id = p.product_id and p.vendor_id = vend.vendor_id;</v>
      </c>
      <c r="F62" s="2" t="str">
        <f>IF(AND(NOT(ISBLANK(Drummond!G62)),Drummond!G62&lt;&gt;"N/A"),IF(C62="All",CONCATENATE(Lookup!F$2,D62,Lookup!G$2,B62,Lookup!H$2,H$1,Lookup!I$2),CONCATENATE(Lookup!F$3,D62,Lookup!G$3,B62,Lookup!H$3)),"no url")</f>
        <v>update openchpl.certified_product as cp set transparency_attestation_url = 'http://emr-electronicmedicalrecords.com/ehr_certification.htm' from (select certified_product_id from (select vend.vendor_code from openchpl.certified_product as cp, openchpl.product_version as pv, openchpl.product as p, openchpl.vendor as vend where cp.acb_certification_id = '05012014-2620-1'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3" spans="1:6" x14ac:dyDescent="0.25">
      <c r="A63" s="2" t="str">
        <f>IF(ISBLANK(Drummond!D63),FALSE,LOOKUP(Drummond!D63,Lookup!$A$2:$B$4))</f>
        <v>Affirmative</v>
      </c>
      <c r="B63" s="2" t="str">
        <f>IF(ISBLANK(Drummond!E63),FALSE,TRIM(Drummond!E63))</f>
        <v>05272014-2444-6</v>
      </c>
      <c r="C63" s="2" t="str">
        <f>IF(ISBLANK(Drummond!F63),FALSE,LOOKUP(Drummond!F63,Lookup!$A$6:$B$7))</f>
        <v>All</v>
      </c>
      <c r="D63" s="2" t="str">
        <f>IF(ISBLANK(Drummond!G63),FALSE,Drummond!G63)</f>
        <v>http://doctorsoft.com/</v>
      </c>
      <c r="E63" s="2" t="str">
        <f>IF(NOT(ISBLANK(Drummond!D63)),IF(OR(ISBLANK(Drummond!E63),Drummond!E63="N/A"),"no acb code",CONCATENATE(Lookup!F$1,A63,Lookup!G$1,B63,Lookup!H$1,H$1,Lookup!I$1)),"no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'05272014-2444-6' and cb."name" = 'Drummond Group Inc.' and cp.product_version_id = pv.product_version_id and pv.product_id = p.product_id and p.vendor_id = vend.vendor_id;</v>
      </c>
      <c r="F63" s="2" t="str">
        <f>IF(AND(NOT(ISBLANK(Drummond!G63)),Drummond!G63&lt;&gt;"N/A"),IF(C63="All",CONCATENATE(Lookup!F$2,D63,Lookup!G$2,B63,Lookup!H$2,H$1,Lookup!I$2),CONCATENATE(Lookup!F$3,D63,Lookup!G$3,B63,Lookup!H$3)),"no url")</f>
        <v>update openchpl.certified_product as cp set transparency_attestation_url = 'http://doctorsoft.com/' from (select certified_product_id from (select vend.vendor_code from openchpl.certified_product as cp, openchpl.product_version as pv, openchpl.product as p, openchpl.vendor as vend where cp.acb_certification_id = '05272014-2444-6'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4" spans="1:6" x14ac:dyDescent="0.25">
      <c r="A64" s="2" t="str">
        <f>IF(ISBLANK(Drummond!D64),FALSE,LOOKUP(Drummond!D64,Lookup!$A$2:$B$4))</f>
        <v>Negative</v>
      </c>
      <c r="B64" s="2" t="str">
        <f>IF(ISBLANK(Drummond!E64),FALSE,TRIM(Drummond!E64))</f>
        <v>05302014-2109-5</v>
      </c>
      <c r="C64" s="2" t="str">
        <f>IF(ISBLANK(Drummond!F64),FALSE,LOOKUP(Drummond!F64,Lookup!$A$6:$B$7))</f>
        <v>All</v>
      </c>
      <c r="D64" s="2" t="str">
        <f>IF(ISBLANK(Drummond!G64),FALSE,Drummond!G64)</f>
        <v>http://docutap.com/drummond-certified-for-meaningful-use</v>
      </c>
      <c r="E64" s="2" t="str">
        <f>IF(NOT(ISBLANK(Drummond!D64)),IF(OR(ISBLANK(Drummond!E64),Drummond!E64="N/A"),"no acb code",CONCATENATE(Lookup!F$1,A64,Lookup!G$1,B64,Lookup!H$1,H$1,Lookup!I$1)),"no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'05302014-2109-5' and cb."name" = 'Drummond Group Inc.' and cp.product_version_id = pv.product_version_id and pv.product_id = p.product_id and p.vendor_id = vend.vendor_id;</v>
      </c>
      <c r="F64" s="2" t="str">
        <f>IF(AND(NOT(ISBLANK(Drummond!G64)),Drummond!G64&lt;&gt;"N/A"),IF(C64="All",CONCATENATE(Lookup!F$2,D64,Lookup!G$2,B64,Lookup!H$2,H$1,Lookup!I$2),CONCATENATE(Lookup!F$3,D64,Lookup!G$3,B64,Lookup!H$3)),"no url")</f>
        <v>update openchpl.certified_product as cp set transparency_attestation_url = 'http://docutap.com/drummond-certified-for-meaningful-use' from (select certified_product_id from (select vend.vendor_code from openchpl.certified_product as cp, openchpl.product_version as pv, openchpl.product as p, openchpl.vendor as vend where cp.acb_certification_id = '05302014-2109-5'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5" spans="1:6" x14ac:dyDescent="0.25">
      <c r="A65" s="2" t="str">
        <f>IF(ISBLANK(Drummond!D65),FALSE,LOOKUP(Drummond!D65,Lookup!$A$2:$B$4))</f>
        <v>Affirmative</v>
      </c>
      <c r="B65" s="2" t="str">
        <f>IF(ISBLANK(Drummond!E65),FALSE,TRIM(Drummond!E65))</f>
        <v>06192014-2443-6</v>
      </c>
      <c r="C65" s="2" t="str">
        <f>IF(ISBLANK(Drummond!F65),FALSE,LOOKUP(Drummond!F65,Lookup!$A$6:$B$7))</f>
        <v>All</v>
      </c>
      <c r="D65" s="2" t="str">
        <f>IF(ISBLANK(Drummond!G65),FALSE,Drummond!G65)</f>
        <v>http://www.docutracinc.com/meaningful_use_disclosure/</v>
      </c>
      <c r="E65" s="2" t="str">
        <f>IF(NOT(ISBLANK(Drummond!D65)),IF(OR(ISBLANK(Drummond!E65),Drummond!E65="N/A"),"no acb code",CONCATENATE(Lookup!F$1,A65,Lookup!G$1,B65,Lookup!H$1,H$1,Lookup!I$1)),"no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'06192014-2443-6' and cb."name" = 'Drummond Group Inc.' and cp.product_version_id = pv.product_version_id and pv.product_id = p.product_id and p.vendor_id = vend.vendor_id;</v>
      </c>
      <c r="F65" s="2" t="str">
        <f>IF(AND(NOT(ISBLANK(Drummond!G65)),Drummond!G65&lt;&gt;"N/A"),IF(C65="All",CONCATENATE(Lookup!F$2,D65,Lookup!G$2,B65,Lookup!H$2,H$1,Lookup!I$2),CONCATENATE(Lookup!F$3,D65,Lookup!G$3,B65,Lookup!H$3)),"no url")</f>
        <v>update openchpl.certified_product as cp set transparency_attestation_url = 'http://www.docutracinc.com/meaningful_use_disclosure/' from (select certified_product_id from (select vend.vendor_code from openchpl.certified_product as cp, openchpl.product_version as pv, openchpl.product as p, openchpl.vendor as vend where cp.acb_certification_id = '06192014-2443-6'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6" spans="1:6" x14ac:dyDescent="0.25">
      <c r="A66" s="2" t="str">
        <f>IF(ISBLANK(Drummond!D66),FALSE,LOOKUP(Drummond!D66,Lookup!$A$2:$B$4))</f>
        <v>Affirmative</v>
      </c>
      <c r="B66" s="2" t="str">
        <f>IF(ISBLANK(Drummond!E66),FALSE,TRIM(Drummond!E66))</f>
        <v>07312014-2615-1</v>
      </c>
      <c r="C66" s="2" t="str">
        <f>IF(ISBLANK(Drummond!F66),FALSE,LOOKUP(Drummond!F66,Lookup!$A$6:$B$7))</f>
        <v>All</v>
      </c>
      <c r="D66" s="2" t="str">
        <f>IF(ISBLANK(Drummond!G66),FALSE,Drummond!G66)</f>
        <v>http://www.ehrez.com/</v>
      </c>
      <c r="E66" s="2" t="str">
        <f>IF(NOT(ISBLANK(Drummond!D66)),IF(OR(ISBLANK(Drummond!E66),Drummond!E66="N/A"),"no acb code",CONCATENATE(Lookup!F$1,A66,Lookup!G$1,B66,Lookup!H$1,H$1,Lookup!I$1)),"no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'07312014-2615-1' and cb."name" = 'Drummond Group Inc.' and cp.product_version_id = pv.product_version_id and pv.product_id = p.product_id and p.vendor_id = vend.vendor_id;</v>
      </c>
      <c r="F66" s="2" t="str">
        <f>IF(AND(NOT(ISBLANK(Drummond!G66)),Drummond!G66&lt;&gt;"N/A"),IF(C66="All",CONCATENATE(Lookup!F$2,D66,Lookup!G$2,B66,Lookup!H$2,H$1,Lookup!I$2),CONCATENATE(Lookup!F$3,D66,Lookup!G$3,B66,Lookup!H$3)),"no url")</f>
        <v>update openchpl.certified_product as cp set transparency_attestation_url = 'http://www.ehrez.com/' from (select certified_product_id from (select vend.vendor_code from openchpl.certified_product as cp, openchpl.product_version as pv, openchpl.product as p, openchpl.vendor as vend where cp.acb_certification_id = '07312014-2615-1'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7" spans="1:6" x14ac:dyDescent="0.25">
      <c r="A67" s="2" t="str">
        <f>IF(ISBLANK(Drummond!D67),FALSE,LOOKUP(Drummond!D67,Lookup!$A$2:$B$4))</f>
        <v>Negative</v>
      </c>
      <c r="B67" s="2" t="str">
        <f>IF(ISBLANK(Drummond!E67),FALSE,TRIM(Drummond!E67))</f>
        <v>06192014-2485-9</v>
      </c>
      <c r="C67" s="2" t="str">
        <f>IF(ISBLANK(Drummond!F67),FALSE,LOOKUP(Drummond!F67,Lookup!$A$6:$B$7))</f>
        <v>All</v>
      </c>
      <c r="D67" s="2" t="str">
        <f>IF(ISBLANK(Drummond!G67),FALSE,Drummond!G67)</f>
        <v>http://www.ezbis.com/cehrtdisclosure.htm</v>
      </c>
      <c r="E67" s="2" t="str">
        <f>IF(NOT(ISBLANK(Drummond!D67)),IF(OR(ISBLANK(Drummond!E67),Drummond!E67="N/A"),"no acb code",CONCATENATE(Lookup!F$1,A67,Lookup!G$1,B67,Lookup!H$1,H$1,Lookup!I$1)),"no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'06192014-2485-9' and cb."name" = 'Drummond Group Inc.' and cp.product_version_id = pv.product_version_id and pv.product_id = p.product_id and p.vendor_id = vend.vendor_id;</v>
      </c>
      <c r="F67" s="2" t="str">
        <f>IF(AND(NOT(ISBLANK(Drummond!G67)),Drummond!G67&lt;&gt;"N/A"),IF(C67="All",CONCATENATE(Lookup!F$2,D67,Lookup!G$2,B67,Lookup!H$2,H$1,Lookup!I$2),CONCATENATE(Lookup!F$3,D67,Lookup!G$3,B67,Lookup!H$3)),"no url")</f>
        <v>update openchpl.certified_product as cp set transparency_attestation_url = 'http://www.ezbis.com/cehrtdisclosure.htm' from (select certified_product_id from (select vend.vendor_code from openchpl.certified_product as cp, openchpl.product_version as pv, openchpl.product as p, openchpl.vendor as vend where cp.acb_certification_id = '06192014-2485-9'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8" spans="1:6" x14ac:dyDescent="0.25">
      <c r="A68" s="2" t="str">
        <f>IF(ISBLANK(Drummond!D68),FALSE,LOOKUP(Drummond!D68,Lookup!$A$2:$B$4))</f>
        <v>Affirmative</v>
      </c>
      <c r="B68" s="2" t="str">
        <f>IF(ISBLANK(Drummond!E68),FALSE,TRIM(Drummond!E68))</f>
        <v>12042014-2121-3</v>
      </c>
      <c r="C68" s="2" t="str">
        <f>IF(ISBLANK(Drummond!F68),FALSE,LOOKUP(Drummond!F68,Lookup!$A$6:$B$7))</f>
        <v>All</v>
      </c>
      <c r="D68" s="2" t="str">
        <f>IF(ISBLANK(Drummond!G68),FALSE,Drummond!G68)</f>
        <v>https://www.medformixvue.com/meaningful-use-statement.html</v>
      </c>
      <c r="E68" s="2" t="str">
        <f>IF(NOT(ISBLANK(Drummond!D68)),IF(OR(ISBLANK(Drummond!E68),Drummond!E68="N/A"),"no acb code",CONCATENATE(Lookup!F$1,A68,Lookup!G$1,B68,Lookup!H$1,H$1,Lookup!I$1)),"no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'12042014-2121-3' and cb."name" = 'Drummond Group Inc.' and cp.product_version_id = pv.product_version_id and pv.product_id = p.product_id and p.vendor_id = vend.vendor_id;</v>
      </c>
      <c r="F68" s="2" t="str">
        <f>IF(AND(NOT(ISBLANK(Drummond!G68)),Drummond!G68&lt;&gt;"N/A"),IF(C68="All",CONCATENATE(Lookup!F$2,D68,Lookup!G$2,B68,Lookup!H$2,H$1,Lookup!I$2),CONCATENATE(Lookup!F$3,D68,Lookup!G$3,B68,Lookup!H$3)),"no url")</f>
        <v>update openchpl.certified_product as cp set transparency_attestation_url = 'https://www.medformixvue.com/meaningful-use-statement.html' from (select certified_product_id from (select vend.vendor_code from openchpl.certified_product as cp, openchpl.product_version as pv, openchpl.product as p, openchpl.vendor as vend where cp.acb_certification_id = '12042014-2121-3'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9" spans="1:6" x14ac:dyDescent="0.25">
      <c r="A69" s="2" t="str">
        <f>IF(ISBLANK(Drummond!D69),FALSE,LOOKUP(Drummond!D69,Lookup!$A$2:$B$4))</f>
        <v>Affirmative</v>
      </c>
      <c r="B69" s="2" t="str">
        <f>IF(ISBLANK(Drummond!E69),FALSE,TRIM(Drummond!E69))</f>
        <v>04072014-2607-1</v>
      </c>
      <c r="C69" s="2" t="str">
        <f>IF(ISBLANK(Drummond!F69),FALSE,LOOKUP(Drummond!F69,Lookup!$A$6:$B$7))</f>
        <v>All</v>
      </c>
      <c r="D69" s="2" t="str">
        <f>IF(ISBLANK(Drummond!G69),FALSE,Drummond!G69)</f>
        <v>http://emrconnect.com/products.html</v>
      </c>
      <c r="E69" s="2" t="str">
        <f>IF(NOT(ISBLANK(Drummond!D69)),IF(OR(ISBLANK(Drummond!E69),Drummond!E69="N/A"),"no acb code",CONCATENATE(Lookup!F$1,A69,Lookup!G$1,B69,Lookup!H$1,H$1,Lookup!I$1)),"no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'04072014-2607-1' and cb."name" = 'Drummond Group Inc.' and cp.product_version_id = pv.product_version_id and pv.product_id = p.product_id and p.vendor_id = vend.vendor_id;</v>
      </c>
      <c r="F69" s="2" t="str">
        <f>IF(AND(NOT(ISBLANK(Drummond!G69)),Drummond!G69&lt;&gt;"N/A"),IF(C69="All",CONCATENATE(Lookup!F$2,D69,Lookup!G$2,B69,Lookup!H$2,H$1,Lookup!I$2),CONCATENATE(Lookup!F$3,D69,Lookup!G$3,B69,Lookup!H$3)),"no url")</f>
        <v>update openchpl.certified_product as cp set transparency_attestation_url = 'http://emrconnect.com/products.html' from (select certified_product_id from (select vend.vendor_code from openchpl.certified_product as cp, openchpl.product_version as pv, openchpl.product as p, openchpl.vendor as vend where cp.acb_certification_id = '04072014-2607-1'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0" spans="1:6" x14ac:dyDescent="0.25">
      <c r="A70" s="2" t="str">
        <f>IF(ISBLANK(Drummond!D70),FALSE,LOOKUP(Drummond!D70,Lookup!$A$2:$B$4))</f>
        <v>Affirmative</v>
      </c>
      <c r="B70" s="2" t="str">
        <f>IF(ISBLANK(Drummond!E70),FALSE,TRIM(Drummond!E70))</f>
        <v>01162014-2244-6</v>
      </c>
      <c r="C70" s="2" t="str">
        <f>IF(ISBLANK(Drummond!F70),FALSE,LOOKUP(Drummond!F70,Lookup!$A$6:$B$7))</f>
        <v>All</v>
      </c>
      <c r="D70" s="2" t="str">
        <f>IF(ISBLANK(Drummond!G70),FALSE,Drummond!G70)</f>
        <v>http://www.epowerdoc.com/en/compliance_and_roi/</v>
      </c>
      <c r="E70" s="2" t="str">
        <f>IF(NOT(ISBLANK(Drummond!D70)),IF(OR(ISBLANK(Drummond!E70),Drummond!E70="N/A"),"no acb code",CONCATENATE(Lookup!F$1,A70,Lookup!G$1,B70,Lookup!H$1,H$1,Lookup!I$1)),"no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'01162014-2244-6' and cb."name" = 'Drummond Group Inc.' and cp.product_version_id = pv.product_version_id and pv.product_id = p.product_id and p.vendor_id = vend.vendor_id;</v>
      </c>
      <c r="F70" s="2" t="str">
        <f>IF(AND(NOT(ISBLANK(Drummond!G70)),Drummond!G70&lt;&gt;"N/A"),IF(C70="All",CONCATENATE(Lookup!F$2,D70,Lookup!G$2,B70,Lookup!H$2,H$1,Lookup!I$2),CONCATENATE(Lookup!F$3,D70,Lookup!G$3,B70,Lookup!H$3)),"no url")</f>
        <v>update openchpl.certified_product as cp set transparency_attestation_url = 'http://www.epowerdoc.com/en/compliance_and_roi/' from (select certified_product_id from (select vend.vendor_code from openchpl.certified_product as cp, openchpl.product_version as pv, openchpl.product as p, openchpl.vendor as vend where cp.acb_certification_id = '01162014-2244-6'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1" spans="1:6" x14ac:dyDescent="0.25">
      <c r="A71" s="2" t="str">
        <f>IF(ISBLANK(Drummond!D71),FALSE,LOOKUP(Drummond!D71,Lookup!$A$2:$B$4))</f>
        <v>Affirmative</v>
      </c>
      <c r="B71" s="2" t="str">
        <f>IF(ISBLANK(Drummond!E71),FALSE,TRIM(Drummond!E71))</f>
        <v>09172015-0358-8</v>
      </c>
      <c r="C71" s="2" t="str">
        <f>IF(ISBLANK(Drummond!F71),FALSE,LOOKUP(Drummond!F71,Lookup!$A$6:$B$7))</f>
        <v>All</v>
      </c>
      <c r="D71" s="2" t="str">
        <f>IF(ISBLANK(Drummond!G71),FALSE,Drummond!G71)</f>
        <v>https://ezderm.com/features/#fully-certified</v>
      </c>
      <c r="E71" s="2" t="str">
        <f>IF(NOT(ISBLANK(Drummond!D71)),IF(OR(ISBLANK(Drummond!E71),Drummond!E71="N/A"),"no acb code",CONCATENATE(Lookup!F$1,A71,Lookup!G$1,B71,Lookup!H$1,H$1,Lookup!I$1)),"no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'09172015-0358-8' and cb."name" = 'Drummond Group Inc.' and cp.product_version_id = pv.product_version_id and pv.product_id = p.product_id and p.vendor_id = vend.vendor_id;</v>
      </c>
      <c r="F71" s="2" t="str">
        <f>IF(AND(NOT(ISBLANK(Drummond!G71)),Drummond!G71&lt;&gt;"N/A"),IF(C71="All",CONCATENATE(Lookup!F$2,D71,Lookup!G$2,B71,Lookup!H$2,H$1,Lookup!I$2),CONCATENATE(Lookup!F$3,D71,Lookup!G$3,B71,Lookup!H$3)),"no url")</f>
        <v>update openchpl.certified_product as cp set transparency_attestation_url = 'https://ezderm.com/features/#fully-certified' from (select certified_product_id from (select vend.vendor_code from openchpl.certified_product as cp, openchpl.product_version as pv, openchpl.product as p, openchpl.vendor as vend where cp.acb_certification_id = '09172015-0358-8'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2" spans="1:6" x14ac:dyDescent="0.25">
      <c r="A72" s="2" t="str">
        <f>IF(ISBLANK(Drummond!D72),FALSE,LOOKUP(Drummond!D72,Lookup!$A$2:$B$4))</f>
        <v>Affirmative</v>
      </c>
      <c r="B72" s="2" t="str">
        <f>IF(ISBLANK(Drummond!E72),FALSE,TRIM(Drummond!E72))</f>
        <v>12182014-2484-5</v>
      </c>
      <c r="C72" s="2" t="str">
        <f>IF(ISBLANK(Drummond!F72),FALSE,LOOKUP(Drummond!F72,Lookup!$A$6:$B$7))</f>
        <v>All</v>
      </c>
      <c r="D72" s="2" t="str">
        <f>IF(ISBLANK(Drummond!G72),FALSE,Drummond!G72)</f>
        <v>http://www.mdchartsolutions.com/aboutus/certification.php</v>
      </c>
      <c r="E72" s="2" t="str">
        <f>IF(NOT(ISBLANK(Drummond!D72)),IF(OR(ISBLANK(Drummond!E72),Drummond!E72="N/A"),"no acb code",CONCATENATE(Lookup!F$1,A72,Lookup!G$1,B72,Lookup!H$1,H$1,Lookup!I$1)),"no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'12182014-2484-5' and cb."name" = 'Drummond Group Inc.' and cp.product_version_id = pv.product_version_id and pv.product_id = p.product_id and p.vendor_id = vend.vendor_id;</v>
      </c>
      <c r="F72" s="2" t="str">
        <f>IF(AND(NOT(ISBLANK(Drummond!G72)),Drummond!G72&lt;&gt;"N/A"),IF(C72="All",CONCATENATE(Lookup!F$2,D72,Lookup!G$2,B72,Lookup!H$2,H$1,Lookup!I$2),CONCATENATE(Lookup!F$3,D72,Lookup!G$3,B72,Lookup!H$3)),"no url")</f>
        <v>update openchpl.certified_product as cp set transparency_attestation_url = 'http://www.mdchartsolutions.com/aboutus/certification.php' from (select certified_product_id from (select vend.vendor_code from openchpl.certified_product as cp, openchpl.product_version as pv, openchpl.product as p, openchpl.vendor as vend where cp.acb_certification_id = '12182014-2484-5'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3" spans="1:6" x14ac:dyDescent="0.25">
      <c r="A73" s="2" t="str">
        <f>IF(ISBLANK(Drummond!D73),FALSE,LOOKUP(Drummond!D73,Lookup!$A$2:$B$4))</f>
        <v>Affirmative</v>
      </c>
      <c r="B73" s="2" t="str">
        <f>IF(ISBLANK(Drummond!E73),FALSE,TRIM(Drummond!E73))</f>
        <v>05302014-2199-9</v>
      </c>
      <c r="C73" s="2" t="str">
        <f>IF(ISBLANK(Drummond!F73),FALSE,LOOKUP(Drummond!F73,Lookup!$A$6:$B$7))</f>
        <v>All</v>
      </c>
      <c r="D73" s="2" t="str">
        <f>IF(ISBLANK(Drummond!G73),FALSE,Drummond!G73)</f>
        <v>https://www.elekta.com/software-solutions/meaningful-use.html</v>
      </c>
      <c r="E73" s="2" t="str">
        <f>IF(NOT(ISBLANK(Drummond!D73)),IF(OR(ISBLANK(Drummond!E73),Drummond!E73="N/A"),"no acb code",CONCATENATE(Lookup!F$1,A73,Lookup!G$1,B73,Lookup!H$1,H$1,Lookup!I$1)),"no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'05302014-2199-9' and cb."name" = 'Drummond Group Inc.' and cp.product_version_id = pv.product_version_id and pv.product_id = p.product_id and p.vendor_id = vend.vendor_id;</v>
      </c>
      <c r="F73" s="2" t="str">
        <f>IF(AND(NOT(ISBLANK(Drummond!G73)),Drummond!G73&lt;&gt;"N/A"),IF(C73="All",CONCATENATE(Lookup!F$2,D73,Lookup!G$2,B73,Lookup!H$2,H$1,Lookup!I$2),CONCATENATE(Lookup!F$3,D73,Lookup!G$3,B73,Lookup!H$3)),"no url")</f>
        <v>update openchpl.certified_product as cp set transparency_attestation_url = 'https://www.elekta.com/software-solutions/meaningful-use.html' from (select certified_product_id from (select vend.vendor_code from openchpl.certified_product as cp, openchpl.product_version as pv, openchpl.product as p, openchpl.vendor as vend where cp.acb_certification_id = '05302014-2199-9'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4" spans="1:6" x14ac:dyDescent="0.25">
      <c r="A74" s="2" t="str">
        <f>IF(ISBLANK(Drummond!D74),FALSE,LOOKUP(Drummond!D74,Lookup!$A$2:$B$4))</f>
        <v>Affirmative</v>
      </c>
      <c r="B74" s="2" t="str">
        <f>IF(ISBLANK(Drummond!E74),FALSE,TRIM(Drummond!E74))</f>
        <v>04282014-1986-8</v>
      </c>
      <c r="C74" s="2" t="str">
        <f>IF(ISBLANK(Drummond!F74),FALSE,LOOKUP(Drummond!F74,Lookup!$A$6:$B$7))</f>
        <v>All</v>
      </c>
      <c r="D74" s="2" t="str">
        <f>IF(ISBLANK(Drummond!G74),FALSE,Drummond!G74)</f>
        <v>http://www.emdeon.com/ehrlite/</v>
      </c>
      <c r="E74" s="2" t="str">
        <f>IF(NOT(ISBLANK(Drummond!D74)),IF(OR(ISBLANK(Drummond!E74),Drummond!E74="N/A"),"no acb code",CONCATENATE(Lookup!F$1,A74,Lookup!G$1,B74,Lookup!H$1,H$1,Lookup!I$1)),"no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'04282014-1986-8' and cb."name" = 'Drummond Group Inc.' and cp.product_version_id = pv.product_version_id and pv.product_id = p.product_id and p.vendor_id = vend.vendor_id;</v>
      </c>
      <c r="F74" s="2" t="str">
        <f>IF(AND(NOT(ISBLANK(Drummond!G74)),Drummond!G74&lt;&gt;"N/A"),IF(C74="All",CONCATENATE(Lookup!F$2,D74,Lookup!G$2,B74,Lookup!H$2,H$1,Lookup!I$2),CONCATENATE(Lookup!F$3,D74,Lookup!G$3,B74,Lookup!H$3)),"no url")</f>
        <v>update openchpl.certified_product as cp set transparency_attestation_url = 'http://www.emdeon.com/ehrlite/' from (select certified_product_id from (select vend.vendor_code from openchpl.certified_product as cp, openchpl.product_version as pv, openchpl.product as p, openchpl.vendor as vend where cp.acb_certification_id = '04282014-1986-8'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5" spans="1:6" x14ac:dyDescent="0.25">
      <c r="A75" s="2" t="str">
        <f>IF(ISBLANK(Drummond!D75),FALSE,LOOKUP(Drummond!D75,Lookup!$A$2:$B$4))</f>
        <v>Affirmative</v>
      </c>
      <c r="B75" s="2" t="str">
        <f>IF(ISBLANK(Drummond!E75),FALSE,TRIM(Drummond!E75))</f>
        <v>12182014-2775-5</v>
      </c>
      <c r="C75" s="2" t="str">
        <f>IF(ISBLANK(Drummond!F75),FALSE,LOOKUP(Drummond!F75,Lookup!$A$6:$B$7))</f>
        <v>All</v>
      </c>
      <c r="D75" s="2" t="str">
        <f>IF(ISBLANK(Drummond!G75),FALSE,Drummond!G75)</f>
        <v>http://www.encite.us/support-services/meaningful-use/</v>
      </c>
      <c r="E75" s="2" t="str">
        <f>IF(NOT(ISBLANK(Drummond!D75)),IF(OR(ISBLANK(Drummond!E75),Drummond!E75="N/A"),"no acb code",CONCATENATE(Lookup!F$1,A75,Lookup!G$1,B75,Lookup!H$1,H$1,Lookup!I$1)),"no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'12182014-2775-5' and cb."name" = 'Drummond Group Inc.' and cp.product_version_id = pv.product_version_id and pv.product_id = p.product_id and p.vendor_id = vend.vendor_id;</v>
      </c>
      <c r="F75" s="2" t="str">
        <f>IF(AND(NOT(ISBLANK(Drummond!G75)),Drummond!G75&lt;&gt;"N/A"),IF(C75="All",CONCATENATE(Lookup!F$2,D75,Lookup!G$2,B75,Lookup!H$2,H$1,Lookup!I$2),CONCATENATE(Lookup!F$3,D75,Lookup!G$3,B75,Lookup!H$3)),"no url")</f>
        <v>update openchpl.certified_product as cp set transparency_attestation_url = 'http://www.encite.us/support-services/meaningful-use/' from (select certified_product_id from (select vend.vendor_code from openchpl.certified_product as cp, openchpl.product_version as pv, openchpl.product as p, openchpl.vendor as vend where cp.acb_certification_id = '12182014-2775-5'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6" spans="1:6" x14ac:dyDescent="0.25">
      <c r="A76" s="2" t="str">
        <f>IF(ISBLANK(Drummond!D76),FALSE,LOOKUP(Drummond!D76,Lookup!$A$2:$B$4))</f>
        <v>Affirmative</v>
      </c>
      <c r="B76" s="2" t="str">
        <f>IF(ISBLANK(Drummond!E76),FALSE,TRIM(Drummond!E76))</f>
        <v>10012015-0271-8</v>
      </c>
      <c r="C76" s="2" t="str">
        <f>IF(ISBLANK(Drummond!F76),FALSE,LOOKUP(Drummond!F76,Lookup!$A$6:$B$7))</f>
        <v>All</v>
      </c>
      <c r="D76" s="2" t="str">
        <f>IF(ISBLANK(Drummond!G76),FALSE,Drummond!G76)</f>
        <v>http://equicarehealth.com/products/active-patient-portal/meaningful-use-certification/</v>
      </c>
      <c r="E76" s="2" t="str">
        <f>IF(NOT(ISBLANK(Drummond!D76)),IF(OR(ISBLANK(Drummond!E76),Drummond!E76="N/A"),"no acb code",CONCATENATE(Lookup!F$1,A76,Lookup!G$1,B76,Lookup!H$1,H$1,Lookup!I$1)),"no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'10012015-0271-8' and cb."name" = 'Drummond Group Inc.' and cp.product_version_id = pv.product_version_id and pv.product_id = p.product_id and p.vendor_id = vend.vendor_id;</v>
      </c>
      <c r="F76" s="2" t="str">
        <f>IF(AND(NOT(ISBLANK(Drummond!G76)),Drummond!G76&lt;&gt;"N/A"),IF(C76="All",CONCATENATE(Lookup!F$2,D76,Lookup!G$2,B76,Lookup!H$2,H$1,Lookup!I$2),CONCATENATE(Lookup!F$3,D76,Lookup!G$3,B76,Lookup!H$3)),"no url")</f>
        <v>update openchpl.certified_product as cp set transparency_attestation_url = 'http://equicarehealth.com/products/active-patient-portal/meaningful-use-certification/' from (select certified_product_id from (select vend.vendor_code from openchpl.certified_product as cp, openchpl.product_version as pv, openchpl.product as p, openchpl.vendor as vend where cp.acb_certification_id = '10012015-0271-8'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7" spans="1:6" x14ac:dyDescent="0.25">
      <c r="A77" s="2" t="str">
        <f>IF(ISBLANK(Drummond!D77),FALSE,LOOKUP(Drummond!D77,Lookup!$A$2:$B$4))</f>
        <v>Affirmative</v>
      </c>
      <c r="B77" s="2" t="str">
        <f>IF(ISBLANK(Drummond!E77),FALSE,TRIM(Drummond!E77))</f>
        <v>03282014-2546-5</v>
      </c>
      <c r="C77" s="2" t="str">
        <f>IF(ISBLANK(Drummond!F77),FALSE,LOOKUP(Drummond!F77,Lookup!$A$6:$B$7))</f>
        <v>Single</v>
      </c>
      <c r="D77" s="2" t="str">
        <f>IF(ISBLANK(Drummond!G77),FALSE,Drummond!G77)</f>
        <v>http://www.etransmedia.com/technology-solutions/electronic-health-records/</v>
      </c>
      <c r="E77" s="2" t="str">
        <f>IF(NOT(ISBLANK(Drummond!D77)),IF(OR(ISBLANK(Drummond!E77),Drummond!E77="N/A"),"no acb code",CONCATENATE(Lookup!F$1,A77,Lookup!G$1,B77,Lookup!H$1,H$1,Lookup!I$1)),"no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'03282014-2546-5' and cb."name" = 'Drummond Group Inc.' and cp.product_version_id = pv.product_version_id and pv.product_id = p.product_id and p.vendor_id = vend.vendor_id;</v>
      </c>
      <c r="F77" s="2" t="str">
        <f>IF(AND(NOT(ISBLANK(Drummond!G77)),Drummond!G77&lt;&gt;"N/A"),IF(C77="All",CONCATENATE(Lookup!F$2,D77,Lookup!G$2,B77,Lookup!H$2,H$1,Lookup!I$2),CONCATENATE(Lookup!F$3,D77,Lookup!G$3,B77,Lookup!H$3)),"no url")</f>
        <v>update openchpl.certified_product as cp set transparency_attestation_url = 'http://www.etransmedia.com/technology-solutions/electronic-health-records/' from (select certified_product_id from openchpl.certified_product as cp where cp.acb_certification_id = '03282014-2546-5') as subquery where cp.certified_product_id = subquery.certified_product_id;</v>
      </c>
    </row>
    <row r="78" spans="1:6" x14ac:dyDescent="0.25">
      <c r="A78" s="2" t="str">
        <f>IF(ISBLANK(Drummond!D78),FALSE,LOOKUP(Drummond!D78,Lookup!$A$2:$B$4))</f>
        <v>Affirmative</v>
      </c>
      <c r="B78" s="2" t="str">
        <f>IF(ISBLANK(Drummond!E78),FALSE,TRIM(Drummond!E78))</f>
        <v>09242015-3020-5</v>
      </c>
      <c r="C78" s="2" t="str">
        <f>IF(ISBLANK(Drummond!F78),FALSE,LOOKUP(Drummond!F78,Lookup!$A$6:$B$7))</f>
        <v>All</v>
      </c>
      <c r="D78" s="2" t="str">
        <f>IF(ISBLANK(Drummond!G78),FALSE,Drummond!G78)</f>
        <v>http://www.etransmedia.com/technology-solutions/electronic-health-records/</v>
      </c>
      <c r="E78" s="2" t="str">
        <f>IF(NOT(ISBLANK(Drummond!D78)),IF(OR(ISBLANK(Drummond!E78),Drummond!E78="N/A"),"no acb code",CONCATENATE(Lookup!F$1,A78,Lookup!G$1,B78,Lookup!H$1,H$1,Lookup!I$1)),"no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'09242015-3020-5' and cb."name" = 'Drummond Group Inc.' and cp.product_version_id = pv.product_version_id and pv.product_id = p.product_id and p.vendor_id = vend.vendor_id;</v>
      </c>
      <c r="F78" s="2" t="str">
        <f>IF(AND(NOT(ISBLANK(Drummond!G78)),Drummond!G78&lt;&gt;"N/A"),IF(C78="All",CONCATENATE(Lookup!F$2,D78,Lookup!G$2,B78,Lookup!H$2,H$1,Lookup!I$2),CONCATENATE(Lookup!F$3,D78,Lookup!G$3,B78,Lookup!H$3)),"no url")</f>
        <v>update openchpl.certified_product as cp set transparency_attestation_url = 'http://www.etransmedia.com/technology-solutions/electronic-health-records/' from (select certified_product_id from (select vend.vendor_code from openchpl.certified_product as cp, openchpl.product_version as pv, openchpl.product as p, openchpl.vendor as vend where cp.acb_certification_id = '09242015-3020-5'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9" spans="1:6" x14ac:dyDescent="0.25">
      <c r="A79" s="2" t="str">
        <f>IF(ISBLANK(Drummond!D79),FALSE,LOOKUP(Drummond!D79,Lookup!$A$2:$B$4))</f>
        <v>Affirmative</v>
      </c>
      <c r="B79" s="2" t="str">
        <f>IF(ISBLANK(Drummond!E79),FALSE,TRIM(Drummond!E79))</f>
        <v>12112014-2789-6</v>
      </c>
      <c r="C79" s="2" t="str">
        <f>IF(ISBLANK(Drummond!F79),FALSE,LOOKUP(Drummond!F79,Lookup!$A$6:$B$7))</f>
        <v>All</v>
      </c>
      <c r="D79" s="2" t="str">
        <f>IF(ISBLANK(Drummond!G79),FALSE,Drummond!G79)</f>
        <v>http://www.exemplomedical.com/News/CurrentNews.aspx?EventId=23</v>
      </c>
      <c r="E79" s="2" t="str">
        <f>IF(NOT(ISBLANK(Drummond!D79)),IF(OR(ISBLANK(Drummond!E79),Drummond!E79="N/A"),"no acb code",CONCATENATE(Lookup!F$1,A79,Lookup!G$1,B79,Lookup!H$1,H$1,Lookup!I$1)),"no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'12112014-2789-6' and cb."name" = 'Drummond Group Inc.' and cp.product_version_id = pv.product_version_id and pv.product_id = p.product_id and p.vendor_id = vend.vendor_id;</v>
      </c>
      <c r="F79" s="2" t="str">
        <f>IF(AND(NOT(ISBLANK(Drummond!G79)),Drummond!G79&lt;&gt;"N/A"),IF(C79="All",CONCATENATE(Lookup!F$2,D79,Lookup!G$2,B79,Lookup!H$2,H$1,Lookup!I$2),CONCATENATE(Lookup!F$3,D79,Lookup!G$3,B79,Lookup!H$3)),"no url")</f>
        <v>update openchpl.certified_product as cp set transparency_attestation_url = 'http://www.exemplomedical.com/News/CurrentNews.aspx?EventId=23' from (select certified_product_id from (select vend.vendor_code from openchpl.certified_product as cp, openchpl.product_version as pv, openchpl.product as p, openchpl.vendor as vend where cp.acb_certification_id = '12112014-2789-6'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0" spans="1:6" x14ac:dyDescent="0.25">
      <c r="A80" s="2" t="str">
        <f>IF(ISBLANK(Drummond!D80),FALSE,LOOKUP(Drummond!D80,Lookup!$A$2:$B$4))</f>
        <v>Affirmative</v>
      </c>
      <c r="B80" s="2" t="str">
        <f>IF(ISBLANK(Drummond!E80),FALSE,TRIM(Drummond!E80))</f>
        <v>01232014-2010-9</v>
      </c>
      <c r="C80" s="2" t="str">
        <f>IF(ISBLANK(Drummond!F80),FALSE,LOOKUP(Drummond!F80,Lookup!$A$6:$B$7))</f>
        <v>All</v>
      </c>
      <c r="D80" s="2" t="str">
        <f>IF(ISBLANK(Drummond!G80),FALSE,Drummond!G80)</f>
        <v>http://www.exscribe.com/ehr-certification</v>
      </c>
      <c r="E80" s="2" t="str">
        <f>IF(NOT(ISBLANK(Drummond!D80)),IF(OR(ISBLANK(Drummond!E80),Drummond!E80="N/A"),"no acb code",CONCATENATE(Lookup!F$1,A80,Lookup!G$1,B80,Lookup!H$1,H$1,Lookup!I$1)),"no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'01232014-2010-9' and cb."name" = 'Drummond Group Inc.' and cp.product_version_id = pv.product_version_id and pv.product_id = p.product_id and p.vendor_id = vend.vendor_id;</v>
      </c>
      <c r="F80" s="2" t="str">
        <f>IF(AND(NOT(ISBLANK(Drummond!G80)),Drummond!G80&lt;&gt;"N/A"),IF(C80="All",CONCATENATE(Lookup!F$2,D80,Lookup!G$2,B80,Lookup!H$2,H$1,Lookup!I$2),CONCATENATE(Lookup!F$3,D80,Lookup!G$3,B80,Lookup!H$3)),"no url")</f>
        <v>update openchpl.certified_product as cp set transparency_attestation_url = 'http://www.exscribe.com/ehr-certification' from (select certified_product_id from (select vend.vendor_code from openchpl.certified_product as cp, openchpl.product_version as pv, openchpl.product as p, openchpl.vendor as vend where cp.acb_certification_id = '01232014-2010-9'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1" spans="1:6" x14ac:dyDescent="0.25">
      <c r="A81" s="2" t="str">
        <f>IF(ISBLANK(Drummond!D81),FALSE,LOOKUP(Drummond!D81,Lookup!$A$2:$B$4))</f>
        <v>Affirmative</v>
      </c>
      <c r="B81" s="2" t="str">
        <f>IF(ISBLANK(Drummond!E81),FALSE,TRIM(Drummond!E81))</f>
        <v>07022015-0308-5</v>
      </c>
      <c r="C81" s="2" t="str">
        <f>IF(ISBLANK(Drummond!F81),FALSE,LOOKUP(Drummond!F81,Lookup!$A$6:$B$7))</f>
        <v>All</v>
      </c>
      <c r="D81" s="2" t="str">
        <f>IF(ISBLANK(Drummond!G81),FALSE,Drummond!G81)</f>
        <v>http://www.eyemdemr.com/products_Incentives.htm</v>
      </c>
      <c r="E81" s="2" t="str">
        <f>IF(NOT(ISBLANK(Drummond!D81)),IF(OR(ISBLANK(Drummond!E81),Drummond!E81="N/A"),"no acb code",CONCATENATE(Lookup!F$1,A81,Lookup!G$1,B81,Lookup!H$1,H$1,Lookup!I$1)),"no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'07022015-0308-5' and cb."name" = 'Drummond Group Inc.' and cp.product_version_id = pv.product_version_id and pv.product_id = p.product_id and p.vendor_id = vend.vendor_id;</v>
      </c>
      <c r="F81" s="2" t="str">
        <f>IF(AND(NOT(ISBLANK(Drummond!G81)),Drummond!G81&lt;&gt;"N/A"),IF(C81="All",CONCATENATE(Lookup!F$2,D81,Lookup!G$2,B81,Lookup!H$2,H$1,Lookup!I$2),CONCATENATE(Lookup!F$3,D81,Lookup!G$3,B81,Lookup!H$3)),"no url")</f>
        <v>update openchpl.certified_product as cp set transparency_attestation_url = 'http://www.eyemdemr.com/products_Incentives.htm' from (select certified_product_id from (select vend.vendor_code from openchpl.certified_product as cp, openchpl.product_version as pv, openchpl.product as p, openchpl.vendor as vend where cp.acb_certification_id = '07022015-0308-5'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2" spans="1:6" x14ac:dyDescent="0.25">
      <c r="A82" s="2" t="str">
        <f>IF(ISBLANK(Drummond!D82),FALSE,LOOKUP(Drummond!D82,Lookup!$A$2:$B$4))</f>
        <v>Affirmative</v>
      </c>
      <c r="B82" s="2" t="str">
        <f>IF(ISBLANK(Drummond!E82),FALSE,TRIM(Drummond!E82))</f>
        <v>04242015-3119-8</v>
      </c>
      <c r="C82" s="2" t="str">
        <f>IF(ISBLANK(Drummond!F82),FALSE,LOOKUP(Drummond!F82,Lookup!$A$6:$B$7))</f>
        <v>All</v>
      </c>
      <c r="D82" s="2" t="str">
        <f>IF(ISBLANK(Drummond!G82),FALSE,Drummond!G82)</f>
        <v>http://eyepegasus.com/</v>
      </c>
      <c r="E82" s="2" t="str">
        <f>IF(NOT(ISBLANK(Drummond!D82)),IF(OR(ISBLANK(Drummond!E82),Drummond!E82="N/A"),"no acb code",CONCATENATE(Lookup!F$1,A82,Lookup!G$1,B82,Lookup!H$1,H$1,Lookup!I$1)),"no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'04242015-3119-8' and cb."name" = 'Drummond Group Inc.' and cp.product_version_id = pv.product_version_id and pv.product_id = p.product_id and p.vendor_id = vend.vendor_id;</v>
      </c>
      <c r="F82" s="2" t="str">
        <f>IF(AND(NOT(ISBLANK(Drummond!G82)),Drummond!G82&lt;&gt;"N/A"),IF(C82="All",CONCATENATE(Lookup!F$2,D82,Lookup!G$2,B82,Lookup!H$2,H$1,Lookup!I$2),CONCATENATE(Lookup!F$3,D82,Lookup!G$3,B82,Lookup!H$3)),"no url")</f>
        <v>update openchpl.certified_product as cp set transparency_attestation_url = 'http://eyepegasus.com/' from (select certified_product_id from (select vend.vendor_code from openchpl.certified_product as cp, openchpl.product_version as pv, openchpl.product as p, openchpl.vendor as vend where cp.acb_certification_id = '04242015-3119-8'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" spans="1:6" x14ac:dyDescent="0.25">
      <c r="A83" s="2" t="str">
        <f>IF(ISBLANK(Drummond!D83),FALSE,LOOKUP(Drummond!D83,Lookup!$A$2:$B$4))</f>
        <v>N/A</v>
      </c>
      <c r="B83" s="2" t="str">
        <f>IF(ISBLANK(Drummond!E83),FALSE,TRIM(Drummond!E83))</f>
        <v>05212015-2913-5</v>
      </c>
      <c r="C83" s="2" t="str">
        <f>IF(ISBLANK(Drummond!F83),FALSE,LOOKUP(Drummond!F83,Lookup!$A$6:$B$7))</f>
        <v>All</v>
      </c>
      <c r="D83" s="2" t="b">
        <f>IF(ISBLANK(Drummond!G83),FALSE,Drummond!G83)</f>
        <v>0</v>
      </c>
      <c r="E83" s="2" t="str">
        <f>IF(NOT(ISBLANK(Drummond!D83)),IF(OR(ISBLANK(Drummond!E83),Drummond!E83="N/A"),"no acb code",CONCATENATE(Lookup!F$1,A83,Lookup!G$1,B83,Lookup!H$1,H$1,Lookup!I$1)),"no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'05212015-2913-5' and cb."name" = 'Drummond Group Inc.' and cp.product_version_id = pv.product_version_id and pv.product_id = p.product_id and p.vendor_id = vend.vendor_id;</v>
      </c>
      <c r="F83" s="2" t="str">
        <f>IF(AND(NOT(ISBLANK(Drummond!G83)),Drummond!G83&lt;&gt;"N/A"),IF(C83="All",CONCATENATE(Lookup!F$2,D83,Lookup!G$2,B83,Lookup!H$2,H$1,Lookup!I$2),CONCATENATE(Lookup!F$3,D83,Lookup!G$3,B83,Lookup!H$3)),"no url")</f>
        <v>no url</v>
      </c>
    </row>
    <row r="84" spans="1:6" x14ac:dyDescent="0.25">
      <c r="A84" s="2" t="str">
        <f>IF(ISBLANK(Drummond!D84),FALSE,LOOKUP(Drummond!D84,Lookup!$A$2:$B$4))</f>
        <v>Affirmative</v>
      </c>
      <c r="B84" s="2" t="str">
        <f>IF(ISBLANK(Drummond!E84),FALSE,TRIM(Drummond!E84))</f>
        <v>06192014-1867-1</v>
      </c>
      <c r="C84" s="2" t="str">
        <f>IF(ISBLANK(Drummond!F84),FALSE,LOOKUP(Drummond!F84,Lookup!$A$6:$B$7))</f>
        <v>All</v>
      </c>
      <c r="D84" s="2" t="str">
        <f>IF(ISBLANK(Drummond!G84),FALSE,Drummond!G84)</f>
        <v>http://www.falconehr.com/meaningful-use-certificate/</v>
      </c>
      <c r="E84" s="2" t="str">
        <f>IF(NOT(ISBLANK(Drummond!D84)),IF(OR(ISBLANK(Drummond!E84),Drummond!E84="N/A"),"no acb code",CONCATENATE(Lookup!F$1,A84,Lookup!G$1,B84,Lookup!H$1,H$1,Lookup!I$1)),"no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'06192014-1867-1' and cb."name" = 'Drummond Group Inc.' and cp.product_version_id = pv.product_version_id and pv.product_id = p.product_id and p.vendor_id = vend.vendor_id;</v>
      </c>
      <c r="F84" s="2" t="str">
        <f>IF(AND(NOT(ISBLANK(Drummond!G84)),Drummond!G84&lt;&gt;"N/A"),IF(C84="All",CONCATENATE(Lookup!F$2,D84,Lookup!G$2,B84,Lookup!H$2,H$1,Lookup!I$2),CONCATENATE(Lookup!F$3,D84,Lookup!G$3,B84,Lookup!H$3)),"no url")</f>
        <v>update openchpl.certified_product as cp set transparency_attestation_url = 'http://www.falconehr.com/meaningful-use-certificate/' from (select certified_product_id from (select vend.vendor_code from openchpl.certified_product as cp, openchpl.product_version as pv, openchpl.product as p, openchpl.vendor as vend where cp.acb_certification_id = '06192014-1867-1'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5" spans="1:6" x14ac:dyDescent="0.25">
      <c r="A85" s="2" t="str">
        <f>IF(ISBLANK(Drummond!D85),FALSE,LOOKUP(Drummond!D85,Lookup!$A$2:$B$4))</f>
        <v>Affirmative</v>
      </c>
      <c r="B85" s="2" t="str">
        <f>IF(ISBLANK(Drummond!E85),FALSE,TRIM(Drummond!E85))</f>
        <v>07302015-0229-1</v>
      </c>
      <c r="C85" s="2" t="str">
        <f>IF(ISBLANK(Drummond!F85),FALSE,LOOKUP(Drummond!F85,Lookup!$A$6:$B$7))</f>
        <v>All</v>
      </c>
      <c r="D85" s="2" t="str">
        <f>IF(ISBLANK(Drummond!G85),FALSE,Drummond!G85)</f>
        <v>http://www.first-insight.com/News_Events-ARRA-HITECHACT.html</v>
      </c>
      <c r="E85" s="2" t="str">
        <f>IF(NOT(ISBLANK(Drummond!D85)),IF(OR(ISBLANK(Drummond!E85),Drummond!E85="N/A"),"no acb code",CONCATENATE(Lookup!F$1,A85,Lookup!G$1,B85,Lookup!H$1,H$1,Lookup!I$1)),"no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'07302015-0229-1' and cb."name" = 'Drummond Group Inc.' and cp.product_version_id = pv.product_version_id and pv.product_id = p.product_id and p.vendor_id = vend.vendor_id;</v>
      </c>
      <c r="F85" s="2" t="str">
        <f>IF(AND(NOT(ISBLANK(Drummond!G85)),Drummond!G85&lt;&gt;"N/A"),IF(C85="All",CONCATENATE(Lookup!F$2,D85,Lookup!G$2,B85,Lookup!H$2,H$1,Lookup!I$2),CONCATENATE(Lookup!F$3,D85,Lookup!G$3,B85,Lookup!H$3)),"no url")</f>
        <v>update openchpl.certified_product as cp set transparency_attestation_url = 'http://www.first-insight.com/News_Events-ARRA-HITECHACT.html' from (select certified_product_id from (select vend.vendor_code from openchpl.certified_product as cp, openchpl.product_version as pv, openchpl.product as p, openchpl.vendor as vend where cp.acb_certification_id = '07302015-0229-1'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6" spans="1:6" x14ac:dyDescent="0.25">
      <c r="A86" s="2" t="str">
        <f>IF(ISBLANK(Drummond!D86),FALSE,LOOKUP(Drummond!D86,Lookup!$A$2:$B$4))</f>
        <v>N/A</v>
      </c>
      <c r="B86" s="2" t="str">
        <f>IF(ISBLANK(Drummond!E86),FALSE,TRIM(Drummond!E86))</f>
        <v>09302014-2462-5</v>
      </c>
      <c r="C86" s="2" t="str">
        <f>IF(ISBLANK(Drummond!F86),FALSE,LOOKUP(Drummond!F86,Lookup!$A$6:$B$7))</f>
        <v>All</v>
      </c>
      <c r="D86" s="2" t="b">
        <f>IF(ISBLANK(Drummond!G86),FALSE,Drummond!G86)</f>
        <v>0</v>
      </c>
      <c r="E86" s="2" t="str">
        <f>IF(NOT(ISBLANK(Drummond!D86)),IF(OR(ISBLANK(Drummond!E86),Drummond!E86="N/A"),"no acb code",CONCATENATE(Lookup!F$1,A86,Lookup!G$1,B86,Lookup!H$1,H$1,Lookup!I$1)),"no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'09302014-2462-5' and cb."name" = 'Drummond Group Inc.' and cp.product_version_id = pv.product_version_id and pv.product_id = p.product_id and p.vendor_id = vend.vendor_id;</v>
      </c>
      <c r="F86" s="2" t="str">
        <f>IF(AND(NOT(ISBLANK(Drummond!G86)),Drummond!G86&lt;&gt;"N/A"),IF(C86="All",CONCATENATE(Lookup!F$2,D86,Lookup!G$2,B86,Lookup!H$2,H$1,Lookup!I$2),CONCATENATE(Lookup!F$3,D86,Lookup!G$3,B86,Lookup!H$3)),"no url")</f>
        <v>no url</v>
      </c>
    </row>
    <row r="87" spans="1:6" x14ac:dyDescent="0.25">
      <c r="A87" s="2" t="str">
        <f>IF(ISBLANK(Drummond!D87),FALSE,LOOKUP(Drummond!D87,Lookup!$A$2:$B$4))</f>
        <v>N/A</v>
      </c>
      <c r="B87" s="2" t="str">
        <f>IF(ISBLANK(Drummond!E87),FALSE,TRIM(Drummond!E87))</f>
        <v>12112014-2529-5</v>
      </c>
      <c r="C87" s="2" t="str">
        <f>IF(ISBLANK(Drummond!F87),FALSE,LOOKUP(Drummond!F87,Lookup!$A$6:$B$7))</f>
        <v>All</v>
      </c>
      <c r="D87" s="2" t="b">
        <f>IF(ISBLANK(Drummond!G87),FALSE,Drummond!G87)</f>
        <v>0</v>
      </c>
      <c r="E87" s="2" t="str">
        <f>IF(NOT(ISBLANK(Drummond!D87)),IF(OR(ISBLANK(Drummond!E87),Drummond!E87="N/A"),"no acb code",CONCATENATE(Lookup!F$1,A87,Lookup!G$1,B87,Lookup!H$1,H$1,Lookup!I$1)),"no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'12112014-2529-5' and cb."name" = 'Drummond Group Inc.' and cp.product_version_id = pv.product_version_id and pv.product_id = p.product_id and p.vendor_id = vend.vendor_id;</v>
      </c>
      <c r="F87" s="2" t="str">
        <f>IF(AND(NOT(ISBLANK(Drummond!G87)),Drummond!G87&lt;&gt;"N/A"),IF(C87="All",CONCATENATE(Lookup!F$2,D87,Lookup!G$2,B87,Lookup!H$2,H$1,Lookup!I$2),CONCATENATE(Lookup!F$3,D87,Lookup!G$3,B87,Lookup!H$3)),"no url")</f>
        <v>no url</v>
      </c>
    </row>
    <row r="88" spans="1:6" x14ac:dyDescent="0.25">
      <c r="A88" s="2" t="str">
        <f>IF(ISBLANK(Drummond!D88),FALSE,LOOKUP(Drummond!D88,Lookup!$A$2:$B$4))</f>
        <v>Affirmative</v>
      </c>
      <c r="B88" s="2" t="str">
        <f>IF(ISBLANK(Drummond!E88),FALSE,TRIM(Drummond!E88))</f>
        <v>07102014-2066-1</v>
      </c>
      <c r="C88" s="2" t="str">
        <f>IF(ISBLANK(Drummond!F88),FALSE,LOOKUP(Drummond!F88,Lookup!$A$6:$B$7))</f>
        <v>All</v>
      </c>
      <c r="D88" s="2" t="str">
        <f>IF(ISBLANK(Drummond!G88),FALSE,Drummond!G88)</f>
        <v>http://footholdtechnology.com/</v>
      </c>
      <c r="E88" s="2" t="str">
        <f>IF(NOT(ISBLANK(Drummond!D88)),IF(OR(ISBLANK(Drummond!E88),Drummond!E88="N/A"),"no acb code",CONCATENATE(Lookup!F$1,A88,Lookup!G$1,B88,Lookup!H$1,H$1,Lookup!I$1)),"no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'07102014-2066-1' and cb."name" = 'Drummond Group Inc.' and cp.product_version_id = pv.product_version_id and pv.product_id = p.product_id and p.vendor_id = vend.vendor_id;</v>
      </c>
      <c r="F88" s="2" t="str">
        <f>IF(AND(NOT(ISBLANK(Drummond!G88)),Drummond!G88&lt;&gt;"N/A"),IF(C88="All",CONCATENATE(Lookup!F$2,D88,Lookup!G$2,B88,Lookup!H$2,H$1,Lookup!I$2),CONCATENATE(Lookup!F$3,D88,Lookup!G$3,B88,Lookup!H$3)),"no url")</f>
        <v>update openchpl.certified_product as cp set transparency_attestation_url = 'http://footholdtechnology.com/' from (select certified_product_id from (select vend.vendor_code from openchpl.certified_product as cp, openchpl.product_version as pv, openchpl.product as p, openchpl.vendor as vend where cp.acb_certification_id = '07102014-2066-1'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9" spans="1:6" x14ac:dyDescent="0.25">
      <c r="A89" s="2" t="str">
        <f>IF(ISBLANK(Drummond!D89),FALSE,LOOKUP(Drummond!D89,Lookup!$A$2:$B$4))</f>
        <v>Affirmative</v>
      </c>
      <c r="B89" s="2" t="str">
        <f>IF(ISBLANK(Drummond!E89),FALSE,TRIM(Drummond!E89))</f>
        <v>12182014-2502-6</v>
      </c>
      <c r="C89" s="2" t="str">
        <f>IF(ISBLANK(Drummond!F89),FALSE,LOOKUP(Drummond!F89,Lookup!$A$6:$B$7))</f>
        <v>All</v>
      </c>
      <c r="D89" s="2" t="str">
        <f>IF(ISBLANK(Drummond!G89),FALSE,Drummond!G89)</f>
        <v>http://www.chiro8000.com/certification.php</v>
      </c>
      <c r="E89" s="2" t="str">
        <f>IF(NOT(ISBLANK(Drummond!D89)),IF(OR(ISBLANK(Drummond!E89),Drummond!E89="N/A"),"no acb code",CONCATENATE(Lookup!F$1,A89,Lookup!G$1,B89,Lookup!H$1,H$1,Lookup!I$1)),"no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'12182014-2502-6' and cb."name" = 'Drummond Group Inc.' and cp.product_version_id = pv.product_version_id and pv.product_id = p.product_id and p.vendor_id = vend.vendor_id;</v>
      </c>
      <c r="F89" s="2" t="str">
        <f>IF(AND(NOT(ISBLANK(Drummond!G89)),Drummond!G89&lt;&gt;"N/A"),IF(C89="All",CONCATENATE(Lookup!F$2,D89,Lookup!G$2,B89,Lookup!H$2,H$1,Lookup!I$2),CONCATENATE(Lookup!F$3,D89,Lookup!G$3,B89,Lookup!H$3)),"no url")</f>
        <v>update openchpl.certified_product as cp set transparency_attestation_url = 'http://www.chiro8000.com/certification.php' from (select certified_product_id from (select vend.vendor_code from openchpl.certified_product as cp, openchpl.product_version as pv, openchpl.product as p, openchpl.vendor as vend where cp.acb_certification_id = '12182014-2502-6'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0" spans="1:6" x14ac:dyDescent="0.25">
      <c r="A90" s="2" t="str">
        <f>IF(ISBLANK(Drummond!D90),FALSE,LOOKUP(Drummond!D90,Lookup!$A$2:$B$4))</f>
        <v>Affirmative</v>
      </c>
      <c r="B90" s="2" t="str">
        <f>IF(ISBLANK(Drummond!E90),FALSE,TRIM(Drummond!E90))</f>
        <v>12122013-2400-6</v>
      </c>
      <c r="C90" s="2" t="str">
        <f>IF(ISBLANK(Drummond!F90),FALSE,LOOKUP(Drummond!F90,Lookup!$A$6:$B$7))</f>
        <v>All</v>
      </c>
      <c r="D90" s="2" t="str">
        <f>IF(ISBLANK(Drummond!G90),FALSE,Drummond!G90)</f>
        <v>http://www.forwardadvantage.com/solutions/health-information-exchange/communication-director-system-platform/data-express/data-express-version-3-80-2014-edition-certified/</v>
      </c>
      <c r="E90" s="2" t="str">
        <f>IF(NOT(ISBLANK(Drummond!D90)),IF(OR(ISBLANK(Drummond!E90),Drummond!E90="N/A"),"no acb code",CONCATENATE(Lookup!F$1,A90,Lookup!G$1,B90,Lookup!H$1,H$1,Lookup!I$1)),"no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'12122013-2400-6' and cb."name" = 'Drummond Group Inc.' and cp.product_version_id = pv.product_version_id and pv.product_id = p.product_id and p.vendor_id = vend.vendor_id;</v>
      </c>
      <c r="F90" s="2" t="str">
        <f>IF(AND(NOT(ISBLANK(Drummond!G90)),Drummond!G90&lt;&gt;"N/A"),IF(C90="All",CONCATENATE(Lookup!F$2,D90,Lookup!G$2,B90,Lookup!H$2,H$1,Lookup!I$2),CONCATENATE(Lookup!F$3,D90,Lookup!G$3,B90,Lookup!H$3)),"no url")</f>
        <v>update openchpl.certified_product as cp set transparency_attestation_url = 'http://www.forwardadvantage.com/solutions/health-information-exchange/communication-director-system-platform/data-express/data-express-version-3-80-2014-edition-certified/' from (select certified_product_id from (select vend.vendor_code from openchpl.certified_product as cp, openchpl.product_version as pv, openchpl.product as p, openchpl.vendor as vend where cp.acb_certification_id = '12122013-2400-6'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1" spans="1:6" x14ac:dyDescent="0.25">
      <c r="A91" s="2" t="str">
        <f>IF(ISBLANK(Drummond!D91),FALSE,LOOKUP(Drummond!D91,Lookup!$A$2:$B$4))</f>
        <v>Affirmative</v>
      </c>
      <c r="B91" s="2" t="str">
        <f>IF(ISBLANK(Drummond!E91),FALSE,TRIM(Drummond!E91))</f>
        <v>12302014-2757-3</v>
      </c>
      <c r="C91" s="2" t="str">
        <f>IF(ISBLANK(Drummond!F91),FALSE,LOOKUP(Drummond!F91,Lookup!$A$6:$B$7))</f>
        <v>All</v>
      </c>
      <c r="D91" s="2" t="str">
        <f>IF(ISBLANK(Drummond!G91),FALSE,Drummond!G91)</f>
        <v>http://physicianflow.com/</v>
      </c>
      <c r="E91" s="2" t="str">
        <f>IF(NOT(ISBLANK(Drummond!D91)),IF(OR(ISBLANK(Drummond!E91),Drummond!E91="N/A"),"no acb code",CONCATENATE(Lookup!F$1,A91,Lookup!G$1,B91,Lookup!H$1,H$1,Lookup!I$1)),"no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'12302014-2757-3' and cb."name" = 'Drummond Group Inc.' and cp.product_version_id = pv.product_version_id and pv.product_id = p.product_id and p.vendor_id = vend.vendor_id;</v>
      </c>
      <c r="F91" s="2" t="str">
        <f>IF(AND(NOT(ISBLANK(Drummond!G91)),Drummond!G91&lt;&gt;"N/A"),IF(C91="All",CONCATENATE(Lookup!F$2,D91,Lookup!G$2,B91,Lookup!H$2,H$1,Lookup!I$2),CONCATENATE(Lookup!F$3,D91,Lookup!G$3,B91,Lookup!H$3)),"no url")</f>
        <v>update openchpl.certified_product as cp set transparency_attestation_url = 'http://physicianflow.com/' from (select certified_product_id from (select vend.vendor_code from openchpl.certified_product as cp, openchpl.product_version as pv, openchpl.product as p, openchpl.vendor as vend where cp.acb_certification_id = '12302014-2757-3'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2" spans="1:6" x14ac:dyDescent="0.25">
      <c r="A92" s="2" t="str">
        <f>IF(ISBLANK(Drummond!D92),FALSE,LOOKUP(Drummond!D92,Lookup!$A$2:$B$4))</f>
        <v>Affirmative</v>
      </c>
      <c r="B92" s="2" t="str">
        <f>IF(ISBLANK(Drummond!E92),FALSE,TRIM(Drummond!E92))</f>
        <v>01102014-1892-5</v>
      </c>
      <c r="C92" s="2" t="str">
        <f>IF(ISBLANK(Drummond!F92),FALSE,LOOKUP(Drummond!F92,Lookup!$A$6:$B$7))</f>
        <v>Single</v>
      </c>
      <c r="D92" s="2" t="str">
        <f>IF(ISBLANK(Drummond!G92),FALSE,Drummond!G92)</f>
        <v>http://www3.gehealthcare.com/en/Products/Categories/Healthcare_IT/~/link.aspx?_id=A658D910255B416686DF679886E0BD7A&amp;_z=z#tabs/tab691E86107CB648E1A3FCD53A15BE9530</v>
      </c>
      <c r="E92" s="2" t="str">
        <f>IF(NOT(ISBLANK(Drummond!D92)),IF(OR(ISBLANK(Drummond!E92),Drummond!E92="N/A"),"no acb code",CONCATENATE(Lookup!F$1,A92,Lookup!G$1,B92,Lookup!H$1,H$1,Lookup!I$1)),"no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'01102014-1892-5' and cb."name" = 'Drummond Group Inc.' and cp.product_version_id = pv.product_version_id and pv.product_id = p.product_id and p.vendor_id = vend.vendor_id;</v>
      </c>
      <c r="F92" s="2" t="str">
        <f>IF(AND(NOT(ISBLANK(Drummond!G92)),Drummond!G92&lt;&gt;"N/A"),IF(C92="All",CONCATENATE(Lookup!F$2,D92,Lookup!G$2,B92,Lookup!H$2,H$1,Lookup!I$2),CONCATENATE(Lookup!F$3,D92,Lookup!G$3,B92,Lookup!H$3)),"no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'01102014-1892-5') as subquery where cp.certified_product_id = subquery.certified_product_id;</v>
      </c>
    </row>
    <row r="93" spans="1:6" x14ac:dyDescent="0.25">
      <c r="A93" s="2" t="str">
        <f>IF(ISBLANK(Drummond!D93),FALSE,LOOKUP(Drummond!D93,Lookup!$A$2:$B$4))</f>
        <v>Affirmative</v>
      </c>
      <c r="B93" s="2" t="str">
        <f>IF(ISBLANK(Drummond!E93),FALSE,TRIM(Drummond!E93))</f>
        <v>04142014-1893-5</v>
      </c>
      <c r="C93" s="2" t="str">
        <f>IF(ISBLANK(Drummond!F93),FALSE,LOOKUP(Drummond!F93,Lookup!$A$6:$B$7))</f>
        <v>Single</v>
      </c>
      <c r="D93" s="2" t="str">
        <f>IF(ISBLANK(Drummond!G93),FALSE,Drummond!G93)</f>
        <v>http://www3.gehealthcare.com/en/Products/Categories/Healthcare_IT/~/link.aspx?_id=A658D910255B416686DF679886E0BD7A&amp;_z=z#tabs/tab691E86107CB648E1A3FCD53A15BE9530</v>
      </c>
      <c r="E93" s="2" t="str">
        <f>IF(NOT(ISBLANK(Drummond!D93)),IF(OR(ISBLANK(Drummond!E93),Drummond!E93="N/A"),"no acb code",CONCATENATE(Lookup!F$1,A93,Lookup!G$1,B93,Lookup!H$1,H$1,Lookup!I$1)),"no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'04142014-1893-5' and cb."name" = 'Drummond Group Inc.' and cp.product_version_id = pv.product_version_id and pv.product_id = p.product_id and p.vendor_id = vend.vendor_id;</v>
      </c>
      <c r="F93" s="2" t="str">
        <f>IF(AND(NOT(ISBLANK(Drummond!G93)),Drummond!G93&lt;&gt;"N/A"),IF(C93="All",CONCATENATE(Lookup!F$2,D93,Lookup!G$2,B93,Lookup!H$2,H$1,Lookup!I$2),CONCATENATE(Lookup!F$3,D93,Lookup!G$3,B93,Lookup!H$3)),"no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'04142014-1893-5') as subquery where cp.certified_product_id = subquery.certified_product_id;</v>
      </c>
    </row>
    <row r="94" spans="1:6" x14ac:dyDescent="0.25">
      <c r="A94" s="2" t="str">
        <f>IF(ISBLANK(Drummond!D94),FALSE,LOOKUP(Drummond!D94,Lookup!$A$2:$B$4))</f>
        <v>Affirmative</v>
      </c>
      <c r="B94" s="2" t="str">
        <f>IF(ISBLANK(Drummond!E94),FALSE,TRIM(Drummond!E94))</f>
        <v>05162014-1894-5</v>
      </c>
      <c r="C94" s="2" t="str">
        <f>IF(ISBLANK(Drummond!F94),FALSE,LOOKUP(Drummond!F94,Lookup!$A$6:$B$7))</f>
        <v>Single</v>
      </c>
      <c r="D94" s="2" t="str">
        <f>IF(ISBLANK(Drummond!G94),FALSE,Drummond!G94)</f>
        <v>http://www3.gehealthcare.com/en/Products/Categories/Healthcare_IT/~/link.aspx?_id=A658D910255B416686DF679886E0BD7A&amp;_z=z#tabs/tab691E86107CB648E1A3FCD53A15BE9530</v>
      </c>
      <c r="E94" s="2" t="str">
        <f>IF(NOT(ISBLANK(Drummond!D94)),IF(OR(ISBLANK(Drummond!E94),Drummond!E94="N/A"),"no acb code",CONCATENATE(Lookup!F$1,A94,Lookup!G$1,B94,Lookup!H$1,H$1,Lookup!I$1)),"no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'05162014-1894-5' and cb."name" = 'Drummond Group Inc.' and cp.product_version_id = pv.product_version_id and pv.product_id = p.product_id and p.vendor_id = vend.vendor_id;</v>
      </c>
      <c r="F94" s="2" t="str">
        <f>IF(AND(NOT(ISBLANK(Drummond!G94)),Drummond!G94&lt;&gt;"N/A"),IF(C94="All",CONCATENATE(Lookup!F$2,D94,Lookup!G$2,B94,Lookup!H$2,H$1,Lookup!I$2),CONCATENATE(Lookup!F$3,D94,Lookup!G$3,B94,Lookup!H$3)),"no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'05162014-1894-5') as subquery where cp.certified_product_id = subquery.certified_product_id;</v>
      </c>
    </row>
    <row r="95" spans="1:6" x14ac:dyDescent="0.25">
      <c r="A95" s="2" t="str">
        <f>IF(ISBLANK(Drummond!D95),FALSE,LOOKUP(Drummond!D95,Lookup!$A$2:$B$4))</f>
        <v>Affirmative</v>
      </c>
      <c r="B95" s="2" t="str">
        <f>IF(ISBLANK(Drummond!E95),FALSE,TRIM(Drummond!E95))</f>
        <v>07032013-1173-5</v>
      </c>
      <c r="C95" s="2" t="str">
        <f>IF(ISBLANK(Drummond!F95),FALSE,LOOKUP(Drummond!F95,Lookup!$A$6:$B$7))</f>
        <v>Single</v>
      </c>
      <c r="D95" s="2" t="str">
        <f>IF(ISBLANK(Drummond!G95),FALSE,Drummond!G95)</f>
        <v>http://www3.gehealthcare.com/en/Products/Categories/Healthcare_IT/~/link.aspx?_id=A658D910255B416686DF679886E0BD7A&amp;_z=z#tabs/tab691E86107CB648E1A3FCD53A15BE9530</v>
      </c>
      <c r="E95" s="2" t="str">
        <f>IF(NOT(ISBLANK(Drummond!D95)),IF(OR(ISBLANK(Drummond!E95),Drummond!E95="N/A"),"no acb code",CONCATENATE(Lookup!F$1,A95,Lookup!G$1,B95,Lookup!H$1,H$1,Lookup!I$1)),"no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'07032013-1173-5' and cb."name" = 'Drummond Group Inc.' and cp.product_version_id = pv.product_version_id and pv.product_id = p.product_id and p.vendor_id = vend.vendor_id;</v>
      </c>
      <c r="F95" s="2" t="str">
        <f>IF(AND(NOT(ISBLANK(Drummond!G95)),Drummond!G95&lt;&gt;"N/A"),IF(C95="All",CONCATENATE(Lookup!F$2,D95,Lookup!G$2,B95,Lookup!H$2,H$1,Lookup!I$2),CONCATENATE(Lookup!F$3,D95,Lookup!G$3,B95,Lookup!H$3)),"no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'07032013-1173-5') as subquery where cp.certified_product_id = subquery.certified_product_id;</v>
      </c>
    </row>
    <row r="96" spans="1:6" x14ac:dyDescent="0.25">
      <c r="A96" s="2" t="str">
        <f>IF(ISBLANK(Drummond!D96),FALSE,LOOKUP(Drummond!D96,Lookup!$A$2:$B$4))</f>
        <v>Affirmative</v>
      </c>
      <c r="B96" s="2" t="str">
        <f>IF(ISBLANK(Drummond!E96),FALSE,TRIM(Drummond!E96))</f>
        <v>07032013-1174-5</v>
      </c>
      <c r="C96" s="2" t="str">
        <f>IF(ISBLANK(Drummond!F96),FALSE,LOOKUP(Drummond!F96,Lookup!$A$6:$B$7))</f>
        <v>Single</v>
      </c>
      <c r="D96" s="2" t="str">
        <f>IF(ISBLANK(Drummond!G96),FALSE,Drummond!G96)</f>
        <v>http://www3.gehealthcare.com/en/Products/Categories/Healthcare_IT/~/link.aspx?_id=A658D910255B416686DF679886E0BD7A&amp;_z=z#tabs/tab691E86107CB648E1A3FCD53A15BE9530</v>
      </c>
      <c r="E96" s="2" t="str">
        <f>IF(NOT(ISBLANK(Drummond!D96)),IF(OR(ISBLANK(Drummond!E96),Drummond!E96="N/A"),"no acb code",CONCATENATE(Lookup!F$1,A96,Lookup!G$1,B96,Lookup!H$1,H$1,Lookup!I$1)),"no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'07032013-1174-5' and cb."name" = 'Drummond Group Inc.' and cp.product_version_id = pv.product_version_id and pv.product_id = p.product_id and p.vendor_id = vend.vendor_id;</v>
      </c>
      <c r="F96" s="2" t="str">
        <f>IF(AND(NOT(ISBLANK(Drummond!G96)),Drummond!G96&lt;&gt;"N/A"),IF(C96="All",CONCATENATE(Lookup!F$2,D96,Lookup!G$2,B96,Lookup!H$2,H$1,Lookup!I$2),CONCATENATE(Lookup!F$3,D96,Lookup!G$3,B96,Lookup!H$3)),"no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'07032013-1174-5') as subquery where cp.certified_product_id = subquery.certified_product_id;</v>
      </c>
    </row>
    <row r="97" spans="1:6" x14ac:dyDescent="0.25">
      <c r="A97" s="2" t="str">
        <f>IF(ISBLANK(Drummond!D97),FALSE,LOOKUP(Drummond!D97,Lookup!$A$2:$B$4))</f>
        <v>Affirmative</v>
      </c>
      <c r="B97" s="2" t="str">
        <f>IF(ISBLANK(Drummond!E97),FALSE,TRIM(Drummond!E97))</f>
        <v>01102014-1175-5</v>
      </c>
      <c r="C97" s="2" t="str">
        <f>IF(ISBLANK(Drummond!F97),FALSE,LOOKUP(Drummond!F97,Lookup!$A$6:$B$7))</f>
        <v>Single</v>
      </c>
      <c r="D97" s="2" t="str">
        <f>IF(ISBLANK(Drummond!G97),FALSE,Drummond!G97)</f>
        <v>http://www3.gehealthcare.com/en/Products/Categories/Healthcare_IT/~/link.aspx?_id=A658D910255B416686DF679886E0BD7A&amp;_z=z#tabs/tab691E86107CB648E1A3FCD53A15BE9530</v>
      </c>
      <c r="E97" s="2" t="str">
        <f>IF(NOT(ISBLANK(Drummond!D97)),IF(OR(ISBLANK(Drummond!E97),Drummond!E97="N/A"),"no acb code",CONCATENATE(Lookup!F$1,A97,Lookup!G$1,B97,Lookup!H$1,H$1,Lookup!I$1)),"no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'01102014-1175-5' and cb."name" = 'Drummond Group Inc.' and cp.product_version_id = pv.product_version_id and pv.product_id = p.product_id and p.vendor_id = vend.vendor_id;</v>
      </c>
      <c r="F97" s="2" t="str">
        <f>IF(AND(NOT(ISBLANK(Drummond!G97)),Drummond!G97&lt;&gt;"N/A"),IF(C97="All",CONCATENATE(Lookup!F$2,D97,Lookup!G$2,B97,Lookup!H$2,H$1,Lookup!I$2),CONCATENATE(Lookup!F$3,D97,Lookup!G$3,B97,Lookup!H$3)),"no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'01102014-1175-5') as subquery where cp.certified_product_id = subquery.certified_product_id;</v>
      </c>
    </row>
    <row r="98" spans="1:6" x14ac:dyDescent="0.25">
      <c r="A98" s="2" t="str">
        <f>IF(ISBLANK(Drummond!D98),FALSE,LOOKUP(Drummond!D98,Lookup!$A$2:$B$4))</f>
        <v>Affirmative</v>
      </c>
      <c r="B98" s="2" t="str">
        <f>IF(ISBLANK(Drummond!E98),FALSE,TRIM(Drummond!E98))</f>
        <v>02202014-2594-1</v>
      </c>
      <c r="C98" s="2" t="str">
        <f>IF(ISBLANK(Drummond!F98),FALSE,LOOKUP(Drummond!F98,Lookup!$A$6:$B$7))</f>
        <v>Single</v>
      </c>
      <c r="D98" s="2" t="str">
        <f>IF(ISBLANK(Drummond!G98),FALSE,Drummond!G98)</f>
        <v>http://www3.gehealthcare.com/en/Products/Categories/Healthcare_IT/HITECH</v>
      </c>
      <c r="E98" s="2" t="str">
        <f>IF(NOT(ISBLANK(Drummond!D98)),IF(OR(ISBLANK(Drummond!E98),Drummond!E98="N/A"),"no acb code",CONCATENATE(Lookup!F$1,A98,Lookup!G$1,B98,Lookup!H$1,H$1,Lookup!I$1)),"no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'02202014-2594-1' and cb."name" = 'Drummond Group Inc.' and cp.product_version_id = pv.product_version_id and pv.product_id = p.product_id and p.vendor_id = vend.vendor_id;</v>
      </c>
      <c r="F98" s="2" t="str">
        <f>IF(AND(NOT(ISBLANK(Drummond!G98)),Drummond!G98&lt;&gt;"N/A"),IF(C98="All",CONCATENATE(Lookup!F$2,D98,Lookup!G$2,B98,Lookup!H$2,H$1,Lookup!I$2),CONCATENATE(Lookup!F$3,D98,Lookup!G$3,B98,Lookup!H$3)),"no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'02202014-2594-1') as subquery where cp.certified_product_id = subquery.certified_product_id;</v>
      </c>
    </row>
    <row r="99" spans="1:6" x14ac:dyDescent="0.25">
      <c r="A99" s="2" t="str">
        <f>IF(ISBLANK(Drummond!D99),FALSE,LOOKUP(Drummond!D99,Lookup!$A$2:$B$4))</f>
        <v>Affirmative</v>
      </c>
      <c r="B99" s="2" t="str">
        <f>IF(ISBLANK(Drummond!E99),FALSE,TRIM(Drummond!E99))</f>
        <v>02202014-2597-1</v>
      </c>
      <c r="C99" s="2" t="str">
        <f>IF(ISBLANK(Drummond!F99),FALSE,LOOKUP(Drummond!F99,Lookup!$A$6:$B$7))</f>
        <v>Single</v>
      </c>
      <c r="D99" s="2" t="str">
        <f>IF(ISBLANK(Drummond!G99),FALSE,Drummond!G99)</f>
        <v>http://www3.gehealthcare.com/en/Products/Categories/Healthcare_IT/HITECH</v>
      </c>
      <c r="E99" s="2" t="str">
        <f>IF(NOT(ISBLANK(Drummond!D99)),IF(OR(ISBLANK(Drummond!E99),Drummond!E99="N/A"),"no acb code",CONCATENATE(Lookup!F$1,A99,Lookup!G$1,B99,Lookup!H$1,H$1,Lookup!I$1)),"no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'02202014-2597-1' and cb."name" = 'Drummond Group Inc.' and cp.product_version_id = pv.product_version_id and pv.product_id = p.product_id and p.vendor_id = vend.vendor_id;</v>
      </c>
      <c r="F99" s="2" t="str">
        <f>IF(AND(NOT(ISBLANK(Drummond!G99)),Drummond!G99&lt;&gt;"N/A"),IF(C99="All",CONCATENATE(Lookup!F$2,D99,Lookup!G$2,B99,Lookup!H$2,H$1,Lookup!I$2),CONCATENATE(Lookup!F$3,D99,Lookup!G$3,B99,Lookup!H$3)),"no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'02202014-2597-1') as subquery where cp.certified_product_id = subquery.certified_product_id;</v>
      </c>
    </row>
    <row r="100" spans="1:6" x14ac:dyDescent="0.25">
      <c r="A100" s="2" t="str">
        <f>IF(ISBLANK(Drummond!D100),FALSE,LOOKUP(Drummond!D100,Lookup!$A$2:$B$4))</f>
        <v>Affirmative</v>
      </c>
      <c r="B100" s="2" t="str">
        <f>IF(ISBLANK(Drummond!E100),FALSE,TRIM(Drummond!E100))</f>
        <v>11212014-2603-5</v>
      </c>
      <c r="C100" s="2" t="str">
        <f>IF(ISBLANK(Drummond!F100),FALSE,LOOKUP(Drummond!F100,Lookup!$A$6:$B$7))</f>
        <v>Single</v>
      </c>
      <c r="D100" s="2" t="str">
        <f>IF(ISBLANK(Drummond!G100),FALSE,Drummond!G100)</f>
        <v>http://www3.gehealthcare.com/en/Products/Categories/Healthcare_IT/HITECH</v>
      </c>
      <c r="E100" s="2" t="str">
        <f>IF(NOT(ISBLANK(Drummond!D100)),IF(OR(ISBLANK(Drummond!E100),Drummond!E100="N/A"),"no acb code",CONCATENATE(Lookup!F$1,A100,Lookup!G$1,B100,Lookup!H$1,H$1,Lookup!I$1)),"no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'11212014-2603-5' and cb."name" = 'Drummond Group Inc.' and cp.product_version_id = pv.product_version_id and pv.product_id = p.product_id and p.vendor_id = vend.vendor_id;</v>
      </c>
      <c r="F100" s="2" t="str">
        <f>IF(AND(NOT(ISBLANK(Drummond!G100)),Drummond!G100&lt;&gt;"N/A"),IF(C100="All",CONCATENATE(Lookup!F$2,D100,Lookup!G$2,B100,Lookup!H$2,H$1,Lookup!I$2),CONCATENATE(Lookup!F$3,D100,Lookup!G$3,B100,Lookup!H$3)),"no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'11212014-2603-5') as subquery where cp.certified_product_id = subquery.certified_product_id;</v>
      </c>
    </row>
    <row r="101" spans="1:6" x14ac:dyDescent="0.25">
      <c r="A101" s="2" t="str">
        <f>IF(ISBLANK(Drummond!D101),FALSE,LOOKUP(Drummond!D101,Lookup!$A$2:$B$4))</f>
        <v>Affirmative</v>
      </c>
      <c r="B101" s="2" t="str">
        <f>IF(ISBLANK(Drummond!E101),FALSE,TRIM(Drummond!E101))</f>
        <v>11212014-2604-5</v>
      </c>
      <c r="C101" s="2" t="str">
        <f>IF(ISBLANK(Drummond!F101),FALSE,LOOKUP(Drummond!F101,Lookup!$A$6:$B$7))</f>
        <v>Single</v>
      </c>
      <c r="D101" s="2" t="str">
        <f>IF(ISBLANK(Drummond!G101),FALSE,Drummond!G101)</f>
        <v>http://www3.gehealthcare.com/en/Products/Categories/Healthcare_IT/HITECH</v>
      </c>
      <c r="E101" s="2" t="str">
        <f>IF(NOT(ISBLANK(Drummond!D101)),IF(OR(ISBLANK(Drummond!E101),Drummond!E101="N/A"),"no acb code",CONCATENATE(Lookup!F$1,A101,Lookup!G$1,B101,Lookup!H$1,H$1,Lookup!I$1)),"no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'11212014-2604-5' and cb."name" = 'Drummond Group Inc.' and cp.product_version_id = pv.product_version_id and pv.product_id = p.product_id and p.vendor_id = vend.vendor_id;</v>
      </c>
      <c r="F101" s="2" t="str">
        <f>IF(AND(NOT(ISBLANK(Drummond!G101)),Drummond!G101&lt;&gt;"N/A"),IF(C101="All",CONCATENATE(Lookup!F$2,D101,Lookup!G$2,B101,Lookup!H$2,H$1,Lookup!I$2),CONCATENATE(Lookup!F$3,D101,Lookup!G$3,B101,Lookup!H$3)),"no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'11212014-2604-5') as subquery where cp.certified_product_id = subquery.certified_product_id;</v>
      </c>
    </row>
    <row r="102" spans="1:6" x14ac:dyDescent="0.25">
      <c r="A102" s="2" t="str">
        <f>IF(ISBLANK(Drummond!D102),FALSE,LOOKUP(Drummond!D102,Lookup!$A$2:$B$4))</f>
        <v>Affirmative</v>
      </c>
      <c r="B102" s="2" t="str">
        <f>IF(ISBLANK(Drummond!E102),FALSE,TRIM(Drummond!E102))</f>
        <v>11212014-2605-5</v>
      </c>
      <c r="C102" s="2" t="str">
        <f>IF(ISBLANK(Drummond!F102),FALSE,LOOKUP(Drummond!F102,Lookup!$A$6:$B$7))</f>
        <v>Single</v>
      </c>
      <c r="D102" s="2" t="str">
        <f>IF(ISBLANK(Drummond!G102),FALSE,Drummond!G102)</f>
        <v>http://www3.gehealthcare.com/en/Products/Categories/Healthcare_IT/HITECH</v>
      </c>
      <c r="E102" s="2" t="str">
        <f>IF(NOT(ISBLANK(Drummond!D102)),IF(OR(ISBLANK(Drummond!E102),Drummond!E102="N/A"),"no acb code",CONCATENATE(Lookup!F$1,A102,Lookup!G$1,B102,Lookup!H$1,H$1,Lookup!I$1)),"no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'11212014-2605-5' and cb."name" = 'Drummond Group Inc.' and cp.product_version_id = pv.product_version_id and pv.product_id = p.product_id and p.vendor_id = vend.vendor_id;</v>
      </c>
      <c r="F102" s="2" t="str">
        <f>IF(AND(NOT(ISBLANK(Drummond!G102)),Drummond!G102&lt;&gt;"N/A"),IF(C102="All",CONCATENATE(Lookup!F$2,D102,Lookup!G$2,B102,Lookup!H$2,H$1,Lookup!I$2),CONCATENATE(Lookup!F$3,D102,Lookup!G$3,B102,Lookup!H$3)),"no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'11212014-2605-5') as subquery where cp.certified_product_id = subquery.certified_product_id;</v>
      </c>
    </row>
    <row r="103" spans="1:6" x14ac:dyDescent="0.25">
      <c r="A103" s="2" t="str">
        <f>IF(ISBLANK(Drummond!D103),FALSE,LOOKUP(Drummond!D103,Lookup!$A$2:$B$4))</f>
        <v>Affirmative</v>
      </c>
      <c r="B103" s="2" t="str">
        <f>IF(ISBLANK(Drummond!E103),FALSE,TRIM(Drummond!E103))</f>
        <v>09302015-4332-5</v>
      </c>
      <c r="C103" s="2" t="str">
        <f>IF(ISBLANK(Drummond!F103),FALSE,LOOKUP(Drummond!F103,Lookup!$A$6:$B$7))</f>
        <v>Single</v>
      </c>
      <c r="D103" s="2" t="str">
        <f>IF(ISBLANK(Drummond!G103),FALSE,Drummond!G103)</f>
        <v>http://www3.gehealthcare.com/en/Products/Categories/Healthcare_IT/HITECH</v>
      </c>
      <c r="E103" s="2" t="str">
        <f>IF(NOT(ISBLANK(Drummond!D103)),IF(OR(ISBLANK(Drummond!E103),Drummond!E103="N/A"),"no acb code",CONCATENATE(Lookup!F$1,A103,Lookup!G$1,B103,Lookup!H$1,H$1,Lookup!I$1)),"no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'09302015-4332-5' and cb."name" = 'Drummond Group Inc.' and cp.product_version_id = pv.product_version_id and pv.product_id = p.product_id and p.vendor_id = vend.vendor_id;</v>
      </c>
      <c r="F103" s="2" t="str">
        <f>IF(AND(NOT(ISBLANK(Drummond!G103)),Drummond!G103&lt;&gt;"N/A"),IF(C103="All",CONCATENATE(Lookup!F$2,D103,Lookup!G$2,B103,Lookup!H$2,H$1,Lookup!I$2),CONCATENATE(Lookup!F$3,D103,Lookup!G$3,B103,Lookup!H$3)),"no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'09302015-4332-5') as subquery where cp.certified_product_id = subquery.certified_product_id;</v>
      </c>
    </row>
    <row r="104" spans="1:6" x14ac:dyDescent="0.25">
      <c r="A104" s="2" t="str">
        <f>IF(ISBLANK(Drummond!D104),FALSE,LOOKUP(Drummond!D104,Lookup!$A$2:$B$4))</f>
        <v>Affirmative</v>
      </c>
      <c r="B104" s="2" t="str">
        <f>IF(ISBLANK(Drummond!E104),FALSE,TRIM(Drummond!E104))</f>
        <v>09302015-4333-5</v>
      </c>
      <c r="C104" s="2" t="str">
        <f>IF(ISBLANK(Drummond!F104),FALSE,LOOKUP(Drummond!F104,Lookup!$A$6:$B$7))</f>
        <v>Single</v>
      </c>
      <c r="D104" s="2" t="str">
        <f>IF(ISBLANK(Drummond!G104),FALSE,Drummond!G104)</f>
        <v>http://www3.gehealthcare.com/en/Products/Categories/Healthcare_IT/HITECH</v>
      </c>
      <c r="E104" s="2" t="str">
        <f>IF(NOT(ISBLANK(Drummond!D104)),IF(OR(ISBLANK(Drummond!E104),Drummond!E104="N/A"),"no acb code",CONCATENATE(Lookup!F$1,A104,Lookup!G$1,B104,Lookup!H$1,H$1,Lookup!I$1)),"no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'09302015-4333-5' and cb."name" = 'Drummond Group Inc.' and cp.product_version_id = pv.product_version_id and pv.product_id = p.product_id and p.vendor_id = vend.vendor_id;</v>
      </c>
      <c r="F104" s="2" t="str">
        <f>IF(AND(NOT(ISBLANK(Drummond!G104)),Drummond!G104&lt;&gt;"N/A"),IF(C104="All",CONCATENATE(Lookup!F$2,D104,Lookup!G$2,B104,Lookup!H$2,H$1,Lookup!I$2),CONCATENATE(Lookup!F$3,D104,Lookup!G$3,B104,Lookup!H$3)),"no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'09302015-4333-5') as subquery where cp.certified_product_id = subquery.certified_product_id;</v>
      </c>
    </row>
    <row r="105" spans="1:6" x14ac:dyDescent="0.25">
      <c r="A105" s="2" t="str">
        <f>IF(ISBLANK(Drummond!D105),FALSE,LOOKUP(Drummond!D105,Lookup!$A$2:$B$4))</f>
        <v>Affirmative</v>
      </c>
      <c r="B105" s="2" t="str">
        <f>IF(ISBLANK(Drummond!E105),FALSE,TRIM(Drummond!E105))</f>
        <v>09302015-4334-5</v>
      </c>
      <c r="C105" s="2" t="str">
        <f>IF(ISBLANK(Drummond!F105),FALSE,LOOKUP(Drummond!F105,Lookup!$A$6:$B$7))</f>
        <v>Single</v>
      </c>
      <c r="D105" s="2" t="str">
        <f>IF(ISBLANK(Drummond!G105),FALSE,Drummond!G105)</f>
        <v>http://www3.gehealthcare.com/en/Products/Categories/Healthcare_IT/HITECH</v>
      </c>
      <c r="E105" s="2" t="str">
        <f>IF(NOT(ISBLANK(Drummond!D105)),IF(OR(ISBLANK(Drummond!E105),Drummond!E105="N/A"),"no acb code",CONCATENATE(Lookup!F$1,A105,Lookup!G$1,B105,Lookup!H$1,H$1,Lookup!I$1)),"no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'09302015-4334-5' and cb."name" = 'Drummond Group Inc.' and cp.product_version_id = pv.product_version_id and pv.product_id = p.product_id and p.vendor_id = vend.vendor_id;</v>
      </c>
      <c r="F105" s="2" t="str">
        <f>IF(AND(NOT(ISBLANK(Drummond!G105)),Drummond!G105&lt;&gt;"N/A"),IF(C105="All",CONCATENATE(Lookup!F$2,D105,Lookup!G$2,B105,Lookup!H$2,H$1,Lookup!I$2),CONCATENATE(Lookup!F$3,D105,Lookup!G$3,B105,Lookup!H$3)),"no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'09302015-4334-5') as subquery where cp.certified_product_id = subquery.certified_product_id;</v>
      </c>
    </row>
    <row r="106" spans="1:6" x14ac:dyDescent="0.25">
      <c r="A106" s="2" t="str">
        <f>IF(ISBLANK(Drummond!D106),FALSE,LOOKUP(Drummond!D106,Lookup!$A$2:$B$4))</f>
        <v>Affirmative</v>
      </c>
      <c r="B106" s="2" t="str">
        <f>IF(ISBLANK(Drummond!E106),FALSE,TRIM(Drummond!E106))</f>
        <v>12302015-4982-5</v>
      </c>
      <c r="C106" s="2" t="str">
        <f>IF(ISBLANK(Drummond!F106),FALSE,LOOKUP(Drummond!F106,Lookup!$A$6:$B$7))</f>
        <v>Single</v>
      </c>
      <c r="D106" s="2" t="str">
        <f>IF(ISBLANK(Drummond!G106),FALSE,Drummond!G106)</f>
        <v>http://www3.gehealthcare.com/en/Products/Categories/Healthcare_IT/HITECH</v>
      </c>
      <c r="E106" s="2" t="str">
        <f>IF(NOT(ISBLANK(Drummond!D106)),IF(OR(ISBLANK(Drummond!E106),Drummond!E106="N/A"),"no acb code",CONCATENATE(Lookup!F$1,A106,Lookup!G$1,B106,Lookup!H$1,H$1,Lookup!I$1)),"no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'12302015-4982-5' and cb."name" = 'Drummond Group Inc.' and cp.product_version_id = pv.product_version_id and pv.product_id = p.product_id and p.vendor_id = vend.vendor_id;</v>
      </c>
      <c r="F106" s="2" t="str">
        <f>IF(AND(NOT(ISBLANK(Drummond!G106)),Drummond!G106&lt;&gt;"N/A"),IF(C106="All",CONCATENATE(Lookup!F$2,D106,Lookup!G$2,B106,Lookup!H$2,H$1,Lookup!I$2),CONCATENATE(Lookup!F$3,D106,Lookup!G$3,B106,Lookup!H$3)),"no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'12302015-4982-5') as subquery where cp.certified_product_id = subquery.certified_product_id;</v>
      </c>
    </row>
    <row r="107" spans="1:6" x14ac:dyDescent="0.25">
      <c r="A107" s="2" t="str">
        <f>IF(ISBLANK(Drummond!D107),FALSE,LOOKUP(Drummond!D107,Lookup!$A$2:$B$4))</f>
        <v>Affirmative</v>
      </c>
      <c r="B107" s="2" t="str">
        <f>IF(ISBLANK(Drummond!E107),FALSE,TRIM(Drummond!E107))</f>
        <v>12302015-4983-5</v>
      </c>
      <c r="C107" s="2" t="str">
        <f>IF(ISBLANK(Drummond!F107),FALSE,LOOKUP(Drummond!F107,Lookup!$A$6:$B$7))</f>
        <v>Single</v>
      </c>
      <c r="D107" s="2" t="str">
        <f>IF(ISBLANK(Drummond!G107),FALSE,Drummond!G107)</f>
        <v>http://www3.gehealthcare.com/en/Products/Categories/Healthcare_IT/HITECH</v>
      </c>
      <c r="E107" s="2" t="str">
        <f>IF(NOT(ISBLANK(Drummond!D107)),IF(OR(ISBLANK(Drummond!E107),Drummond!E107="N/A"),"no acb code",CONCATENATE(Lookup!F$1,A107,Lookup!G$1,B107,Lookup!H$1,H$1,Lookup!I$1)),"no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'12302015-4983-5' and cb."name" = 'Drummond Group Inc.' and cp.product_version_id = pv.product_version_id and pv.product_id = p.product_id and p.vendor_id = vend.vendor_id;</v>
      </c>
      <c r="F107" s="2" t="str">
        <f>IF(AND(NOT(ISBLANK(Drummond!G107)),Drummond!G107&lt;&gt;"N/A"),IF(C107="All",CONCATENATE(Lookup!F$2,D107,Lookup!G$2,B107,Lookup!H$2,H$1,Lookup!I$2),CONCATENATE(Lookup!F$3,D107,Lookup!G$3,B107,Lookup!H$3)),"no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'12302015-4983-5') as subquery where cp.certified_product_id = subquery.certified_product_id;</v>
      </c>
    </row>
    <row r="108" spans="1:6" x14ac:dyDescent="0.25">
      <c r="A108" s="2" t="str">
        <f>IF(ISBLANK(Drummond!D108),FALSE,LOOKUP(Drummond!D108,Lookup!$A$2:$B$4))</f>
        <v>Affirmative</v>
      </c>
      <c r="B108" s="2" t="str">
        <f>IF(ISBLANK(Drummond!E108),FALSE,TRIM(Drummond!E108))</f>
        <v>12302015-4984-5</v>
      </c>
      <c r="C108" s="2" t="str">
        <f>IF(ISBLANK(Drummond!F108),FALSE,LOOKUP(Drummond!F108,Lookup!$A$6:$B$7))</f>
        <v>Single</v>
      </c>
      <c r="D108" s="2" t="str">
        <f>IF(ISBLANK(Drummond!G108),FALSE,Drummond!G108)</f>
        <v>http://www3.gehealthcare.com/en/Products/Categories/Healthcare_IT/HITECH</v>
      </c>
      <c r="E108" s="2" t="str">
        <f>IF(NOT(ISBLANK(Drummond!D108)),IF(OR(ISBLANK(Drummond!E108),Drummond!E108="N/A"),"no acb code",CONCATENATE(Lookup!F$1,A108,Lookup!G$1,B108,Lookup!H$1,H$1,Lookup!I$1)),"no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'12302015-4984-5' and cb."name" = 'Drummond Group Inc.' and cp.product_version_id = pv.product_version_id and pv.product_id = p.product_id and p.vendor_id = vend.vendor_id;</v>
      </c>
      <c r="F108" s="2" t="str">
        <f>IF(AND(NOT(ISBLANK(Drummond!G108)),Drummond!G108&lt;&gt;"N/A"),IF(C108="All",CONCATENATE(Lookup!F$2,D108,Lookup!G$2,B108,Lookup!H$2,H$1,Lookup!I$2),CONCATENATE(Lookup!F$3,D108,Lookup!G$3,B108,Lookup!H$3)),"no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'12302015-4984-5') as subquery where cp.certified_product_id = subquery.certified_product_id;</v>
      </c>
    </row>
    <row r="109" spans="1:6" x14ac:dyDescent="0.25">
      <c r="A109" s="2" t="str">
        <f>IF(ISBLANK(Drummond!D109),FALSE,LOOKUP(Drummond!D109,Lookup!$A$2:$B$4))</f>
        <v>Affirmative</v>
      </c>
      <c r="B109" s="2" t="str">
        <f>IF(ISBLANK(Drummond!E109),FALSE,TRIM(Drummond!E109))</f>
        <v>11212014-2608-5</v>
      </c>
      <c r="C109" s="2" t="str">
        <f>IF(ISBLANK(Drummond!F109),FALSE,LOOKUP(Drummond!F109,Lookup!$A$6:$B$7))</f>
        <v>Single</v>
      </c>
      <c r="D109" s="2" t="str">
        <f>IF(ISBLANK(Drummond!G109),FALSE,Drummond!G109)</f>
        <v>http://www3.gehealthcare.com/en/Products/Categories/Healthcare_IT/HITECH</v>
      </c>
      <c r="E109" s="2" t="str">
        <f>IF(NOT(ISBLANK(Drummond!D109)),IF(OR(ISBLANK(Drummond!E109),Drummond!E109="N/A"),"no acb code",CONCATENATE(Lookup!F$1,A109,Lookup!G$1,B109,Lookup!H$1,H$1,Lookup!I$1)),"no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'11212014-2608-5' and cb."name" = 'Drummond Group Inc.' and cp.product_version_id = pv.product_version_id and pv.product_id = p.product_id and p.vendor_id = vend.vendor_id;</v>
      </c>
      <c r="F109" s="2" t="str">
        <f>IF(AND(NOT(ISBLANK(Drummond!G109)),Drummond!G109&lt;&gt;"N/A"),IF(C109="All",CONCATENATE(Lookup!F$2,D109,Lookup!G$2,B109,Lookup!H$2,H$1,Lookup!I$2),CONCATENATE(Lookup!F$3,D109,Lookup!G$3,B109,Lookup!H$3)),"no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'11212014-2608-5') as subquery where cp.certified_product_id = subquery.certified_product_id;</v>
      </c>
    </row>
    <row r="110" spans="1:6" x14ac:dyDescent="0.25">
      <c r="A110" s="2" t="str">
        <f>IF(ISBLANK(Drummond!D110),FALSE,LOOKUP(Drummond!D110,Lookup!$A$2:$B$4))</f>
        <v>Affirmative</v>
      </c>
      <c r="B110" s="2" t="str">
        <f>IF(ISBLANK(Drummond!E110),FALSE,TRIM(Drummond!E110))</f>
        <v>11212014-2609-5</v>
      </c>
      <c r="C110" s="2" t="str">
        <f>IF(ISBLANK(Drummond!F110),FALSE,LOOKUP(Drummond!F110,Lookup!$A$6:$B$7))</f>
        <v>Single</v>
      </c>
      <c r="D110" s="2" t="str">
        <f>IF(ISBLANK(Drummond!G110),FALSE,Drummond!G110)</f>
        <v>http://www3.gehealthcare.com/en/Products/Categories/Healthcare_IT/HITECH</v>
      </c>
      <c r="E110" s="2" t="str">
        <f>IF(NOT(ISBLANK(Drummond!D110)),IF(OR(ISBLANK(Drummond!E110),Drummond!E110="N/A"),"no acb code",CONCATENATE(Lookup!F$1,A110,Lookup!G$1,B110,Lookup!H$1,H$1,Lookup!I$1)),"no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'11212014-2609-5' and cb."name" = 'Drummond Group Inc.' and cp.product_version_id = pv.product_version_id and pv.product_id = p.product_id and p.vendor_id = vend.vendor_id;</v>
      </c>
      <c r="F110" s="2" t="str">
        <f>IF(AND(NOT(ISBLANK(Drummond!G110)),Drummond!G110&lt;&gt;"N/A"),IF(C110="All",CONCATENATE(Lookup!F$2,D110,Lookup!G$2,B110,Lookup!H$2,H$1,Lookup!I$2),CONCATENATE(Lookup!F$3,D110,Lookup!G$3,B110,Lookup!H$3)),"no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'11212014-2609-5') as subquery where cp.certified_product_id = subquery.certified_product_id;</v>
      </c>
    </row>
    <row r="111" spans="1:6" x14ac:dyDescent="0.25">
      <c r="A111" s="2" t="str">
        <f>IF(ISBLANK(Drummond!D111),FALSE,LOOKUP(Drummond!D111,Lookup!$A$2:$B$4))</f>
        <v>Affirmative</v>
      </c>
      <c r="B111" s="2" t="str">
        <f>IF(ISBLANK(Drummond!E111),FALSE,TRIM(Drummond!E111))</f>
        <v>11212014-2610-5</v>
      </c>
      <c r="C111" s="2" t="str">
        <f>IF(ISBLANK(Drummond!F111),FALSE,LOOKUP(Drummond!F111,Lookup!$A$6:$B$7))</f>
        <v>Single</v>
      </c>
      <c r="D111" s="2" t="str">
        <f>IF(ISBLANK(Drummond!G111),FALSE,Drummond!G111)</f>
        <v>http://www3.gehealthcare.com/en/Products/Categories/Healthcare_IT/HITECH</v>
      </c>
      <c r="E111" s="2" t="str">
        <f>IF(NOT(ISBLANK(Drummond!D111)),IF(OR(ISBLANK(Drummond!E111),Drummond!E111="N/A"),"no acb code",CONCATENATE(Lookup!F$1,A111,Lookup!G$1,B111,Lookup!H$1,H$1,Lookup!I$1)),"no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'11212014-2610-5' and cb."name" = 'Drummond Group Inc.' and cp.product_version_id = pv.product_version_id and pv.product_id = p.product_id and p.vendor_id = vend.vendor_id;</v>
      </c>
      <c r="F111" s="2" t="str">
        <f>IF(AND(NOT(ISBLANK(Drummond!G111)),Drummond!G111&lt;&gt;"N/A"),IF(C111="All",CONCATENATE(Lookup!F$2,D111,Lookup!G$2,B111,Lookup!H$2,H$1,Lookup!I$2),CONCATENATE(Lookup!F$3,D111,Lookup!G$3,B111,Lookup!H$3)),"no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'11212014-2610-5') as subquery where cp.certified_product_id = subquery.certified_product_id;</v>
      </c>
    </row>
    <row r="112" spans="1:6" x14ac:dyDescent="0.25">
      <c r="A112" s="2" t="str">
        <f>IF(ISBLANK(Drummond!D112),FALSE,LOOKUP(Drummond!D112,Lookup!$A$2:$B$4))</f>
        <v>Affirmative</v>
      </c>
      <c r="B112" s="2" t="str">
        <f>IF(ISBLANK(Drummond!E112),FALSE,TRIM(Drummond!E112))</f>
        <v>11212014-2611-5</v>
      </c>
      <c r="C112" s="2" t="str">
        <f>IF(ISBLANK(Drummond!F112),FALSE,LOOKUP(Drummond!F112,Lookup!$A$6:$B$7))</f>
        <v>Single</v>
      </c>
      <c r="D112" s="2" t="str">
        <f>IF(ISBLANK(Drummond!G112),FALSE,Drummond!G112)</f>
        <v>http://www3.gehealthcare.com/en/Products/Categories/Healthcare_IT/HITECH</v>
      </c>
      <c r="E112" s="2" t="str">
        <f>IF(NOT(ISBLANK(Drummond!D112)),IF(OR(ISBLANK(Drummond!E112),Drummond!E112="N/A"),"no acb code",CONCATENATE(Lookup!F$1,A112,Lookup!G$1,B112,Lookup!H$1,H$1,Lookup!I$1)),"no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'11212014-2611-5' and cb."name" = 'Drummond Group Inc.' and cp.product_version_id = pv.product_version_id and pv.product_id = p.product_id and p.vendor_id = vend.vendor_id;</v>
      </c>
      <c r="F112" s="2" t="str">
        <f>IF(AND(NOT(ISBLANK(Drummond!G112)),Drummond!G112&lt;&gt;"N/A"),IF(C112="All",CONCATENATE(Lookup!F$2,D112,Lookup!G$2,B112,Lookup!H$2,H$1,Lookup!I$2),CONCATENATE(Lookup!F$3,D112,Lookup!G$3,B112,Lookup!H$3)),"no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'11212014-2611-5') as subquery where cp.certified_product_id = subquery.certified_product_id;</v>
      </c>
    </row>
    <row r="113" spans="1:6" x14ac:dyDescent="0.25">
      <c r="A113" s="2" t="str">
        <f>IF(ISBLANK(Drummond!D113),FALSE,LOOKUP(Drummond!D113,Lookup!$A$2:$B$4))</f>
        <v>Affirmative</v>
      </c>
      <c r="B113" s="2" t="str">
        <f>IF(ISBLANK(Drummond!E113),FALSE,TRIM(Drummond!E113))</f>
        <v>03212014-2602-1</v>
      </c>
      <c r="C113" s="2" t="str">
        <f>IF(ISBLANK(Drummond!F113),FALSE,LOOKUP(Drummond!F113,Lookup!$A$6:$B$7))</f>
        <v>Single</v>
      </c>
      <c r="D113" s="2" t="str">
        <f>IF(ISBLANK(Drummond!G113),FALSE,Drummond!G113)</f>
        <v>http://www3.gehealthcare.com/en/Products/Categories/Healthcare_IT/HITECH</v>
      </c>
      <c r="E113" s="2" t="str">
        <f>IF(NOT(ISBLANK(Drummond!D113)),IF(OR(ISBLANK(Drummond!E113),Drummond!E113="N/A"),"no acb code",CONCATENATE(Lookup!F$1,A113,Lookup!G$1,B113,Lookup!H$1,H$1,Lookup!I$1)),"no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'03212014-2602-1' and cb."name" = 'Drummond Group Inc.' and cp.product_version_id = pv.product_version_id and pv.product_id = p.product_id and p.vendor_id = vend.vendor_id;</v>
      </c>
      <c r="F113" s="2" t="str">
        <f>IF(AND(NOT(ISBLANK(Drummond!G113)),Drummond!G113&lt;&gt;"N/A"),IF(C113="All",CONCATENATE(Lookup!F$2,D113,Lookup!G$2,B113,Lookup!H$2,H$1,Lookup!I$2),CONCATENATE(Lookup!F$3,D113,Lookup!G$3,B113,Lookup!H$3)),"no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'03212014-2602-1') as subquery where cp.certified_product_id = subquery.certified_product_id;</v>
      </c>
    </row>
    <row r="114" spans="1:6" x14ac:dyDescent="0.25">
      <c r="A114" s="2" t="str">
        <f>IF(ISBLANK(Drummond!D114),FALSE,LOOKUP(Drummond!D114,Lookup!$A$2:$B$4))</f>
        <v>Affirmative</v>
      </c>
      <c r="B114" s="2" t="str">
        <f>IF(ISBLANK(Drummond!E114),FALSE,TRIM(Drummond!E114))</f>
        <v>03212014-2600-1</v>
      </c>
      <c r="C114" s="2" t="str">
        <f>IF(ISBLANK(Drummond!F114),FALSE,LOOKUP(Drummond!F114,Lookup!$A$6:$B$7))</f>
        <v>Single</v>
      </c>
      <c r="D114" s="2" t="str">
        <f>IF(ISBLANK(Drummond!G114),FALSE,Drummond!G114)</f>
        <v>http://www3.gehealthcare.com/en/Products/Categories/Healthcare_IT/HITECH</v>
      </c>
      <c r="E114" s="2" t="str">
        <f>IF(NOT(ISBLANK(Drummond!D114)),IF(OR(ISBLANK(Drummond!E114),Drummond!E114="N/A"),"no acb code",CONCATENATE(Lookup!F$1,A114,Lookup!G$1,B114,Lookup!H$1,H$1,Lookup!I$1)),"no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'03212014-2600-1' and cb."name" = 'Drummond Group Inc.' and cp.product_version_id = pv.product_version_id and pv.product_id = p.product_id and p.vendor_id = vend.vendor_id;</v>
      </c>
      <c r="F114" s="2" t="str">
        <f>IF(AND(NOT(ISBLANK(Drummond!G114)),Drummond!G114&lt;&gt;"N/A"),IF(C114="All",CONCATENATE(Lookup!F$2,D114,Lookup!G$2,B114,Lookup!H$2,H$1,Lookup!I$2),CONCATENATE(Lookup!F$3,D114,Lookup!G$3,B114,Lookup!H$3)),"no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'03212014-2600-1') as subquery where cp.certified_product_id = subquery.certified_product_id;</v>
      </c>
    </row>
    <row r="115" spans="1:6" x14ac:dyDescent="0.25">
      <c r="A115" s="2" t="str">
        <f>IF(ISBLANK(Drummond!D115),FALSE,LOOKUP(Drummond!D115,Lookup!$A$2:$B$4))</f>
        <v>Affirmative</v>
      </c>
      <c r="B115" s="2" t="str">
        <f>IF(ISBLANK(Drummond!E115),FALSE,TRIM(Drummond!E115))</f>
        <v>03212014-2601-1</v>
      </c>
      <c r="C115" s="2" t="str">
        <f>IF(ISBLANK(Drummond!F115),FALSE,LOOKUP(Drummond!F115,Lookup!$A$6:$B$7))</f>
        <v>Single</v>
      </c>
      <c r="D115" s="2" t="str">
        <f>IF(ISBLANK(Drummond!G115),FALSE,Drummond!G115)</f>
        <v>http://www3.gehealthcare.com/en/Products/Categories/Healthcare_IT/HITECH</v>
      </c>
      <c r="E115" s="2" t="str">
        <f>IF(NOT(ISBLANK(Drummond!D115)),IF(OR(ISBLANK(Drummond!E115),Drummond!E115="N/A"),"no acb code",CONCATENATE(Lookup!F$1,A115,Lookup!G$1,B115,Lookup!H$1,H$1,Lookup!I$1)),"no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'03212014-2601-1' and cb."name" = 'Drummond Group Inc.' and cp.product_version_id = pv.product_version_id and pv.product_id = p.product_id and p.vendor_id = vend.vendor_id;</v>
      </c>
      <c r="F115" s="2" t="str">
        <f>IF(AND(NOT(ISBLANK(Drummond!G115)),Drummond!G115&lt;&gt;"N/A"),IF(C115="All",CONCATENATE(Lookup!F$2,D115,Lookup!G$2,B115,Lookup!H$2,H$1,Lookup!I$2),CONCATENATE(Lookup!F$3,D115,Lookup!G$3,B115,Lookup!H$3)),"no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'03212014-2601-1') as subquery where cp.certified_product_id = subquery.certified_product_id;</v>
      </c>
    </row>
    <row r="116" spans="1:6" x14ac:dyDescent="0.25">
      <c r="A116" s="2" t="str">
        <f>IF(ISBLANK(Drummond!D116),FALSE,LOOKUP(Drummond!D116,Lookup!$A$2:$B$4))</f>
        <v>Affirmative</v>
      </c>
      <c r="B116" s="2" t="str">
        <f>IF(ISBLANK(Drummond!E116),FALSE,TRIM(Drummond!E116))</f>
        <v>02202014-2595-1</v>
      </c>
      <c r="C116" s="2" t="str">
        <f>IF(ISBLANK(Drummond!F116),FALSE,LOOKUP(Drummond!F116,Lookup!$A$6:$B$7))</f>
        <v>Single</v>
      </c>
      <c r="D116" s="2" t="str">
        <f>IF(ISBLANK(Drummond!G116),FALSE,Drummond!G116)</f>
        <v>http://www3.gehealthcare.com/en/Products/Categories/Healthcare_IT/HITECH</v>
      </c>
      <c r="E116" s="2" t="str">
        <f>IF(NOT(ISBLANK(Drummond!D116)),IF(OR(ISBLANK(Drummond!E116),Drummond!E116="N/A"),"no acb code",CONCATENATE(Lookup!F$1,A116,Lookup!G$1,B116,Lookup!H$1,H$1,Lookup!I$1)),"no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'02202014-2595-1' and cb."name" = 'Drummond Group Inc.' and cp.product_version_id = pv.product_version_id and pv.product_id = p.product_id and p.vendor_id = vend.vendor_id;</v>
      </c>
      <c r="F116" s="2" t="str">
        <f>IF(AND(NOT(ISBLANK(Drummond!G116)),Drummond!G116&lt;&gt;"N/A"),IF(C116="All",CONCATENATE(Lookup!F$2,D116,Lookup!G$2,B116,Lookup!H$2,H$1,Lookup!I$2),CONCATENATE(Lookup!F$3,D116,Lookup!G$3,B116,Lookup!H$3)),"no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'02202014-2595-1') as subquery where cp.certified_product_id = subquery.certified_product_id;</v>
      </c>
    </row>
    <row r="117" spans="1:6" x14ac:dyDescent="0.25">
      <c r="A117" s="2" t="str">
        <f>IF(ISBLANK(Drummond!D117),FALSE,LOOKUP(Drummond!D117,Lookup!$A$2:$B$4))</f>
        <v>Affirmative</v>
      </c>
      <c r="B117" s="2" t="str">
        <f>IF(ISBLANK(Drummond!E117),FALSE,TRIM(Drummond!E117))</f>
        <v>02202014-2596-1</v>
      </c>
      <c r="C117" s="2" t="str">
        <f>IF(ISBLANK(Drummond!F117),FALSE,LOOKUP(Drummond!F117,Lookup!$A$6:$B$7))</f>
        <v>Single</v>
      </c>
      <c r="D117" s="2" t="str">
        <f>IF(ISBLANK(Drummond!G117),FALSE,Drummond!G117)</f>
        <v>http://www3.gehealthcare.com/en/Products/Categories/Healthcare_IT/HITECH</v>
      </c>
      <c r="E117" s="2" t="str">
        <f>IF(NOT(ISBLANK(Drummond!D117)),IF(OR(ISBLANK(Drummond!E117),Drummond!E117="N/A"),"no acb code",CONCATENATE(Lookup!F$1,A117,Lookup!G$1,B117,Lookup!H$1,H$1,Lookup!I$1)),"no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'02202014-2596-1' and cb."name" = 'Drummond Group Inc.' and cp.product_version_id = pv.product_version_id and pv.product_id = p.product_id and p.vendor_id = vend.vendor_id;</v>
      </c>
      <c r="F117" s="2" t="str">
        <f>IF(AND(NOT(ISBLANK(Drummond!G117)),Drummond!G117&lt;&gt;"N/A"),IF(C117="All",CONCATENATE(Lookup!F$2,D117,Lookup!G$2,B117,Lookup!H$2,H$1,Lookup!I$2),CONCATENATE(Lookup!F$3,D117,Lookup!G$3,B117,Lookup!H$3)),"no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'02202014-2596-1') as subquery where cp.certified_product_id = subquery.certified_product_id;</v>
      </c>
    </row>
    <row r="118" spans="1:6" x14ac:dyDescent="0.25">
      <c r="A118" s="2" t="str">
        <f>IF(ISBLANK(Drummond!D118),FALSE,LOOKUP(Drummond!D118,Lookup!$A$2:$B$4))</f>
        <v>Affirmative</v>
      </c>
      <c r="B118" s="2" t="str">
        <f>IF(ISBLANK(Drummond!E118),FALSE,TRIM(Drummond!E118))</f>
        <v>11212014-2606-5</v>
      </c>
      <c r="C118" s="2" t="str">
        <f>IF(ISBLANK(Drummond!F118),FALSE,LOOKUP(Drummond!F118,Lookup!$A$6:$B$7))</f>
        <v>Single</v>
      </c>
      <c r="D118" s="2" t="str">
        <f>IF(ISBLANK(Drummond!G118),FALSE,Drummond!G118)</f>
        <v>http://www3.gehealthcare.com/en/Products/Categories/Healthcare_IT/HITECH</v>
      </c>
      <c r="E118" s="2" t="str">
        <f>IF(NOT(ISBLANK(Drummond!D118)),IF(OR(ISBLANK(Drummond!E118),Drummond!E118="N/A"),"no acb code",CONCATENATE(Lookup!F$1,A118,Lookup!G$1,B118,Lookup!H$1,H$1,Lookup!I$1)),"no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'11212014-2606-5' and cb."name" = 'Drummond Group Inc.' and cp.product_version_id = pv.product_version_id and pv.product_id = p.product_id and p.vendor_id = vend.vendor_id;</v>
      </c>
      <c r="F118" s="2" t="str">
        <f>IF(AND(NOT(ISBLANK(Drummond!G118)),Drummond!G118&lt;&gt;"N/A"),IF(C118="All",CONCATENATE(Lookup!F$2,D118,Lookup!G$2,B118,Lookup!H$2,H$1,Lookup!I$2),CONCATENATE(Lookup!F$3,D118,Lookup!G$3,B118,Lookup!H$3)),"no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'11212014-2606-5') as subquery where cp.certified_product_id = subquery.certified_product_id;</v>
      </c>
    </row>
    <row r="119" spans="1:6" x14ac:dyDescent="0.25">
      <c r="A119" s="2" t="str">
        <f>IF(ISBLANK(Drummond!D119),FALSE,LOOKUP(Drummond!D119,Lookup!$A$2:$B$4))</f>
        <v>Affirmative</v>
      </c>
      <c r="B119" s="2" t="str">
        <f>IF(ISBLANK(Drummond!E119),FALSE,TRIM(Drummond!E119))</f>
        <v>11212014-2607-5</v>
      </c>
      <c r="C119" s="2" t="str">
        <f>IF(ISBLANK(Drummond!F119),FALSE,LOOKUP(Drummond!F119,Lookup!$A$6:$B$7))</f>
        <v>Single</v>
      </c>
      <c r="D119" s="2" t="str">
        <f>IF(ISBLANK(Drummond!G119),FALSE,Drummond!G119)</f>
        <v>http://www3.gehealthcare.com/en/Products/Categories/Healthcare_IT/HITECH</v>
      </c>
      <c r="E119" s="2" t="str">
        <f>IF(NOT(ISBLANK(Drummond!D119)),IF(OR(ISBLANK(Drummond!E119),Drummond!E119="N/A"),"no acb code",CONCATENATE(Lookup!F$1,A119,Lookup!G$1,B119,Lookup!H$1,H$1,Lookup!I$1)),"no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'11212014-2607-5' and cb."name" = 'Drummond Group Inc.' and cp.product_version_id = pv.product_version_id and pv.product_id = p.product_id and p.vendor_id = vend.vendor_id;</v>
      </c>
      <c r="F119" s="2" t="str">
        <f>IF(AND(NOT(ISBLANK(Drummond!G119)),Drummond!G119&lt;&gt;"N/A"),IF(C119="All",CONCATENATE(Lookup!F$2,D119,Lookup!G$2,B119,Lookup!H$2,H$1,Lookup!I$2),CONCATENATE(Lookup!F$3,D119,Lookup!G$3,B119,Lookup!H$3)),"no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'11212014-2607-5') as subquery where cp.certified_product_id = subquery.certified_product_id;</v>
      </c>
    </row>
    <row r="120" spans="1:6" x14ac:dyDescent="0.25">
      <c r="A120" s="2" t="str">
        <f>IF(ISBLANK(Drummond!D120),FALSE,LOOKUP(Drummond!D120,Lookup!$A$2:$B$4))</f>
        <v>Affirmative</v>
      </c>
      <c r="B120" s="2" t="str">
        <f>IF(ISBLANK(Drummond!E120),FALSE,TRIM(Drummond!E120))</f>
        <v>09302015-4330-5</v>
      </c>
      <c r="C120" s="2" t="str">
        <f>IF(ISBLANK(Drummond!F120),FALSE,LOOKUP(Drummond!F120,Lookup!$A$6:$B$7))</f>
        <v>Single</v>
      </c>
      <c r="D120" s="2" t="str">
        <f>IF(ISBLANK(Drummond!G120),FALSE,Drummond!G120)</f>
        <v>http://www3.gehealthcare.com/en/Products/Categories/Healthcare_IT/HITECH</v>
      </c>
      <c r="E120" s="2" t="str">
        <f>IF(NOT(ISBLANK(Drummond!D120)),IF(OR(ISBLANK(Drummond!E120),Drummond!E120="N/A"),"no acb code",CONCATENATE(Lookup!F$1,A120,Lookup!G$1,B120,Lookup!H$1,H$1,Lookup!I$1)),"no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'09302015-4330-5' and cb."name" = 'Drummond Group Inc.' and cp.product_version_id = pv.product_version_id and pv.product_id = p.product_id and p.vendor_id = vend.vendor_id;</v>
      </c>
      <c r="F120" s="2" t="str">
        <f>IF(AND(NOT(ISBLANK(Drummond!G120)),Drummond!G120&lt;&gt;"N/A"),IF(C120="All",CONCATENATE(Lookup!F$2,D120,Lookup!G$2,B120,Lookup!H$2,H$1,Lookup!I$2),CONCATENATE(Lookup!F$3,D120,Lookup!G$3,B120,Lookup!H$3)),"no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'09302015-4330-5') as subquery where cp.certified_product_id = subquery.certified_product_id;</v>
      </c>
    </row>
    <row r="121" spans="1:6" x14ac:dyDescent="0.25">
      <c r="A121" s="2" t="str">
        <f>IF(ISBLANK(Drummond!D121),FALSE,LOOKUP(Drummond!D121,Lookup!$A$2:$B$4))</f>
        <v>Affirmative</v>
      </c>
      <c r="B121" s="2" t="str">
        <f>IF(ISBLANK(Drummond!E121),FALSE,TRIM(Drummond!E121))</f>
        <v>09302015-4331-5</v>
      </c>
      <c r="C121" s="2" t="str">
        <f>IF(ISBLANK(Drummond!F121),FALSE,LOOKUP(Drummond!F121,Lookup!$A$6:$B$7))</f>
        <v>Single</v>
      </c>
      <c r="D121" s="2" t="str">
        <f>IF(ISBLANK(Drummond!G121),FALSE,Drummond!G121)</f>
        <v>http://www3.gehealthcare.com/en/Products/Categories/Healthcare_IT/HITECH</v>
      </c>
      <c r="E121" s="2" t="str">
        <f>IF(NOT(ISBLANK(Drummond!D121)),IF(OR(ISBLANK(Drummond!E121),Drummond!E121="N/A"),"no acb code",CONCATENATE(Lookup!F$1,A121,Lookup!G$1,B121,Lookup!H$1,H$1,Lookup!I$1)),"no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'09302015-4331-5' and cb."name" = 'Drummond Group Inc.' and cp.product_version_id = pv.product_version_id and pv.product_id = p.product_id and p.vendor_id = vend.vendor_id;</v>
      </c>
      <c r="F121" s="2" t="str">
        <f>IF(AND(NOT(ISBLANK(Drummond!G121)),Drummond!G121&lt;&gt;"N/A"),IF(C121="All",CONCATENATE(Lookup!F$2,D121,Lookup!G$2,B121,Lookup!H$2,H$1,Lookup!I$2),CONCATENATE(Lookup!F$3,D121,Lookup!G$3,B121,Lookup!H$3)),"no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'09302015-4331-5') as subquery where cp.certified_product_id = subquery.certified_product_id;</v>
      </c>
    </row>
    <row r="122" spans="1:6" x14ac:dyDescent="0.25">
      <c r="A122" s="2" t="str">
        <f>IF(ISBLANK(Drummond!D122),FALSE,LOOKUP(Drummond!D122,Lookup!$A$2:$B$4))</f>
        <v>Affirmative</v>
      </c>
      <c r="B122" s="2" t="str">
        <f>IF(ISBLANK(Drummond!E122),FALSE,TRIM(Drummond!E122))</f>
        <v>12302015-4980-5</v>
      </c>
      <c r="C122" s="2" t="str">
        <f>IF(ISBLANK(Drummond!F122),FALSE,LOOKUP(Drummond!F122,Lookup!$A$6:$B$7))</f>
        <v>Single</v>
      </c>
      <c r="D122" s="2" t="str">
        <f>IF(ISBLANK(Drummond!G122),FALSE,Drummond!G122)</f>
        <v>http://www3.gehealthcare.com/en/Products/Categories/Healthcare_IT/HITECH</v>
      </c>
      <c r="E122" s="2" t="str">
        <f>IF(NOT(ISBLANK(Drummond!D122)),IF(OR(ISBLANK(Drummond!E122),Drummond!E122="N/A"),"no acb code",CONCATENATE(Lookup!F$1,A122,Lookup!G$1,B122,Lookup!H$1,H$1,Lookup!I$1)),"no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'12302015-4980-5' and cb."name" = 'Drummond Group Inc.' and cp.product_version_id = pv.product_version_id and pv.product_id = p.product_id and p.vendor_id = vend.vendor_id;</v>
      </c>
      <c r="F122" s="2" t="str">
        <f>IF(AND(NOT(ISBLANK(Drummond!G122)),Drummond!G122&lt;&gt;"N/A"),IF(C122="All",CONCATENATE(Lookup!F$2,D122,Lookup!G$2,B122,Lookup!H$2,H$1,Lookup!I$2),CONCATENATE(Lookup!F$3,D122,Lookup!G$3,B122,Lookup!H$3)),"no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'12302015-4980-5') as subquery where cp.certified_product_id = subquery.certified_product_id;</v>
      </c>
    </row>
    <row r="123" spans="1:6" x14ac:dyDescent="0.25">
      <c r="A123" s="2" t="str">
        <f>IF(ISBLANK(Drummond!D123),FALSE,LOOKUP(Drummond!D123,Lookup!$A$2:$B$4))</f>
        <v>Affirmative</v>
      </c>
      <c r="B123" s="2" t="str">
        <f>IF(ISBLANK(Drummond!E123),FALSE,TRIM(Drummond!E123))</f>
        <v>12302015-4981-5</v>
      </c>
      <c r="C123" s="2" t="str">
        <f>IF(ISBLANK(Drummond!F123),FALSE,LOOKUP(Drummond!F123,Lookup!$A$6:$B$7))</f>
        <v>Single</v>
      </c>
      <c r="D123" s="2" t="str">
        <f>IF(ISBLANK(Drummond!G123),FALSE,Drummond!G123)</f>
        <v>http://www3.gehealthcare.com/en/Products/Categories/Healthcare_IT/HITECH</v>
      </c>
      <c r="E123" s="2" t="str">
        <f>IF(NOT(ISBLANK(Drummond!D123)),IF(OR(ISBLANK(Drummond!E123),Drummond!E123="N/A"),"no acb code",CONCATENATE(Lookup!F$1,A123,Lookup!G$1,B123,Lookup!H$1,H$1,Lookup!I$1)),"no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'12302015-4981-5' and cb."name" = 'Drummond Group Inc.' and cp.product_version_id = pv.product_version_id and pv.product_id = p.product_id and p.vendor_id = vend.vendor_id;</v>
      </c>
      <c r="F123" s="2" t="str">
        <f>IF(AND(NOT(ISBLANK(Drummond!G123)),Drummond!G123&lt;&gt;"N/A"),IF(C123="All",CONCATENATE(Lookup!F$2,D123,Lookup!G$2,B123,Lookup!H$2,H$1,Lookup!I$2),CONCATENATE(Lookup!F$3,D123,Lookup!G$3,B123,Lookup!H$3)),"no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'12302015-4981-5') as subquery where cp.certified_product_id = subquery.certified_product_id;</v>
      </c>
    </row>
    <row r="124" spans="1:6" x14ac:dyDescent="0.25">
      <c r="A124" s="2" t="str">
        <f>IF(ISBLANK(Drummond!D124),FALSE,LOOKUP(Drummond!D124,Lookup!$A$2:$B$4))</f>
        <v>Affirmative</v>
      </c>
      <c r="B124" s="2" t="str">
        <f>IF(ISBLANK(Drummond!E124),FALSE,TRIM(Drummond!E124))</f>
        <v>11212014-2612-5</v>
      </c>
      <c r="C124" s="2" t="str">
        <f>IF(ISBLANK(Drummond!F124),FALSE,LOOKUP(Drummond!F124,Lookup!$A$6:$B$7))</f>
        <v>Single</v>
      </c>
      <c r="D124" s="2" t="str">
        <f>IF(ISBLANK(Drummond!G124),FALSE,Drummond!G124)</f>
        <v>http://www3.gehealthcare.com/en/Products/Categories/Healthcare_IT/HITECH</v>
      </c>
      <c r="E124" s="2" t="str">
        <f>IF(NOT(ISBLANK(Drummond!D124)),IF(OR(ISBLANK(Drummond!E124),Drummond!E124="N/A"),"no acb code",CONCATENATE(Lookup!F$1,A124,Lookup!G$1,B124,Lookup!H$1,H$1,Lookup!I$1)),"no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'11212014-2612-5' and cb."name" = 'Drummond Group Inc.' and cp.product_version_id = pv.product_version_id and pv.product_id = p.product_id and p.vendor_id = vend.vendor_id;</v>
      </c>
      <c r="F124" s="2" t="str">
        <f>IF(AND(NOT(ISBLANK(Drummond!G124)),Drummond!G124&lt;&gt;"N/A"),IF(C124="All",CONCATENATE(Lookup!F$2,D124,Lookup!G$2,B124,Lookup!H$2,H$1,Lookup!I$2),CONCATENATE(Lookup!F$3,D124,Lookup!G$3,B124,Lookup!H$3)),"no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'11212014-2612-5') as subquery where cp.certified_product_id = subquery.certified_product_id;</v>
      </c>
    </row>
    <row r="125" spans="1:6" x14ac:dyDescent="0.25">
      <c r="A125" s="2" t="str">
        <f>IF(ISBLANK(Drummond!D125),FALSE,LOOKUP(Drummond!D125,Lookup!$A$2:$B$4))</f>
        <v>Affirmative</v>
      </c>
      <c r="B125" s="2" t="str">
        <f>IF(ISBLANK(Drummond!E125),FALSE,TRIM(Drummond!E125))</f>
        <v>11212014-2613-5</v>
      </c>
      <c r="C125" s="2" t="str">
        <f>IF(ISBLANK(Drummond!F125),FALSE,LOOKUP(Drummond!F125,Lookup!$A$6:$B$7))</f>
        <v>Single</v>
      </c>
      <c r="D125" s="2" t="str">
        <f>IF(ISBLANK(Drummond!G125),FALSE,Drummond!G125)</f>
        <v>http://www3.gehealthcare.com/en/Products/Categories/Healthcare_IT/HITECH</v>
      </c>
      <c r="E125" s="2" t="str">
        <f>IF(NOT(ISBLANK(Drummond!D125)),IF(OR(ISBLANK(Drummond!E125),Drummond!E125="N/A"),"no acb code",CONCATENATE(Lookup!F$1,A125,Lookup!G$1,B125,Lookup!H$1,H$1,Lookup!I$1)),"no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'11212014-2613-5' and cb."name" = 'Drummond Group Inc.' and cp.product_version_id = pv.product_version_id and pv.product_id = p.product_id and p.vendor_id = vend.vendor_id;</v>
      </c>
      <c r="F125" s="2" t="str">
        <f>IF(AND(NOT(ISBLANK(Drummond!G125)),Drummond!G125&lt;&gt;"N/A"),IF(C125="All",CONCATENATE(Lookup!F$2,D125,Lookup!G$2,B125,Lookup!H$2,H$1,Lookup!I$2),CONCATENATE(Lookup!F$3,D125,Lookup!G$3,B125,Lookup!H$3)),"no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'11212014-2613-5') as subquery where cp.certified_product_id = subquery.certified_product_id;</v>
      </c>
    </row>
    <row r="126" spans="1:6" x14ac:dyDescent="0.25">
      <c r="A126" s="2" t="str">
        <f>IF(ISBLANK(Drummond!D126),FALSE,LOOKUP(Drummond!D126,Lookup!$A$2:$B$4))</f>
        <v>Affirmative</v>
      </c>
      <c r="B126" s="2" t="str">
        <f>IF(ISBLANK(Drummond!E126),FALSE,TRIM(Drummond!E126))</f>
        <v>03212014-2599-1</v>
      </c>
      <c r="C126" s="2" t="str">
        <f>IF(ISBLANK(Drummond!F126),FALSE,LOOKUP(Drummond!F126,Lookup!$A$6:$B$7))</f>
        <v>Single</v>
      </c>
      <c r="D126" s="2" t="str">
        <f>IF(ISBLANK(Drummond!G126),FALSE,Drummond!G126)</f>
        <v>http://www3.gehealthcare.com/en/Products/Categories/Healthcare_IT/HITECH</v>
      </c>
      <c r="E126" s="2" t="str">
        <f>IF(NOT(ISBLANK(Drummond!D126)),IF(OR(ISBLANK(Drummond!E126),Drummond!E126="N/A"),"no acb code",CONCATENATE(Lookup!F$1,A126,Lookup!G$1,B126,Lookup!H$1,H$1,Lookup!I$1)),"no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'03212014-2599-1' and cb."name" = 'Drummond Group Inc.' and cp.product_version_id = pv.product_version_id and pv.product_id = p.product_id and p.vendor_id = vend.vendor_id;</v>
      </c>
      <c r="F126" s="2" t="str">
        <f>IF(AND(NOT(ISBLANK(Drummond!G126)),Drummond!G126&lt;&gt;"N/A"),IF(C126="All",CONCATENATE(Lookup!F$2,D126,Lookup!G$2,B126,Lookup!H$2,H$1,Lookup!I$2),CONCATENATE(Lookup!F$3,D126,Lookup!G$3,B126,Lookup!H$3)),"no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'03212014-2599-1') as subquery where cp.certified_product_id = subquery.certified_product_id;</v>
      </c>
    </row>
    <row r="127" spans="1:6" x14ac:dyDescent="0.25">
      <c r="A127" s="2" t="str">
        <f>IF(ISBLANK(Drummond!D127),FALSE,LOOKUP(Drummond!D127,Lookup!$A$2:$B$4))</f>
        <v>Affirmative</v>
      </c>
      <c r="B127" s="2" t="str">
        <f>IF(ISBLANK(Drummond!E127),FALSE,TRIM(Drummond!E127))</f>
        <v>03212014-2598-1</v>
      </c>
      <c r="C127" s="2" t="str">
        <f>IF(ISBLANK(Drummond!F127),FALSE,LOOKUP(Drummond!F127,Lookup!$A$6:$B$7))</f>
        <v>Single</v>
      </c>
      <c r="D127" s="2" t="str">
        <f>IF(ISBLANK(Drummond!G127),FALSE,Drummond!G127)</f>
        <v>http://www3.gehealthcare.com/en/Products/Categories/Healthcare_IT/HITECH</v>
      </c>
      <c r="E127" s="2" t="str">
        <f>IF(NOT(ISBLANK(Drummond!D127)),IF(OR(ISBLANK(Drummond!E127),Drummond!E127="N/A"),"no acb code",CONCATENATE(Lookup!F$1,A127,Lookup!G$1,B127,Lookup!H$1,H$1,Lookup!I$1)),"no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'03212014-2598-1' and cb."name" = 'Drummond Group Inc.' and cp.product_version_id = pv.product_version_id and pv.product_id = p.product_id and p.vendor_id = vend.vendor_id;</v>
      </c>
      <c r="F127" s="2" t="str">
        <f>IF(AND(NOT(ISBLANK(Drummond!G127)),Drummond!G127&lt;&gt;"N/A"),IF(C127="All",CONCATENATE(Lookup!F$2,D127,Lookup!G$2,B127,Lookup!H$2,H$1,Lookup!I$2),CONCATENATE(Lookup!F$3,D127,Lookup!G$3,B127,Lookup!H$3)),"no url")</f>
        <v>update openchpl.certified_product as cp set transparency_attestation_url = 'http://www3.gehealthcare.com/en/Products/Categories/Healthcare_IT/HITECH' from (select certified_product_id from openchpl.certified_product as cp where cp.acb_certification_id = '03212014-2598-1') as subquery where cp.certified_product_id = subquery.certified_product_id;</v>
      </c>
    </row>
    <row r="128" spans="1:6" x14ac:dyDescent="0.25">
      <c r="A128" s="2" t="str">
        <f>IF(ISBLANK(Drummond!D128),FALSE,LOOKUP(Drummond!D128,Lookup!$A$2:$B$4))</f>
        <v>Affirmative</v>
      </c>
      <c r="B128" s="2" t="str">
        <f>IF(ISBLANK(Drummond!E128),FALSE,TRIM(Drummond!E128))</f>
        <v>07032013-1174-5</v>
      </c>
      <c r="C128" s="2" t="str">
        <f>IF(ISBLANK(Drummond!F128),FALSE,LOOKUP(Drummond!F128,Lookup!$A$6:$B$7))</f>
        <v>Single</v>
      </c>
      <c r="D128" s="2" t="str">
        <f>IF(ISBLANK(Drummond!G128),FALSE,Drummond!G128)</f>
        <v>http://www3.gehealthcare.com/en/Products/Categories/Healthcare_IT/~/link.aspx?_id=A658D910255B416686DF679886E0BD7A&amp;_z=z#tabs/tab691E86107CB648E1A3FCD53A15BE9530</v>
      </c>
      <c r="E128" s="2" t="str">
        <f>IF(NOT(ISBLANK(Drummond!D128)),IF(OR(ISBLANK(Drummond!E128),Drummond!E128="N/A"),"no acb code",CONCATENATE(Lookup!F$1,A128,Lookup!G$1,B128,Lookup!H$1,H$1,Lookup!I$1)),"no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'07032013-1174-5' and cb."name" = 'Drummond Group Inc.' and cp.product_version_id = pv.product_version_id and pv.product_id = p.product_id and p.vendor_id = vend.vendor_id;</v>
      </c>
      <c r="F128" s="2" t="str">
        <f>IF(AND(NOT(ISBLANK(Drummond!G128)),Drummond!G128&lt;&gt;"N/A"),IF(C128="All",CONCATENATE(Lookup!F$2,D128,Lookup!G$2,B128,Lookup!H$2,H$1,Lookup!I$2),CONCATENATE(Lookup!F$3,D128,Lookup!G$3,B128,Lookup!H$3)),"no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'07032013-1174-5') as subquery where cp.certified_product_id = subquery.certified_product_id;</v>
      </c>
    </row>
    <row r="129" spans="1:6" x14ac:dyDescent="0.25">
      <c r="A129" s="2" t="str">
        <f>IF(ISBLANK(Drummond!D129),FALSE,LOOKUP(Drummond!D129,Lookup!$A$2:$B$4))</f>
        <v>Affirmative</v>
      </c>
      <c r="B129" s="2" t="str">
        <f>IF(ISBLANK(Drummond!E129),FALSE,TRIM(Drummond!E129))</f>
        <v>01102014-1175-5</v>
      </c>
      <c r="C129" s="2" t="str">
        <f>IF(ISBLANK(Drummond!F129),FALSE,LOOKUP(Drummond!F129,Lookup!$A$6:$B$7))</f>
        <v>Single</v>
      </c>
      <c r="D129" s="2" t="str">
        <f>IF(ISBLANK(Drummond!G129),FALSE,Drummond!G129)</f>
        <v>http://www3.gehealthcare.com/en/Products/Categories/Healthcare_IT/~/link.aspx?_id=A658D910255B416686DF679886E0BD7A&amp;_z=z#tabs/tab691E86107CB648E1A3FCD53A15BE9530</v>
      </c>
      <c r="E129" s="2" t="str">
        <f>IF(NOT(ISBLANK(Drummond!D129)),IF(OR(ISBLANK(Drummond!E129),Drummond!E129="N/A"),"no acb code",CONCATENATE(Lookup!F$1,A129,Lookup!G$1,B129,Lookup!H$1,H$1,Lookup!I$1)),"no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'01102014-1175-5' and cb."name" = 'Drummond Group Inc.' and cp.product_version_id = pv.product_version_id and pv.product_id = p.product_id and p.vendor_id = vend.vendor_id;</v>
      </c>
      <c r="F129" s="2" t="str">
        <f>IF(AND(NOT(ISBLANK(Drummond!G129)),Drummond!G129&lt;&gt;"N/A"),IF(C129="All",CONCATENATE(Lookup!F$2,D129,Lookup!G$2,B129,Lookup!H$2,H$1,Lookup!I$2),CONCATENATE(Lookup!F$3,D129,Lookup!G$3,B129,Lookup!H$3)),"no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'01102014-1175-5') as subquery where cp.certified_product_id = subquery.certified_product_id;</v>
      </c>
    </row>
    <row r="130" spans="1:6" x14ac:dyDescent="0.25">
      <c r="A130" s="2" t="str">
        <f>IF(ISBLANK(Drummond!D130),FALSE,LOOKUP(Drummond!D130,Lookup!$A$2:$B$4))</f>
        <v>Affirmative</v>
      </c>
      <c r="B130" s="2" t="str">
        <f>IF(ISBLANK(Drummond!E130),FALSE,TRIM(Drummond!E130))</f>
        <v>01102014-1892-5</v>
      </c>
      <c r="C130" s="2" t="str">
        <f>IF(ISBLANK(Drummond!F130),FALSE,LOOKUP(Drummond!F130,Lookup!$A$6:$B$7))</f>
        <v>Single</v>
      </c>
      <c r="D130" s="2" t="str">
        <f>IF(ISBLANK(Drummond!G130),FALSE,Drummond!G130)</f>
        <v>http://www3.gehealthcare.com/en/Products/Categories/Healthcare_IT/~/link.aspx?_id=A658D910255B416686DF679886E0BD7A&amp;_z=z#tabs/tab691E86107CB648E1A3FCD53A15BE9530</v>
      </c>
      <c r="E130" s="2" t="str">
        <f>IF(NOT(ISBLANK(Drummond!D130)),IF(OR(ISBLANK(Drummond!E130),Drummond!E130="N/A"),"no acb code",CONCATENATE(Lookup!F$1,A130,Lookup!G$1,B130,Lookup!H$1,H$1,Lookup!I$1)),"no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'01102014-1892-5' and cb."name" = 'Drummond Group Inc.' and cp.product_version_id = pv.product_version_id and pv.product_id = p.product_id and p.vendor_id = vend.vendor_id;</v>
      </c>
      <c r="F130" s="2" t="str">
        <f>IF(AND(NOT(ISBLANK(Drummond!G130)),Drummond!G130&lt;&gt;"N/A"),IF(C130="All",CONCATENATE(Lookup!F$2,D130,Lookup!G$2,B130,Lookup!H$2,H$1,Lookup!I$2),CONCATENATE(Lookup!F$3,D130,Lookup!G$3,B130,Lookup!H$3)),"no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'01102014-1892-5') as subquery where cp.certified_product_id = subquery.certified_product_id;</v>
      </c>
    </row>
    <row r="131" spans="1:6" x14ac:dyDescent="0.25">
      <c r="A131" s="2" t="str">
        <f>IF(ISBLANK(Drummond!D131),FALSE,LOOKUP(Drummond!D131,Lookup!$A$2:$B$4))</f>
        <v>Affirmative</v>
      </c>
      <c r="B131" s="2" t="str">
        <f>IF(ISBLANK(Drummond!E131),FALSE,TRIM(Drummond!E131))</f>
        <v>05162014-1894-5</v>
      </c>
      <c r="C131" s="2" t="str">
        <f>IF(ISBLANK(Drummond!F131),FALSE,LOOKUP(Drummond!F131,Lookup!$A$6:$B$7))</f>
        <v>Single</v>
      </c>
      <c r="D131" s="2" t="str">
        <f>IF(ISBLANK(Drummond!G131),FALSE,Drummond!G131)</f>
        <v>http://www3.gehealthcare.com/en/Products/Categories/Healthcare_IT/~/link.aspx?_id=A658D910255B416686DF679886E0BD7A&amp;_z=z#tabs/tab691E86107CB648E1A3FCD53A15BE9530</v>
      </c>
      <c r="E131" s="2" t="str">
        <f>IF(NOT(ISBLANK(Drummond!D131)),IF(OR(ISBLANK(Drummond!E131),Drummond!E131="N/A"),"no acb code",CONCATENATE(Lookup!F$1,A131,Lookup!G$1,B131,Lookup!H$1,H$1,Lookup!I$1)),"no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'05162014-1894-5' and cb."name" = 'Drummond Group Inc.' and cp.product_version_id = pv.product_version_id and pv.product_id = p.product_id and p.vendor_id = vend.vendor_id;</v>
      </c>
      <c r="F131" s="2" t="str">
        <f>IF(AND(NOT(ISBLANK(Drummond!G131)),Drummond!G131&lt;&gt;"N/A"),IF(C131="All",CONCATENATE(Lookup!F$2,D131,Lookup!G$2,B131,Lookup!H$2,H$1,Lookup!I$2),CONCATENATE(Lookup!F$3,D131,Lookup!G$3,B131,Lookup!H$3)),"no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'05162014-1894-5') as subquery where cp.certified_product_id = subquery.certified_product_id;</v>
      </c>
    </row>
    <row r="132" spans="1:6" x14ac:dyDescent="0.25">
      <c r="A132" s="2" t="str">
        <f>IF(ISBLANK(Drummond!D132),FALSE,LOOKUP(Drummond!D132,Lookup!$A$2:$B$4))</f>
        <v>Affirmative</v>
      </c>
      <c r="B132" s="2" t="str">
        <f>IF(ISBLANK(Drummond!E132),FALSE,TRIM(Drummond!E132))</f>
        <v>12122013-1815-6</v>
      </c>
      <c r="C132" s="2" t="str">
        <f>IF(ISBLANK(Drummond!F132),FALSE,LOOKUP(Drummond!F132,Lookup!$A$6:$B$7))</f>
        <v>All</v>
      </c>
      <c r="D132" s="2" t="str">
        <f>IF(ISBLANK(Drummond!G132),FALSE,Drummond!G132)</f>
        <v>http://www.gemmsnet.com/certification.html</v>
      </c>
      <c r="E132" s="2" t="str">
        <f>IF(NOT(ISBLANK(Drummond!D132)),IF(OR(ISBLANK(Drummond!E132),Drummond!E132="N/A"),"no acb code",CONCATENATE(Lookup!F$1,A132,Lookup!G$1,B132,Lookup!H$1,H$1,Lookup!I$1)),"no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'12122013-1815-6' and cb."name" = 'Drummond Group Inc.' and cp.product_version_id = pv.product_version_id and pv.product_id = p.product_id and p.vendor_id = vend.vendor_id;</v>
      </c>
      <c r="F132" s="2" t="str">
        <f>IF(AND(NOT(ISBLANK(Drummond!G132)),Drummond!G132&lt;&gt;"N/A"),IF(C132="All",CONCATENATE(Lookup!F$2,D132,Lookup!G$2,B132,Lookup!H$2,H$1,Lookup!I$2),CONCATENATE(Lookup!F$3,D132,Lookup!G$3,B132,Lookup!H$3)),"no url")</f>
        <v>update openchpl.certified_product as cp set transparency_attestation_url = 'http://www.gemmsnet.com/certification.html' from (select certified_product_id from (select vend.vendor_code from openchpl.certified_product as cp, openchpl.product_version as pv, openchpl.product as p, openchpl.vendor as vend where cp.acb_certification_id = '12122013-1815-6'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3" spans="1:6" x14ac:dyDescent="0.25">
      <c r="A133" s="2" t="str">
        <f>IF(ISBLANK(Drummond!D133),FALSE,LOOKUP(Drummond!D133,Lookup!$A$2:$B$4))</f>
        <v>Affirmative</v>
      </c>
      <c r="B133" s="2" t="str">
        <f>IF(ISBLANK(Drummond!E133),FALSE,TRIM(Drummond!E133))</f>
        <v>08222013-1891-5</v>
      </c>
      <c r="C133" s="2" t="str">
        <f>IF(ISBLANK(Drummond!F133),FALSE,LOOKUP(Drummond!F133,Lookup!$A$6:$B$7))</f>
        <v>Single</v>
      </c>
      <c r="D133" s="2" t="str">
        <f>IF(ISBLANK(Drummond!G133),FALSE,Drummond!G133)</f>
        <v>http://www3.gehealthcare.com/en/Products/Categories/Healthcare_IT/~/link.aspx?_id=A658D910255B416686DF679886E0BD7A&amp;_z=z#tabs/tab691E86107CB648E1A3FCD53A15BE9530</v>
      </c>
      <c r="E133" s="2" t="str">
        <f>IF(NOT(ISBLANK(Drummond!D133)),IF(OR(ISBLANK(Drummond!E133),Drummond!E133="N/A"),"no acb code",CONCATENATE(Lookup!F$1,A133,Lookup!G$1,B133,Lookup!H$1,H$1,Lookup!I$1)),"no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'08222013-1891-5' and cb."name" = 'Drummond Group Inc.' and cp.product_version_id = pv.product_version_id and pv.product_id = p.product_id and p.vendor_id = vend.vendor_id;</v>
      </c>
      <c r="F133" s="2" t="str">
        <f>IF(AND(NOT(ISBLANK(Drummond!G133)),Drummond!G133&lt;&gt;"N/A"),IF(C133="All",CONCATENATE(Lookup!F$2,D133,Lookup!G$2,B133,Lookup!H$2,H$1,Lookup!I$2),CONCATENATE(Lookup!F$3,D133,Lookup!G$3,B133,Lookup!H$3)),"no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'08222013-1891-5') as subquery where cp.certified_product_id = subquery.certified_product_id;</v>
      </c>
    </row>
    <row r="134" spans="1:6" x14ac:dyDescent="0.25">
      <c r="A134" s="2" t="str">
        <f>IF(ISBLANK(Drummond!D134),FALSE,LOOKUP(Drummond!D134,Lookup!$A$2:$B$4))</f>
        <v>Affirmative</v>
      </c>
      <c r="B134" s="2" t="str">
        <f>IF(ISBLANK(Drummond!E134),FALSE,TRIM(Drummond!E134))</f>
        <v>01302014-2412-6</v>
      </c>
      <c r="C134" s="2" t="str">
        <f>IF(ISBLANK(Drummond!F134),FALSE,LOOKUP(Drummond!F134,Lookup!$A$6:$B$7))</f>
        <v>All</v>
      </c>
      <c r="D134" s="2" t="str">
        <f>IF(ISBLANK(Drummond!G134),FALSE,Drummond!G134)</f>
        <v>http://www.gehrimed.com/certification/</v>
      </c>
      <c r="E134" s="2" t="str">
        <f>IF(NOT(ISBLANK(Drummond!D134)),IF(OR(ISBLANK(Drummond!E134),Drummond!E134="N/A"),"no acb code",CONCATENATE(Lookup!F$1,A134,Lookup!G$1,B134,Lookup!H$1,H$1,Lookup!I$1)),"no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'01302014-2412-6' and cb."name" = 'Drummond Group Inc.' and cp.product_version_id = pv.product_version_id and pv.product_id = p.product_id and p.vendor_id = vend.vendor_id;</v>
      </c>
      <c r="F134" s="2" t="str">
        <f>IF(AND(NOT(ISBLANK(Drummond!G134)),Drummond!G134&lt;&gt;"N/A"),IF(C134="All",CONCATENATE(Lookup!F$2,D134,Lookup!G$2,B134,Lookup!H$2,H$1,Lookup!I$2),CONCATENATE(Lookup!F$3,D134,Lookup!G$3,B134,Lookup!H$3)),"no url")</f>
        <v>update openchpl.certified_product as cp set transparency_attestation_url = 'http://www.gehrimed.com/certification/' from (select certified_product_id from (select vend.vendor_code from openchpl.certified_product as cp, openchpl.product_version as pv, openchpl.product as p, openchpl.vendor as vend where cp.acb_certification_id = '01302014-2412-6'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5" spans="1:6" x14ac:dyDescent="0.25">
      <c r="A135" s="2" t="str">
        <f>IF(ISBLANK(Drummond!D135),FALSE,LOOKUP(Drummond!D135,Lookup!$A$2:$B$4))</f>
        <v>Affirmative</v>
      </c>
      <c r="B135" s="2" t="str">
        <f>IF(ISBLANK(Drummond!E135),FALSE,TRIM(Drummond!E135))</f>
        <v>10302014-2958-6</v>
      </c>
      <c r="C135" s="2" t="str">
        <f>IF(ISBLANK(Drummond!F135),FALSE,LOOKUP(Drummond!F135,Lookup!$A$6:$B$7))</f>
        <v>All</v>
      </c>
      <c r="D135" s="2" t="str">
        <f>IF(ISBLANK(Drummond!G135),FALSE,Drummond!G135)</f>
        <v>http://getwellnetwork.com/news/getwellnetwork-achieves-meaningful-use-certification-ambulatory-solution</v>
      </c>
      <c r="E135" s="2" t="str">
        <f>IF(NOT(ISBLANK(Drummond!D135)),IF(OR(ISBLANK(Drummond!E135),Drummond!E135="N/A"),"no acb code",CONCATENATE(Lookup!F$1,A135,Lookup!G$1,B135,Lookup!H$1,H$1,Lookup!I$1)),"no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'10302014-2958-6' and cb."name" = 'Drummond Group Inc.' and cp.product_version_id = pv.product_version_id and pv.product_id = p.product_id and p.vendor_id = vend.vendor_id;</v>
      </c>
      <c r="F135" s="2" t="str">
        <f>IF(AND(NOT(ISBLANK(Drummond!G135)),Drummond!G135&lt;&gt;"N/A"),IF(C135="All",CONCATENATE(Lookup!F$2,D135,Lookup!G$2,B135,Lookup!H$2,H$1,Lookup!I$2),CONCATENATE(Lookup!F$3,D135,Lookup!G$3,B135,Lookup!H$3)),"no url")</f>
        <v>update openchpl.certified_product as cp set transparency_attestation_url = 'http://getwellnetwork.com/news/getwellnetwork-achieves-meaningful-use-certification-ambulatory-solution' from (select certified_product_id from (select vend.vendor_code from openchpl.certified_product as cp, openchpl.product_version as pv, openchpl.product as p, openchpl.vendor as vend where cp.acb_certification_id = '10302014-2958-6'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6" spans="1:6" x14ac:dyDescent="0.25">
      <c r="A136" s="2" t="str">
        <f>IF(ISBLANK(Drummond!D136),FALSE,LOOKUP(Drummond!D136,Lookup!$A$2:$B$4))</f>
        <v>N/A</v>
      </c>
      <c r="B136" s="2" t="str">
        <f>IF(ISBLANK(Drummond!E136),FALSE,TRIM(Drummond!E136))</f>
        <v>09242015-2968-5</v>
      </c>
      <c r="C136" s="2" t="str">
        <f>IF(ISBLANK(Drummond!F136),FALSE,LOOKUP(Drummond!F136,Lookup!$A$6:$B$7))</f>
        <v>All</v>
      </c>
      <c r="D136" s="2" t="b">
        <f>IF(ISBLANK(Drummond!G136),FALSE,Drummond!G136)</f>
        <v>0</v>
      </c>
      <c r="E136" s="2" t="str">
        <f>IF(NOT(ISBLANK(Drummond!D136)),IF(OR(ISBLANK(Drummond!E136),Drummond!E136="N/A"),"no acb code",CONCATENATE(Lookup!F$1,A136,Lookup!G$1,B136,Lookup!H$1,H$1,Lookup!I$1)),"no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'09242015-2968-5' and cb."name" = 'Drummond Group Inc.' and cp.product_version_id = pv.product_version_id and pv.product_id = p.product_id and p.vendor_id = vend.vendor_id;</v>
      </c>
      <c r="F136" s="2" t="str">
        <f>IF(AND(NOT(ISBLANK(Drummond!G136)),Drummond!G136&lt;&gt;"N/A"),IF(C136="All",CONCATENATE(Lookup!F$2,D136,Lookup!G$2,B136,Lookup!H$2,H$1,Lookup!I$2),CONCATENATE(Lookup!F$3,D136,Lookup!G$3,B136,Lookup!H$3)),"no url")</f>
        <v>no url</v>
      </c>
    </row>
    <row r="137" spans="1:6" x14ac:dyDescent="0.25">
      <c r="A137" s="2" t="str">
        <f>IF(ISBLANK(Drummond!D137),FALSE,LOOKUP(Drummond!D137,Lookup!$A$2:$B$4))</f>
        <v>Affirmative</v>
      </c>
      <c r="B137" s="2" t="str">
        <f>IF(ISBLANK(Drummond!E137),FALSE,TRIM(Drummond!E137))</f>
        <v>02202014-2400-1</v>
      </c>
      <c r="C137" s="2" t="str">
        <f>IF(ISBLANK(Drummond!F137),FALSE,LOOKUP(Drummond!F137,Lookup!$A$6:$B$7))</f>
        <v>All</v>
      </c>
      <c r="D137" s="2" t="str">
        <f>IF(ISBLANK(Drummond!G137),FALSE,Drummond!G137)</f>
        <v>http://www.greenwayhealth.com/solution/electronic-health-record-practice-management/</v>
      </c>
      <c r="E137" s="2" t="str">
        <f>IF(NOT(ISBLANK(Drummond!D137)),IF(OR(ISBLANK(Drummond!E137),Drummond!E137="N/A"),"no acb code",CONCATENATE(Lookup!F$1,A137,Lookup!G$1,B137,Lookup!H$1,H$1,Lookup!I$1)),"no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'02202014-2400-1' and cb."name" = 'Drummond Group Inc.' and cp.product_version_id = pv.product_version_id and pv.product_id = p.product_id and p.vendor_id = vend.vendor_id;</v>
      </c>
      <c r="F137" s="2" t="str">
        <f>IF(AND(NOT(ISBLANK(Drummond!G137)),Drummond!G137&lt;&gt;"N/A"),IF(C137="All",CONCATENATE(Lookup!F$2,D137,Lookup!G$2,B137,Lookup!H$2,H$1,Lookup!I$2),CONCATENATE(Lookup!F$3,D137,Lookup!G$3,B137,Lookup!H$3)),"no url")</f>
        <v>update openchpl.certified_product as cp set transparency_attestation_url = 'http://www.greenwayhealth.com/solution/electronic-health-record-practice-management/' from (select certified_product_id from (select vend.vendor_code from openchpl.certified_product as cp, openchpl.product_version as pv, openchpl.product as p, openchpl.vendor as vend where cp.acb_certification_id = '02202014-2400-1'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8" spans="1:6" x14ac:dyDescent="0.25">
      <c r="A138" s="2" t="str">
        <f>IF(ISBLANK(Drummond!D138),FALSE,LOOKUP(Drummond!D138,Lookup!$A$2:$B$4))</f>
        <v>Affirmative</v>
      </c>
      <c r="B138" s="2" t="str">
        <f>IF(ISBLANK(Drummond!E138),FALSE,TRIM(Drummond!E138))</f>
        <v>12182014-2186-1</v>
      </c>
      <c r="C138" s="2" t="str">
        <f>IF(ISBLANK(Drummond!F138),FALSE,LOOKUP(Drummond!F138,Lookup!$A$6:$B$7))</f>
        <v>Single</v>
      </c>
      <c r="D138" s="2" t="str">
        <f>IF(ISBLANK(Drummond!G138),FALSE,Drummond!G138)</f>
        <v>http://www.greenwayhealth.com/solution/electronic-dental-records/</v>
      </c>
      <c r="E138" s="2" t="str">
        <f>IF(NOT(ISBLANK(Drummond!D138)),IF(OR(ISBLANK(Drummond!E138),Drummond!E138="N/A"),"no acb code",CONCATENATE(Lookup!F$1,A138,Lookup!G$1,B138,Lookup!H$1,H$1,Lookup!I$1)),"no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'12182014-2186-1' and cb."name" = 'Drummond Group Inc.' and cp.product_version_id = pv.product_version_id and pv.product_id = p.product_id and p.vendor_id = vend.vendor_id;</v>
      </c>
      <c r="F138" s="2" t="str">
        <f>IF(AND(NOT(ISBLANK(Drummond!G138)),Drummond!G138&lt;&gt;"N/A"),IF(C138="All",CONCATENATE(Lookup!F$2,D138,Lookup!G$2,B138,Lookup!H$2,H$1,Lookup!I$2),CONCATENATE(Lookup!F$3,D138,Lookup!G$3,B138,Lookup!H$3)),"no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'12182014-2186-1') as subquery where cp.certified_product_id = subquery.certified_product_id;</v>
      </c>
    </row>
    <row r="139" spans="1:6" x14ac:dyDescent="0.25">
      <c r="A139" s="2" t="str">
        <f>IF(ISBLANK(Drummond!D139),FALSE,LOOKUP(Drummond!D139,Lookup!$A$2:$B$4))</f>
        <v>Affirmative</v>
      </c>
      <c r="B139" s="2" t="str">
        <f>IF(ISBLANK(Drummond!E139),FALSE,TRIM(Drummond!E139))</f>
        <v>10092014-2183-1</v>
      </c>
      <c r="C139" s="2" t="str">
        <f>IF(ISBLANK(Drummond!F139),FALSE,LOOKUP(Drummond!F139,Lookup!$A$6:$B$7))</f>
        <v>Single</v>
      </c>
      <c r="D139" s="2" t="str">
        <f>IF(ISBLANK(Drummond!G139),FALSE,Drummond!G139)</f>
        <v>http://www.greenwayhealth.com/solution/electronic-dental-records/</v>
      </c>
      <c r="E139" s="2" t="str">
        <f>IF(NOT(ISBLANK(Drummond!D139)),IF(OR(ISBLANK(Drummond!E139),Drummond!E139="N/A"),"no acb code",CONCATENATE(Lookup!F$1,A139,Lookup!G$1,B139,Lookup!H$1,H$1,Lookup!I$1)),"no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'10092014-2183-1' and cb."name" = 'Drummond Group Inc.' and cp.product_version_id = pv.product_version_id and pv.product_id = p.product_id and p.vendor_id = vend.vendor_id;</v>
      </c>
      <c r="F139" s="2" t="str">
        <f>IF(AND(NOT(ISBLANK(Drummond!G139)),Drummond!G139&lt;&gt;"N/A"),IF(C139="All",CONCATENATE(Lookup!F$2,D139,Lookup!G$2,B139,Lookup!H$2,H$1,Lookup!I$2),CONCATENATE(Lookup!F$3,D139,Lookup!G$3,B139,Lookup!H$3)),"no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'10092014-2183-1') as subquery where cp.certified_product_id = subquery.certified_product_id;</v>
      </c>
    </row>
    <row r="140" spans="1:6" x14ac:dyDescent="0.25">
      <c r="A140" s="2" t="str">
        <f>IF(ISBLANK(Drummond!D140),FALSE,LOOKUP(Drummond!D140,Lookup!$A$2:$B$4))</f>
        <v>Affirmative</v>
      </c>
      <c r="B140" s="2" t="str">
        <f>IF(ISBLANK(Drummond!E140),FALSE,TRIM(Drummond!E140))</f>
        <v>12182014-2185-1</v>
      </c>
      <c r="C140" s="2" t="str">
        <f>IF(ISBLANK(Drummond!F140),FALSE,LOOKUP(Drummond!F140,Lookup!$A$6:$B$7))</f>
        <v>Single</v>
      </c>
      <c r="D140" s="2" t="str">
        <f>IF(ISBLANK(Drummond!G140),FALSE,Drummond!G140)</f>
        <v>http://www.greenwayhealth.com/solution/electronic-dental-records/</v>
      </c>
      <c r="E140" s="2" t="str">
        <f>IF(NOT(ISBLANK(Drummond!D140)),IF(OR(ISBLANK(Drummond!E140),Drummond!E140="N/A"),"no acb code",CONCATENATE(Lookup!F$1,A140,Lookup!G$1,B140,Lookup!H$1,H$1,Lookup!I$1)),"no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'12182014-2185-1' and cb."name" = 'Drummond Group Inc.' and cp.product_version_id = pv.product_version_id and pv.product_id = p.product_id and p.vendor_id = vend.vendor_id;</v>
      </c>
      <c r="F140" s="2" t="str">
        <f>IF(AND(NOT(ISBLANK(Drummond!G140)),Drummond!G140&lt;&gt;"N/A"),IF(C140="All",CONCATENATE(Lookup!F$2,D140,Lookup!G$2,B140,Lookup!H$2,H$1,Lookup!I$2),CONCATENATE(Lookup!F$3,D140,Lookup!G$3,B140,Lookup!H$3)),"no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'12182014-2185-1') as subquery where cp.certified_product_id = subquery.certified_product_id;</v>
      </c>
    </row>
    <row r="141" spans="1:6" x14ac:dyDescent="0.25">
      <c r="A141" s="2" t="str">
        <f>IF(ISBLANK(Drummond!D141),FALSE,LOOKUP(Drummond!D141,Lookup!$A$2:$B$4))</f>
        <v>Affirmative</v>
      </c>
      <c r="B141" s="2" t="str">
        <f>IF(ISBLANK(Drummond!E141),FALSE,TRIM(Drummond!E141))</f>
        <v>05142015-2184-3</v>
      </c>
      <c r="C141" s="2" t="str">
        <f>IF(ISBLANK(Drummond!F141),FALSE,LOOKUP(Drummond!F141,Lookup!$A$6:$B$7))</f>
        <v>Single</v>
      </c>
      <c r="D141" s="2" t="str">
        <f>IF(ISBLANK(Drummond!G141),FALSE,Drummond!G141)</f>
        <v>http://www.greenwayhealth.com/solution/electronic-dental-records/</v>
      </c>
      <c r="E141" s="2" t="str">
        <f>IF(NOT(ISBLANK(Drummond!D141)),IF(OR(ISBLANK(Drummond!E141),Drummond!E141="N/A"),"no acb code",CONCATENATE(Lookup!F$1,A141,Lookup!G$1,B141,Lookup!H$1,H$1,Lookup!I$1)),"no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'05142015-2184-3' and cb."name" = 'Drummond Group Inc.' and cp.product_version_id = pv.product_version_id and pv.product_id = p.product_id and p.vendor_id = vend.vendor_id;</v>
      </c>
      <c r="F141" s="2" t="str">
        <f>IF(AND(NOT(ISBLANK(Drummond!G141)),Drummond!G141&lt;&gt;"N/A"),IF(C141="All",CONCATENATE(Lookup!F$2,D141,Lookup!G$2,B141,Lookup!H$2,H$1,Lookup!I$2),CONCATENATE(Lookup!F$3,D141,Lookup!G$3,B141,Lookup!H$3)),"no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'05142015-2184-3') as subquery where cp.certified_product_id = subquery.certified_product_id;</v>
      </c>
    </row>
    <row r="142" spans="1:6" x14ac:dyDescent="0.25">
      <c r="A142" s="2" t="str">
        <f>IF(ISBLANK(Drummond!D142),FALSE,LOOKUP(Drummond!D142,Lookup!$A$2:$B$4))</f>
        <v>Affirmative</v>
      </c>
      <c r="B142" s="2" t="str">
        <f>IF(ISBLANK(Drummond!E142),FALSE,TRIM(Drummond!E142))</f>
        <v>08272015-3001-5</v>
      </c>
      <c r="C142" s="2" t="str">
        <f>IF(ISBLANK(Drummond!F142),FALSE,LOOKUP(Drummond!F142,Lookup!$A$6:$B$7))</f>
        <v>Single</v>
      </c>
      <c r="D142" s="2" t="str">
        <f>IF(ISBLANK(Drummond!G142),FALSE,Drummond!G142)</f>
        <v>http://www.greenwayhealth.com/solution/electronic-dental-records/</v>
      </c>
      <c r="E142" s="2" t="str">
        <f>IF(NOT(ISBLANK(Drummond!D142)),IF(OR(ISBLANK(Drummond!E142),Drummond!E142="N/A"),"no acb code",CONCATENATE(Lookup!F$1,A142,Lookup!G$1,B142,Lookup!H$1,H$1,Lookup!I$1)),"no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'08272015-3001-5' and cb."name" = 'Drummond Group Inc.' and cp.product_version_id = pv.product_version_id and pv.product_id = p.product_id and p.vendor_id = vend.vendor_id;</v>
      </c>
      <c r="F142" s="2" t="str">
        <f>IF(AND(NOT(ISBLANK(Drummond!G142)),Drummond!G142&lt;&gt;"N/A"),IF(C142="All",CONCATENATE(Lookup!F$2,D142,Lookup!G$2,B142,Lookup!H$2,H$1,Lookup!I$2),CONCATENATE(Lookup!F$3,D142,Lookup!G$3,B142,Lookup!H$3)),"no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'08272015-3001-5') as subquery where cp.certified_product_id = subquery.certified_product_id;</v>
      </c>
    </row>
    <row r="143" spans="1:6" x14ac:dyDescent="0.25">
      <c r="A143" s="2" t="str">
        <f>IF(ISBLANK(Drummond!D143),FALSE,LOOKUP(Drummond!D143,Lookup!$A$2:$B$4))</f>
        <v>Affirmative</v>
      </c>
      <c r="B143" s="2" t="str">
        <f>IF(ISBLANK(Drummond!E143),FALSE,TRIM(Drummond!E143))</f>
        <v>08272015-3002-5</v>
      </c>
      <c r="C143" s="2" t="str">
        <f>IF(ISBLANK(Drummond!F143),FALSE,LOOKUP(Drummond!F143,Lookup!$A$6:$B$7))</f>
        <v>Single</v>
      </c>
      <c r="D143" s="2" t="str">
        <f>IF(ISBLANK(Drummond!G143),FALSE,Drummond!G143)</f>
        <v>http://www.greenwayhealth.com/solution/electronic-dental-records/</v>
      </c>
      <c r="E143" s="2" t="str">
        <f>IF(NOT(ISBLANK(Drummond!D143)),IF(OR(ISBLANK(Drummond!E143),Drummond!E143="N/A"),"no acb code",CONCATENATE(Lookup!F$1,A143,Lookup!G$1,B143,Lookup!H$1,H$1,Lookup!I$1)),"no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'08272015-3002-5' and cb."name" = 'Drummond Group Inc.' and cp.product_version_id = pv.product_version_id and pv.product_id = p.product_id and p.vendor_id = vend.vendor_id;</v>
      </c>
      <c r="F143" s="2" t="str">
        <f>IF(AND(NOT(ISBLANK(Drummond!G143)),Drummond!G143&lt;&gt;"N/A"),IF(C143="All",CONCATENATE(Lookup!F$2,D143,Lookup!G$2,B143,Lookup!H$2,H$1,Lookup!I$2),CONCATENATE(Lookup!F$3,D143,Lookup!G$3,B143,Lookup!H$3)),"no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'08272015-3002-5') as subquery where cp.certified_product_id = subquery.certified_product_id;</v>
      </c>
    </row>
    <row r="144" spans="1:6" x14ac:dyDescent="0.25">
      <c r="A144" s="2" t="str">
        <f>IF(ISBLANK(Drummond!D144),FALSE,LOOKUP(Drummond!D144,Lookup!$A$2:$B$4))</f>
        <v>Affirmative</v>
      </c>
      <c r="B144" s="2" t="str">
        <f>IF(ISBLANK(Drummond!E144),FALSE,TRIM(Drummond!E144))</f>
        <v>08272015-3003-5</v>
      </c>
      <c r="C144" s="2" t="str">
        <f>IF(ISBLANK(Drummond!F144),FALSE,LOOKUP(Drummond!F144,Lookup!$A$6:$B$7))</f>
        <v>Single</v>
      </c>
      <c r="D144" s="2" t="str">
        <f>IF(ISBLANK(Drummond!G144),FALSE,Drummond!G144)</f>
        <v>http://www.greenwayhealth.com/solution/electronic-dental-records/</v>
      </c>
      <c r="E144" s="2" t="str">
        <f>IF(NOT(ISBLANK(Drummond!D144)),IF(OR(ISBLANK(Drummond!E144),Drummond!E144="N/A"),"no acb code",CONCATENATE(Lookup!F$1,A144,Lookup!G$1,B144,Lookup!H$1,H$1,Lookup!I$1)),"no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'08272015-3003-5' and cb."name" = 'Drummond Group Inc.' and cp.product_version_id = pv.product_version_id and pv.product_id = p.product_id and p.vendor_id = vend.vendor_id;</v>
      </c>
      <c r="F144" s="2" t="str">
        <f>IF(AND(NOT(ISBLANK(Drummond!G144)),Drummond!G144&lt;&gt;"N/A"),IF(C144="All",CONCATENATE(Lookup!F$2,D144,Lookup!G$2,B144,Lookup!H$2,H$1,Lookup!I$2),CONCATENATE(Lookup!F$3,D144,Lookup!G$3,B144,Lookup!H$3)),"no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'08272015-3003-5') as subquery where cp.certified_product_id = subquery.certified_product_id;</v>
      </c>
    </row>
    <row r="145" spans="1:6" x14ac:dyDescent="0.25">
      <c r="A145" s="2" t="str">
        <f>IF(ISBLANK(Drummond!D145),FALSE,LOOKUP(Drummond!D145,Lookup!$A$2:$B$4))</f>
        <v>Affirmative</v>
      </c>
      <c r="B145" s="2" t="str">
        <f>IF(ISBLANK(Drummond!E145),FALSE,TRIM(Drummond!E145))</f>
        <v>08272015-3104-1</v>
      </c>
      <c r="C145" s="2" t="str">
        <f>IF(ISBLANK(Drummond!F145),FALSE,LOOKUP(Drummond!F145,Lookup!$A$6:$B$7))</f>
        <v>Single</v>
      </c>
      <c r="D145" s="2" t="str">
        <f>IF(ISBLANK(Drummond!G145),FALSE,Drummond!G145)</f>
        <v>http://www.greenwayhealth.com/solution/electronic-dental-records/</v>
      </c>
      <c r="E145" s="2" t="str">
        <f>IF(NOT(ISBLANK(Drummond!D145)),IF(OR(ISBLANK(Drummond!E145),Drummond!E145="N/A"),"no acb code",CONCATENATE(Lookup!F$1,A145,Lookup!G$1,B145,Lookup!H$1,H$1,Lookup!I$1)),"no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'08272015-3104-1' and cb."name" = 'Drummond Group Inc.' and cp.product_version_id = pv.product_version_id and pv.product_id = p.product_id and p.vendor_id = vend.vendor_id;</v>
      </c>
      <c r="F145" s="2" t="str">
        <f>IF(AND(NOT(ISBLANK(Drummond!G145)),Drummond!G145&lt;&gt;"N/A"),IF(C145="All",CONCATENATE(Lookup!F$2,D145,Lookup!G$2,B145,Lookup!H$2,H$1,Lookup!I$2),CONCATENATE(Lookup!F$3,D145,Lookup!G$3,B145,Lookup!H$3)),"no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'08272015-3104-1') as subquery where cp.certified_product_id = subquery.certified_product_id;</v>
      </c>
    </row>
    <row r="146" spans="1:6" x14ac:dyDescent="0.25">
      <c r="A146" s="2" t="str">
        <f>IF(ISBLANK(Drummond!D146),FALSE,LOOKUP(Drummond!D146,Lookup!$A$2:$B$4))</f>
        <v>Affirmative</v>
      </c>
      <c r="B146" s="2" t="str">
        <f>IF(ISBLANK(Drummond!E146),FALSE,TRIM(Drummond!E146))</f>
        <v>08272015-3105-1</v>
      </c>
      <c r="C146" s="2" t="str">
        <f>IF(ISBLANK(Drummond!F146),FALSE,LOOKUP(Drummond!F146,Lookup!$A$6:$B$7))</f>
        <v>Single</v>
      </c>
      <c r="D146" s="2" t="str">
        <f>IF(ISBLANK(Drummond!G146),FALSE,Drummond!G146)</f>
        <v>http://www.greenwayhealth.com/solution/electronic-dental-records/</v>
      </c>
      <c r="E146" s="2" t="str">
        <f>IF(NOT(ISBLANK(Drummond!D146)),IF(OR(ISBLANK(Drummond!E146),Drummond!E146="N/A"),"no acb code",CONCATENATE(Lookup!F$1,A146,Lookup!G$1,B146,Lookup!H$1,H$1,Lookup!I$1)),"no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'08272015-3105-1' and cb."name" = 'Drummond Group Inc.' and cp.product_version_id = pv.product_version_id and pv.product_id = p.product_id and p.vendor_id = vend.vendor_id;</v>
      </c>
      <c r="F146" s="2" t="str">
        <f>IF(AND(NOT(ISBLANK(Drummond!G146)),Drummond!G146&lt;&gt;"N/A"),IF(C146="All",CONCATENATE(Lookup!F$2,D146,Lookup!G$2,B146,Lookup!H$2,H$1,Lookup!I$2),CONCATENATE(Lookup!F$3,D146,Lookup!G$3,B146,Lookup!H$3)),"no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'08272015-3105-1') as subquery where cp.certified_product_id = subquery.certified_product_id;</v>
      </c>
    </row>
    <row r="147" spans="1:6" x14ac:dyDescent="0.25">
      <c r="A147" s="2" t="str">
        <f>IF(ISBLANK(Drummond!D147),FALSE,LOOKUP(Drummond!D147,Lookup!$A$2:$B$4))</f>
        <v>Affirmative</v>
      </c>
      <c r="B147" s="2" t="str">
        <f>IF(ISBLANK(Drummond!E147),FALSE,TRIM(Drummond!E147))</f>
        <v>08272015-3106-1</v>
      </c>
      <c r="C147" s="2" t="str">
        <f>IF(ISBLANK(Drummond!F147),FALSE,LOOKUP(Drummond!F147,Lookup!$A$6:$B$7))</f>
        <v>Single</v>
      </c>
      <c r="D147" s="2" t="str">
        <f>IF(ISBLANK(Drummond!G147),FALSE,Drummond!G147)</f>
        <v>http://www.greenwayhealth.com/solution/electronic-dental-records/</v>
      </c>
      <c r="E147" s="2" t="str">
        <f>IF(NOT(ISBLANK(Drummond!D147)),IF(OR(ISBLANK(Drummond!E147),Drummond!E147="N/A"),"no acb code",CONCATENATE(Lookup!F$1,A147,Lookup!G$1,B147,Lookup!H$1,H$1,Lookup!I$1)),"no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'08272015-3106-1' and cb."name" = 'Drummond Group Inc.' and cp.product_version_id = pv.product_version_id and pv.product_id = p.product_id and p.vendor_id = vend.vendor_id;</v>
      </c>
      <c r="F147" s="2" t="str">
        <f>IF(AND(NOT(ISBLANK(Drummond!G147)),Drummond!G147&lt;&gt;"N/A"),IF(C147="All",CONCATENATE(Lookup!F$2,D147,Lookup!G$2,B147,Lookup!H$2,H$1,Lookup!I$2),CONCATENATE(Lookup!F$3,D147,Lookup!G$3,B147,Lookup!H$3)),"no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'08272015-3106-1') as subquery where cp.certified_product_id = subquery.certified_product_id;</v>
      </c>
    </row>
    <row r="148" spans="1:6" x14ac:dyDescent="0.25">
      <c r="A148" s="2" t="str">
        <f>IF(ISBLANK(Drummond!D148),FALSE,LOOKUP(Drummond!D148,Lookup!$A$2:$B$4))</f>
        <v>Affirmative</v>
      </c>
      <c r="B148" s="2" t="str">
        <f>IF(ISBLANK(Drummond!E148),FALSE,TRIM(Drummond!E148))</f>
        <v>04072014-2687-5</v>
      </c>
      <c r="C148" s="2" t="str">
        <f>IF(ISBLANK(Drummond!F148),FALSE,LOOKUP(Drummond!F148,Lookup!$A$6:$B$7))</f>
        <v>Single</v>
      </c>
      <c r="D148" s="2" t="str">
        <f>IF(ISBLANK(Drummond!G148),FALSE,Drummond!G148)</f>
        <v>http://www.greenwayhealth.com/solution/electronic-health-record-practice-management/</v>
      </c>
      <c r="E148" s="2" t="str">
        <f>IF(NOT(ISBLANK(Drummond!D148)),IF(OR(ISBLANK(Drummond!E148),Drummond!E148="N/A"),"no acb code",CONCATENATE(Lookup!F$1,A148,Lookup!G$1,B148,Lookup!H$1,H$1,Lookup!I$1)),"no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'04072014-2687-5' and cb."name" = 'Drummond Group Inc.' and cp.product_version_id = pv.product_version_id and pv.product_id = p.product_id and p.vendor_id = vend.vendor_id;</v>
      </c>
      <c r="F148" s="2" t="str">
        <f>IF(AND(NOT(ISBLANK(Drummond!G148)),Drummond!G148&lt;&gt;"N/A"),IF(C148="All",CONCATENATE(Lookup!F$2,D148,Lookup!G$2,B148,Lookup!H$2,H$1,Lookup!I$2),CONCATENATE(Lookup!F$3,D148,Lookup!G$3,B148,Lookup!H$3)),"no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'04072014-2687-5') as subquery where cp.certified_product_id = subquery.certified_product_id;</v>
      </c>
    </row>
    <row r="149" spans="1:6" x14ac:dyDescent="0.25">
      <c r="A149" s="2" t="str">
        <f>IF(ISBLANK(Drummond!D149),FALSE,LOOKUP(Drummond!D149,Lookup!$A$2:$B$4))</f>
        <v>Affirmative</v>
      </c>
      <c r="B149" s="2" t="str">
        <f>IF(ISBLANK(Drummond!E149),FALSE,TRIM(Drummond!E149))</f>
        <v>05302014-2688-5</v>
      </c>
      <c r="C149" s="2" t="str">
        <f>IF(ISBLANK(Drummond!F149),FALSE,LOOKUP(Drummond!F149,Lookup!$A$6:$B$7))</f>
        <v>Single</v>
      </c>
      <c r="D149" s="2" t="str">
        <f>IF(ISBLANK(Drummond!G149),FALSE,Drummond!G149)</f>
        <v>http://www.greenwayhealth.com/solution/electronic-health-record-practice-management/</v>
      </c>
      <c r="E149" s="2" t="str">
        <f>IF(NOT(ISBLANK(Drummond!D149)),IF(OR(ISBLANK(Drummond!E149),Drummond!E149="N/A"),"no acb code",CONCATENATE(Lookup!F$1,A149,Lookup!G$1,B149,Lookup!H$1,H$1,Lookup!I$1)),"no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'05302014-2688-5' and cb."name" = 'Drummond Group Inc.' and cp.product_version_id = pv.product_version_id and pv.product_id = p.product_id and p.vendor_id = vend.vendor_id;</v>
      </c>
      <c r="F149" s="2" t="str">
        <f>IF(AND(NOT(ISBLANK(Drummond!G149)),Drummond!G149&lt;&gt;"N/A"),IF(C149="All",CONCATENATE(Lookup!F$2,D149,Lookup!G$2,B149,Lookup!H$2,H$1,Lookup!I$2),CONCATENATE(Lookup!F$3,D149,Lookup!G$3,B149,Lookup!H$3)),"no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0" spans="1:6" x14ac:dyDescent="0.25">
      <c r="A150" s="2" t="str">
        <f>IF(ISBLANK(Drummond!D150),FALSE,LOOKUP(Drummond!D150,Lookup!$A$2:$B$4))</f>
        <v>Affirmative</v>
      </c>
      <c r="B150" s="2" t="str">
        <f>IF(ISBLANK(Drummond!E150),FALSE,TRIM(Drummond!E150))</f>
        <v>05302014-2689-5</v>
      </c>
      <c r="C150" s="2" t="str">
        <f>IF(ISBLANK(Drummond!F150),FALSE,LOOKUP(Drummond!F150,Lookup!$A$6:$B$7))</f>
        <v>Single</v>
      </c>
      <c r="D150" s="2" t="str">
        <f>IF(ISBLANK(Drummond!G150),FALSE,Drummond!G150)</f>
        <v>http://www.greenwayhealth.com/solution/electronic-health-record-practice-management/</v>
      </c>
      <c r="E150" s="2" t="str">
        <f>IF(NOT(ISBLANK(Drummond!D150)),IF(OR(ISBLANK(Drummond!E150),Drummond!E150="N/A"),"no acb code",CONCATENATE(Lookup!F$1,A150,Lookup!G$1,B150,Lookup!H$1,H$1,Lookup!I$1)),"no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'05302014-2689-5' and cb."name" = 'Drummond Group Inc.' and cp.product_version_id = pv.product_version_id and pv.product_id = p.product_id and p.vendor_id = vend.vendor_id;</v>
      </c>
      <c r="F150" s="2" t="str">
        <f>IF(AND(NOT(ISBLANK(Drummond!G150)),Drummond!G150&lt;&gt;"N/A"),IF(C150="All",CONCATENATE(Lookup!F$2,D150,Lookup!G$2,B150,Lookup!H$2,H$1,Lookup!I$2),CONCATENATE(Lookup!F$3,D150,Lookup!G$3,B150,Lookup!H$3)),"no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1" spans="1:6" x14ac:dyDescent="0.25">
      <c r="A151" s="2" t="str">
        <f>IF(ISBLANK(Drummond!D151),FALSE,LOOKUP(Drummond!D151,Lookup!$A$2:$B$4))</f>
        <v>Affirmative</v>
      </c>
      <c r="B151" s="2" t="str">
        <f>IF(ISBLANK(Drummond!E151),FALSE,TRIM(Drummond!E151))</f>
        <v>05302014-2688-5</v>
      </c>
      <c r="C151" s="2" t="str">
        <f>IF(ISBLANK(Drummond!F151),FALSE,LOOKUP(Drummond!F151,Lookup!$A$6:$B$7))</f>
        <v>Single</v>
      </c>
      <c r="D151" s="2" t="str">
        <f>IF(ISBLANK(Drummond!G151),FALSE,Drummond!G151)</f>
        <v>http://www.greenwayhealth.com/solution/electronic-health-record-practice-management/</v>
      </c>
      <c r="E151" s="2" t="str">
        <f>IF(NOT(ISBLANK(Drummond!D151)),IF(OR(ISBLANK(Drummond!E151),Drummond!E151="N/A"),"no acb code",CONCATENATE(Lookup!F$1,A151,Lookup!G$1,B151,Lookup!H$1,H$1,Lookup!I$1)),"no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'05302014-2688-5' and cb."name" = 'Drummond Group Inc.' and cp.product_version_id = pv.product_version_id and pv.product_id = p.product_id and p.vendor_id = vend.vendor_id;</v>
      </c>
      <c r="F151" s="2" t="str">
        <f>IF(AND(NOT(ISBLANK(Drummond!G151)),Drummond!G151&lt;&gt;"N/A"),IF(C151="All",CONCATENATE(Lookup!F$2,D151,Lookup!G$2,B151,Lookup!H$2,H$1,Lookup!I$2),CONCATENATE(Lookup!F$3,D151,Lookup!G$3,B151,Lookup!H$3)),"no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2" spans="1:6" x14ac:dyDescent="0.25">
      <c r="A152" s="2" t="str">
        <f>IF(ISBLANK(Drummond!D152),FALSE,LOOKUP(Drummond!D152,Lookup!$A$2:$B$4))</f>
        <v>Affirmative</v>
      </c>
      <c r="B152" s="2" t="str">
        <f>IF(ISBLANK(Drummond!E152),FALSE,TRIM(Drummond!E152))</f>
        <v>05302014-2689-5</v>
      </c>
      <c r="C152" s="2" t="str">
        <f>IF(ISBLANK(Drummond!F152),FALSE,LOOKUP(Drummond!F152,Lookup!$A$6:$B$7))</f>
        <v>Single</v>
      </c>
      <c r="D152" s="2" t="str">
        <f>IF(ISBLANK(Drummond!G152),FALSE,Drummond!G152)</f>
        <v>http://www.greenwayhealth.com/solution/electronic-health-record-practice-management/</v>
      </c>
      <c r="E152" s="2" t="str">
        <f>IF(NOT(ISBLANK(Drummond!D152)),IF(OR(ISBLANK(Drummond!E152),Drummond!E152="N/A"),"no acb code",CONCATENATE(Lookup!F$1,A152,Lookup!G$1,B152,Lookup!H$1,H$1,Lookup!I$1)),"no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'05302014-2689-5' and cb."name" = 'Drummond Group Inc.' and cp.product_version_id = pv.product_version_id and pv.product_id = p.product_id and p.vendor_id = vend.vendor_id;</v>
      </c>
      <c r="F152" s="2" t="str">
        <f>IF(AND(NOT(ISBLANK(Drummond!G152)),Drummond!G152&lt;&gt;"N/A"),IF(C152="All",CONCATENATE(Lookup!F$2,D152,Lookup!G$2,B152,Lookup!H$2,H$1,Lookup!I$2),CONCATENATE(Lookup!F$3,D152,Lookup!G$3,B152,Lookup!H$3)),"no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3" spans="1:6" x14ac:dyDescent="0.25">
      <c r="A153" s="2" t="str">
        <f>IF(ISBLANK(Drummond!D153),FALSE,LOOKUP(Drummond!D153,Lookup!$A$2:$B$4))</f>
        <v>Affirmative</v>
      </c>
      <c r="B153" s="2" t="str">
        <f>IF(ISBLANK(Drummond!E153),FALSE,TRIM(Drummond!E153))</f>
        <v>03122015-2692-5</v>
      </c>
      <c r="C153" s="2" t="str">
        <f>IF(ISBLANK(Drummond!F153),FALSE,LOOKUP(Drummond!F153,Lookup!$A$6:$B$7))</f>
        <v>Single</v>
      </c>
      <c r="D153" s="2" t="str">
        <f>IF(ISBLANK(Drummond!G153),FALSE,Drummond!G153)</f>
        <v>http://www.greenwayhealth.com/solution/electronic-health-record-practice-management/</v>
      </c>
      <c r="E153" s="2" t="str">
        <f>IF(NOT(ISBLANK(Drummond!D153)),IF(OR(ISBLANK(Drummond!E153),Drummond!E153="N/A"),"no acb code",CONCATENATE(Lookup!F$1,A153,Lookup!G$1,B153,Lookup!H$1,H$1,Lookup!I$1)),"no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'03122015-2692-5' and cb."name" = 'Drummond Group Inc.' and cp.product_version_id = pv.product_version_id and pv.product_id = p.product_id and p.vendor_id = vend.vendor_id;</v>
      </c>
      <c r="F153" s="2" t="str">
        <f>IF(AND(NOT(ISBLANK(Drummond!G153)),Drummond!G153&lt;&gt;"N/A"),IF(C153="All",CONCATENATE(Lookup!F$2,D153,Lookup!G$2,B153,Lookup!H$2,H$1,Lookup!I$2),CONCATENATE(Lookup!F$3,D153,Lookup!G$3,B153,Lookup!H$3)),"no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'03122015-2692-5') as subquery where cp.certified_product_id = subquery.certified_product_id;</v>
      </c>
    </row>
    <row r="154" spans="1:6" x14ac:dyDescent="0.25">
      <c r="A154" s="2" t="str">
        <f>IF(ISBLANK(Drummond!D154),FALSE,LOOKUP(Drummond!D154,Lookup!$A$2:$B$4))</f>
        <v>Affirmative</v>
      </c>
      <c r="B154" s="2" t="str">
        <f>IF(ISBLANK(Drummond!E154),FALSE,TRIM(Drummond!E154))</f>
        <v>02052015-2690-5</v>
      </c>
      <c r="C154" s="2" t="str">
        <f>IF(ISBLANK(Drummond!F154),FALSE,LOOKUP(Drummond!F154,Lookup!$A$6:$B$7))</f>
        <v>Single</v>
      </c>
      <c r="D154" s="2" t="str">
        <f>IF(ISBLANK(Drummond!G154),FALSE,Drummond!G154)</f>
        <v>http://www.greenwayhealth.com/solution/electronic-health-record-practice-management/</v>
      </c>
      <c r="E154" s="2" t="str">
        <f>IF(NOT(ISBLANK(Drummond!D154)),IF(OR(ISBLANK(Drummond!E154),Drummond!E154="N/A"),"no acb code",CONCATENATE(Lookup!F$1,A154,Lookup!G$1,B154,Lookup!H$1,H$1,Lookup!I$1)),"no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'02052015-2690-5' and cb."name" = 'Drummond Group Inc.' and cp.product_version_id = pv.product_version_id and pv.product_id = p.product_id and p.vendor_id = vend.vendor_id;</v>
      </c>
      <c r="F154" s="2" t="str">
        <f>IF(AND(NOT(ISBLANK(Drummond!G154)),Drummond!G154&lt;&gt;"N/A"),IF(C154="All",CONCATENATE(Lookup!F$2,D154,Lookup!G$2,B154,Lookup!H$2,H$1,Lookup!I$2),CONCATENATE(Lookup!F$3,D154,Lookup!G$3,B154,Lookup!H$3)),"no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'02052015-2690-5') as subquery where cp.certified_product_id = subquery.certified_product_id;</v>
      </c>
    </row>
    <row r="155" spans="1:6" x14ac:dyDescent="0.25">
      <c r="A155" s="2" t="str">
        <f>IF(ISBLANK(Drummond!D155),FALSE,LOOKUP(Drummond!D155,Lookup!$A$2:$B$4))</f>
        <v>Affirmative</v>
      </c>
      <c r="B155" s="2" t="str">
        <f>IF(ISBLANK(Drummond!E155),FALSE,TRIM(Drummond!E155))</f>
        <v>03122015-2691-5</v>
      </c>
      <c r="C155" s="2" t="str">
        <f>IF(ISBLANK(Drummond!F155),FALSE,LOOKUP(Drummond!F155,Lookup!$A$6:$B$7))</f>
        <v>Single</v>
      </c>
      <c r="D155" s="2" t="str">
        <f>IF(ISBLANK(Drummond!G155),FALSE,Drummond!G155)</f>
        <v>http://www.greenwayhealth.com/solution/electronic-health-record-practice-management/</v>
      </c>
      <c r="E155" s="2" t="str">
        <f>IF(NOT(ISBLANK(Drummond!D155)),IF(OR(ISBLANK(Drummond!E155),Drummond!E155="N/A"),"no acb code",CONCATENATE(Lookup!F$1,A155,Lookup!G$1,B155,Lookup!H$1,H$1,Lookup!I$1)),"no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'03122015-2691-5' and cb."name" = 'Drummond Group Inc.' and cp.product_version_id = pv.product_version_id and pv.product_id = p.product_id and p.vendor_id = vend.vendor_id;</v>
      </c>
      <c r="F155" s="2" t="str">
        <f>IF(AND(NOT(ISBLANK(Drummond!G155)),Drummond!G155&lt;&gt;"N/A"),IF(C155="All",CONCATENATE(Lookup!F$2,D155,Lookup!G$2,B155,Lookup!H$2,H$1,Lookup!I$2),CONCATENATE(Lookup!F$3,D155,Lookup!G$3,B155,Lookup!H$3)),"no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'03122015-2691-5') as subquery where cp.certified_product_id = subquery.certified_product_id;</v>
      </c>
    </row>
    <row r="156" spans="1:6" x14ac:dyDescent="0.25">
      <c r="A156" s="2" t="str">
        <f>IF(ISBLANK(Drummond!D156),FALSE,LOOKUP(Drummond!D156,Lookup!$A$2:$B$4))</f>
        <v>Affirmative</v>
      </c>
      <c r="B156" s="2" t="str">
        <f>IF(ISBLANK(Drummond!E156),FALSE,TRIM(Drummond!E156))</f>
        <v>04022015-0147-5</v>
      </c>
      <c r="C156" s="2" t="str">
        <f>IF(ISBLANK(Drummond!F156),FALSE,LOOKUP(Drummond!F156,Lookup!$A$6:$B$7))</f>
        <v>Single</v>
      </c>
      <c r="D156" s="2" t="str">
        <f>IF(ISBLANK(Drummond!G156),FALSE,Drummond!G156)</f>
        <v>http://www.greenwayhealth.com/solution/electronic-health-record-practice-management/</v>
      </c>
      <c r="E156" s="2" t="str">
        <f>IF(NOT(ISBLANK(Drummond!D156)),IF(OR(ISBLANK(Drummond!E156),Drummond!E156="N/A"),"no acb code",CONCATENATE(Lookup!F$1,A156,Lookup!G$1,B156,Lookup!H$1,H$1,Lookup!I$1)),"no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'04022015-0147-5' and cb."name" = 'Drummond Group Inc.' and cp.product_version_id = pv.product_version_id and pv.product_id = p.product_id and p.vendor_id = vend.vendor_id;</v>
      </c>
      <c r="F156" s="2" t="str">
        <f>IF(AND(NOT(ISBLANK(Drummond!G156)),Drummond!G156&lt;&gt;"N/A"),IF(C156="All",CONCATENATE(Lookup!F$2,D156,Lookup!G$2,B156,Lookup!H$2,H$1,Lookup!I$2),CONCATENATE(Lookup!F$3,D156,Lookup!G$3,B156,Lookup!H$3)),"no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'04022015-0147-5') as subquery where cp.certified_product_id = subquery.certified_product_id;</v>
      </c>
    </row>
    <row r="157" spans="1:6" x14ac:dyDescent="0.25">
      <c r="A157" s="2" t="str">
        <f>IF(ISBLANK(Drummond!D157),FALSE,LOOKUP(Drummond!D157,Lookup!$A$2:$B$4))</f>
        <v>Affirmative</v>
      </c>
      <c r="B157" s="2" t="str">
        <f>IF(ISBLANK(Drummond!E157),FALSE,TRIM(Drummond!E157))</f>
        <v>04022015-0148-5</v>
      </c>
      <c r="C157" s="2" t="str">
        <f>IF(ISBLANK(Drummond!F157),FALSE,LOOKUP(Drummond!F157,Lookup!$A$6:$B$7))</f>
        <v>Single</v>
      </c>
      <c r="D157" s="2" t="str">
        <f>IF(ISBLANK(Drummond!G157),FALSE,Drummond!G157)</f>
        <v>http://www.greenwayhealth.com/solution/electronic-health-record-practice-management/</v>
      </c>
      <c r="E157" s="2" t="str">
        <f>IF(NOT(ISBLANK(Drummond!D157)),IF(OR(ISBLANK(Drummond!E157),Drummond!E157="N/A"),"no acb code",CONCATENATE(Lookup!F$1,A157,Lookup!G$1,B157,Lookup!H$1,H$1,Lookup!I$1)),"no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'04022015-0148-5' and cb."name" = 'Drummond Group Inc.' and cp.product_version_id = pv.product_version_id and pv.product_id = p.product_id and p.vendor_id = vend.vendor_id;</v>
      </c>
      <c r="F157" s="2" t="str">
        <f>IF(AND(NOT(ISBLANK(Drummond!G157)),Drummond!G157&lt;&gt;"N/A"),IF(C157="All",CONCATENATE(Lookup!F$2,D157,Lookup!G$2,B157,Lookup!H$2,H$1,Lookup!I$2),CONCATENATE(Lookup!F$3,D157,Lookup!G$3,B157,Lookup!H$3)),"no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'04022015-0148-5') as subquery where cp.certified_product_id = subquery.certified_product_id;</v>
      </c>
    </row>
    <row r="158" spans="1:6" x14ac:dyDescent="0.25">
      <c r="A158" s="2" t="str">
        <f>IF(ISBLANK(Drummond!D158),FALSE,LOOKUP(Drummond!D158,Lookup!$A$2:$B$4))</f>
        <v>Affirmative</v>
      </c>
      <c r="B158" s="2" t="str">
        <f>IF(ISBLANK(Drummond!E158),FALSE,TRIM(Drummond!E158))</f>
        <v>04022015-0149-5</v>
      </c>
      <c r="C158" s="2" t="str">
        <f>IF(ISBLANK(Drummond!F158),FALSE,LOOKUP(Drummond!F158,Lookup!$A$6:$B$7))</f>
        <v>Single</v>
      </c>
      <c r="D158" s="2" t="str">
        <f>IF(ISBLANK(Drummond!G158),FALSE,Drummond!G158)</f>
        <v>http://www.greenwayhealth.com/solution/electronic-health-record-practice-management/</v>
      </c>
      <c r="E158" s="2" t="str">
        <f>IF(NOT(ISBLANK(Drummond!D158)),IF(OR(ISBLANK(Drummond!E158),Drummond!E158="N/A"),"no acb code",CONCATENATE(Lookup!F$1,A158,Lookup!G$1,B158,Lookup!H$1,H$1,Lookup!I$1)),"no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'04022015-0149-5' and cb."name" = 'Drummond Group Inc.' and cp.product_version_id = pv.product_version_id and pv.product_id = p.product_id and p.vendor_id = vend.vendor_id;</v>
      </c>
      <c r="F158" s="2" t="str">
        <f>IF(AND(NOT(ISBLANK(Drummond!G158)),Drummond!G158&lt;&gt;"N/A"),IF(C158="All",CONCATENATE(Lookup!F$2,D158,Lookup!G$2,B158,Lookup!H$2,H$1,Lookup!I$2),CONCATENATE(Lookup!F$3,D158,Lookup!G$3,B158,Lookup!H$3)),"no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'04022015-0149-5') as subquery where cp.certified_product_id = subquery.certified_product_id;</v>
      </c>
    </row>
    <row r="159" spans="1:6" x14ac:dyDescent="0.25">
      <c r="A159" s="2" t="str">
        <f>IF(ISBLANK(Drummond!D159),FALSE,LOOKUP(Drummond!D159,Lookup!$A$2:$B$4))</f>
        <v>Affirmative</v>
      </c>
      <c r="B159" s="2" t="str">
        <f>IF(ISBLANK(Drummond!E159),FALSE,TRIM(Drummond!E159))</f>
        <v>04022015-0150-5</v>
      </c>
      <c r="C159" s="2" t="str">
        <f>IF(ISBLANK(Drummond!F159),FALSE,LOOKUP(Drummond!F159,Lookup!$A$6:$B$7))</f>
        <v>Single</v>
      </c>
      <c r="D159" s="2" t="str">
        <f>IF(ISBLANK(Drummond!G159),FALSE,Drummond!G159)</f>
        <v>http://www.greenwayhealth.com/solution/electronic-health-record-practice-management/</v>
      </c>
      <c r="E159" s="2" t="str">
        <f>IF(NOT(ISBLANK(Drummond!D159)),IF(OR(ISBLANK(Drummond!E159),Drummond!E159="N/A"),"no acb code",CONCATENATE(Lookup!F$1,A159,Lookup!G$1,B159,Lookup!H$1,H$1,Lookup!I$1)),"no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'04022015-0150-5' and cb."name" = 'Drummond Group Inc.' and cp.product_version_id = pv.product_version_id and pv.product_id = p.product_id and p.vendor_id = vend.vendor_id;</v>
      </c>
      <c r="F159" s="2" t="str">
        <f>IF(AND(NOT(ISBLANK(Drummond!G159)),Drummond!G159&lt;&gt;"N/A"),IF(C159="All",CONCATENATE(Lookup!F$2,D159,Lookup!G$2,B159,Lookup!H$2,H$1,Lookup!I$2),CONCATENATE(Lookup!F$3,D159,Lookup!G$3,B159,Lookup!H$3)),"no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0" spans="1:6" x14ac:dyDescent="0.25">
      <c r="A160" s="2" t="str">
        <f>IF(ISBLANK(Drummond!D160),FALSE,LOOKUP(Drummond!D160,Lookup!$A$2:$B$4))</f>
        <v>Affirmative</v>
      </c>
      <c r="B160" s="2" t="str">
        <f>IF(ISBLANK(Drummond!E160),FALSE,TRIM(Drummond!E160))</f>
        <v>04022015-0150-5</v>
      </c>
      <c r="C160" s="2" t="str">
        <f>IF(ISBLANK(Drummond!F160),FALSE,LOOKUP(Drummond!F160,Lookup!$A$6:$B$7))</f>
        <v>Single</v>
      </c>
      <c r="D160" s="2" t="str">
        <f>IF(ISBLANK(Drummond!G160),FALSE,Drummond!G160)</f>
        <v>http://www.greenwayhealth.com/solution/electronic-health-record-practice-management/</v>
      </c>
      <c r="E160" s="2" t="str">
        <f>IF(NOT(ISBLANK(Drummond!D160)),IF(OR(ISBLANK(Drummond!E160),Drummond!E160="N/A"),"no acb code",CONCATENATE(Lookup!F$1,A160,Lookup!G$1,B160,Lookup!H$1,H$1,Lookup!I$1)),"no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'04022015-0150-5' and cb."name" = 'Drummond Group Inc.' and cp.product_version_id = pv.product_version_id and pv.product_id = p.product_id and p.vendor_id = vend.vendor_id;</v>
      </c>
      <c r="F160" s="2" t="str">
        <f>IF(AND(NOT(ISBLANK(Drummond!G160)),Drummond!G160&lt;&gt;"N/A"),IF(C160="All",CONCATENATE(Lookup!F$2,D160,Lookup!G$2,B160,Lookup!H$2,H$1,Lookup!I$2),CONCATENATE(Lookup!F$3,D160,Lookup!G$3,B160,Lookup!H$3)),"no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1" spans="1:6" x14ac:dyDescent="0.25">
      <c r="A161" s="2" t="str">
        <f>IF(ISBLANK(Drummond!D161),FALSE,LOOKUP(Drummond!D161,Lookup!$A$2:$B$4))</f>
        <v>Affirmative</v>
      </c>
      <c r="B161" s="2" t="str">
        <f>IF(ISBLANK(Drummond!E161),FALSE,TRIM(Drummond!E161))</f>
        <v>09112014-2182-1</v>
      </c>
      <c r="C161" s="2" t="str">
        <f>IF(ISBLANK(Drummond!F161),FALSE,LOOKUP(Drummond!F161,Lookup!$A$6:$B$7))</f>
        <v>Single</v>
      </c>
      <c r="D161" s="2" t="str">
        <f>IF(ISBLANK(Drummond!G161),FALSE,Drummond!G161)</f>
        <v>http://www.greenwayhealth.com/solution/chc-electronic-health-records/</v>
      </c>
      <c r="E161" s="2" t="str">
        <f>IF(NOT(ISBLANK(Drummond!D161)),IF(OR(ISBLANK(Drummond!E161),Drummond!E161="N/A"),"no acb code",CONCATENATE(Lookup!F$1,A161,Lookup!G$1,B161,Lookup!H$1,H$1,Lookup!I$1)),"no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'09112014-2182-1' and cb."name" = 'Drummond Group Inc.' and cp.product_version_id = pv.product_version_id and pv.product_id = p.product_id and p.vendor_id = vend.vendor_id;</v>
      </c>
      <c r="F161" s="2" t="str">
        <f>IF(AND(NOT(ISBLANK(Drummond!G161)),Drummond!G161&lt;&gt;"N/A"),IF(C161="All",CONCATENATE(Lookup!F$2,D161,Lookup!G$2,B161,Lookup!H$2,H$1,Lookup!I$2),CONCATENATE(Lookup!F$3,D161,Lookup!G$3,B161,Lookup!H$3)),"no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'09112014-2182-1') as subquery where cp.certified_product_id = subquery.certified_product_id;</v>
      </c>
    </row>
    <row r="162" spans="1:6" x14ac:dyDescent="0.25">
      <c r="A162" s="2" t="str">
        <f>IF(ISBLANK(Drummond!D162),FALSE,LOOKUP(Drummond!D162,Lookup!$A$2:$B$4))</f>
        <v>Affirmative</v>
      </c>
      <c r="B162" s="2" t="str">
        <f>IF(ISBLANK(Drummond!E162),FALSE,TRIM(Drummond!E162))</f>
        <v>01162015-2183-1</v>
      </c>
      <c r="C162" s="2" t="str">
        <f>IF(ISBLANK(Drummond!F162),FALSE,LOOKUP(Drummond!F162,Lookup!$A$6:$B$7))</f>
        <v>Single</v>
      </c>
      <c r="D162" s="2" t="str">
        <f>IF(ISBLANK(Drummond!G162),FALSE,Drummond!G162)</f>
        <v>http://www.greenwayhealth.com/solution/chc-electronic-health-records/</v>
      </c>
      <c r="E162" s="2" t="str">
        <f>IF(NOT(ISBLANK(Drummond!D162)),IF(OR(ISBLANK(Drummond!E162),Drummond!E162="N/A"),"no acb code",CONCATENATE(Lookup!F$1,A162,Lookup!G$1,B162,Lookup!H$1,H$1,Lookup!I$1)),"no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'01162015-2183-1' and cb."name" = 'Drummond Group Inc.' and cp.product_version_id = pv.product_version_id and pv.product_id = p.product_id and p.vendor_id = vend.vendor_id;</v>
      </c>
      <c r="F162" s="2" t="str">
        <f>IF(AND(NOT(ISBLANK(Drummond!G162)),Drummond!G162&lt;&gt;"N/A"),IF(C162="All",CONCATENATE(Lookup!F$2,D162,Lookup!G$2,B162,Lookup!H$2,H$1,Lookup!I$2),CONCATENATE(Lookup!F$3,D162,Lookup!G$3,B162,Lookup!H$3)),"no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'01162015-2183-1') as subquery where cp.certified_product_id = subquery.certified_product_id;</v>
      </c>
    </row>
    <row r="163" spans="1:6" x14ac:dyDescent="0.25">
      <c r="A163" s="2" t="str">
        <f>IF(ISBLANK(Drummond!D163),FALSE,LOOKUP(Drummond!D163,Lookup!$A$2:$B$4))</f>
        <v>Affirmative</v>
      </c>
      <c r="B163" s="2" t="str">
        <f>IF(ISBLANK(Drummond!E163),FALSE,TRIM(Drummond!E163))</f>
        <v>07022015-2184-1</v>
      </c>
      <c r="C163" s="2" t="str">
        <f>IF(ISBLANK(Drummond!F163),FALSE,LOOKUP(Drummond!F163,Lookup!$A$6:$B$7))</f>
        <v>Single</v>
      </c>
      <c r="D163" s="2" t="str">
        <f>IF(ISBLANK(Drummond!G163),FALSE,Drummond!G163)</f>
        <v>http://www.greenwayhealth.com/solution/chc-electronic-health-records/</v>
      </c>
      <c r="E163" s="2" t="str">
        <f>IF(NOT(ISBLANK(Drummond!D163)),IF(OR(ISBLANK(Drummond!E163),Drummond!E163="N/A"),"no acb code",CONCATENATE(Lookup!F$1,A163,Lookup!G$1,B163,Lookup!H$1,H$1,Lookup!I$1)),"no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'07022015-2184-1' and cb."name" = 'Drummond Group Inc.' and cp.product_version_id = pv.product_version_id and pv.product_id = p.product_id and p.vendor_id = vend.vendor_id;</v>
      </c>
      <c r="F163" s="2" t="str">
        <f>IF(AND(NOT(ISBLANK(Drummond!G163)),Drummond!G163&lt;&gt;"N/A"),IF(C163="All",CONCATENATE(Lookup!F$2,D163,Lookup!G$2,B163,Lookup!H$2,H$1,Lookup!I$2),CONCATENATE(Lookup!F$3,D163,Lookup!G$3,B163,Lookup!H$3)),"no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'07022015-2184-1') as subquery where cp.certified_product_id = subquery.certified_product_id;</v>
      </c>
    </row>
    <row r="164" spans="1:6" x14ac:dyDescent="0.25">
      <c r="A164" s="2" t="str">
        <f>IF(ISBLANK(Drummond!D164),FALSE,LOOKUP(Drummond!D164,Lookup!$A$2:$B$4))</f>
        <v>Affirmative</v>
      </c>
      <c r="B164" s="2" t="str">
        <f>IF(ISBLANK(Drummond!E164),FALSE,TRIM(Drummond!E164))</f>
        <v>04022015-0148-5</v>
      </c>
      <c r="C164" s="2" t="str">
        <f>IF(ISBLANK(Drummond!F164),FALSE,LOOKUP(Drummond!F164,Lookup!$A$6:$B$7))</f>
        <v>Single</v>
      </c>
      <c r="D164" s="2" t="str">
        <f>IF(ISBLANK(Drummond!G164),FALSE,Drummond!G164)</f>
        <v>http://www.greenwayhealth.com/solution/chc-electronic-health-records/</v>
      </c>
      <c r="E164" s="2" t="str">
        <f>IF(NOT(ISBLANK(Drummond!D164)),IF(OR(ISBLANK(Drummond!E164),Drummond!E164="N/A"),"no acb code",CONCATENATE(Lookup!F$1,A164,Lookup!G$1,B164,Lookup!H$1,H$1,Lookup!I$1)),"no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'04022015-0148-5' and cb."name" = 'Drummond Group Inc.' and cp.product_version_id = pv.product_version_id and pv.product_id = p.product_id and p.vendor_id = vend.vendor_id;</v>
      </c>
      <c r="F164" s="2" t="str">
        <f>IF(AND(NOT(ISBLANK(Drummond!G164)),Drummond!G164&lt;&gt;"N/A"),IF(C164="All",CONCATENATE(Lookup!F$2,D164,Lookup!G$2,B164,Lookup!H$2,H$1,Lookup!I$2),CONCATENATE(Lookup!F$3,D164,Lookup!G$3,B164,Lookup!H$3)),"no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'04022015-0148-5') as subquery where cp.certified_product_id = subquery.certified_product_id;</v>
      </c>
    </row>
    <row r="165" spans="1:6" x14ac:dyDescent="0.25">
      <c r="A165" s="2" t="str">
        <f>IF(ISBLANK(Drummond!D165),FALSE,LOOKUP(Drummond!D165,Lookup!$A$2:$B$4))</f>
        <v>Affirmative</v>
      </c>
      <c r="B165" s="2" t="str">
        <f>IF(ISBLANK(Drummond!E165),FALSE,TRIM(Drummond!E165))</f>
        <v>08272015-3007-1</v>
      </c>
      <c r="C165" s="2" t="str">
        <f>IF(ISBLANK(Drummond!F165),FALSE,LOOKUP(Drummond!F165,Lookup!$A$6:$B$7))</f>
        <v>Single</v>
      </c>
      <c r="D165" s="2" t="str">
        <f>IF(ISBLANK(Drummond!G165),FALSE,Drummond!G165)</f>
        <v>http://www.greenwayhealth.com/solution/chc-electronic-health-records/</v>
      </c>
      <c r="E165" s="2" t="str">
        <f>IF(NOT(ISBLANK(Drummond!D165)),IF(OR(ISBLANK(Drummond!E165),Drummond!E165="N/A"),"no acb code",CONCATENATE(Lookup!F$1,A165,Lookup!G$1,B165,Lookup!H$1,H$1,Lookup!I$1)),"no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'08272015-3007-1' and cb."name" = 'Drummond Group Inc.' and cp.product_version_id = pv.product_version_id and pv.product_id = p.product_id and p.vendor_id = vend.vendor_id;</v>
      </c>
      <c r="F165" s="2" t="str">
        <f>IF(AND(NOT(ISBLANK(Drummond!G165)),Drummond!G165&lt;&gt;"N/A"),IF(C165="All",CONCATENATE(Lookup!F$2,D165,Lookup!G$2,B165,Lookup!H$2,H$1,Lookup!I$2),CONCATENATE(Lookup!F$3,D165,Lookup!G$3,B165,Lookup!H$3)),"no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66" spans="1:6" x14ac:dyDescent="0.25">
      <c r="A166" s="2" t="str">
        <f>IF(ISBLANK(Drummond!D166),FALSE,LOOKUP(Drummond!D166,Lookup!$A$2:$B$4))</f>
        <v>Affirmative</v>
      </c>
      <c r="B166" s="2" t="str">
        <f>IF(ISBLANK(Drummond!E166),FALSE,TRIM(Drummond!E166))</f>
        <v>08272015-3007-1</v>
      </c>
      <c r="C166" s="2" t="str">
        <f>IF(ISBLANK(Drummond!F166),FALSE,LOOKUP(Drummond!F166,Lookup!$A$6:$B$7))</f>
        <v>Single</v>
      </c>
      <c r="D166" s="2" t="str">
        <f>IF(ISBLANK(Drummond!G166),FALSE,Drummond!G166)</f>
        <v>http://www.greenwayhealth.com/solution/chc-electronic-health-records/</v>
      </c>
      <c r="E166" s="2" t="str">
        <f>IF(NOT(ISBLANK(Drummond!D166)),IF(OR(ISBLANK(Drummond!E166),Drummond!E166="N/A"),"no acb code",CONCATENATE(Lookup!F$1,A166,Lookup!G$1,B166,Lookup!H$1,H$1,Lookup!I$1)),"no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'08272015-3007-1' and cb."name" = 'Drummond Group Inc.' and cp.product_version_id = pv.product_version_id and pv.product_id = p.product_id and p.vendor_id = vend.vendor_id;</v>
      </c>
      <c r="F166" s="2" t="str">
        <f>IF(AND(NOT(ISBLANK(Drummond!G166)),Drummond!G166&lt;&gt;"N/A"),IF(C166="All",CONCATENATE(Lookup!F$2,D166,Lookup!G$2,B166,Lookup!H$2,H$1,Lookup!I$2),CONCATENATE(Lookup!F$3,D166,Lookup!G$3,B166,Lookup!H$3)),"no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67" spans="1:6" x14ac:dyDescent="0.25">
      <c r="A167" s="2" t="str">
        <f>IF(ISBLANK(Drummond!D167),FALSE,LOOKUP(Drummond!D167,Lookup!$A$2:$B$4))</f>
        <v>Affirmative</v>
      </c>
      <c r="B167" s="2" t="str">
        <f>IF(ISBLANK(Drummond!E167),FALSE,TRIM(Drummond!E167))</f>
        <v>10092014-2190-5</v>
      </c>
      <c r="C167" s="2" t="str">
        <f>IF(ISBLANK(Drummond!F167),FALSE,LOOKUP(Drummond!F167,Lookup!$A$6:$B$7))</f>
        <v>Single</v>
      </c>
      <c r="D167" s="2" t="str">
        <f>IF(ISBLANK(Drummond!G167),FALSE,Drummond!G167)</f>
        <v>http://www.greenwayhealth.com/solution/practice-management-enterprises/</v>
      </c>
      <c r="E167" s="2" t="str">
        <f>IF(NOT(ISBLANK(Drummond!D167)),IF(OR(ISBLANK(Drummond!E167),Drummond!E167="N/A"),"no acb code",CONCATENATE(Lookup!F$1,A167,Lookup!G$1,B167,Lookup!H$1,H$1,Lookup!I$1)),"no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'10092014-2190-5' and cb."name" = 'Drummond Group Inc.' and cp.product_version_id = pv.product_version_id and pv.product_id = p.product_id and p.vendor_id = vend.vendor_id;</v>
      </c>
      <c r="F167" s="2" t="str">
        <f>IF(AND(NOT(ISBLANK(Drummond!G167)),Drummond!G167&lt;&gt;"N/A"),IF(C167="All",CONCATENATE(Lookup!F$2,D167,Lookup!G$2,B167,Lookup!H$2,H$1,Lookup!I$2),CONCATENATE(Lookup!F$3,D167,Lookup!G$3,B167,Lookup!H$3)),"no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'10092014-2190-5') as subquery where cp.certified_product_id = subquery.certified_product_id;</v>
      </c>
    </row>
    <row r="168" spans="1:6" x14ac:dyDescent="0.25">
      <c r="A168" s="2" t="str">
        <f>IF(ISBLANK(Drummond!D168),FALSE,LOOKUP(Drummond!D168,Lookup!$A$2:$B$4))</f>
        <v>Affirmative</v>
      </c>
      <c r="B168" s="2" t="str">
        <f>IF(ISBLANK(Drummond!E168),FALSE,TRIM(Drummond!E168))</f>
        <v>10092014-2192-5</v>
      </c>
      <c r="C168" s="2" t="str">
        <f>IF(ISBLANK(Drummond!F168),FALSE,LOOKUP(Drummond!F168,Lookup!$A$6:$B$7))</f>
        <v>Single</v>
      </c>
      <c r="D168" s="2" t="str">
        <f>IF(ISBLANK(Drummond!G168),FALSE,Drummond!G168)</f>
        <v>http://www.greenwayhealth.com/solution/practice-management-enterprises/</v>
      </c>
      <c r="E168" s="2" t="str">
        <f>IF(NOT(ISBLANK(Drummond!D168)),IF(OR(ISBLANK(Drummond!E168),Drummond!E168="N/A"),"no acb code",CONCATENATE(Lookup!F$1,A168,Lookup!G$1,B168,Lookup!H$1,H$1,Lookup!I$1)),"no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'10092014-2192-5' and cb."name" = 'Drummond Group Inc.' and cp.product_version_id = pv.product_version_id and pv.product_id = p.product_id and p.vendor_id = vend.vendor_id;</v>
      </c>
      <c r="F168" s="2" t="str">
        <f>IF(AND(NOT(ISBLANK(Drummond!G168)),Drummond!G168&lt;&gt;"N/A"),IF(C168="All",CONCATENATE(Lookup!F$2,D168,Lookup!G$2,B168,Lookup!H$2,H$1,Lookup!I$2),CONCATENATE(Lookup!F$3,D168,Lookup!G$3,B168,Lookup!H$3)),"no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'10092014-2192-5') as subquery where cp.certified_product_id = subquery.certified_product_id;</v>
      </c>
    </row>
    <row r="169" spans="1:6" x14ac:dyDescent="0.25">
      <c r="A169" s="2" t="str">
        <f>IF(ISBLANK(Drummond!D169),FALSE,LOOKUP(Drummond!D169,Lookup!$A$2:$B$4))</f>
        <v>Affirmative</v>
      </c>
      <c r="B169" s="2" t="str">
        <f>IF(ISBLANK(Drummond!E169),FALSE,TRIM(Drummond!E169))</f>
        <v>06182015-0701-5</v>
      </c>
      <c r="C169" s="2" t="str">
        <f>IF(ISBLANK(Drummond!F169),FALSE,LOOKUP(Drummond!F169,Lookup!$A$6:$B$7))</f>
        <v>Single</v>
      </c>
      <c r="D169" s="2" t="str">
        <f>IF(ISBLANK(Drummond!G169),FALSE,Drummond!G169)</f>
        <v>http://www.greenwayhealth.com/solution/practice-management-enterprises/</v>
      </c>
      <c r="E169" s="2" t="str">
        <f>IF(NOT(ISBLANK(Drummond!D169)),IF(OR(ISBLANK(Drummond!E169),Drummond!E169="N/A"),"no acb code",CONCATENATE(Lookup!F$1,A169,Lookup!G$1,B169,Lookup!H$1,H$1,Lookup!I$1)),"no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'06182015-0701-5' and cb."name" = 'Drummond Group Inc.' and cp.product_version_id = pv.product_version_id and pv.product_id = p.product_id and p.vendor_id = vend.vendor_id;</v>
      </c>
      <c r="F169" s="2" t="str">
        <f>IF(AND(NOT(ISBLANK(Drummond!G169)),Drummond!G169&lt;&gt;"N/A"),IF(C169="All",CONCATENATE(Lookup!F$2,D169,Lookup!G$2,B169,Lookup!H$2,H$1,Lookup!I$2),CONCATENATE(Lookup!F$3,D169,Lookup!G$3,B169,Lookup!H$3)),"no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'06182015-0701-5') as subquery where cp.certified_product_id = subquery.certified_product_id;</v>
      </c>
    </row>
    <row r="170" spans="1:6" x14ac:dyDescent="0.25">
      <c r="A170" s="2" t="str">
        <f>IF(ISBLANK(Drummond!D170),FALSE,LOOKUP(Drummond!D170,Lookup!$A$2:$B$4))</f>
        <v>Affirmative</v>
      </c>
      <c r="B170" s="2" t="str">
        <f>IF(ISBLANK(Drummond!E170),FALSE,TRIM(Drummond!E170))</f>
        <v>06182015-0704-5</v>
      </c>
      <c r="C170" s="2" t="str">
        <f>IF(ISBLANK(Drummond!F170),FALSE,LOOKUP(Drummond!F170,Lookup!$A$6:$B$7))</f>
        <v>Single</v>
      </c>
      <c r="D170" s="2" t="str">
        <f>IF(ISBLANK(Drummond!G170),FALSE,Drummond!G170)</f>
        <v>http://www.greenwayhealth.com/solution/practice-management-enterprises/</v>
      </c>
      <c r="E170" s="2" t="str">
        <f>IF(NOT(ISBLANK(Drummond!D170)),IF(OR(ISBLANK(Drummond!E170),Drummond!E170="N/A"),"no acb code",CONCATENATE(Lookup!F$1,A170,Lookup!G$1,B170,Lookup!H$1,H$1,Lookup!I$1)),"no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'06182015-0704-5' and cb."name" = 'Drummond Group Inc.' and cp.product_version_id = pv.product_version_id and pv.product_id = p.product_id and p.vendor_id = vend.vendor_id;</v>
      </c>
      <c r="F170" s="2" t="str">
        <f>IF(AND(NOT(ISBLANK(Drummond!G170)),Drummond!G170&lt;&gt;"N/A"),IF(C170="All",CONCATENATE(Lookup!F$2,D170,Lookup!G$2,B170,Lookup!H$2,H$1,Lookup!I$2),CONCATENATE(Lookup!F$3,D170,Lookup!G$3,B170,Lookup!H$3)),"no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'06182015-0704-5') as subquery where cp.certified_product_id = subquery.certified_product_id;</v>
      </c>
    </row>
    <row r="171" spans="1:6" x14ac:dyDescent="0.25">
      <c r="A171" s="2" t="str">
        <f>IF(ISBLANK(Drummond!D171),FALSE,LOOKUP(Drummond!D171,Lookup!$A$2:$B$4))</f>
        <v>Affirmative</v>
      </c>
      <c r="B171" s="2" t="str">
        <f>IF(ISBLANK(Drummond!E171),FALSE,TRIM(Drummond!E171))</f>
        <v>09302015-4350-5</v>
      </c>
      <c r="C171" s="2" t="str">
        <f>IF(ISBLANK(Drummond!F171),FALSE,LOOKUP(Drummond!F171,Lookup!$A$6:$B$7))</f>
        <v>Single</v>
      </c>
      <c r="D171" s="2" t="str">
        <f>IF(ISBLANK(Drummond!G171),FALSE,Drummond!G171)</f>
        <v>http://www.greenwayhealth.com/solution/practice-management-enterprises/</v>
      </c>
      <c r="E171" s="2" t="str">
        <f>IF(NOT(ISBLANK(Drummond!D171)),IF(OR(ISBLANK(Drummond!E171),Drummond!E171="N/A"),"no acb code",CONCATENATE(Lookup!F$1,A171,Lookup!G$1,B171,Lookup!H$1,H$1,Lookup!I$1)),"no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'09302015-4350-5' and cb."name" = 'Drummond Group Inc.' and cp.product_version_id = pv.product_version_id and pv.product_id = p.product_id and p.vendor_id = vend.vendor_id;</v>
      </c>
      <c r="F171" s="2" t="str">
        <f>IF(AND(NOT(ISBLANK(Drummond!G171)),Drummond!G171&lt;&gt;"N/A"),IF(C171="All",CONCATENATE(Lookup!F$2,D171,Lookup!G$2,B171,Lookup!H$2,H$1,Lookup!I$2),CONCATENATE(Lookup!F$3,D171,Lookup!G$3,B171,Lookup!H$3)),"no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'09302015-4350-5') as subquery where cp.certified_product_id = subquery.certified_product_id;</v>
      </c>
    </row>
    <row r="172" spans="1:6" x14ac:dyDescent="0.25">
      <c r="A172" s="2" t="str">
        <f>IF(ISBLANK(Drummond!D172),FALSE,LOOKUP(Drummond!D172,Lookup!$A$2:$B$4))</f>
        <v>Affirmative</v>
      </c>
      <c r="B172" s="2" t="str">
        <f>IF(ISBLANK(Drummond!E172),FALSE,TRIM(Drummond!E172))</f>
        <v>09302015-4351-5</v>
      </c>
      <c r="C172" s="2" t="str">
        <f>IF(ISBLANK(Drummond!F172),FALSE,LOOKUP(Drummond!F172,Lookup!$A$6:$B$7))</f>
        <v>Single</v>
      </c>
      <c r="D172" s="2" t="str">
        <f>IF(ISBLANK(Drummond!G172),FALSE,Drummond!G172)</f>
        <v>http://www.greenwayhealth.com/solution/practice-management-enterprises/</v>
      </c>
      <c r="E172" s="2" t="str">
        <f>IF(NOT(ISBLANK(Drummond!D172)),IF(OR(ISBLANK(Drummond!E172),Drummond!E172="N/A"),"no acb code",CONCATENATE(Lookup!F$1,A172,Lookup!G$1,B172,Lookup!H$1,H$1,Lookup!I$1)),"no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'09302015-4351-5' and cb."name" = 'Drummond Group Inc.' and cp.product_version_id = pv.product_version_id and pv.product_id = p.product_id and p.vendor_id = vend.vendor_id;</v>
      </c>
      <c r="F172" s="2" t="str">
        <f>IF(AND(NOT(ISBLANK(Drummond!G172)),Drummond!G172&lt;&gt;"N/A"),IF(C172="All",CONCATENATE(Lookup!F$2,D172,Lookup!G$2,B172,Lookup!H$2,H$1,Lookup!I$2),CONCATENATE(Lookup!F$3,D172,Lookup!G$3,B172,Lookup!H$3)),"no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'09302015-4351-5') as subquery where cp.certified_product_id = subquery.certified_product_id;</v>
      </c>
    </row>
    <row r="173" spans="1:6" x14ac:dyDescent="0.25">
      <c r="A173" s="2" t="str">
        <f>IF(ISBLANK(Drummond!D173),FALSE,LOOKUP(Drummond!D173,Lookup!$A$2:$B$4))</f>
        <v>N/A</v>
      </c>
      <c r="B173" s="2" t="str">
        <f>IF(ISBLANK(Drummond!E173),FALSE,TRIM(Drummond!E173))</f>
        <v>03052015-2253-1</v>
      </c>
      <c r="C173" s="2" t="str">
        <f>IF(ISBLANK(Drummond!F173),FALSE,LOOKUP(Drummond!F173,Lookup!$A$6:$B$7))</f>
        <v>All</v>
      </c>
      <c r="D173" s="2" t="b">
        <f>IF(ISBLANK(Drummond!G173),FALSE,Drummond!G173)</f>
        <v>0</v>
      </c>
      <c r="E173" s="2" t="str">
        <f>IF(NOT(ISBLANK(Drummond!D173)),IF(OR(ISBLANK(Drummond!E173),Drummond!E173="N/A"),"no acb code",CONCATENATE(Lookup!F$1,A173,Lookup!G$1,B173,Lookup!H$1,H$1,Lookup!I$1)),"no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'03052015-2253-1' and cb."name" = 'Drummond Group Inc.' and cp.product_version_id = pv.product_version_id and pv.product_id = p.product_id and p.vendor_id = vend.vendor_id;</v>
      </c>
      <c r="F173" s="2" t="str">
        <f>IF(AND(NOT(ISBLANK(Drummond!G173)),Drummond!G173&lt;&gt;"N/A"),IF(C173="All",CONCATENATE(Lookup!F$2,D173,Lookup!G$2,B173,Lookup!H$2,H$1,Lookup!I$2),CONCATENATE(Lookup!F$3,D173,Lookup!G$3,B173,Lookup!H$3)),"no url")</f>
        <v>no url</v>
      </c>
    </row>
    <row r="174" spans="1:6" x14ac:dyDescent="0.25">
      <c r="A174" s="2" t="str">
        <f>IF(ISBLANK(Drummond!D174),FALSE,LOOKUP(Drummond!D174,Lookup!$A$2:$B$4))</f>
        <v>N/A</v>
      </c>
      <c r="B174" s="2" t="str">
        <f>IF(ISBLANK(Drummond!E174),FALSE,TRIM(Drummond!E174))</f>
        <v>09092013-2025-1</v>
      </c>
      <c r="C174" s="2" t="str">
        <f>IF(ISBLANK(Drummond!F174),FALSE,LOOKUP(Drummond!F174,Lookup!$A$6:$B$7))</f>
        <v>All</v>
      </c>
      <c r="D174" s="2" t="b">
        <f>IF(ISBLANK(Drummond!G174),FALSE,Drummond!G174)</f>
        <v>0</v>
      </c>
      <c r="E174" s="2" t="str">
        <f>IF(NOT(ISBLANK(Drummond!D174)),IF(OR(ISBLANK(Drummond!E174),Drummond!E174="N/A"),"no acb code",CONCATENATE(Lookup!F$1,A174,Lookup!G$1,B174,Lookup!H$1,H$1,Lookup!I$1)),"no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'09092013-2025-1' and cb."name" = 'Drummond Group Inc.' and cp.product_version_id = pv.product_version_id and pv.product_id = p.product_id and p.vendor_id = vend.vendor_id;</v>
      </c>
      <c r="F174" s="2" t="str">
        <f>IF(AND(NOT(ISBLANK(Drummond!G174)),Drummond!G174&lt;&gt;"N/A"),IF(C174="All",CONCATENATE(Lookup!F$2,D174,Lookup!G$2,B174,Lookup!H$2,H$1,Lookup!I$2),CONCATENATE(Lookup!F$3,D174,Lookup!G$3,B174,Lookup!H$3)),"no url")</f>
        <v>no url</v>
      </c>
    </row>
    <row r="175" spans="1:6" x14ac:dyDescent="0.25">
      <c r="A175" s="2" t="str">
        <f>IF(ISBLANK(Drummond!D175),FALSE,LOOKUP(Drummond!D175,Lookup!$A$2:$B$4))</f>
        <v>N/A</v>
      </c>
      <c r="B175" s="2" t="str">
        <f>IF(ISBLANK(Drummond!E175),FALSE,TRIM(Drummond!E175))</f>
        <v>05272014-2566-1</v>
      </c>
      <c r="C175" s="2" t="str">
        <f>IF(ISBLANK(Drummond!F175),FALSE,LOOKUP(Drummond!F175,Lookup!$A$6:$B$7))</f>
        <v>All</v>
      </c>
      <c r="D175" s="2" t="b">
        <f>IF(ISBLANK(Drummond!G175),FALSE,Drummond!G175)</f>
        <v>0</v>
      </c>
      <c r="E175" s="2" t="str">
        <f>IF(NOT(ISBLANK(Drummond!D175)),IF(OR(ISBLANK(Drummond!E175),Drummond!E175="N/A"),"no acb code",CONCATENATE(Lookup!F$1,A175,Lookup!G$1,B175,Lookup!H$1,H$1,Lookup!I$1)),"no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'05272014-2566-1' and cb."name" = 'Drummond Group Inc.' and cp.product_version_id = pv.product_version_id and pv.product_id = p.product_id and p.vendor_id = vend.vendor_id;</v>
      </c>
      <c r="F175" s="2" t="str">
        <f>IF(AND(NOT(ISBLANK(Drummond!G175)),Drummond!G175&lt;&gt;"N/A"),IF(C175="All",CONCATENATE(Lookup!F$2,D175,Lookup!G$2,B175,Lookup!H$2,H$1,Lookup!I$2),CONCATENATE(Lookup!F$3,D175,Lookup!G$3,B175,Lookup!H$3)),"no url")</f>
        <v>no url</v>
      </c>
    </row>
    <row r="176" spans="1:6" x14ac:dyDescent="0.25">
      <c r="A176" s="2" t="str">
        <f>IF(ISBLANK(Drummond!D176),FALSE,LOOKUP(Drummond!D176,Lookup!$A$2:$B$4))</f>
        <v>Negative</v>
      </c>
      <c r="B176" s="2" t="str">
        <f>IF(ISBLANK(Drummond!E176),FALSE,TRIM(Drummond!E176))</f>
        <v>09252014-2949-6</v>
      </c>
      <c r="C176" s="2" t="str">
        <f>IF(ISBLANK(Drummond!F176),FALSE,LOOKUP(Drummond!F176,Lookup!$A$6:$B$7))</f>
        <v>All</v>
      </c>
      <c r="D176" s="2" t="str">
        <f>IF(ISBLANK(Drummond!G176),FALSE,Drummond!G176)</f>
        <v>http://www.healthec.com/drummond-certificates/</v>
      </c>
      <c r="E176" s="2" t="str">
        <f>IF(NOT(ISBLANK(Drummond!D176)),IF(OR(ISBLANK(Drummond!E176),Drummond!E176="N/A"),"no acb code",CONCATENATE(Lookup!F$1,A176,Lookup!G$1,B176,Lookup!H$1,H$1,Lookup!I$1)),"no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'09252014-2949-6' and cb."name" = 'Drummond Group Inc.' and cp.product_version_id = pv.product_version_id and pv.product_id = p.product_id and p.vendor_id = vend.vendor_id;</v>
      </c>
      <c r="F176" s="2" t="str">
        <f>IF(AND(NOT(ISBLANK(Drummond!G176)),Drummond!G176&lt;&gt;"N/A"),IF(C176="All",CONCATENATE(Lookup!F$2,D176,Lookup!G$2,B176,Lookup!H$2,H$1,Lookup!I$2),CONCATENATE(Lookup!F$3,D176,Lookup!G$3,B176,Lookup!H$3)),"no url")</f>
        <v>update openchpl.certified_product as cp set transparency_attestation_url = 'http://www.healthec.com/drummond-certificates/' from (select certified_product_id from (select vend.vendor_code from openchpl.certified_product as cp, openchpl.product_version as pv, openchpl.product as p, openchpl.vendor as vend where cp.acb_certification_id = '09252014-2949-6'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7" spans="1:6" x14ac:dyDescent="0.25">
      <c r="A177" s="2" t="str">
        <f>IF(ISBLANK(Drummond!D177),FALSE,LOOKUP(Drummond!D177,Lookup!$A$2:$B$4))</f>
        <v>Negative</v>
      </c>
      <c r="B177" s="2" t="str">
        <f>IF(ISBLANK(Drummond!E177),FALSE,TRIM(Drummond!E177))</f>
        <v>06062014-1918-6</v>
      </c>
      <c r="C177" s="2" t="str">
        <f>IF(ISBLANK(Drummond!F177),FALSE,LOOKUP(Drummond!F177,Lookup!$A$6:$B$7))</f>
        <v>All</v>
      </c>
      <c r="D177" s="2" t="str">
        <f>IF(ISBLANK(Drummond!G177),FALSE,Drummond!G177)</f>
        <v>http://www.healthec.com/drummond-certificates/</v>
      </c>
      <c r="E177" s="2" t="str">
        <f>IF(NOT(ISBLANK(Drummond!D177)),IF(OR(ISBLANK(Drummond!E177),Drummond!E177="N/A"),"no acb code",CONCATENATE(Lookup!F$1,A177,Lookup!G$1,B177,Lookup!H$1,H$1,Lookup!I$1)),"no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'06062014-1918-6' and cb."name" = 'Drummond Group Inc.' and cp.product_version_id = pv.product_version_id and pv.product_id = p.product_id and p.vendor_id = vend.vendor_id;</v>
      </c>
      <c r="F177" s="2" t="str">
        <f>IF(AND(NOT(ISBLANK(Drummond!G177)),Drummond!G177&lt;&gt;"N/A"),IF(C177="All",CONCATENATE(Lookup!F$2,D177,Lookup!G$2,B177,Lookup!H$2,H$1,Lookup!I$2),CONCATENATE(Lookup!F$3,D177,Lookup!G$3,B177,Lookup!H$3)),"no url")</f>
        <v>update openchpl.certified_product as cp set transparency_attestation_url = 'http://www.healthec.com/drummond-certificates/' from (select certified_product_id from (select vend.vendor_code from openchpl.certified_product as cp, openchpl.product_version as pv, openchpl.product as p, openchpl.vendor as vend where cp.acb_certification_id = '06062014-1918-6'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8" spans="1:6" x14ac:dyDescent="0.25">
      <c r="A178" s="2" t="str">
        <f>IF(ISBLANK(Drummond!D178),FALSE,LOOKUP(Drummond!D178,Lookup!$A$2:$B$4))</f>
        <v>Affirmative</v>
      </c>
      <c r="B178" s="2" t="str">
        <f>IF(ISBLANK(Drummond!E178),FALSE,TRIM(Drummond!E178))</f>
        <v>09092013-2158-5</v>
      </c>
      <c r="C178" s="2" t="str">
        <f>IF(ISBLANK(Drummond!F178),FALSE,LOOKUP(Drummond!F178,Lookup!$A$6:$B$7))</f>
        <v>All</v>
      </c>
      <c r="D178" s="2" t="str">
        <f>IF(ISBLANK(Drummond!G178),FALSE,Drummond!G178)</f>
        <v>http://treatehr.com/</v>
      </c>
      <c r="E178" s="2" t="str">
        <f>IF(NOT(ISBLANK(Drummond!D178)),IF(OR(ISBLANK(Drummond!E178),Drummond!E178="N/A"),"no acb code",CONCATENATE(Lookup!F$1,A178,Lookup!G$1,B178,Lookup!H$1,H$1,Lookup!I$1)),"no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'09092013-2158-5' and cb."name" = 'Drummond Group Inc.' and cp.product_version_id = pv.product_version_id and pv.product_id = p.product_id and p.vendor_id = vend.vendor_id;</v>
      </c>
      <c r="F178" s="2" t="str">
        <f>IF(AND(NOT(ISBLANK(Drummond!G178)),Drummond!G178&lt;&gt;"N/A"),IF(C178="All",CONCATENATE(Lookup!F$2,D178,Lookup!G$2,B178,Lookup!H$2,H$1,Lookup!I$2),CONCATENATE(Lookup!F$3,D178,Lookup!G$3,B178,Lookup!H$3)),"no url")</f>
        <v>update openchpl.certified_product as cp set transparency_attestation_url = 'http://treatehr.com/' from (select certified_product_id from (select vend.vendor_code from openchpl.certified_product as cp, openchpl.product_version as pv, openchpl.product as p, openchpl.vendor as vend where cp.acb_certification_id = '09092013-2158-5'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9" spans="1:6" x14ac:dyDescent="0.25">
      <c r="A179" s="2" t="str">
        <f>IF(ISBLANK(Drummond!D179),FALSE,LOOKUP(Drummond!D179,Lookup!$A$2:$B$4))</f>
        <v>Affirmative</v>
      </c>
      <c r="B179" s="2" t="str">
        <f>IF(ISBLANK(Drummond!E179),FALSE,TRIM(Drummond!E179))</f>
        <v>12302014-2788-1</v>
      </c>
      <c r="C179" s="2" t="str">
        <f>IF(ISBLANK(Drummond!F179),FALSE,LOOKUP(Drummond!F179,Lookup!$A$6:$B$7))</f>
        <v>All</v>
      </c>
      <c r="D179" s="2" t="str">
        <f>IF(ISBLANK(Drummond!G179),FALSE,Drummond!G179)</f>
        <v>https://quick-charts.com/certification-details/</v>
      </c>
      <c r="E179" s="2" t="str">
        <f>IF(NOT(ISBLANK(Drummond!D179)),IF(OR(ISBLANK(Drummond!E179),Drummond!E179="N/A"),"no acb code",CONCATENATE(Lookup!F$1,A179,Lookup!G$1,B179,Lookup!H$1,H$1,Lookup!I$1)),"no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'12302014-2788-1' and cb."name" = 'Drummond Group Inc.' and cp.product_version_id = pv.product_version_id and pv.product_id = p.product_id and p.vendor_id = vend.vendor_id;</v>
      </c>
      <c r="F179" s="2" t="str">
        <f>IF(AND(NOT(ISBLANK(Drummond!G179)),Drummond!G179&lt;&gt;"N/A"),IF(C179="All",CONCATENATE(Lookup!F$2,D179,Lookup!G$2,B179,Lookup!H$2,H$1,Lookup!I$2),CONCATENATE(Lookup!F$3,D179,Lookup!G$3,B179,Lookup!H$3)),"no url")</f>
        <v>update openchpl.certified_product as cp set transparency_attestation_url = 'https://quick-charts.com/certification-details/' from (select certified_product_id from (select vend.vendor_code from openchpl.certified_product as cp, openchpl.product_version as pv, openchpl.product as p, openchpl.vendor as vend where cp.acb_certification_id = '12302014-2788-1'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0" spans="1:6" x14ac:dyDescent="0.25">
      <c r="A180" s="2" t="str">
        <f>IF(ISBLANK(Drummond!D180),FALSE,LOOKUP(Drummond!D180,Lookup!$A$2:$B$4))</f>
        <v>Affirmative</v>
      </c>
      <c r="B180" s="2" t="str">
        <f>IF(ISBLANK(Drummond!E180),FALSE,TRIM(Drummond!E180))</f>
        <v>09042014-2249-9</v>
      </c>
      <c r="C180" s="2" t="str">
        <f>IF(ISBLANK(Drummond!F180),FALSE,LOOKUP(Drummond!F180,Lookup!$A$6:$B$7))</f>
        <v>All</v>
      </c>
      <c r="D180" s="2" t="str">
        <f>IF(ISBLANK(Drummond!G180),FALSE,Drummond!G180)</f>
        <v>http://www.healogics.com/i-heal</v>
      </c>
      <c r="E180" s="2" t="str">
        <f>IF(NOT(ISBLANK(Drummond!D180)),IF(OR(ISBLANK(Drummond!E180),Drummond!E180="N/A"),"no acb code",CONCATENATE(Lookup!F$1,A180,Lookup!G$1,B180,Lookup!H$1,H$1,Lookup!I$1)),"no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'09042014-2249-9' and cb."name" = 'Drummond Group Inc.' and cp.product_version_id = pv.product_version_id and pv.product_id = p.product_id and p.vendor_id = vend.vendor_id;</v>
      </c>
      <c r="F180" s="2" t="str">
        <f>IF(AND(NOT(ISBLANK(Drummond!G180)),Drummond!G180&lt;&gt;"N/A"),IF(C180="All",CONCATENATE(Lookup!F$2,D180,Lookup!G$2,B180,Lookup!H$2,H$1,Lookup!I$2),CONCATENATE(Lookup!F$3,D180,Lookup!G$3,B180,Lookup!H$3)),"no url")</f>
        <v>update openchpl.certified_product as cp set transparency_attestation_url = 'http://www.healogics.com/i-heal' from (select certified_product_id from (select vend.vendor_code from openchpl.certified_product as cp, openchpl.product_version as pv, openchpl.product as p, openchpl.vendor as vend where cp.acb_certification_id = '09042014-2249-9'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1" spans="1:6" x14ac:dyDescent="0.25">
      <c r="A181" s="2" t="str">
        <f>IF(ISBLANK(Drummond!D181),FALSE,LOOKUP(Drummond!D181,Lookup!$A$2:$B$4))</f>
        <v>Negative</v>
      </c>
      <c r="B181" s="2" t="str">
        <f>IF(ISBLANK(Drummond!E181),FALSE,TRIM(Drummond!E181))</f>
        <v>03302015-3042-5</v>
      </c>
      <c r="C181" s="2" t="str">
        <f>IF(ISBLANK(Drummond!F181),FALSE,LOOKUP(Drummond!F181,Lookup!$A$6:$B$7))</f>
        <v>All</v>
      </c>
      <c r="D181" s="2" t="str">
        <f>IF(ISBLANK(Drummond!G181),FALSE,Drummond!G181)</f>
        <v>http://www.has.com/medifile.htm</v>
      </c>
      <c r="E181" s="2" t="str">
        <f>IF(NOT(ISBLANK(Drummond!D181)),IF(OR(ISBLANK(Drummond!E181),Drummond!E181="N/A"),"no acb code",CONCATENATE(Lookup!F$1,A181,Lookup!G$1,B181,Lookup!H$1,H$1,Lookup!I$1)),"no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'03302015-3042-5' and cb."name" = 'Drummond Group Inc.' and cp.product_version_id = pv.product_version_id and pv.product_id = p.product_id and p.vendor_id = vend.vendor_id;</v>
      </c>
      <c r="F181" s="2" t="str">
        <f>IF(AND(NOT(ISBLANK(Drummond!G181)),Drummond!G181&lt;&gt;"N/A"),IF(C181="All",CONCATENATE(Lookup!F$2,D181,Lookup!G$2,B181,Lookup!H$2,H$1,Lookup!I$2),CONCATENATE(Lookup!F$3,D181,Lookup!G$3,B181,Lookup!H$3)),"no url")</f>
        <v>update openchpl.certified_product as cp set transparency_attestation_url = 'http://www.has.com/medifile.htm' from (select certified_product_id from (select vend.vendor_code from openchpl.certified_product as cp, openchpl.product_version as pv, openchpl.product as p, openchpl.vendor as vend where cp.acb_certification_id = '03302015-3042-5'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2" spans="1:6" x14ac:dyDescent="0.25">
      <c r="A182" s="2" t="str">
        <f>IF(ISBLANK(Drummond!D182),FALSE,LOOKUP(Drummond!D182,Lookup!$A$2:$B$4))</f>
        <v>Affirmative</v>
      </c>
      <c r="B182" s="2" t="str">
        <f>IF(ISBLANK(Drummond!E182),FALSE,TRIM(Drummond!E182))</f>
        <v>12192013-2346-5NC</v>
      </c>
      <c r="C182" s="2" t="str">
        <f>IF(ISBLANK(Drummond!F182),FALSE,LOOKUP(Drummond!F182,Lookup!$A$6:$B$7))</f>
        <v>All</v>
      </c>
      <c r="D182" s="2" t="str">
        <f>IF(ISBLANK(Drummond!G182),FALSE,Drummond!G182)</f>
        <v>https://www.healthgorilla.com/home/company/about/faq/</v>
      </c>
      <c r="E182" s="2" t="str">
        <f>IF(NOT(ISBLANK(Drummond!D182)),IF(OR(ISBLANK(Drummond!E182),Drummond!E182="N/A"),"no acb code",CONCATENATE(Lookup!F$1,A182,Lookup!G$1,B182,Lookup!H$1,H$1,Lookup!I$1)),"no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'12192013-2346-5NC' and cb."name" = 'Drummond Group Inc.' and cp.product_version_id = pv.product_version_id and pv.product_id = p.product_id and p.vendor_id = vend.vendor_id;</v>
      </c>
      <c r="F182" s="2" t="str">
        <f>IF(AND(NOT(ISBLANK(Drummond!G182)),Drummond!G182&lt;&gt;"N/A"),IF(C182="All",CONCATENATE(Lookup!F$2,D182,Lookup!G$2,B182,Lookup!H$2,H$1,Lookup!I$2),CONCATENATE(Lookup!F$3,D182,Lookup!G$3,B182,Lookup!H$3)),"no url")</f>
        <v>update openchpl.certified_product as cp set transparency_attestation_url = 'https://www.healthgorilla.com/home/company/about/faq/' from (select certified_product_id from (select vend.vendor_code from openchpl.certified_product as cp, openchpl.product_version as pv, openchpl.product as p, openchpl.vendor as vend where cp.acb_certification_id = '12192013-2346-5NC'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" spans="1:6" x14ac:dyDescent="0.25">
      <c r="A183" s="2" t="str">
        <f>IF(ISBLANK(Drummond!D183),FALSE,LOOKUP(Drummond!D183,Lookup!$A$2:$B$4))</f>
        <v>Affirmative</v>
      </c>
      <c r="B183" s="2" t="str">
        <f>IF(ISBLANK(Drummond!E183),FALSE,TRIM(Drummond!E183))</f>
        <v>04232015-1971-1</v>
      </c>
      <c r="C183" s="2" t="str">
        <f>IF(ISBLANK(Drummond!F183),FALSE,LOOKUP(Drummond!F183,Lookup!$A$6:$B$7))</f>
        <v>All</v>
      </c>
      <c r="D183" s="2" t="str">
        <f>IF(ISBLANK(Drummond!G183),FALSE,Drummond!G183)</f>
        <v>http://www.healthaxis.com/electronic-health-records/</v>
      </c>
      <c r="E183" s="2" t="str">
        <f>IF(NOT(ISBLANK(Drummond!D183)),IF(OR(ISBLANK(Drummond!E183),Drummond!E183="N/A"),"no acb code",CONCATENATE(Lookup!F$1,A183,Lookup!G$1,B183,Lookup!H$1,H$1,Lookup!I$1)),"no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'04232015-1971-1' and cb."name" = 'Drummond Group Inc.' and cp.product_version_id = pv.product_version_id and pv.product_id = p.product_id and p.vendor_id = vend.vendor_id;</v>
      </c>
      <c r="F183" s="2" t="str">
        <f>IF(AND(NOT(ISBLANK(Drummond!G183)),Drummond!G183&lt;&gt;"N/A"),IF(C183="All",CONCATENATE(Lookup!F$2,D183,Lookup!G$2,B183,Lookup!H$2,H$1,Lookup!I$2),CONCATENATE(Lookup!F$3,D183,Lookup!G$3,B183,Lookup!H$3)),"no url")</f>
        <v>update openchpl.certified_product as cp set transparency_attestation_url = 'http://www.healthaxis.com/electronic-health-records/' from (select certified_product_id from (select vend.vendor_code from openchpl.certified_product as cp, openchpl.product_version as pv, openchpl.product as p, openchpl.vendor as vend where cp.acb_certification_id = '04232015-1971-1'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4" spans="1:6" x14ac:dyDescent="0.25">
      <c r="A184" s="2" t="str">
        <f>IF(ISBLANK(Drummond!D184),FALSE,LOOKUP(Drummond!D184,Lookup!$A$2:$B$4))</f>
        <v>Affirmative</v>
      </c>
      <c r="B184" s="2" t="str">
        <f>IF(ISBLANK(Drummond!E184),FALSE,TRIM(Drummond!E184))</f>
        <v>05022013-1961-8</v>
      </c>
      <c r="C184" s="2" t="str">
        <f>IF(ISBLANK(Drummond!F184),FALSE,LOOKUP(Drummond!F184,Lookup!$A$6:$B$7))</f>
        <v>All</v>
      </c>
      <c r="D184" s="2" t="str">
        <f>IF(ISBLANK(Drummond!G184),FALSE,Drummond!G184)</f>
        <v>http://www.healthfusion.com/ehr-meaningful-use/meaningful-use-certification/</v>
      </c>
      <c r="E184" s="2" t="str">
        <f>IF(NOT(ISBLANK(Drummond!D184)),IF(OR(ISBLANK(Drummond!E184),Drummond!E184="N/A"),"no acb code",CONCATENATE(Lookup!F$1,A184,Lookup!G$1,B184,Lookup!H$1,H$1,Lookup!I$1)),"no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'05022013-1961-8' and cb."name" = 'Drummond Group Inc.' and cp.product_version_id = pv.product_version_id and pv.product_id = p.product_id and p.vendor_id = vend.vendor_id;</v>
      </c>
      <c r="F184" s="2" t="str">
        <f>IF(AND(NOT(ISBLANK(Drummond!G184)),Drummond!G184&lt;&gt;"N/A"),IF(C184="All",CONCATENATE(Lookup!F$2,D184,Lookup!G$2,B184,Lookup!H$2,H$1,Lookup!I$2),CONCATENATE(Lookup!F$3,D184,Lookup!G$3,B184,Lookup!H$3)),"no url")</f>
        <v>update openchpl.certified_product as cp set transparency_attestation_url = 'http://www.healthfusion.com/ehr-meaningful-use/meaningful-use-certification/' from (select certified_product_id from (select vend.vendor_code from openchpl.certified_product as cp, openchpl.product_version as pv, openchpl.product as p, openchpl.vendor as vend where cp.acb_certification_id = '05022013-1961-8'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5" spans="1:6" x14ac:dyDescent="0.25">
      <c r="A185" s="2" t="str">
        <f>IF(ISBLANK(Drummond!D185),FALSE,LOOKUP(Drummond!D185,Lookup!$A$2:$B$4))</f>
        <v>Affirmative</v>
      </c>
      <c r="B185" s="2" t="str">
        <f>IF(ISBLANK(Drummond!E185),FALSE,TRIM(Drummond!E185))</f>
        <v>12302015-3870-6</v>
      </c>
      <c r="C185" s="2" t="str">
        <f>IF(ISBLANK(Drummond!F185),FALSE,LOOKUP(Drummond!F185,Lookup!$A$6:$B$7))</f>
        <v>All</v>
      </c>
      <c r="D185" s="2" t="str">
        <f>IF(ISBLANK(Drummond!G185),FALSE,Drummond!G185)</f>
        <v>http://ecqmpro.com/ecqm-pro-ehr-meaningful-use-certifications/</v>
      </c>
      <c r="E185" s="2" t="str">
        <f>IF(NOT(ISBLANK(Drummond!D185)),IF(OR(ISBLANK(Drummond!E185),Drummond!E185="N/A"),"no acb code",CONCATENATE(Lookup!F$1,A185,Lookup!G$1,B185,Lookup!H$1,H$1,Lookup!I$1)),"no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'12302015-3870-6' and cb."name" = 'Drummond Group Inc.' and cp.product_version_id = pv.product_version_id and pv.product_id = p.product_id and p.vendor_id = vend.vendor_id;</v>
      </c>
      <c r="F185" s="2" t="str">
        <f>IF(AND(NOT(ISBLANK(Drummond!G185)),Drummond!G185&lt;&gt;"N/A"),IF(C185="All",CONCATENATE(Lookup!F$2,D185,Lookup!G$2,B185,Lookup!H$2,H$1,Lookup!I$2),CONCATENATE(Lookup!F$3,D185,Lookup!G$3,B185,Lookup!H$3)),"no url")</f>
        <v>update openchpl.certified_product as cp set transparency_attestation_url = 'http://ecqmpro.com/ecqm-pro-ehr-meaningful-use-certifications/' from (select certified_product_id from (select vend.vendor_code from openchpl.certified_product as cp, openchpl.product_version as pv, openchpl.product as p, openchpl.vendor as vend where cp.acb_certification_id = '12302015-3870-6'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6" spans="1:6" x14ac:dyDescent="0.25">
      <c r="A186" s="2" t="str">
        <f>IF(ISBLANK(Drummond!D186),FALSE,LOOKUP(Drummond!D186,Lookup!$A$2:$B$4))</f>
        <v>Affirmative</v>
      </c>
      <c r="B186" s="2" t="str">
        <f>IF(ISBLANK(Drummond!E186),FALSE,TRIM(Drummond!E186))</f>
        <v>08142014-2644-3</v>
      </c>
      <c r="C186" s="2" t="str">
        <f>IF(ISBLANK(Drummond!F186),FALSE,LOOKUP(Drummond!F186,Lookup!$A$6:$B$7))</f>
        <v>All</v>
      </c>
      <c r="D186" s="2" t="str">
        <f>IF(ISBLANK(Drummond!G186),FALSE,Drummond!G186)</f>
        <v>https://hellohealth.com/ehr/resources/meaningful-use/</v>
      </c>
      <c r="E186" s="2" t="str">
        <f>IF(NOT(ISBLANK(Drummond!D186)),IF(OR(ISBLANK(Drummond!E186),Drummond!E186="N/A"),"no acb code",CONCATENATE(Lookup!F$1,A186,Lookup!G$1,B186,Lookup!H$1,H$1,Lookup!I$1)),"no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'08142014-2644-3' and cb."name" = 'Drummond Group Inc.' and cp.product_version_id = pv.product_version_id and pv.product_id = p.product_id and p.vendor_id = vend.vendor_id;</v>
      </c>
      <c r="F186" s="2" t="str">
        <f>IF(AND(NOT(ISBLANK(Drummond!G186)),Drummond!G186&lt;&gt;"N/A"),IF(C186="All",CONCATENATE(Lookup!F$2,D186,Lookup!G$2,B186,Lookup!H$2,H$1,Lookup!I$2),CONCATENATE(Lookup!F$3,D186,Lookup!G$3,B186,Lookup!H$3)),"no url")</f>
        <v>update openchpl.certified_product as cp set transparency_attestation_url = 'https://hellohealth.com/ehr/resources/meaningful-use/' from (select certified_product_id from (select vend.vendor_code from openchpl.certified_product as cp, openchpl.product_version as pv, openchpl.product as p, openchpl.vendor as vend where cp.acb_certification_id = '08142014-2644-3'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7" spans="1:6" x14ac:dyDescent="0.25">
      <c r="A187" s="2" t="str">
        <f>IF(ISBLANK(Drummond!D187),FALSE,LOOKUP(Drummond!D187,Lookup!$A$2:$B$4))</f>
        <v>Affirmative</v>
      </c>
      <c r="B187" s="2" t="str">
        <f>IF(ISBLANK(Drummond!E187),FALSE,TRIM(Drummond!E187))</f>
        <v>11212014-2618-6</v>
      </c>
      <c r="C187" s="2" t="str">
        <f>IF(ISBLANK(Drummond!F187),FALSE,LOOKUP(Drummond!F187,Lookup!$A$6:$B$7))</f>
        <v>All</v>
      </c>
      <c r="D187" s="2" t="str">
        <f>IF(ISBLANK(Drummond!G187),FALSE,Drummond!G187)</f>
        <v>http://www.holonsolutions.com/certifications.html</v>
      </c>
      <c r="E187" s="2" t="str">
        <f>IF(NOT(ISBLANK(Drummond!D187)),IF(OR(ISBLANK(Drummond!E187),Drummond!E187="N/A"),"no acb code",CONCATENATE(Lookup!F$1,A187,Lookup!G$1,B187,Lookup!H$1,H$1,Lookup!I$1)),"no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'11212014-2618-6' and cb."name" = 'Drummond Group Inc.' and cp.product_version_id = pv.product_version_id and pv.product_id = p.product_id and p.vendor_id = vend.vendor_id;</v>
      </c>
      <c r="F187" s="2" t="str">
        <f>IF(AND(NOT(ISBLANK(Drummond!G187)),Drummond!G187&lt;&gt;"N/A"),IF(C187="All",CONCATENATE(Lookup!F$2,D187,Lookup!G$2,B187,Lookup!H$2,H$1,Lookup!I$2),CONCATENATE(Lookup!F$3,D187,Lookup!G$3,B187,Lookup!H$3)),"no url")</f>
        <v>update openchpl.certified_product as cp set transparency_attestation_url = 'http://www.holonsolutions.com/certifications.html' from (select certified_product_id from (select vend.vendor_code from openchpl.certified_product as cp, openchpl.product_version as pv, openchpl.product as p, openchpl.vendor as vend where cp.acb_certification_id = '11212014-2618-6'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8" spans="1:6" x14ac:dyDescent="0.25">
      <c r="A188" s="2" t="str">
        <f>IF(ISBLANK(Drummond!D188),FALSE,LOOKUP(Drummond!D188,Lookup!$A$2:$B$4))</f>
        <v>Affirmative</v>
      </c>
      <c r="B188" s="2" t="str">
        <f>IF(ISBLANK(Drummond!E188),FALSE,TRIM(Drummond!E188))</f>
        <v>06262014-2461-6</v>
      </c>
      <c r="C188" s="2" t="str">
        <f>IF(ISBLANK(Drummond!F188),FALSE,LOOKUP(Drummond!F188,Lookup!$A$6:$B$7))</f>
        <v>All</v>
      </c>
      <c r="D188" s="2" t="str">
        <f>IF(ISBLANK(Drummond!G188),FALSE,Drummond!G188)</f>
        <v>http://www.icanotes.com/content/onc-atcb-certification</v>
      </c>
      <c r="E188" s="2" t="str">
        <f>IF(NOT(ISBLANK(Drummond!D188)),IF(OR(ISBLANK(Drummond!E188),Drummond!E188="N/A"),"no acb code",CONCATENATE(Lookup!F$1,A188,Lookup!G$1,B188,Lookup!H$1,H$1,Lookup!I$1)),"no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'06262014-2461-6' and cb."name" = 'Drummond Group Inc.' and cp.product_version_id = pv.product_version_id and pv.product_id = p.product_id and p.vendor_id = vend.vendor_id;</v>
      </c>
      <c r="F188" s="2" t="str">
        <f>IF(AND(NOT(ISBLANK(Drummond!G188)),Drummond!G188&lt;&gt;"N/A"),IF(C188="All",CONCATENATE(Lookup!F$2,D188,Lookup!G$2,B188,Lookup!H$2,H$1,Lookup!I$2),CONCATENATE(Lookup!F$3,D188,Lookup!G$3,B188,Lookup!H$3)),"no url")</f>
        <v>update openchpl.certified_product as cp set transparency_attestation_url = 'http://www.icanotes.com/content/onc-atcb-certification' from (select certified_product_id from (select vend.vendor_code from openchpl.certified_product as cp, openchpl.product_version as pv, openchpl.product as p, openchpl.vendor as vend where cp.acb_certification_id = '06262014-2461-6'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9" spans="1:6" x14ac:dyDescent="0.25">
      <c r="A189" s="2" t="str">
        <f>IF(ISBLANK(Drummond!D189),FALSE,LOOKUP(Drummond!D189,Lookup!$A$2:$B$4))</f>
        <v>Affirmative</v>
      </c>
      <c r="B189" s="2" t="str">
        <f>IF(ISBLANK(Drummond!E189),FALSE,TRIM(Drummond!E189))</f>
        <v>01302015-2712-3</v>
      </c>
      <c r="C189" s="2" t="str">
        <f>IF(ISBLANK(Drummond!F189),FALSE,LOOKUP(Drummond!F189,Lookup!$A$6:$B$7))</f>
        <v>All</v>
      </c>
      <c r="D189" s="2" t="str">
        <f>IF(ISBLANK(Drummond!G189),FALSE,Drummond!G189)</f>
        <v>http://www.icare.com/affordable/</v>
      </c>
      <c r="E189" s="2" t="str">
        <f>IF(NOT(ISBLANK(Drummond!D189)),IF(OR(ISBLANK(Drummond!E189),Drummond!E189="N/A"),"no acb code",CONCATENATE(Lookup!F$1,A189,Lookup!G$1,B189,Lookup!H$1,H$1,Lookup!I$1)),"no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'01302015-2712-3' and cb."name" = 'Drummond Group Inc.' and cp.product_version_id = pv.product_version_id and pv.product_id = p.product_id and p.vendor_id = vend.vendor_id;</v>
      </c>
      <c r="F189" s="2" t="str">
        <f>IF(AND(NOT(ISBLANK(Drummond!G189)),Drummond!G189&lt;&gt;"N/A"),IF(C189="All",CONCATENATE(Lookup!F$2,D189,Lookup!G$2,B189,Lookup!H$2,H$1,Lookup!I$2),CONCATENATE(Lookup!F$3,D189,Lookup!G$3,B189,Lookup!H$3)),"no url")</f>
        <v>update openchpl.certified_product as cp set transparency_attestation_url = 'http://www.icare.com/affordable/' from (select certified_product_id from (select vend.vendor_code from openchpl.certified_product as cp, openchpl.product_version as pv, openchpl.product as p, openchpl.vendor as vend where cp.acb_certification_id = '01302015-2712-3'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0" spans="1:6" x14ac:dyDescent="0.25">
      <c r="A190" s="2" t="str">
        <f>IF(ISBLANK(Drummond!D190),FALSE,LOOKUP(Drummond!D190,Lookup!$A$2:$B$4))</f>
        <v>Affirmative</v>
      </c>
      <c r="B190" s="2" t="str">
        <f>IF(ISBLANK(Drummond!E190),FALSE,TRIM(Drummond!E190))</f>
        <v>12192013-2382-5</v>
      </c>
      <c r="C190" s="2" t="str">
        <f>IF(ISBLANK(Drummond!F190),FALSE,LOOKUP(Drummond!F190,Lookup!$A$6:$B$7))</f>
        <v>All</v>
      </c>
      <c r="D190" s="2" t="str">
        <f>IF(ISBLANK(Drummond!G190),FALSE,Drummond!G190)</f>
        <v>http://icssoftware.net/products/sammyehr/</v>
      </c>
      <c r="E190" s="2" t="str">
        <f>IF(NOT(ISBLANK(Drummond!D190)),IF(OR(ISBLANK(Drummond!E190),Drummond!E190="N/A"),"no acb code",CONCATENATE(Lookup!F$1,A190,Lookup!G$1,B190,Lookup!H$1,H$1,Lookup!I$1)),"no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'12192013-2382-5' and cb."name" = 'Drummond Group Inc.' and cp.product_version_id = pv.product_version_id and pv.product_id = p.product_id and p.vendor_id = vend.vendor_id;</v>
      </c>
      <c r="F190" s="2" t="str">
        <f>IF(AND(NOT(ISBLANK(Drummond!G190)),Drummond!G190&lt;&gt;"N/A"),IF(C190="All",CONCATENATE(Lookup!F$2,D190,Lookup!G$2,B190,Lookup!H$2,H$1,Lookup!I$2),CONCATENATE(Lookup!F$3,D190,Lookup!G$3,B190,Lookup!H$3)),"no url")</f>
        <v>update openchpl.certified_product as cp set transparency_attestation_url = 'http://icssoftware.net/products/sammyehr/' from (select certified_product_id from (select vend.vendor_code from openchpl.certified_product as cp, openchpl.product_version as pv, openchpl.product as p, openchpl.vendor as vend where cp.acb_certification_id = '12192013-2382-5'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1" spans="1:6" x14ac:dyDescent="0.25">
      <c r="A191" s="2" t="str">
        <f>IF(ISBLANK(Drummond!D191),FALSE,LOOKUP(Drummond!D191,Lookup!$A$2:$B$4))</f>
        <v>Affirmative</v>
      </c>
      <c r="B191" s="2" t="str">
        <f>IF(ISBLANK(Drummond!E191),FALSE,TRIM(Drummond!E191))</f>
        <v>01302014-1799-6</v>
      </c>
      <c r="C191" s="2" t="str">
        <f>IF(ISBLANK(Drummond!F191),FALSE,LOOKUP(Drummond!F191,Lookup!$A$6:$B$7))</f>
        <v>All</v>
      </c>
      <c r="D191" s="2" t="str">
        <f>IF(ISBLANK(Drummond!G191),FALSE,Drummond!G191)</f>
        <v>http://www.ircsinc.com/index.php?page=software-vireo</v>
      </c>
      <c r="E191" s="2" t="str">
        <f>IF(NOT(ISBLANK(Drummond!D191)),IF(OR(ISBLANK(Drummond!E191),Drummond!E191="N/A"),"no acb code",CONCATENATE(Lookup!F$1,A191,Lookup!G$1,B191,Lookup!H$1,H$1,Lookup!I$1)),"no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'01302014-1799-6' and cb."name" = 'Drummond Group Inc.' and cp.product_version_id = pv.product_version_id and pv.product_id = p.product_id and p.vendor_id = vend.vendor_id;</v>
      </c>
      <c r="F191" s="2" t="str">
        <f>IF(AND(NOT(ISBLANK(Drummond!G191)),Drummond!G191&lt;&gt;"N/A"),IF(C191="All",CONCATENATE(Lookup!F$2,D191,Lookup!G$2,B191,Lookup!H$2,H$1,Lookup!I$2),CONCATENATE(Lookup!F$3,D191,Lookup!G$3,B191,Lookup!H$3)),"no url")</f>
        <v>update openchpl.certified_product as cp set transparency_attestation_url = 'http://www.ircsinc.com/index.php?page=software-vireo' from (select certified_product_id from (select vend.vendor_code from openchpl.certified_product as cp, openchpl.product_version as pv, openchpl.product as p, openchpl.vendor as vend where cp.acb_certification_id = '01302014-1799-6'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2" spans="1:6" x14ac:dyDescent="0.25">
      <c r="A192" s="2" t="str">
        <f>IF(ISBLANK(Drummond!D192),FALSE,LOOKUP(Drummond!D192,Lookup!$A$2:$B$4))</f>
        <v>Affirmative</v>
      </c>
      <c r="B192" s="2" t="str">
        <f>IF(ISBLANK(Drummond!E192),FALSE,TRIM(Drummond!E192))</f>
        <v>06302014-2472-1</v>
      </c>
      <c r="C192" s="2" t="str">
        <f>IF(ISBLANK(Drummond!F192),FALSE,LOOKUP(Drummond!F192,Lookup!$A$6:$B$7))</f>
        <v>All</v>
      </c>
      <c r="D192" s="2" t="str">
        <f>IF(ISBLANK(Drummond!G192),FALSE,Drummond!G192)</f>
        <v>http://www.ibeza.net/certifications</v>
      </c>
      <c r="E192" s="2" t="str">
        <f>IF(NOT(ISBLANK(Drummond!D192)),IF(OR(ISBLANK(Drummond!E192),Drummond!E192="N/A"),"no acb code",CONCATENATE(Lookup!F$1,A192,Lookup!G$1,B192,Lookup!H$1,H$1,Lookup!I$1)),"no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'06302014-2472-1' and cb."name" = 'Drummond Group Inc.' and cp.product_version_id = pv.product_version_id and pv.product_id = p.product_id and p.vendor_id = vend.vendor_id;</v>
      </c>
      <c r="F192" s="2" t="str">
        <f>IF(AND(NOT(ISBLANK(Drummond!G192)),Drummond!G192&lt;&gt;"N/A"),IF(C192="All",CONCATENATE(Lookup!F$2,D192,Lookup!G$2,B192,Lookup!H$2,H$1,Lookup!I$2),CONCATENATE(Lookup!F$3,D192,Lookup!G$3,B192,Lookup!H$3)),"no url")</f>
        <v>update openchpl.certified_product as cp set transparency_attestation_url = 'http://www.ibeza.net/certifications' from (select certified_product_id from (select vend.vendor_code from openchpl.certified_product as cp, openchpl.product_version as pv, openchpl.product as p, openchpl.vendor as vend where cp.acb_certification_id = '06302014-2472-1'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3" spans="1:6" x14ac:dyDescent="0.25">
      <c r="A193" s="2" t="str">
        <f>IF(ISBLANK(Drummond!D193),FALSE,LOOKUP(Drummond!D193,Lookup!$A$2:$B$4))</f>
        <v>Affirmative</v>
      </c>
      <c r="B193" s="2" t="str">
        <f>IF(ISBLANK(Drummond!E193),FALSE,TRIM(Drummond!E193))</f>
        <v>12052013-2086-9</v>
      </c>
      <c r="C193" s="2" t="str">
        <f>IF(ISBLANK(Drummond!F193),FALSE,LOOKUP(Drummond!F193,Lookup!$A$6:$B$7))</f>
        <v>All</v>
      </c>
      <c r="D193" s="2" t="str">
        <f>IF(ISBLANK(Drummond!G193),FALSE,Drummond!G193)</f>
        <v>http://www.imedicware.com/Drummond</v>
      </c>
      <c r="E193" s="2" t="str">
        <f>IF(NOT(ISBLANK(Drummond!D193)),IF(OR(ISBLANK(Drummond!E193),Drummond!E193="N/A"),"no acb code",CONCATENATE(Lookup!F$1,A193,Lookup!G$1,B193,Lookup!H$1,H$1,Lookup!I$1)),"no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'12052013-2086-9' and cb."name" = 'Drummond Group Inc.' and cp.product_version_id = pv.product_version_id and pv.product_id = p.product_id and p.vendor_id = vend.vendor_id;</v>
      </c>
      <c r="F193" s="2" t="str">
        <f>IF(AND(NOT(ISBLANK(Drummond!G193)),Drummond!G193&lt;&gt;"N/A"),IF(C193="All",CONCATENATE(Lookup!F$2,D193,Lookup!G$2,B193,Lookup!H$2,H$1,Lookup!I$2),CONCATENATE(Lookup!F$3,D193,Lookup!G$3,B193,Lookup!H$3)),"no url")</f>
        <v>update openchpl.certified_product as cp set transparency_attestation_url = 'http://www.imedicware.com/Drummond' from (select certified_product_id from (select vend.vendor_code from openchpl.certified_product as cp, openchpl.product_version as pv, openchpl.product as p, openchpl.vendor as vend where cp.acb_certification_id = '12052013-2086-9'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4" spans="1:6" x14ac:dyDescent="0.25">
      <c r="A194" s="2" t="str">
        <f>IF(ISBLANK(Drummond!D194),FALSE,LOOKUP(Drummond!D194,Lookup!$A$2:$B$4))</f>
        <v>Affirmative</v>
      </c>
      <c r="B194" s="2" t="str">
        <f>IF(ISBLANK(Drummond!E194),FALSE,TRIM(Drummond!E194))</f>
        <v>02052015-2616-8</v>
      </c>
      <c r="C194" s="2" t="str">
        <f>IF(ISBLANK(Drummond!F194),FALSE,LOOKUP(Drummond!F194,Lookup!$A$6:$B$7))</f>
        <v>All</v>
      </c>
      <c r="D194" s="2" t="str">
        <f>IF(ISBLANK(Drummond!G194),FALSE,Drummond!G194)</f>
        <v>http://www.inpracsys.com/ips/compliance</v>
      </c>
      <c r="E194" s="2" t="str">
        <f>IF(NOT(ISBLANK(Drummond!D194)),IF(OR(ISBLANK(Drummond!E194),Drummond!E194="N/A"),"no acb code",CONCATENATE(Lookup!F$1,A194,Lookup!G$1,B194,Lookup!H$1,H$1,Lookup!I$1)),"no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'02052015-2616-8' and cb."name" = 'Drummond Group Inc.' and cp.product_version_id = pv.product_version_id and pv.product_id = p.product_id and p.vendor_id = vend.vendor_id;</v>
      </c>
      <c r="F194" s="2" t="str">
        <f>IF(AND(NOT(ISBLANK(Drummond!G194)),Drummond!G194&lt;&gt;"N/A"),IF(C194="All",CONCATENATE(Lookup!F$2,D194,Lookup!G$2,B194,Lookup!H$2,H$1,Lookup!I$2),CONCATENATE(Lookup!F$3,D194,Lookup!G$3,B194,Lookup!H$3)),"no url")</f>
        <v>update openchpl.certified_product as cp set transparency_attestation_url = 'http://www.inpracsys.com/ips/compliance' from (select certified_product_id from (select vend.vendor_code from openchpl.certified_product as cp, openchpl.product_version as pv, openchpl.product as p, openchpl.vendor as vend where cp.acb_certification_id = '02052015-2616-8'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5" spans="1:6" x14ac:dyDescent="0.25">
      <c r="A195" s="2" t="str">
        <f>IF(ISBLANK(Drummond!D195),FALSE,LOOKUP(Drummond!D195,Lookup!$A$2:$B$4))</f>
        <v>Affirmative</v>
      </c>
      <c r="B195" s="2" t="str">
        <f>IF(ISBLANK(Drummond!E195),FALSE,TRIM(Drummond!E195))</f>
        <v>05082014-2399-8</v>
      </c>
      <c r="C195" s="2" t="str">
        <f>IF(ISBLANK(Drummond!F195),FALSE,LOOKUP(Drummond!F195,Lookup!$A$6:$B$7))</f>
        <v>All</v>
      </c>
      <c r="D195" s="2" t="str">
        <f>IF(ISBLANK(Drummond!G195),FALSE,Drummond!G195)</f>
        <v>http://www.infor.com/product-summary/healthcare/cloverleaf-integration-suite/</v>
      </c>
      <c r="E195" s="2" t="str">
        <f>IF(NOT(ISBLANK(Drummond!D195)),IF(OR(ISBLANK(Drummond!E195),Drummond!E195="N/A"),"no acb code",CONCATENATE(Lookup!F$1,A195,Lookup!G$1,B195,Lookup!H$1,H$1,Lookup!I$1)),"no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'05082014-2399-8' and cb."name" = 'Drummond Group Inc.' and cp.product_version_id = pv.product_version_id and pv.product_id = p.product_id and p.vendor_id = vend.vendor_id;</v>
      </c>
      <c r="F195" s="2" t="str">
        <f>IF(AND(NOT(ISBLANK(Drummond!G195)),Drummond!G195&lt;&gt;"N/A"),IF(C195="All",CONCATENATE(Lookup!F$2,D195,Lookup!G$2,B195,Lookup!H$2,H$1,Lookup!I$2),CONCATENATE(Lookup!F$3,D195,Lookup!G$3,B195,Lookup!H$3)),"no url")</f>
        <v>update openchpl.certified_product as cp set transparency_attestation_url = 'http://www.infor.com/product-summary/healthcare/cloverleaf-integration-suite/' from (select certified_product_id from (select vend.vendor_code from openchpl.certified_product as cp, openchpl.product_version as pv, openchpl.product as p, openchpl.vendor as vend where cp.acb_certification_id = '05082014-2399-8'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6" spans="1:6" x14ac:dyDescent="0.25">
      <c r="A196" s="2" t="str">
        <f>IF(ISBLANK(Drummond!D196),FALSE,LOOKUP(Drummond!D196,Lookup!$A$2:$B$4))</f>
        <v>Affirmative</v>
      </c>
      <c r="B196" s="2" t="str">
        <f>IF(ISBLANK(Drummond!E196),FALSE,TRIM(Drummond!E196))</f>
        <v>06262014-2549-5</v>
      </c>
      <c r="C196" s="2" t="str">
        <f>IF(ISBLANK(Drummond!F196),FALSE,LOOKUP(Drummond!F196,Lookup!$A$6:$B$7))</f>
        <v>All</v>
      </c>
      <c r="D196" s="2" t="str">
        <f>IF(ISBLANK(Drummond!G196),FALSE,Drummond!G196)</f>
        <v>http://www.inforiainc.com/our_company/drummond_certification.html</v>
      </c>
      <c r="E196" s="2" t="str">
        <f>IF(NOT(ISBLANK(Drummond!D196)),IF(OR(ISBLANK(Drummond!E196),Drummond!E196="N/A"),"no acb code",CONCATENATE(Lookup!F$1,A196,Lookup!G$1,B196,Lookup!H$1,H$1,Lookup!I$1)),"no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'06262014-2549-5' and cb."name" = 'Drummond Group Inc.' and cp.product_version_id = pv.product_version_id and pv.product_id = p.product_id and p.vendor_id = vend.vendor_id;</v>
      </c>
      <c r="F196" s="2" t="str">
        <f>IF(AND(NOT(ISBLANK(Drummond!G196)),Drummond!G196&lt;&gt;"N/A"),IF(C196="All",CONCATENATE(Lookup!F$2,D196,Lookup!G$2,B196,Lookup!H$2,H$1,Lookup!I$2),CONCATENATE(Lookup!F$3,D196,Lookup!G$3,B196,Lookup!H$3)),"no url")</f>
        <v>update openchpl.certified_product as cp set transparency_attestation_url = 'http://www.inforiainc.com/our_company/drummond_certification.html' from (select certified_product_id from (select vend.vendor_code from openchpl.certified_product as cp, openchpl.product_version as pv, openchpl.product as p, openchpl.vendor as vend where cp.acb_certification_id = '06262014-2549-5'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7" spans="1:6" x14ac:dyDescent="0.25">
      <c r="A197" s="2" t="str">
        <f>IF(ISBLANK(Drummond!D197),FALSE,LOOKUP(Drummond!D197,Lookup!$A$2:$B$4))</f>
        <v>Affirmative</v>
      </c>
      <c r="B197" s="2" t="str">
        <f>IF(ISBLANK(Drummond!E197),FALSE,TRIM(Drummond!E197))</f>
        <v>05222014-2487-6</v>
      </c>
      <c r="C197" s="2" t="str">
        <f>IF(ISBLANK(Drummond!F197),FALSE,LOOKUP(Drummond!F197,Lookup!$A$6:$B$7))</f>
        <v>All</v>
      </c>
      <c r="D197" s="2" t="str">
        <f>IF(ISBLANK(Drummond!G197),FALSE,Drummond!G197)</f>
        <v>http://www.clinicsource.com/clinicsource-earns-prestigious-onc-acb-2014-certification/</v>
      </c>
      <c r="E197" s="2" t="str">
        <f>IF(NOT(ISBLANK(Drummond!D197)),IF(OR(ISBLANK(Drummond!E197),Drummond!E197="N/A"),"no acb code",CONCATENATE(Lookup!F$1,A197,Lookup!G$1,B197,Lookup!H$1,H$1,Lookup!I$1)),"no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'05222014-2487-6' and cb."name" = 'Drummond Group Inc.' and cp.product_version_id = pv.product_version_id and pv.product_id = p.product_id and p.vendor_id = vend.vendor_id;</v>
      </c>
      <c r="F197" s="2" t="str">
        <f>IF(AND(NOT(ISBLANK(Drummond!G197)),Drummond!G197&lt;&gt;"N/A"),IF(C197="All",CONCATENATE(Lookup!F$2,D197,Lookup!G$2,B197,Lookup!H$2,H$1,Lookup!I$2),CONCATENATE(Lookup!F$3,D197,Lookup!G$3,B197,Lookup!H$3)),"no url")</f>
        <v>update openchpl.certified_product as cp set transparency_attestation_url = 'http://www.clinicsource.com/clinicsource-earns-prestigious-onc-acb-2014-certification/' from (select certified_product_id from (select vend.vendor_code from openchpl.certified_product as cp, openchpl.product_version as pv, openchpl.product as p, openchpl.vendor as vend where cp.acb_certification_id = '05222014-2487-6'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8" spans="1:6" x14ac:dyDescent="0.25">
      <c r="A198" s="2" t="str">
        <f>IF(ISBLANK(Drummond!D198),FALSE,LOOKUP(Drummond!D198,Lookup!$A$2:$B$4))</f>
        <v>Affirmative</v>
      </c>
      <c r="B198" s="2" t="str">
        <f>IF(ISBLANK(Drummond!E198),FALSE,TRIM(Drummond!E198))</f>
        <v>06182015-0274-6</v>
      </c>
      <c r="C198" s="2" t="str">
        <f>IF(ISBLANK(Drummond!F198),FALSE,LOOKUP(Drummond!F198,Lookup!$A$6:$B$7))</f>
        <v>All</v>
      </c>
      <c r="D198" s="2" t="str">
        <f>IF(ISBLANK(Drummond!G198),FALSE,Drummond!G198)</f>
        <v>https://www.kno2.com/resources</v>
      </c>
      <c r="E198" s="2" t="str">
        <f>IF(NOT(ISBLANK(Drummond!D198)),IF(OR(ISBLANK(Drummond!E198),Drummond!E198="N/A"),"no acb code",CONCATENATE(Lookup!F$1,A198,Lookup!G$1,B198,Lookup!H$1,H$1,Lookup!I$1)),"no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'06182015-0274-6' and cb."name" = 'Drummond Group Inc.' and cp.product_version_id = pv.product_version_id and pv.product_id = p.product_id and p.vendor_id = vend.vendor_id;</v>
      </c>
      <c r="F198" s="2" t="str">
        <f>IF(AND(NOT(ISBLANK(Drummond!G198)),Drummond!G198&lt;&gt;"N/A"),IF(C198="All",CONCATENATE(Lookup!F$2,D198,Lookup!G$2,B198,Lookup!H$2,H$1,Lookup!I$2),CONCATENATE(Lookup!F$3,D198,Lookup!G$3,B198,Lookup!H$3)),"no url")</f>
        <v>update openchpl.certified_product as cp set transparency_attestation_url = 'https://www.kno2.com/resources' from (select certified_product_id from (select vend.vendor_code from openchpl.certified_product as cp, openchpl.product_version as pv, openchpl.product as p, openchpl.vendor as vend where cp.acb_certification_id = '06182015-0274-6'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9" spans="1:6" x14ac:dyDescent="0.25">
      <c r="A199" s="2" t="str">
        <f>IF(ISBLANK(Drummond!D199),FALSE,LOOKUP(Drummond!D199,Lookup!$A$2:$B$4))</f>
        <v>Affirmative</v>
      </c>
      <c r="B199" s="2" t="str">
        <f>IF(ISBLANK(Drummond!E199),FALSE,TRIM(Drummond!E199))</f>
        <v>03282014-2360-6</v>
      </c>
      <c r="C199" s="2" t="str">
        <f>IF(ISBLANK(Drummond!F199),FALSE,LOOKUP(Drummond!F199,Lookup!$A$6:$B$7))</f>
        <v>All</v>
      </c>
      <c r="D199" s="2" t="str">
        <f>IF(ISBLANK(Drummond!G199),FALSE,Drummond!G199)</f>
        <v>http://integrityemr.com/</v>
      </c>
      <c r="E199" s="2" t="str">
        <f>IF(NOT(ISBLANK(Drummond!D199)),IF(OR(ISBLANK(Drummond!E199),Drummond!E199="N/A"),"no acb code",CONCATENATE(Lookup!F$1,A199,Lookup!G$1,B199,Lookup!H$1,H$1,Lookup!I$1)),"no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'03282014-2360-6' and cb."name" = 'Drummond Group Inc.' and cp.product_version_id = pv.product_version_id and pv.product_id = p.product_id and p.vendor_id = vend.vendor_id;</v>
      </c>
      <c r="F199" s="2" t="str">
        <f>IF(AND(NOT(ISBLANK(Drummond!G199)),Drummond!G199&lt;&gt;"N/A"),IF(C199="All",CONCATENATE(Lookup!F$2,D199,Lookup!G$2,B199,Lookup!H$2,H$1,Lookup!I$2),CONCATENATE(Lookup!F$3,D199,Lookup!G$3,B199,Lookup!H$3)),"no url")</f>
        <v>update openchpl.certified_product as cp set transparency_attestation_url = 'http://integrityemr.com/' from (select certified_product_id from (select vend.vendor_code from openchpl.certified_product as cp, openchpl.product_version as pv, openchpl.product as p, openchpl.vendor as vend where cp.acb_certification_id = '03282014-2360-6'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0" spans="1:6" x14ac:dyDescent="0.25">
      <c r="A200" s="2" t="str">
        <f>IF(ISBLANK(Drummond!D200),FALSE,LOOKUP(Drummond!D200,Lookup!$A$2:$B$4))</f>
        <v>Affirmative</v>
      </c>
      <c r="B200" s="2" t="str">
        <f>IF(ISBLANK(Drummond!E200),FALSE,TRIM(Drummond!E200))</f>
        <v>10092014-2129-9</v>
      </c>
      <c r="C200" s="2" t="str">
        <f>IF(ISBLANK(Drummond!F200),FALSE,LOOKUP(Drummond!F200,Lookup!$A$6:$B$7))</f>
        <v>All</v>
      </c>
      <c r="D200" s="2" t="str">
        <f>IF(ISBLANK(Drummond!G200),FALSE,Drummond!G200)</f>
        <v>http://intellicure.com/Drummond.aspx</v>
      </c>
      <c r="E200" s="2" t="str">
        <f>IF(NOT(ISBLANK(Drummond!D200)),IF(OR(ISBLANK(Drummond!E200),Drummond!E200="N/A"),"no acb code",CONCATENATE(Lookup!F$1,A200,Lookup!G$1,B200,Lookup!H$1,H$1,Lookup!I$1)),"no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'10092014-2129-9' and cb."name" = 'Drummond Group Inc.' and cp.product_version_id = pv.product_version_id and pv.product_id = p.product_id and p.vendor_id = vend.vendor_id;</v>
      </c>
      <c r="F200" s="2" t="str">
        <f>IF(AND(NOT(ISBLANK(Drummond!G200)),Drummond!G200&lt;&gt;"N/A"),IF(C200="All",CONCATENATE(Lookup!F$2,D200,Lookup!G$2,B200,Lookup!H$2,H$1,Lookup!I$2),CONCATENATE(Lookup!F$3,D200,Lookup!G$3,B200,Lookup!H$3)),"no url")</f>
        <v>update openchpl.certified_product as cp set transparency_attestation_url = 'http://intellicure.com/Drummond.aspx' from (select certified_product_id from (select vend.vendor_code from openchpl.certified_product as cp, openchpl.product_version as pv, openchpl.product as p, openchpl.vendor as vend where cp.acb_certification_id = '10092014-2129-9'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1" spans="1:6" x14ac:dyDescent="0.25">
      <c r="A201" s="2" t="str">
        <f>IF(ISBLANK(Drummond!D201),FALSE,LOOKUP(Drummond!D201,Lookup!$A$2:$B$4))</f>
        <v>Affirmative</v>
      </c>
      <c r="B201" s="2" t="str">
        <f>IF(ISBLANK(Drummond!E201),FALSE,TRIM(Drummond!E201))</f>
        <v>09302015-3035-8</v>
      </c>
      <c r="C201" s="2" t="str">
        <f>IF(ISBLANK(Drummond!F201),FALSE,LOOKUP(Drummond!F201,Lookup!$A$6:$B$7))</f>
        <v>All</v>
      </c>
      <c r="D201" s="2" t="str">
        <f>IF(ISBLANK(Drummond!G201),FALSE,Drummond!G201)</f>
        <v>http://us.icw-global.com/solutions/icw-patient-engagement.html</v>
      </c>
      <c r="E201" s="2" t="str">
        <f>IF(NOT(ISBLANK(Drummond!D201)),IF(OR(ISBLANK(Drummond!E201),Drummond!E201="N/A"),"no acb code",CONCATENATE(Lookup!F$1,A201,Lookup!G$1,B201,Lookup!H$1,H$1,Lookup!I$1)),"no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'09302015-3035-8' and cb."name" = 'Drummond Group Inc.' and cp.product_version_id = pv.product_version_id and pv.product_id = p.product_id and p.vendor_id = vend.vendor_id;</v>
      </c>
      <c r="F201" s="2" t="str">
        <f>IF(AND(NOT(ISBLANK(Drummond!G201)),Drummond!G201&lt;&gt;"N/A"),IF(C201="All",CONCATENATE(Lookup!F$2,D201,Lookup!G$2,B201,Lookup!H$2,H$1,Lookup!I$2),CONCATENATE(Lookup!F$3,D201,Lookup!G$3,B201,Lookup!H$3)),"no url")</f>
        <v>update openchpl.certified_product as cp set transparency_attestation_url = 'http://us.icw-global.com/solutions/icw-patient-engagement.html' from (select certified_product_id from (select vend.vendor_code from openchpl.certified_product as cp, openchpl.product_version as pv, openchpl.product as p, openchpl.vendor as vend where cp.acb_certification_id = '09302015-3035-8'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2" spans="1:6" x14ac:dyDescent="0.25">
      <c r="A202" s="2" t="str">
        <f>IF(ISBLANK(Drummond!D202),FALSE,LOOKUP(Drummond!D202,Lookup!$A$2:$B$4))</f>
        <v>Negative</v>
      </c>
      <c r="B202" s="2" t="str">
        <f>IF(ISBLANK(Drummond!E202),FALSE,TRIM(Drummond!E202))</f>
        <v>07192013-1987-5</v>
      </c>
      <c r="C202" s="2" t="str">
        <f>IF(ISBLANK(Drummond!F202),FALSE,LOOKUP(Drummond!F202,Lookup!$A$6:$B$7))</f>
        <v>All</v>
      </c>
      <c r="D202" s="2" t="str">
        <f>IF(ISBLANK(Drummond!G202),FALSE,Drummond!G202)</f>
        <v>http://www.intersystems.com/our-products/healthshare/meaningful-use-certification/</v>
      </c>
      <c r="E202" s="2" t="str">
        <f>IF(NOT(ISBLANK(Drummond!D202)),IF(OR(ISBLANK(Drummond!E202),Drummond!E202="N/A"),"no acb code",CONCATENATE(Lookup!F$1,A202,Lookup!G$1,B202,Lookup!H$1,H$1,Lookup!I$1)),"no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'07192013-1987-5' and cb."name" = 'Drummond Group Inc.' and cp.product_version_id = pv.product_version_id and pv.product_id = p.product_id and p.vendor_id = vend.vendor_id;</v>
      </c>
      <c r="F202" s="2" t="str">
        <f>IF(AND(NOT(ISBLANK(Drummond!G202)),Drummond!G202&lt;&gt;"N/A"),IF(C202="All",CONCATENATE(Lookup!F$2,D202,Lookup!G$2,B202,Lookup!H$2,H$1,Lookup!I$2),CONCATENATE(Lookup!F$3,D202,Lookup!G$3,B202,Lookup!H$3)),"no url")</f>
        <v>update openchpl.certified_product as cp set transparency_attestation_url = 'http://www.intersystems.com/our-products/healthshare/meaningful-use-certification/' from (select certified_product_id from (select vend.vendor_code from openchpl.certified_product as cp, openchpl.product_version as pv, openchpl.product as p, openchpl.vendor as vend where cp.acb_certification_id = '07192013-1987-5'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3" spans="1:6" x14ac:dyDescent="0.25">
      <c r="A203" s="2" t="str">
        <f>IF(ISBLANK(Drummond!D203),FALSE,LOOKUP(Drummond!D203,Lookup!$A$2:$B$4))</f>
        <v>Affirmative</v>
      </c>
      <c r="B203" s="2" t="str">
        <f>IF(ISBLANK(Drummond!E203),FALSE,TRIM(Drummond!E203))</f>
        <v>01102014-2342-9</v>
      </c>
      <c r="C203" s="2" t="str">
        <f>IF(ISBLANK(Drummond!F203),FALSE,LOOKUP(Drummond!F203,Lookup!$A$6:$B$7))</f>
        <v>All</v>
      </c>
      <c r="D203" s="2" t="str">
        <f>IF(ISBLANK(Drummond!G203),FALSE,Drummond!G203)</f>
        <v>http://isalushealthcare.com/ehr-features/meaningful-use</v>
      </c>
      <c r="E203" s="2" t="str">
        <f>IF(NOT(ISBLANK(Drummond!D203)),IF(OR(ISBLANK(Drummond!E203),Drummond!E203="N/A"),"no acb code",CONCATENATE(Lookup!F$1,A203,Lookup!G$1,B203,Lookup!H$1,H$1,Lookup!I$1)),"no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'01102014-2342-9' and cb."name" = 'Drummond Group Inc.' and cp.product_version_id = pv.product_version_id and pv.product_id = p.product_id and p.vendor_id = vend.vendor_id;</v>
      </c>
      <c r="F203" s="2" t="str">
        <f>IF(AND(NOT(ISBLANK(Drummond!G203)),Drummond!G203&lt;&gt;"N/A"),IF(C203="All",CONCATENATE(Lookup!F$2,D203,Lookup!G$2,B203,Lookup!H$2,H$1,Lookup!I$2),CONCATENATE(Lookup!F$3,D203,Lookup!G$3,B203,Lookup!H$3)),"no url")</f>
        <v>update openchpl.certified_product as cp set transparency_attestation_url = 'http://isalushealthcare.com/ehr-features/meaningful-use' from (select certified_product_id from (select vend.vendor_code from openchpl.certified_product as cp, openchpl.product_version as pv, openchpl.product as p, openchpl.vendor as vend where cp.acb_certification_id = '01102014-2342-9'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4" spans="1:6" x14ac:dyDescent="0.25">
      <c r="A204" s="2" t="str">
        <f>IF(ISBLANK(Drummond!D204),FALSE,LOOKUP(Drummond!D204,Lookup!$A$2:$B$4))</f>
        <v>Affirmative</v>
      </c>
      <c r="B204" s="2" t="str">
        <f>IF(ISBLANK(Drummond!E204),FALSE,TRIM(Drummond!E204))</f>
        <v>05162014-2558-8</v>
      </c>
      <c r="C204" s="2" t="str">
        <f>IF(ISBLANK(Drummond!F204),FALSE,LOOKUP(Drummond!F204,Lookup!$A$6:$B$7))</f>
        <v>All</v>
      </c>
      <c r="D204" s="2" t="str">
        <f>IF(ISBLANK(Drummond!G204),FALSE,Drummond!G204)</f>
        <v>http://clinictracker.com/features/meaningful-use</v>
      </c>
      <c r="E204" s="2" t="str">
        <f>IF(NOT(ISBLANK(Drummond!D204)),IF(OR(ISBLANK(Drummond!E204),Drummond!E204="N/A"),"no acb code",CONCATENATE(Lookup!F$1,A204,Lookup!G$1,B204,Lookup!H$1,H$1,Lookup!I$1)),"no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'05162014-2558-8' and cb."name" = 'Drummond Group Inc.' and cp.product_version_id = pv.product_version_id and pv.product_id = p.product_id and p.vendor_id = vend.vendor_id;</v>
      </c>
      <c r="F204" s="2" t="str">
        <f>IF(AND(NOT(ISBLANK(Drummond!G204)),Drummond!G204&lt;&gt;"N/A"),IF(C204="All",CONCATENATE(Lookup!F$2,D204,Lookup!G$2,B204,Lookup!H$2,H$1,Lookup!I$2),CONCATENATE(Lookup!F$3,D204,Lookup!G$3,B204,Lookup!H$3)),"no url")</f>
        <v>update openchpl.certified_product as cp set transparency_attestation_url = 'http://clinictracker.com/features/meaningful-use' from (select certified_product_id from (select vend.vendor_code from openchpl.certified_product as cp, openchpl.product_version as pv, openchpl.product as p, openchpl.vendor as vend where cp.acb_certification_id = '05162014-2558-8'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5" spans="1:6" x14ac:dyDescent="0.25">
      <c r="A205" s="2" t="str">
        <f>IF(ISBLANK(Drummond!D205),FALSE,LOOKUP(Drummond!D205,Lookup!$A$2:$B$4))</f>
        <v>Negative</v>
      </c>
      <c r="B205" s="2" t="str">
        <f>IF(ISBLANK(Drummond!E205),FALSE,TRIM(Drummond!E205))</f>
        <v>05272014-2473-5</v>
      </c>
      <c r="C205" s="2" t="str">
        <f>IF(ISBLANK(Drummond!F205),FALSE,LOOKUP(Drummond!F205,Lookup!$A$6:$B$7))</f>
        <v>All</v>
      </c>
      <c r="D205" s="2" t="str">
        <f>IF(ISBLANK(Drummond!G205),FALSE,Drummond!G205)</f>
        <v>http://www.doxpedo.com/ehr-incentive/</v>
      </c>
      <c r="E205" s="2" t="str">
        <f>IF(NOT(ISBLANK(Drummond!D205)),IF(OR(ISBLANK(Drummond!E205),Drummond!E205="N/A"),"no acb code",CONCATENATE(Lookup!F$1,A205,Lookup!G$1,B205,Lookup!H$1,H$1,Lookup!I$1)),"no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'05272014-2473-5' and cb."name" = 'Drummond Group Inc.' and cp.product_version_id = pv.product_version_id and pv.product_id = p.product_id and p.vendor_id = vend.vendor_id;</v>
      </c>
      <c r="F205" s="2" t="str">
        <f>IF(AND(NOT(ISBLANK(Drummond!G205)),Drummond!G205&lt;&gt;"N/A"),IF(C205="All",CONCATENATE(Lookup!F$2,D205,Lookup!G$2,B205,Lookup!H$2,H$1,Lookup!I$2),CONCATENATE(Lookup!F$3,D205,Lookup!G$3,B205,Lookup!H$3)),"no url")</f>
        <v>update openchpl.certified_product as cp set transparency_attestation_url = 'http://www.doxpedo.com/ehr-incentive/' from (select certified_product_id from (select vend.vendor_code from openchpl.certified_product as cp, openchpl.product_version as pv, openchpl.product as p, openchpl.vendor as vend where cp.acb_certification_id = '05272014-2473-5'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6" spans="1:6" x14ac:dyDescent="0.25">
      <c r="A206" s="2" t="str">
        <f>IF(ISBLANK(Drummond!D206),FALSE,LOOKUP(Drummond!D206,Lookup!$A$2:$B$4))</f>
        <v>Negative</v>
      </c>
      <c r="B206" s="2" t="str">
        <f>IF(ISBLANK(Drummond!E206),FALSE,TRIM(Drummond!E206))</f>
        <v>09042014-1910-5</v>
      </c>
      <c r="C206" s="2" t="str">
        <f>IF(ISBLANK(Drummond!F206),FALSE,LOOKUP(Drummond!F206,Lookup!$A$6:$B$7))</f>
        <v>All</v>
      </c>
      <c r="D206" s="2" t="str">
        <f>IF(ISBLANK(Drummond!G206),FALSE,Drummond!G206)</f>
        <v>www.drsdoc.com</v>
      </c>
      <c r="E206" s="2" t="str">
        <f>IF(NOT(ISBLANK(Drummond!D206)),IF(OR(ISBLANK(Drummond!E206),Drummond!E206="N/A"),"no acb code",CONCATENATE(Lookup!F$1,A206,Lookup!G$1,B206,Lookup!H$1,H$1,Lookup!I$1)),"no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'09042014-1910-5' and cb."name" = 'Drummond Group Inc.' and cp.product_version_id = pv.product_version_id and pv.product_id = p.product_id and p.vendor_id = vend.vendor_id;</v>
      </c>
      <c r="F206" s="2" t="str">
        <f>IF(AND(NOT(ISBLANK(Drummond!G206)),Drummond!G206&lt;&gt;"N/A"),IF(C206="All",CONCATENATE(Lookup!F$2,D206,Lookup!G$2,B206,Lookup!H$2,H$1,Lookup!I$2),CONCATENATE(Lookup!F$3,D206,Lookup!G$3,B206,Lookup!H$3)),"no url")</f>
        <v>update openchpl.certified_product as cp set transparency_attestation_url = 'www.drsdoc.com' from (select certified_product_id from (select vend.vendor_code from openchpl.certified_product as cp, openchpl.product_version as pv, openchpl.product as p, openchpl.vendor as vend where cp.acb_certification_id = '09042014-1910-5'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7" spans="1:6" x14ac:dyDescent="0.25">
      <c r="A207" s="2" t="str">
        <f>IF(ISBLANK(Drummond!D207),FALSE,LOOKUP(Drummond!D207,Lookup!$A$2:$B$4))</f>
        <v>Affirmative</v>
      </c>
      <c r="B207" s="2" t="str">
        <f>IF(ISBLANK(Drummond!E207),FALSE,TRIM(Drummond!E207))</f>
        <v>11122013-2341-1</v>
      </c>
      <c r="C207" s="2" t="str">
        <f>IF(ISBLANK(Drummond!F207),FALSE,LOOKUP(Drummond!F207,Lookup!$A$6:$B$7))</f>
        <v>All</v>
      </c>
      <c r="D207" s="2" t="str">
        <f>IF(ISBLANK(Drummond!G207),FALSE,Drummond!G207)</f>
        <v>http://www.keymedicalsoftware.com/home/keychart-electronic-medical-records</v>
      </c>
      <c r="E207" s="2" t="str">
        <f>IF(NOT(ISBLANK(Drummond!D207)),IF(OR(ISBLANK(Drummond!E207),Drummond!E207="N/A"),"no acb code",CONCATENATE(Lookup!F$1,A207,Lookup!G$1,B207,Lookup!H$1,H$1,Lookup!I$1)),"no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'11122013-2341-1' and cb."name" = 'Drummond Group Inc.' and cp.product_version_id = pv.product_version_id and pv.product_id = p.product_id and p.vendor_id = vend.vendor_id;</v>
      </c>
      <c r="F207" s="2" t="str">
        <f>IF(AND(NOT(ISBLANK(Drummond!G207)),Drummond!G207&lt;&gt;"N/A"),IF(C207="All",CONCATENATE(Lookup!F$2,D207,Lookup!G$2,B207,Lookup!H$2,H$1,Lookup!I$2),CONCATENATE(Lookup!F$3,D207,Lookup!G$3,B207,Lookup!H$3)),"no url")</f>
        <v>update openchpl.certified_product as cp set transparency_attestation_url = 'http://www.keymedicalsoftware.com/home/keychart-electronic-medical-records' from (select certified_product_id from (select vend.vendor_code from openchpl.certified_product as cp, openchpl.product_version as pv, openchpl.product as p, openchpl.vendor as vend where cp.acb_certification_id = '11122013-2341-1'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8" spans="1:6" x14ac:dyDescent="0.25">
      <c r="A208" s="2" t="str">
        <f>IF(ISBLANK(Drummond!D208),FALSE,LOOKUP(Drummond!D208,Lookup!$A$2:$B$4))</f>
        <v>Affirmative</v>
      </c>
      <c r="B208" s="2" t="str">
        <f>IF(ISBLANK(Drummond!E208),FALSE,TRIM(Drummond!E208))</f>
        <v>11112013-2351-1</v>
      </c>
      <c r="C208" s="2" t="str">
        <f>IF(ISBLANK(Drummond!F208),FALSE,LOOKUP(Drummond!F208,Lookup!$A$6:$B$7))</f>
        <v>All</v>
      </c>
      <c r="D208" s="2" t="str">
        <f>IF(ISBLANK(Drummond!G208),FALSE,Drummond!G208)</f>
        <v>http://home.meditech.com/en/d/regulatoryresources/pages/certification.htm</v>
      </c>
      <c r="E208" s="2" t="str">
        <f>IF(NOT(ISBLANK(Drummond!D208)),IF(OR(ISBLANK(Drummond!E208),Drummond!E208="N/A"),"no acb code",CONCATENATE(Lookup!F$1,A208,Lookup!G$1,B208,Lookup!H$1,H$1,Lookup!I$1)),"no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'11112013-2351-1' and cb."name" = 'Drummond Group Inc.' and cp.product_version_id = pv.product_version_id and pv.product_id = p.product_id and p.vendor_id = vend.vendor_id;</v>
      </c>
      <c r="F208" s="2" t="str">
        <f>IF(AND(NOT(ISBLANK(Drummond!G208)),Drummond!G208&lt;&gt;"N/A"),IF(C208="All",CONCATENATE(Lookup!F$2,D208,Lookup!G$2,B208,Lookup!H$2,H$1,Lookup!I$2),CONCATENATE(Lookup!F$3,D208,Lookup!G$3,B208,Lookup!H$3)),"no url")</f>
        <v>update openchpl.certified_product as cp set transparency_attestation_url = 'http://home.meditech.com/en/d/regulatoryresources/pages/certification.htm' from (select certified_product_id from (select vend.vendor_code from openchpl.certified_product as cp, openchpl.product_version as pv, openchpl.product as p, openchpl.vendor as vend where cp.acb_certification_id = '11112013-2351-1'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9" spans="1:6" x14ac:dyDescent="0.25">
      <c r="A209" s="2" t="str">
        <f>IF(ISBLANK(Drummond!D209),FALSE,LOOKUP(Drummond!D209,Lookup!$A$2:$B$4))</f>
        <v>Affirmative</v>
      </c>
      <c r="B209" s="2" t="str">
        <f>IF(ISBLANK(Drummond!E209),FALSE,TRIM(Drummond!E209))</f>
        <v>07212014-2859-1</v>
      </c>
      <c r="C209" s="2" t="str">
        <f>IF(ISBLANK(Drummond!F209),FALSE,LOOKUP(Drummond!F209,Lookup!$A$6:$B$7))</f>
        <v>All</v>
      </c>
      <c r="D209" s="2" t="str">
        <f>IF(ISBLANK(Drummond!G209),FALSE,Drummond!G209)</f>
        <v>http://laurisonline.com/certinfo.aspx</v>
      </c>
      <c r="E209" s="2" t="str">
        <f>IF(NOT(ISBLANK(Drummond!D209)),IF(OR(ISBLANK(Drummond!E209),Drummond!E209="N/A"),"no acb code",CONCATENATE(Lookup!F$1,A209,Lookup!G$1,B209,Lookup!H$1,H$1,Lookup!I$1)),"no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'07212014-2859-1' and cb."name" = 'Drummond Group Inc.' and cp.product_version_id = pv.product_version_id and pv.product_id = p.product_id and p.vendor_id = vend.vendor_id;</v>
      </c>
      <c r="F209" s="2" t="str">
        <f>IF(AND(NOT(ISBLANK(Drummond!G209)),Drummond!G209&lt;&gt;"N/A"),IF(C209="All",CONCATENATE(Lookup!F$2,D209,Lookup!G$2,B209,Lookup!H$2,H$1,Lookup!I$2),CONCATENATE(Lookup!F$3,D209,Lookup!G$3,B209,Lookup!H$3)),"no url")</f>
        <v>update openchpl.certified_product as cp set transparency_attestation_url = 'http://laurisonline.com/certinfo.aspx' from (select certified_product_id from (select vend.vendor_code from openchpl.certified_product as cp, openchpl.product_version as pv, openchpl.product as p, openchpl.vendor as vend where cp.acb_certification_id = '07212014-2859-1'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0" spans="1:6" x14ac:dyDescent="0.25">
      <c r="A210" s="2" t="str">
        <f>IF(ISBLANK(Drummond!D210),FALSE,LOOKUP(Drummond!D210,Lookup!$A$2:$B$4))</f>
        <v>N/A</v>
      </c>
      <c r="B210" s="2" t="str">
        <f>IF(ISBLANK(Drummond!E210),FALSE,TRIM(Drummond!E210))</f>
        <v>09042014-2582-8</v>
      </c>
      <c r="C210" s="2" t="str">
        <f>IF(ISBLANK(Drummond!F210),FALSE,LOOKUP(Drummond!F210,Lookup!$A$6:$B$7))</f>
        <v>All</v>
      </c>
      <c r="D210" s="2" t="b">
        <f>IF(ISBLANK(Drummond!G210),FALSE,Drummond!G210)</f>
        <v>0</v>
      </c>
      <c r="E210" s="2" t="str">
        <f>IF(NOT(ISBLANK(Drummond!D210)),IF(OR(ISBLANK(Drummond!E210),Drummond!E210="N/A"),"no acb code",CONCATENATE(Lookup!F$1,A210,Lookup!G$1,B210,Lookup!H$1,H$1,Lookup!I$1)),"no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'09042014-2582-8' and cb."name" = 'Drummond Group Inc.' and cp.product_version_id = pv.product_version_id and pv.product_id = p.product_id and p.vendor_id = vend.vendor_id;</v>
      </c>
      <c r="F210" s="2" t="str">
        <f>IF(AND(NOT(ISBLANK(Drummond!G210)),Drummond!G210&lt;&gt;"N/A"),IF(C210="All",CONCATENATE(Lookup!F$2,D210,Lookup!G$2,B210,Lookup!H$2,H$1,Lookup!I$2),CONCATENATE(Lookup!F$3,D210,Lookup!G$3,B210,Lookup!H$3)),"no url")</f>
        <v>no url</v>
      </c>
    </row>
    <row r="211" spans="1:6" x14ac:dyDescent="0.25">
      <c r="A211" s="2" t="str">
        <f>IF(ISBLANK(Drummond!D211),FALSE,LOOKUP(Drummond!D211,Lookup!$A$2:$B$4))</f>
        <v>Affirmative</v>
      </c>
      <c r="B211" s="2" t="str">
        <f>IF(ISBLANK(Drummond!E211),FALSE,TRIM(Drummond!E211))</f>
        <v>12182014-2073-5</v>
      </c>
      <c r="C211" s="2" t="str">
        <f>IF(ISBLANK(Drummond!F211),FALSE,LOOKUP(Drummond!F211,Lookup!$A$6:$B$7))</f>
        <v>All</v>
      </c>
      <c r="D211" s="2" t="str">
        <f>IF(ISBLANK(Drummond!G211),FALSE,Drummond!G211)</f>
        <v>https://my.genesysmd.com/purkinje/default.aspx?enc=HAd1rtUZbsmBBo0sEDuy4bAf+8ryRT8yh9r3/+iHu5rXeFKWiHS6Zt403nPTfkOv</v>
      </c>
      <c r="E211" s="2" t="str">
        <f>IF(NOT(ISBLANK(Drummond!D211)),IF(OR(ISBLANK(Drummond!E211),Drummond!E211="N/A"),"no acb code",CONCATENATE(Lookup!F$1,A211,Lookup!G$1,B211,Lookup!H$1,H$1,Lookup!I$1)),"no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'12182014-2073-5' and cb."name" = 'Drummond Group Inc.' and cp.product_version_id = pv.product_version_id and pv.product_id = p.product_id and p.vendor_id = vend.vendor_id;</v>
      </c>
      <c r="F211" s="2" t="str">
        <f>IF(AND(NOT(ISBLANK(Drummond!G211)),Drummond!G211&lt;&gt;"N/A"),IF(C211="All",CONCATENATE(Lookup!F$2,D211,Lookup!G$2,B211,Lookup!H$2,H$1,Lookup!I$2),CONCATENATE(Lookup!F$3,D211,Lookup!G$3,B211,Lookup!H$3)),"no url")</f>
        <v>update openchpl.certified_product as cp set transparency_attestation_url = 'https://my.genesysmd.com/purkinje/default.aspx?enc=HAd1rtUZbsmBBo0sEDuy4bAf+8ryRT8yh9r3/+iHu5rXeFKWiHS6Zt403nPTfkOv' from (select certified_product_id from (select vend.vendor_code from openchpl.certified_product as cp, openchpl.product_version as pv, openchpl.product as p, openchpl.vendor as vend where cp.acb_certification_id = '12182014-2073-5'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2" spans="1:6" x14ac:dyDescent="0.25">
      <c r="A212" s="2" t="str">
        <f>IF(ISBLANK(Drummond!D212),FALSE,LOOKUP(Drummond!D212,Lookup!$A$2:$B$4))</f>
        <v>Affirmative</v>
      </c>
      <c r="B212" s="2" t="str">
        <f>IF(ISBLANK(Drummond!E212),FALSE,TRIM(Drummond!E212))</f>
        <v>07102015-3006-1</v>
      </c>
      <c r="C212" s="2" t="str">
        <f>IF(ISBLANK(Drummond!F212),FALSE,LOOKUP(Drummond!F212,Lookup!$A$6:$B$7))</f>
        <v>All</v>
      </c>
      <c r="D212" s="2" t="str">
        <f>IF(ISBLANK(Drummond!G212),FALSE,Drummond!G212)</f>
        <v>https://www.cattailssoftware.com/clientportal/?page=login</v>
      </c>
      <c r="E212" s="2" t="str">
        <f>IF(NOT(ISBLANK(Drummond!D212)),IF(OR(ISBLANK(Drummond!E212),Drummond!E212="N/A"),"no acb code",CONCATENATE(Lookup!F$1,A212,Lookup!G$1,B212,Lookup!H$1,H$1,Lookup!I$1)),"no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'07102015-3006-1' and cb."name" = 'Drummond Group Inc.' and cp.product_version_id = pv.product_version_id and pv.product_id = p.product_id and p.vendor_id = vend.vendor_id;</v>
      </c>
      <c r="F212" s="2" t="str">
        <f>IF(AND(NOT(ISBLANK(Drummond!G212)),Drummond!G212&lt;&gt;"N/A"),IF(C212="All",CONCATENATE(Lookup!F$2,D212,Lookup!G$2,B212,Lookup!H$2,H$1,Lookup!I$2),CONCATENATE(Lookup!F$3,D212,Lookup!G$3,B212,Lookup!H$3)),"no url")</f>
        <v>update openchpl.certified_product as cp set transparency_attestation_url = 'https://www.cattailssoftware.com/clientportal/?page=login' from (select certified_product_id from (select vend.vendor_code from openchpl.certified_product as cp, openchpl.product_version as pv, openchpl.product as p, openchpl.vendor as vend where cp.acb_certification_id = '07102015-3006-1'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3" spans="1:6" x14ac:dyDescent="0.25">
      <c r="A213" s="2" t="str">
        <f>IF(ISBLANK(Drummond!D213),FALSE,LOOKUP(Drummond!D213,Lookup!$A$2:$B$4))</f>
        <v>Affirmative</v>
      </c>
      <c r="B213" s="2" t="str">
        <f>IF(ISBLANK(Drummond!E213),FALSE,TRIM(Drummond!E213))</f>
        <v>05302014-2084-9</v>
      </c>
      <c r="C213" s="2" t="str">
        <f>IF(ISBLANK(Drummond!F213),FALSE,LOOKUP(Drummond!F213,Lookup!$A$6:$B$7))</f>
        <v>All</v>
      </c>
      <c r="D213" s="2" t="str">
        <f>IF(ISBLANK(Drummond!G213),FALSE,Drummond!G213)</f>
        <v>http://www.mdlogic.com/support/value-added-services</v>
      </c>
      <c r="E213" s="2" t="str">
        <f>IF(NOT(ISBLANK(Drummond!D213)),IF(OR(ISBLANK(Drummond!E213),Drummond!E213="N/A"),"no acb code",CONCATENATE(Lookup!F$1,A213,Lookup!G$1,B213,Lookup!H$1,H$1,Lookup!I$1)),"no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'05302014-2084-9' and cb."name" = 'Drummond Group Inc.' and cp.product_version_id = pv.product_version_id and pv.product_id = p.product_id and p.vendor_id = vend.vendor_id;</v>
      </c>
      <c r="F213" s="2" t="str">
        <f>IF(AND(NOT(ISBLANK(Drummond!G213)),Drummond!G213&lt;&gt;"N/A"),IF(C213="All",CONCATENATE(Lookup!F$2,D213,Lookup!G$2,B213,Lookup!H$2,H$1,Lookup!I$2),CONCATENATE(Lookup!F$3,D213,Lookup!G$3,B213,Lookup!H$3)),"no url")</f>
        <v>update openchpl.certified_product as cp set transparency_attestation_url = 'http://www.mdlogic.com/support/value-added-services' from (select certified_product_id from (select vend.vendor_code from openchpl.certified_product as cp, openchpl.product_version as pv, openchpl.product as p, openchpl.vendor as vend where cp.acb_certification_id = '05302014-2084-9'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4" spans="1:6" x14ac:dyDescent="0.25">
      <c r="A214" s="2" t="str">
        <f>IF(ISBLANK(Drummond!D214),FALSE,LOOKUP(Drummond!D214,Lookup!$A$2:$B$4))</f>
        <v>Affirmative</v>
      </c>
      <c r="B214" s="2" t="str">
        <f>IF(ISBLANK(Drummond!E214),FALSE,TRIM(Drummond!E214))</f>
        <v>02052015-2143-5</v>
      </c>
      <c r="C214" s="2" t="str">
        <f>IF(ISBLANK(Drummond!F214),FALSE,LOOKUP(Drummond!F214,Lookup!$A$6:$B$7))</f>
        <v>Single</v>
      </c>
      <c r="D214" s="2" t="str">
        <f>IF(ISBLANK(Drummond!G214),FALSE,Drummond!G214)</f>
        <v>http://www.medhost.com/offerings/business-intelligence/business-intelligence-certification</v>
      </c>
      <c r="E214" s="2" t="str">
        <f>IF(NOT(ISBLANK(Drummond!D214)),IF(OR(ISBLANK(Drummond!E214),Drummond!E214="N/A"),"no acb code",CONCATENATE(Lookup!F$1,A214,Lookup!G$1,B214,Lookup!H$1,H$1,Lookup!I$1)),"no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'02052015-2143-5' and cb."name" = 'Drummond Group Inc.' and cp.product_version_id = pv.product_version_id and pv.product_id = p.product_id and p.vendor_id = vend.vendor_id;</v>
      </c>
      <c r="F214" s="2" t="str">
        <f>IF(AND(NOT(ISBLANK(Drummond!G214)),Drummond!G214&lt;&gt;"N/A"),IF(C214="All",CONCATENATE(Lookup!F$2,D214,Lookup!G$2,B214,Lookup!H$2,H$1,Lookup!I$2),CONCATENATE(Lookup!F$3,D214,Lookup!G$3,B214,Lookup!H$3)),"no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215" spans="1:6" x14ac:dyDescent="0.25">
      <c r="A215" s="2" t="str">
        <f>IF(ISBLANK(Drummond!D215),FALSE,LOOKUP(Drummond!D215,Lookup!$A$2:$B$4))</f>
        <v>Affirmative</v>
      </c>
      <c r="B215" s="2" t="str">
        <f>IF(ISBLANK(Drummond!E215),FALSE,TRIM(Drummond!E215))</f>
        <v>07162015-2145-5</v>
      </c>
      <c r="C215" s="2" t="str">
        <f>IF(ISBLANK(Drummond!F215),FALSE,LOOKUP(Drummond!F215,Lookup!$A$6:$B$7))</f>
        <v>Single</v>
      </c>
      <c r="D215" s="2" t="str">
        <f>IF(ISBLANK(Drummond!G215),FALSE,Drummond!G215)</f>
        <v>http://www.medhost.com/offerings/business-intelligence/business-intelligence-certification</v>
      </c>
      <c r="E215" s="2" t="str">
        <f>IF(NOT(ISBLANK(Drummond!D215)),IF(OR(ISBLANK(Drummond!E215),Drummond!E215="N/A"),"no acb code",CONCATENATE(Lookup!F$1,A215,Lookup!G$1,B215,Lookup!H$1,H$1,Lookup!I$1)),"no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'07162015-2145-5' and cb."name" = 'Drummond Group Inc.' and cp.product_version_id = pv.product_version_id and pv.product_id = p.product_id and p.vendor_id = vend.vendor_id;</v>
      </c>
      <c r="F215" s="2" t="str">
        <f>IF(AND(NOT(ISBLANK(Drummond!G215)),Drummond!G215&lt;&gt;"N/A"),IF(C215="All",CONCATENATE(Lookup!F$2,D215,Lookup!G$2,B215,Lookup!H$2,H$1,Lookup!I$2),CONCATENATE(Lookup!F$3,D215,Lookup!G$3,B215,Lookup!H$3)),"no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216" spans="1:6" x14ac:dyDescent="0.25">
      <c r="A216" s="2" t="str">
        <f>IF(ISBLANK(Drummond!D216),FALSE,LOOKUP(Drummond!D216,Lookup!$A$2:$B$4))</f>
        <v>Affirmative</v>
      </c>
      <c r="B216" s="2" t="str">
        <f>IF(ISBLANK(Drummond!E216),FALSE,TRIM(Drummond!E216))</f>
        <v>11122015-0434-5</v>
      </c>
      <c r="C216" s="2" t="str">
        <f>IF(ISBLANK(Drummond!F216),FALSE,LOOKUP(Drummond!F216,Lookup!$A$6:$B$7))</f>
        <v>Single</v>
      </c>
      <c r="D216" s="2" t="str">
        <f>IF(ISBLANK(Drummond!G216),FALSE,Drummond!G216)</f>
        <v>http://www.medhost.com/offerings/business-intelligence/business-intelligence-certification</v>
      </c>
      <c r="E216" s="2" t="str">
        <f>IF(NOT(ISBLANK(Drummond!D216)),IF(OR(ISBLANK(Drummond!E216),Drummond!E216="N/A"),"no acb code",CONCATENATE(Lookup!F$1,A216,Lookup!G$1,B216,Lookup!H$1,H$1,Lookup!I$1)),"no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'11122015-0434-5' and cb."name" = 'Drummond Group Inc.' and cp.product_version_id = pv.product_version_id and pv.product_id = p.product_id and p.vendor_id = vend.vendor_id;</v>
      </c>
      <c r="F216" s="2" t="str">
        <f>IF(AND(NOT(ISBLANK(Drummond!G216)),Drummond!G216&lt;&gt;"N/A"),IF(C216="All",CONCATENATE(Lookup!F$2,D216,Lookup!G$2,B216,Lookup!H$2,H$1,Lookup!I$2),CONCATENATE(Lookup!F$3,D216,Lookup!G$3,B216,Lookup!H$3)),"no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217" spans="1:6" x14ac:dyDescent="0.25">
      <c r="A217" s="2" t="str">
        <f>IF(ISBLANK(Drummond!D217),FALSE,LOOKUP(Drummond!D217,Lookup!$A$2:$B$4))</f>
        <v>Affirmative</v>
      </c>
      <c r="B217" s="2" t="str">
        <f>IF(ISBLANK(Drummond!E217),FALSE,TRIM(Drummond!E217))</f>
        <v>06192014-2142-5</v>
      </c>
      <c r="C217" s="2" t="str">
        <f>IF(ISBLANK(Drummond!F217),FALSE,LOOKUP(Drummond!F217,Lookup!$A$6:$B$7))</f>
        <v>Single</v>
      </c>
      <c r="D217" s="2" t="str">
        <f>IF(ISBLANK(Drummond!G217),FALSE,Drummond!G217)</f>
        <v>http://www.medhost.com/offerings/business-intelligence/business-intelligence-certification</v>
      </c>
      <c r="E217" s="2" t="str">
        <f>IF(NOT(ISBLANK(Drummond!D217)),IF(OR(ISBLANK(Drummond!E217),Drummond!E217="N/A"),"no acb code",CONCATENATE(Lookup!F$1,A217,Lookup!G$1,B217,Lookup!H$1,H$1,Lookup!I$1)),"no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'06192014-2142-5' and cb."name" = 'Drummond Group Inc.' and cp.product_version_id = pv.product_version_id and pv.product_id = p.product_id and p.vendor_id = vend.vendor_id;</v>
      </c>
      <c r="F217" s="2" t="str">
        <f>IF(AND(NOT(ISBLANK(Drummond!G217)),Drummond!G217&lt;&gt;"N/A"),IF(C217="All",CONCATENATE(Lookup!F$2,D217,Lookup!G$2,B217,Lookup!H$2,H$1,Lookup!I$2),CONCATENATE(Lookup!F$3,D217,Lookup!G$3,B217,Lookup!H$3)),"no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218" spans="1:6" x14ac:dyDescent="0.25">
      <c r="A218" s="2" t="str">
        <f>IF(ISBLANK(Drummond!D218),FALSE,LOOKUP(Drummond!D218,Lookup!$A$2:$B$4))</f>
        <v>Affirmative</v>
      </c>
      <c r="B218" s="2" t="str">
        <f>IF(ISBLANK(Drummond!E218),FALSE,TRIM(Drummond!E218))</f>
        <v>01302015-3102-5</v>
      </c>
      <c r="C218" s="2" t="str">
        <f>IF(ISBLANK(Drummond!F218),FALSE,LOOKUP(Drummond!F218,Lookup!$A$6:$B$7))</f>
        <v>Single</v>
      </c>
      <c r="D218" s="2" t="str">
        <f>IF(ISBLANK(Drummond!G218),FALSE,Drummond!G218)</f>
        <v>http://www.medhost.com/about-us/meaningful-use-certification</v>
      </c>
      <c r="E218" s="2" t="str">
        <f>IF(NOT(ISBLANK(Drummond!D218)),IF(OR(ISBLANK(Drummond!E218),Drummond!E218="N/A"),"no acb code",CONCATENATE(Lookup!F$1,A218,Lookup!G$1,B218,Lookup!H$1,H$1,Lookup!I$1)),"no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'01302015-3102-5' and cb."name" = 'Drummond Group Inc.' and cp.product_version_id = pv.product_version_id and pv.product_id = p.product_id and p.vendor_id = vend.vendor_id;</v>
      </c>
      <c r="F218" s="2" t="str">
        <f>IF(AND(NOT(ISBLANK(Drummond!G218)),Drummond!G218&lt;&gt;"N/A"),IF(C218="All",CONCATENATE(Lookup!F$2,D218,Lookup!G$2,B218,Lookup!H$2,H$1,Lookup!I$2),CONCATENATE(Lookup!F$3,D218,Lookup!G$3,B218,Lookup!H$3)),"no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219" spans="1:6" x14ac:dyDescent="0.25">
      <c r="A219" s="2" t="str">
        <f>IF(ISBLANK(Drummond!D219),FALSE,LOOKUP(Drummond!D219,Lookup!$A$2:$B$4))</f>
        <v>Affirmative</v>
      </c>
      <c r="B219" s="2" t="str">
        <f>IF(ISBLANK(Drummond!E219),FALSE,TRIM(Drummond!E219))</f>
        <v>01302015-3103-5</v>
      </c>
      <c r="C219" s="2" t="str">
        <f>IF(ISBLANK(Drummond!F219),FALSE,LOOKUP(Drummond!F219,Lookup!$A$6:$B$7))</f>
        <v>Single</v>
      </c>
      <c r="D219" s="2" t="str">
        <f>IF(ISBLANK(Drummond!G219),FALSE,Drummond!G219)</f>
        <v>http://www.medhost.com/about-us/meaningful-use-certification</v>
      </c>
      <c r="E219" s="2" t="str">
        <f>IF(NOT(ISBLANK(Drummond!D219)),IF(OR(ISBLANK(Drummond!E219),Drummond!E219="N/A"),"no acb code",CONCATENATE(Lookup!F$1,A219,Lookup!G$1,B219,Lookup!H$1,H$1,Lookup!I$1)),"no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'01302015-3103-5' and cb."name" = 'Drummond Group Inc.' and cp.product_version_id = pv.product_version_id and pv.product_id = p.product_id and p.vendor_id = vend.vendor_id;</v>
      </c>
      <c r="F219" s="2" t="str">
        <f>IF(AND(NOT(ISBLANK(Drummond!G219)),Drummond!G219&lt;&gt;"N/A"),IF(C219="All",CONCATENATE(Lookup!F$2,D219,Lookup!G$2,B219,Lookup!H$2,H$1,Lookup!I$2),CONCATENATE(Lookup!F$3,D219,Lookup!G$3,B219,Lookup!H$3)),"no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220" spans="1:6" x14ac:dyDescent="0.25">
      <c r="A220" s="2" t="str">
        <f>IF(ISBLANK(Drummond!D220),FALSE,LOOKUP(Drummond!D220,Lookup!$A$2:$B$4))</f>
        <v>Affirmative</v>
      </c>
      <c r="B220" s="2" t="str">
        <f>IF(ISBLANK(Drummond!E220),FALSE,TRIM(Drummond!E220))</f>
        <v>01302015-3104-5</v>
      </c>
      <c r="C220" s="2" t="str">
        <f>IF(ISBLANK(Drummond!F220),FALSE,LOOKUP(Drummond!F220,Lookup!$A$6:$B$7))</f>
        <v>Single</v>
      </c>
      <c r="D220" s="2" t="str">
        <f>IF(ISBLANK(Drummond!G220),FALSE,Drummond!G220)</f>
        <v>http://www.medhost.com/about-us/meaningful-use-certification</v>
      </c>
      <c r="E220" s="2" t="str">
        <f>IF(NOT(ISBLANK(Drummond!D220)),IF(OR(ISBLANK(Drummond!E220),Drummond!E220="N/A"),"no acb code",CONCATENATE(Lookup!F$1,A220,Lookup!G$1,B220,Lookup!H$1,H$1,Lookup!I$1)),"no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'01302015-3104-5' and cb."name" = 'Drummond Group Inc.' and cp.product_version_id = pv.product_version_id and pv.product_id = p.product_id and p.vendor_id = vend.vendor_id;</v>
      </c>
      <c r="F220" s="2" t="str">
        <f>IF(AND(NOT(ISBLANK(Drummond!G220)),Drummond!G220&lt;&gt;"N/A"),IF(C220="All",CONCATENATE(Lookup!F$2,D220,Lookup!G$2,B220,Lookup!H$2,H$1,Lookup!I$2),CONCATENATE(Lookup!F$3,D220,Lookup!G$3,B220,Lookup!H$3)),"no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221" spans="1:6" x14ac:dyDescent="0.25">
      <c r="A221" s="2" t="str">
        <f>IF(ISBLANK(Drummond!D221),FALSE,LOOKUP(Drummond!D221,Lookup!$A$2:$B$4))</f>
        <v>Affirmative</v>
      </c>
      <c r="B221" s="2" t="str">
        <f>IF(ISBLANK(Drummond!E221),FALSE,TRIM(Drummond!E221))</f>
        <v>09042014-1842-5</v>
      </c>
      <c r="C221" s="2" t="str">
        <f>IF(ISBLANK(Drummond!F221),FALSE,LOOKUP(Drummond!F221,Lookup!$A$6:$B$7))</f>
        <v>Single</v>
      </c>
      <c r="D221" s="2" t="str">
        <f>IF(ISBLANK(Drummond!G221),FALSE,Drummond!G221)</f>
        <v>http://www.medhost.com/about-us/meaningful-use-certification</v>
      </c>
      <c r="E221" s="2" t="str">
        <f>IF(NOT(ISBLANK(Drummond!D221)),IF(OR(ISBLANK(Drummond!E221),Drummond!E221="N/A"),"no acb code",CONCATENATE(Lookup!F$1,A221,Lookup!G$1,B221,Lookup!H$1,H$1,Lookup!I$1)),"no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'09042014-1842-5' and cb."name" = 'Drummond Group Inc.' and cp.product_version_id = pv.product_version_id and pv.product_id = p.product_id and p.vendor_id = vend.vendor_id;</v>
      </c>
      <c r="F221" s="2" t="str">
        <f>IF(AND(NOT(ISBLANK(Drummond!G221)),Drummond!G221&lt;&gt;"N/A"),IF(C221="All",CONCATENATE(Lookup!F$2,D221,Lookup!G$2,B221,Lookup!H$2,H$1,Lookup!I$2),CONCATENATE(Lookup!F$3,D221,Lookup!G$3,B221,Lookup!H$3)),"no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222" spans="1:6" x14ac:dyDescent="0.25">
      <c r="A222" s="2" t="str">
        <f>IF(ISBLANK(Drummond!D222),FALSE,LOOKUP(Drummond!D222,Lookup!$A$2:$B$4))</f>
        <v>Affirmative</v>
      </c>
      <c r="B222" s="2" t="str">
        <f>IF(ISBLANK(Drummond!E222),FALSE,TRIM(Drummond!E222))</f>
        <v>09042014-1843-5</v>
      </c>
      <c r="C222" s="2" t="str">
        <f>IF(ISBLANK(Drummond!F222),FALSE,LOOKUP(Drummond!F222,Lookup!$A$6:$B$7))</f>
        <v>Single</v>
      </c>
      <c r="D222" s="2" t="str">
        <f>IF(ISBLANK(Drummond!G222),FALSE,Drummond!G222)</f>
        <v>http://www.medhost.com/about-us/meaningful-use-certification</v>
      </c>
      <c r="E222" s="2" t="str">
        <f>IF(NOT(ISBLANK(Drummond!D222)),IF(OR(ISBLANK(Drummond!E222),Drummond!E222="N/A"),"no acb code",CONCATENATE(Lookup!F$1,A222,Lookup!G$1,B222,Lookup!H$1,H$1,Lookup!I$1)),"no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'09042014-1843-5' and cb."name" = 'Drummond Group Inc.' and cp.product_version_id = pv.product_version_id and pv.product_id = p.product_id and p.vendor_id = vend.vendor_id;</v>
      </c>
      <c r="F222" s="2" t="str">
        <f>IF(AND(NOT(ISBLANK(Drummond!G222)),Drummond!G222&lt;&gt;"N/A"),IF(C222="All",CONCATENATE(Lookup!F$2,D222,Lookup!G$2,B222,Lookup!H$2,H$1,Lookup!I$2),CONCATENATE(Lookup!F$3,D222,Lookup!G$3,B222,Lookup!H$3)),"no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223" spans="1:6" x14ac:dyDescent="0.25">
      <c r="A223" s="2" t="str">
        <f>IF(ISBLANK(Drummond!D223),FALSE,LOOKUP(Drummond!D223,Lookup!$A$2:$B$4))</f>
        <v>Affirmative</v>
      </c>
      <c r="B223" s="2" t="str">
        <f>IF(ISBLANK(Drummond!E223),FALSE,TRIM(Drummond!E223))</f>
        <v>08282014-1836-5</v>
      </c>
      <c r="C223" s="2" t="str">
        <f>IF(ISBLANK(Drummond!F223),FALSE,LOOKUP(Drummond!F223,Lookup!$A$6:$B$7))</f>
        <v>Single</v>
      </c>
      <c r="D223" s="2" t="str">
        <f>IF(ISBLANK(Drummond!G223),FALSE,Drummond!G223)</f>
        <v>http://www.medhost.com/about-us/meaningful-use-certification</v>
      </c>
      <c r="E223" s="2" t="str">
        <f>IF(NOT(ISBLANK(Drummond!D223)),IF(OR(ISBLANK(Drummond!E223),Drummond!E223="N/A"),"no acb code",CONCATENATE(Lookup!F$1,A223,Lookup!G$1,B223,Lookup!H$1,H$1,Lookup!I$1)),"no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'08282014-1836-5' and cb."name" = 'Drummond Group Inc.' and cp.product_version_id = pv.product_version_id and pv.product_id = p.product_id and p.vendor_id = vend.vendor_id;</v>
      </c>
      <c r="F223" s="2" t="str">
        <f>IF(AND(NOT(ISBLANK(Drummond!G223)),Drummond!G223&lt;&gt;"N/A"),IF(C223="All",CONCATENATE(Lookup!F$2,D223,Lookup!G$2,B223,Lookup!H$2,H$1,Lookup!I$2),CONCATENATE(Lookup!F$3,D223,Lookup!G$3,B223,Lookup!H$3)),"no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224" spans="1:6" x14ac:dyDescent="0.25">
      <c r="A224" s="2" t="str">
        <f>IF(ISBLANK(Drummond!D224),FALSE,LOOKUP(Drummond!D224,Lookup!$A$2:$B$4))</f>
        <v>Affirmative</v>
      </c>
      <c r="B224" s="2" t="str">
        <f>IF(ISBLANK(Drummond!E224),FALSE,TRIM(Drummond!E224))</f>
        <v>08282014-1837-5</v>
      </c>
      <c r="C224" s="2" t="str">
        <f>IF(ISBLANK(Drummond!F224),FALSE,LOOKUP(Drummond!F224,Lookup!$A$6:$B$7))</f>
        <v>Single</v>
      </c>
      <c r="D224" s="2" t="str">
        <f>IF(ISBLANK(Drummond!G224),FALSE,Drummond!G224)</f>
        <v>http://www.medhost.com/about-us/meaningful-use-certification</v>
      </c>
      <c r="E224" s="2" t="str">
        <f>IF(NOT(ISBLANK(Drummond!D224)),IF(OR(ISBLANK(Drummond!E224),Drummond!E224="N/A"),"no acb code",CONCATENATE(Lookup!F$1,A224,Lookup!G$1,B224,Lookup!H$1,H$1,Lookup!I$1)),"no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'08282014-1837-5' and cb."name" = 'Drummond Group Inc.' and cp.product_version_id = pv.product_version_id and pv.product_id = p.product_id and p.vendor_id = vend.vendor_id;</v>
      </c>
      <c r="F224" s="2" t="str">
        <f>IF(AND(NOT(ISBLANK(Drummond!G224)),Drummond!G224&lt;&gt;"N/A"),IF(C224="All",CONCATENATE(Lookup!F$2,D224,Lookup!G$2,B224,Lookup!H$2,H$1,Lookup!I$2),CONCATENATE(Lookup!F$3,D224,Lookup!G$3,B224,Lookup!H$3)),"no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225" spans="1:6" x14ac:dyDescent="0.25">
      <c r="A225" s="2" t="str">
        <f>IF(ISBLANK(Drummond!D225),FALSE,LOOKUP(Drummond!D225,Lookup!$A$2:$B$4))</f>
        <v>Affirmative</v>
      </c>
      <c r="B225" s="2" t="str">
        <f>IF(ISBLANK(Drummond!E225),FALSE,TRIM(Drummond!E225))</f>
        <v>08282014-1838-5</v>
      </c>
      <c r="C225" s="2" t="str">
        <f>IF(ISBLANK(Drummond!F225),FALSE,LOOKUP(Drummond!F225,Lookup!$A$6:$B$7))</f>
        <v>Single</v>
      </c>
      <c r="D225" s="2" t="str">
        <f>IF(ISBLANK(Drummond!G225),FALSE,Drummond!G225)</f>
        <v>http://www.medhost.com/about-us/meaningful-use-certification</v>
      </c>
      <c r="E225" s="2" t="str">
        <f>IF(NOT(ISBLANK(Drummond!D225)),IF(OR(ISBLANK(Drummond!E225),Drummond!E225="N/A"),"no acb code",CONCATENATE(Lookup!F$1,A225,Lookup!G$1,B225,Lookup!H$1,H$1,Lookup!I$1)),"no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'08282014-1838-5' and cb."name" = 'Drummond Group Inc.' and cp.product_version_id = pv.product_version_id and pv.product_id = p.product_id and p.vendor_id = vend.vendor_id;</v>
      </c>
      <c r="F225" s="2" t="str">
        <f>IF(AND(NOT(ISBLANK(Drummond!G225)),Drummond!G225&lt;&gt;"N/A"),IF(C225="All",CONCATENATE(Lookup!F$2,D225,Lookup!G$2,B225,Lookup!H$2,H$1,Lookup!I$2),CONCATENATE(Lookup!F$3,D225,Lookup!G$3,B225,Lookup!H$3)),"no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226" spans="1:6" x14ac:dyDescent="0.25">
      <c r="A226" s="2" t="str">
        <f>IF(ISBLANK(Drummond!D226),FALSE,LOOKUP(Drummond!D226,Lookup!$A$2:$B$4))</f>
        <v>Affirmative</v>
      </c>
      <c r="B226" s="2" t="str">
        <f>IF(ISBLANK(Drummond!E226),FALSE,TRIM(Drummond!E226))</f>
        <v>08282014-1839-5</v>
      </c>
      <c r="C226" s="2" t="str">
        <f>IF(ISBLANK(Drummond!F226),FALSE,LOOKUP(Drummond!F226,Lookup!$A$6:$B$7))</f>
        <v>Single</v>
      </c>
      <c r="D226" s="2" t="str">
        <f>IF(ISBLANK(Drummond!G226),FALSE,Drummond!G226)</f>
        <v>http://www.medhost.com/about-us/meaningful-use-certification</v>
      </c>
      <c r="E226" s="2" t="str">
        <f>IF(NOT(ISBLANK(Drummond!D226)),IF(OR(ISBLANK(Drummond!E226),Drummond!E226="N/A"),"no acb code",CONCATENATE(Lookup!F$1,A226,Lookup!G$1,B226,Lookup!H$1,H$1,Lookup!I$1)),"no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'08282014-1839-5' and cb."name" = 'Drummond Group Inc.' and cp.product_version_id = pv.product_version_id and pv.product_id = p.product_id and p.vendor_id = vend.vendor_id;</v>
      </c>
      <c r="F226" s="2" t="str">
        <f>IF(AND(NOT(ISBLANK(Drummond!G226)),Drummond!G226&lt;&gt;"N/A"),IF(C226="All",CONCATENATE(Lookup!F$2,D226,Lookup!G$2,B226,Lookup!H$2,H$1,Lookup!I$2),CONCATENATE(Lookup!F$3,D226,Lookup!G$3,B226,Lookup!H$3)),"no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227" spans="1:6" x14ac:dyDescent="0.25">
      <c r="A227" s="2" t="str">
        <f>IF(ISBLANK(Drummond!D227),FALSE,LOOKUP(Drummond!D227,Lookup!$A$2:$B$4))</f>
        <v>Affirmative</v>
      </c>
      <c r="B227" s="2" t="str">
        <f>IF(ISBLANK(Drummond!E227),FALSE,TRIM(Drummond!E227))</f>
        <v>06052014-1906-5</v>
      </c>
      <c r="C227" s="2" t="str">
        <f>IF(ISBLANK(Drummond!F227),FALSE,LOOKUP(Drummond!F227,Lookup!$A$6:$B$7))</f>
        <v>Single</v>
      </c>
      <c r="D227" s="2" t="str">
        <f>IF(ISBLANK(Drummond!G227),FALSE,Drummond!G227)</f>
        <v>http://www.medhost.com/offerings/edis/edis-certification</v>
      </c>
      <c r="E227" s="2" t="str">
        <f>IF(NOT(ISBLANK(Drummond!D227)),IF(OR(ISBLANK(Drummond!E227),Drummond!E227="N/A"),"no acb code",CONCATENATE(Lookup!F$1,A227,Lookup!G$1,B227,Lookup!H$1,H$1,Lookup!I$1)),"no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'06052014-1906-5' and cb."name" = 'Drummond Group Inc.' and cp.product_version_id = pv.product_version_id and pv.product_id = p.product_id and p.vendor_id = vend.vendor_id;</v>
      </c>
      <c r="F227" s="2" t="str">
        <f>IF(AND(NOT(ISBLANK(Drummond!G227)),Drummond!G227&lt;&gt;"N/A"),IF(C227="All",CONCATENATE(Lookup!F$2,D227,Lookup!G$2,B227,Lookup!H$2,H$1,Lookup!I$2),CONCATENATE(Lookup!F$3,D227,Lookup!G$3,B227,Lookup!H$3)),"no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228" spans="1:6" x14ac:dyDescent="0.25">
      <c r="A228" s="2" t="str">
        <f>IF(ISBLANK(Drummond!D228),FALSE,LOOKUP(Drummond!D228,Lookup!$A$2:$B$4))</f>
        <v>Affirmative</v>
      </c>
      <c r="B228" s="2" t="str">
        <f>IF(ISBLANK(Drummond!E228),FALSE,TRIM(Drummond!E228))</f>
        <v>03202014-1906-5</v>
      </c>
      <c r="C228" s="2" t="str">
        <f>IF(ISBLANK(Drummond!F228),FALSE,LOOKUP(Drummond!F228,Lookup!$A$6:$B$7))</f>
        <v>Single</v>
      </c>
      <c r="D228" s="2" t="str">
        <f>IF(ISBLANK(Drummond!G228),FALSE,Drummond!G228)</f>
        <v>http://www.medhost.com/offerings/edis/edis-certification</v>
      </c>
      <c r="E228" s="2" t="str">
        <f>IF(NOT(ISBLANK(Drummond!D228)),IF(OR(ISBLANK(Drummond!E228),Drummond!E228="N/A"),"no acb code",CONCATENATE(Lookup!F$1,A228,Lookup!G$1,B228,Lookup!H$1,H$1,Lookup!I$1)),"no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'03202014-1906-5' and cb."name" = 'Drummond Group Inc.' and cp.product_version_id = pv.product_version_id and pv.product_id = p.product_id and p.vendor_id = vend.vendor_id;</v>
      </c>
      <c r="F228" s="2" t="str">
        <f>IF(AND(NOT(ISBLANK(Drummond!G228)),Drummond!G228&lt;&gt;"N/A"),IF(C228="All",CONCATENATE(Lookup!F$2,D228,Lookup!G$2,B228,Lookup!H$2,H$1,Lookup!I$2),CONCATENATE(Lookup!F$3,D228,Lookup!G$3,B228,Lookup!H$3)),"no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229" spans="1:6" x14ac:dyDescent="0.25">
      <c r="A229" s="2" t="str">
        <f>IF(ISBLANK(Drummond!D229),FALSE,LOOKUP(Drummond!D229,Lookup!$A$2:$B$4))</f>
        <v>Affirmative</v>
      </c>
      <c r="B229" s="2" t="str">
        <f>IF(ISBLANK(Drummond!E229),FALSE,TRIM(Drummond!E229))</f>
        <v>03202014-1905-5</v>
      </c>
      <c r="C229" s="2" t="str">
        <f>IF(ISBLANK(Drummond!F229),FALSE,LOOKUP(Drummond!F229,Lookup!$A$6:$B$7))</f>
        <v>Single</v>
      </c>
      <c r="D229" s="2" t="str">
        <f>IF(ISBLANK(Drummond!G229),FALSE,Drummond!G229)</f>
        <v>http://www.medhost.com/offerings/edis/edis-certification</v>
      </c>
      <c r="E229" s="2" t="str">
        <f>IF(NOT(ISBLANK(Drummond!D229)),IF(OR(ISBLANK(Drummond!E229),Drummond!E229="N/A"),"no acb code",CONCATENATE(Lookup!F$1,A229,Lookup!G$1,B229,Lookup!H$1,H$1,Lookup!I$1)),"no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'03202014-1905-5' and cb."name" = 'Drummond Group Inc.' and cp.product_version_id = pv.product_version_id and pv.product_id = p.product_id and p.vendor_id = vend.vendor_id;</v>
      </c>
      <c r="F229" s="2" t="str">
        <f>IF(AND(NOT(ISBLANK(Drummond!G229)),Drummond!G229&lt;&gt;"N/A"),IF(C229="All",CONCATENATE(Lookup!F$2,D229,Lookup!G$2,B229,Lookup!H$2,H$1,Lookup!I$2),CONCATENATE(Lookup!F$3,D229,Lookup!G$3,B229,Lookup!H$3)),"no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230" spans="1:6" x14ac:dyDescent="0.25">
      <c r="A230" s="2" t="str">
        <f>IF(ISBLANK(Drummond!D230),FALSE,LOOKUP(Drummond!D230,Lookup!$A$2:$B$4))</f>
        <v>Affirmative</v>
      </c>
      <c r="B230" s="2" t="str">
        <f>IF(ISBLANK(Drummond!E230),FALSE,TRIM(Drummond!E230))</f>
        <v>09112014-1907-5</v>
      </c>
      <c r="C230" s="2" t="str">
        <f>IF(ISBLANK(Drummond!F230),FALSE,LOOKUP(Drummond!F230,Lookup!$A$6:$B$7))</f>
        <v>Single</v>
      </c>
      <c r="D230" s="2" t="str">
        <f>IF(ISBLANK(Drummond!G230),FALSE,Drummond!G230)</f>
        <v>http://www.medhost.com/offerings/edis/edis-certification</v>
      </c>
      <c r="E230" s="2" t="str">
        <f>IF(NOT(ISBLANK(Drummond!D230)),IF(OR(ISBLANK(Drummond!E230),Drummond!E230="N/A"),"no acb code",CONCATENATE(Lookup!F$1,A230,Lookup!G$1,B230,Lookup!H$1,H$1,Lookup!I$1)),"no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F230" s="2" t="str">
        <f>IF(AND(NOT(ISBLANK(Drummond!G230)),Drummond!G230&lt;&gt;"N/A"),IF(C230="All",CONCATENATE(Lookup!F$2,D230,Lookup!G$2,B230,Lookup!H$2,H$1,Lookup!I$2),CONCATENATE(Lookup!F$3,D230,Lookup!G$3,B230,Lookup!H$3)),"no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231" spans="1:6" x14ac:dyDescent="0.25">
      <c r="A231" s="2" t="str">
        <f>IF(ISBLANK(Drummond!D231),FALSE,LOOKUP(Drummond!D231,Lookup!$A$2:$B$4))</f>
        <v>Affirmative</v>
      </c>
      <c r="B231" s="2" t="str">
        <f>IF(ISBLANK(Drummond!E231),FALSE,TRIM(Drummond!E231))</f>
        <v>03052015-1102-5</v>
      </c>
      <c r="C231" s="2" t="str">
        <f>IF(ISBLANK(Drummond!F231),FALSE,LOOKUP(Drummond!F231,Lookup!$A$6:$B$7))</f>
        <v>Single</v>
      </c>
      <c r="D231" s="2" t="str">
        <f>IF(ISBLANK(Drummond!G231),FALSE,Drummond!G231)</f>
        <v>http://www.medhost.com/offerings/edis/edis-certification</v>
      </c>
      <c r="E231" s="2" t="str">
        <f>IF(NOT(ISBLANK(Drummond!D231)),IF(OR(ISBLANK(Drummond!E231),Drummond!E231="N/A"),"no acb code",CONCATENATE(Lookup!F$1,A231,Lookup!G$1,B231,Lookup!H$1,H$1,Lookup!I$1)),"no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F231" s="2" t="str">
        <f>IF(AND(NOT(ISBLANK(Drummond!G231)),Drummond!G231&lt;&gt;"N/A"),IF(C231="All",CONCATENATE(Lookup!F$2,D231,Lookup!G$2,B231,Lookup!H$2,H$1,Lookup!I$2),CONCATENATE(Lookup!F$3,D231,Lookup!G$3,B231,Lookup!H$3)),"no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232" spans="1:6" x14ac:dyDescent="0.25">
      <c r="A232" s="2" t="str">
        <f>IF(ISBLANK(Drummond!D232),FALSE,LOOKUP(Drummond!D232,Lookup!$A$2:$B$4))</f>
        <v>Affirmative</v>
      </c>
      <c r="B232" s="2" t="str">
        <f>IF(ISBLANK(Drummond!E232),FALSE,TRIM(Drummond!E232))</f>
        <v>08062015-0392-5</v>
      </c>
      <c r="C232" s="2" t="str">
        <f>IF(ISBLANK(Drummond!F232),FALSE,LOOKUP(Drummond!F232,Lookup!$A$6:$B$7))</f>
        <v>Single</v>
      </c>
      <c r="D232" s="2" t="str">
        <f>IF(ISBLANK(Drummond!G232),FALSE,Drummond!G232)</f>
        <v>http://www.medhost.com/offerings/edis/edis-certification</v>
      </c>
      <c r="E232" s="2" t="str">
        <f>IF(NOT(ISBLANK(Drummond!D232)),IF(OR(ISBLANK(Drummond!E232),Drummond!E232="N/A"),"no acb code",CONCATENATE(Lookup!F$1,A232,Lookup!G$1,B232,Lookup!H$1,H$1,Lookup!I$1)),"no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F232" s="2" t="str">
        <f>IF(AND(NOT(ISBLANK(Drummond!G232)),Drummond!G232&lt;&gt;"N/A"),IF(C232="All",CONCATENATE(Lookup!F$2,D232,Lookup!G$2,B232,Lookup!H$2,H$1,Lookup!I$2),CONCATENATE(Lookup!F$3,D232,Lookup!G$3,B232,Lookup!H$3)),"no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233" spans="1:6" x14ac:dyDescent="0.25">
      <c r="A233" s="2" t="str">
        <f>IF(ISBLANK(Drummond!D233),FALSE,LOOKUP(Drummond!D233,Lookup!$A$2:$B$4))</f>
        <v>Affirmative</v>
      </c>
      <c r="B233" s="2" t="str">
        <f>IF(ISBLANK(Drummond!E233),FALSE,TRIM(Drummond!E233))</f>
        <v>11122015-0508-5</v>
      </c>
      <c r="C233" s="2" t="str">
        <f>IF(ISBLANK(Drummond!F233),FALSE,LOOKUP(Drummond!F233,Lookup!$A$6:$B$7))</f>
        <v>Single</v>
      </c>
      <c r="D233" s="2" t="str">
        <f>IF(ISBLANK(Drummond!G233),FALSE,Drummond!G233)</f>
        <v>http://www.medhost.com/offerings/edis/edis-certification</v>
      </c>
      <c r="E233" s="2" t="str">
        <f>IF(NOT(ISBLANK(Drummond!D233)),IF(OR(ISBLANK(Drummond!E233),Drummond!E233="N/A"),"no acb code",CONCATENATE(Lookup!F$1,A233,Lookup!G$1,B233,Lookup!H$1,H$1,Lookup!I$1)),"no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'11122015-0508-5' and cb."name" = 'Drummond Group Inc.' and cp.product_version_id = pv.product_version_id and pv.product_id = p.product_id and p.vendor_id = vend.vendor_id;</v>
      </c>
      <c r="F233" s="2" t="str">
        <f>IF(AND(NOT(ISBLANK(Drummond!G233)),Drummond!G233&lt;&gt;"N/A"),IF(C233="All",CONCATENATE(Lookup!F$2,D233,Lookup!G$2,B233,Lookup!H$2,H$1,Lookup!I$2),CONCATENATE(Lookup!F$3,D233,Lookup!G$3,B233,Lookup!H$3)),"no url")</f>
        <v>update openchpl.certified_product as cp set transparency_attestation_url = 'http://www.medhost.com/offerings/edis/edis-certification' from (select certified_product_id from openchpl.certified_product as cp where cp.acb_certification_id = '11122015-0508-5') as subquery where cp.certified_product_id = subquery.certified_product_id;</v>
      </c>
    </row>
    <row r="234" spans="1:6" x14ac:dyDescent="0.25">
      <c r="A234" s="2" t="str">
        <f>IF(ISBLANK(Drummond!D234),FALSE,LOOKUP(Drummond!D234,Lookup!$A$2:$B$4))</f>
        <v>Affirmative</v>
      </c>
      <c r="B234" s="2" t="str">
        <f>IF(ISBLANK(Drummond!E234),FALSE,TRIM(Drummond!E234))</f>
        <v>04232015-1905-1</v>
      </c>
      <c r="C234" s="2" t="str">
        <f>IF(ISBLANK(Drummond!F234),FALSE,LOOKUP(Drummond!F234,Lookup!$A$6:$B$7))</f>
        <v>Single</v>
      </c>
      <c r="D234" s="2" t="str">
        <f>IF(ISBLANK(Drummond!G234),FALSE,Drummond!G234)</f>
        <v>http://www.medhost.com/offerings/edis/edis-certification</v>
      </c>
      <c r="E234" s="2" t="str">
        <f>IF(NOT(ISBLANK(Drummond!D234)),IF(OR(ISBLANK(Drummond!E234),Drummond!E234="N/A"),"no acb code",CONCATENATE(Lookup!F$1,A234,Lookup!G$1,B234,Lookup!H$1,H$1,Lookup!I$1)),"no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F234" s="2" t="str">
        <f>IF(AND(NOT(ISBLANK(Drummond!G234)),Drummond!G234&lt;&gt;"N/A"),IF(C234="All",CONCATENATE(Lookup!F$2,D234,Lookup!G$2,B234,Lookup!H$2,H$1,Lookup!I$2),CONCATENATE(Lookup!F$3,D234,Lookup!G$3,B234,Lookup!H$3)),"no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235" spans="1:6" x14ac:dyDescent="0.25">
      <c r="A235" s="2" t="str">
        <f>IF(ISBLANK(Drummond!D235),FALSE,LOOKUP(Drummond!D235,Lookup!$A$2:$B$4))</f>
        <v>Affirmative</v>
      </c>
      <c r="B235" s="2" t="str">
        <f>IF(ISBLANK(Drummond!E235),FALSE,TRIM(Drummond!E235))</f>
        <v>10232014-2953-5</v>
      </c>
      <c r="C235" s="2" t="str">
        <f>IF(ISBLANK(Drummond!F235),FALSE,LOOKUP(Drummond!F235,Lookup!$A$6:$B$7))</f>
        <v>Single</v>
      </c>
      <c r="D235" s="2" t="str">
        <f>IF(ISBLANK(Drummond!G235),FALSE,Drummond!G235)</f>
        <v>http://www.medhost.com/about-us/meaningful-use-certification</v>
      </c>
      <c r="E235" s="2" t="str">
        <f>IF(NOT(ISBLANK(Drummond!D235)),IF(OR(ISBLANK(Drummond!E235),Drummond!E235="N/A"),"no acb code",CONCATENATE(Lookup!F$1,A235,Lookup!G$1,B235,Lookup!H$1,H$1,Lookup!I$1)),"no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'10232014-2953-5' and cb."name" = 'Drummond Group Inc.' and cp.product_version_id = pv.product_version_id and pv.product_id = p.product_id and p.vendor_id = vend.vendor_id;</v>
      </c>
      <c r="F235" s="2" t="str">
        <f>IF(AND(NOT(ISBLANK(Drummond!G235)),Drummond!G235&lt;&gt;"N/A"),IF(C235="All",CONCATENATE(Lookup!F$2,D235,Lookup!G$2,B235,Lookup!H$2,H$1,Lookup!I$2),CONCATENATE(Lookup!F$3,D235,Lookup!G$3,B235,Lookup!H$3)),"no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236" spans="1:6" x14ac:dyDescent="0.25">
      <c r="A236" s="2" t="str">
        <f>IF(ISBLANK(Drummond!D236),FALSE,LOOKUP(Drummond!D236,Lookup!$A$2:$B$4))</f>
        <v>Affirmative</v>
      </c>
      <c r="B236" s="2" t="str">
        <f>IF(ISBLANK(Drummond!E236),FALSE,TRIM(Drummond!E236))</f>
        <v>10232014-2952-5</v>
      </c>
      <c r="C236" s="2" t="str">
        <f>IF(ISBLANK(Drummond!F236),FALSE,LOOKUP(Drummond!F236,Lookup!$A$6:$B$7))</f>
        <v>Single</v>
      </c>
      <c r="D236" s="2" t="str">
        <f>IF(ISBLANK(Drummond!G236),FALSE,Drummond!G236)</f>
        <v>http://www.medhost.com/about-us/meaningful-use-certification</v>
      </c>
      <c r="E236" s="2" t="str">
        <f>IF(NOT(ISBLANK(Drummond!D236)),IF(OR(ISBLANK(Drummond!E236),Drummond!E236="N/A"),"no acb code",CONCATENATE(Lookup!F$1,A236,Lookup!G$1,B236,Lookup!H$1,H$1,Lookup!I$1)),"no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'10232014-2952-5' and cb."name" = 'Drummond Group Inc.' and cp.product_version_id = pv.product_version_id and pv.product_id = p.product_id and p.vendor_id = vend.vendor_id;</v>
      </c>
      <c r="F236" s="2" t="str">
        <f>IF(AND(NOT(ISBLANK(Drummond!G236)),Drummond!G236&lt;&gt;"N/A"),IF(C236="All",CONCATENATE(Lookup!F$2,D236,Lookup!G$2,B236,Lookup!H$2,H$1,Lookup!I$2),CONCATENATE(Lookup!F$3,D236,Lookup!G$3,B236,Lookup!H$3)),"no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237" spans="1:6" x14ac:dyDescent="0.25">
      <c r="A237" s="2" t="str">
        <f>IF(ISBLANK(Drummond!D237),FALSE,LOOKUP(Drummond!D237,Lookup!$A$2:$B$4))</f>
        <v>Affirmative</v>
      </c>
      <c r="B237" s="2" t="str">
        <f>IF(ISBLANK(Drummond!E237),FALSE,TRIM(Drummond!E237))</f>
        <v>01302015-3099-5</v>
      </c>
      <c r="C237" s="2" t="str">
        <f>IF(ISBLANK(Drummond!F237),FALSE,LOOKUP(Drummond!F237,Lookup!$A$6:$B$7))</f>
        <v>Single</v>
      </c>
      <c r="D237" s="2" t="str">
        <f>IF(ISBLANK(Drummond!G237),FALSE,Drummond!G237)</f>
        <v>http://www.medhost.com/about-us/meaningful-use-certification</v>
      </c>
      <c r="E237" s="2" t="str">
        <f>IF(NOT(ISBLANK(Drummond!D237)),IF(OR(ISBLANK(Drummond!E237),Drummond!E237="N/A"),"no acb code",CONCATENATE(Lookup!F$1,A237,Lookup!G$1,B237,Lookup!H$1,H$1,Lookup!I$1)),"no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'01302015-3099-5' and cb."name" = 'Drummond Group Inc.' and cp.product_version_id = pv.product_version_id and pv.product_id = p.product_id and p.vendor_id = vend.vendor_id;</v>
      </c>
      <c r="F237" s="2" t="str">
        <f>IF(AND(NOT(ISBLANK(Drummond!G237)),Drummond!G237&lt;&gt;"N/A"),IF(C237="All",CONCATENATE(Lookup!F$2,D237,Lookup!G$2,B237,Lookup!H$2,H$1,Lookup!I$2),CONCATENATE(Lookup!F$3,D237,Lookup!G$3,B237,Lookup!H$3)),"no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238" spans="1:6" x14ac:dyDescent="0.25">
      <c r="A238" s="2" t="str">
        <f>IF(ISBLANK(Drummond!D238),FALSE,LOOKUP(Drummond!D238,Lookup!$A$2:$B$4))</f>
        <v>Affirmative</v>
      </c>
      <c r="B238" s="2" t="str">
        <f>IF(ISBLANK(Drummond!E238),FALSE,TRIM(Drummond!E238))</f>
        <v>01302015-3100-5</v>
      </c>
      <c r="C238" s="2" t="str">
        <f>IF(ISBLANK(Drummond!F238),FALSE,LOOKUP(Drummond!F238,Lookup!$A$6:$B$7))</f>
        <v>Single</v>
      </c>
      <c r="D238" s="2" t="str">
        <f>IF(ISBLANK(Drummond!G238),FALSE,Drummond!G238)</f>
        <v>http://www.medhost.com/about-us/meaningful-use-certification</v>
      </c>
      <c r="E238" s="2" t="str">
        <f>IF(NOT(ISBLANK(Drummond!D238)),IF(OR(ISBLANK(Drummond!E238),Drummond!E238="N/A"),"no acb code",CONCATENATE(Lookup!F$1,A238,Lookup!G$1,B238,Lookup!H$1,H$1,Lookup!I$1)),"no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'01302015-3100-5' and cb."name" = 'Drummond Group Inc.' and cp.product_version_id = pv.product_version_id and pv.product_id = p.product_id and p.vendor_id = vend.vendor_id;</v>
      </c>
      <c r="F238" s="2" t="str">
        <f>IF(AND(NOT(ISBLANK(Drummond!G238)),Drummond!G238&lt;&gt;"N/A"),IF(C238="All",CONCATENATE(Lookup!F$2,D238,Lookup!G$2,B238,Lookup!H$2,H$1,Lookup!I$2),CONCATENATE(Lookup!F$3,D238,Lookup!G$3,B238,Lookup!H$3)),"no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239" spans="1:6" x14ac:dyDescent="0.25">
      <c r="A239" s="2" t="str">
        <f>IF(ISBLANK(Drummond!D239),FALSE,LOOKUP(Drummond!D239,Lookup!$A$2:$B$4))</f>
        <v>Affirmative</v>
      </c>
      <c r="B239" s="2" t="str">
        <f>IF(ISBLANK(Drummond!E239),FALSE,TRIM(Drummond!E239))</f>
        <v>01302015-3101-5</v>
      </c>
      <c r="C239" s="2" t="str">
        <f>IF(ISBLANK(Drummond!F239),FALSE,LOOKUP(Drummond!F239,Lookup!$A$6:$B$7))</f>
        <v>Single</v>
      </c>
      <c r="D239" s="2" t="str">
        <f>IF(ISBLANK(Drummond!G239),FALSE,Drummond!G239)</f>
        <v>http://www.medhost.com/about-us/meaningful-use-certification</v>
      </c>
      <c r="E239" s="2" t="str">
        <f>IF(NOT(ISBLANK(Drummond!D239)),IF(OR(ISBLANK(Drummond!E239),Drummond!E239="N/A"),"no acb code",CONCATENATE(Lookup!F$1,A239,Lookup!G$1,B239,Lookup!H$1,H$1,Lookup!I$1)),"no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'01302015-3101-5' and cb."name" = 'Drummond Group Inc.' and cp.product_version_id = pv.product_version_id and pv.product_id = p.product_id and p.vendor_id = vend.vendor_id;</v>
      </c>
      <c r="F239" s="2" t="str">
        <f>IF(AND(NOT(ISBLANK(Drummond!G239)),Drummond!G239&lt;&gt;"N/A"),IF(C239="All",CONCATENATE(Lookup!F$2,D239,Lookup!G$2,B239,Lookup!H$2,H$1,Lookup!I$2),CONCATENATE(Lookup!F$3,D239,Lookup!G$3,B239,Lookup!H$3)),"no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240" spans="1:6" x14ac:dyDescent="0.25">
      <c r="A240" s="2" t="str">
        <f>IF(ISBLANK(Drummond!D240),FALSE,LOOKUP(Drummond!D240,Lookup!$A$2:$B$4))</f>
        <v>Affirmative</v>
      </c>
      <c r="B240" s="2" t="str">
        <f>IF(ISBLANK(Drummond!E240),FALSE,TRIM(Drummond!E240))</f>
        <v>09042014-1840-5</v>
      </c>
      <c r="C240" s="2" t="str">
        <f>IF(ISBLANK(Drummond!F240),FALSE,LOOKUP(Drummond!F240,Lookup!$A$6:$B$7))</f>
        <v>Single</v>
      </c>
      <c r="D240" s="2" t="str">
        <f>IF(ISBLANK(Drummond!G240),FALSE,Drummond!G240)</f>
        <v>http://www.medhost.com/about-us/meaningful-use-certification</v>
      </c>
      <c r="E240" s="2" t="str">
        <f>IF(NOT(ISBLANK(Drummond!D240)),IF(OR(ISBLANK(Drummond!E240),Drummond!E240="N/A"),"no acb code",CONCATENATE(Lookup!F$1,A240,Lookup!G$1,B240,Lookup!H$1,H$1,Lookup!I$1)),"no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'09042014-1840-5' and cb."name" = 'Drummond Group Inc.' and cp.product_version_id = pv.product_version_id and pv.product_id = p.product_id and p.vendor_id = vend.vendor_id;</v>
      </c>
      <c r="F240" s="2" t="str">
        <f>IF(AND(NOT(ISBLANK(Drummond!G240)),Drummond!G240&lt;&gt;"N/A"),IF(C240="All",CONCATENATE(Lookup!F$2,D240,Lookup!G$2,B240,Lookup!H$2,H$1,Lookup!I$2),CONCATENATE(Lookup!F$3,D240,Lookup!G$3,B240,Lookup!H$3)),"no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241" spans="1:6" x14ac:dyDescent="0.25">
      <c r="A241" s="2" t="str">
        <f>IF(ISBLANK(Drummond!D241),FALSE,LOOKUP(Drummond!D241,Lookup!$A$2:$B$4))</f>
        <v>Affirmative</v>
      </c>
      <c r="B241" s="2" t="str">
        <f>IF(ISBLANK(Drummond!E241),FALSE,TRIM(Drummond!E241))</f>
        <v>09042014-1841-5</v>
      </c>
      <c r="C241" s="2" t="str">
        <f>IF(ISBLANK(Drummond!F241),FALSE,LOOKUP(Drummond!F241,Lookup!$A$6:$B$7))</f>
        <v>Single</v>
      </c>
      <c r="D241" s="2" t="str">
        <f>IF(ISBLANK(Drummond!G241),FALSE,Drummond!G241)</f>
        <v>http://www.medhost.com/about-us/meaningful-use-certification</v>
      </c>
      <c r="E241" s="2" t="str">
        <f>IF(NOT(ISBLANK(Drummond!D241)),IF(OR(ISBLANK(Drummond!E241),Drummond!E241="N/A"),"no acb code",CONCATENATE(Lookup!F$1,A241,Lookup!G$1,B241,Lookup!H$1,H$1,Lookup!I$1)),"no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'09042014-1841-5' and cb."name" = 'Drummond Group Inc.' and cp.product_version_id = pv.product_version_id and pv.product_id = p.product_id and p.vendor_id = vend.vendor_id;</v>
      </c>
      <c r="F241" s="2" t="str">
        <f>IF(AND(NOT(ISBLANK(Drummond!G241)),Drummond!G241&lt;&gt;"N/A"),IF(C241="All",CONCATENATE(Lookup!F$2,D241,Lookup!G$2,B241,Lookup!H$2,H$1,Lookup!I$2),CONCATENATE(Lookup!F$3,D241,Lookup!G$3,B241,Lookup!H$3)),"no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242" spans="1:6" x14ac:dyDescent="0.25">
      <c r="A242" s="2" t="str">
        <f>IF(ISBLANK(Drummond!D242),FALSE,LOOKUP(Drummond!D242,Lookup!$A$2:$B$4))</f>
        <v>Affirmative</v>
      </c>
      <c r="B242" s="2" t="str">
        <f>IF(ISBLANK(Drummond!E242),FALSE,TRIM(Drummond!E242))</f>
        <v>08282014-1832-5</v>
      </c>
      <c r="C242" s="2" t="str">
        <f>IF(ISBLANK(Drummond!F242),FALSE,LOOKUP(Drummond!F242,Lookup!$A$6:$B$7))</f>
        <v>Single</v>
      </c>
      <c r="D242" s="2" t="str">
        <f>IF(ISBLANK(Drummond!G242),FALSE,Drummond!G242)</f>
        <v>http://www.medhost.com/about-us/meaningful-use-certification</v>
      </c>
      <c r="E242" s="2" t="str">
        <f>IF(NOT(ISBLANK(Drummond!D242)),IF(OR(ISBLANK(Drummond!E242),Drummond!E242="N/A"),"no acb code",CONCATENATE(Lookup!F$1,A242,Lookup!G$1,B242,Lookup!H$1,H$1,Lookup!I$1)),"no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'08282014-1832-5' and cb."name" = 'Drummond Group Inc.' and cp.product_version_id = pv.product_version_id and pv.product_id = p.product_id and p.vendor_id = vend.vendor_id;</v>
      </c>
      <c r="F242" s="2" t="str">
        <f>IF(AND(NOT(ISBLANK(Drummond!G242)),Drummond!G242&lt;&gt;"N/A"),IF(C242="All",CONCATENATE(Lookup!F$2,D242,Lookup!G$2,B242,Lookup!H$2,H$1,Lookup!I$2),CONCATENATE(Lookup!F$3,D242,Lookup!G$3,B242,Lookup!H$3)),"no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243" spans="1:6" x14ac:dyDescent="0.25">
      <c r="A243" s="2" t="str">
        <f>IF(ISBLANK(Drummond!D243),FALSE,LOOKUP(Drummond!D243,Lookup!$A$2:$B$4))</f>
        <v>Affirmative</v>
      </c>
      <c r="B243" s="2" t="str">
        <f>IF(ISBLANK(Drummond!E243),FALSE,TRIM(Drummond!E243))</f>
        <v>08282014-1833-5</v>
      </c>
      <c r="C243" s="2" t="str">
        <f>IF(ISBLANK(Drummond!F243),FALSE,LOOKUP(Drummond!F243,Lookup!$A$6:$B$7))</f>
        <v>Single</v>
      </c>
      <c r="D243" s="2" t="str">
        <f>IF(ISBLANK(Drummond!G243),FALSE,Drummond!G243)</f>
        <v>http://www.medhost.com/about-us/meaningful-use-certification</v>
      </c>
      <c r="E243" s="2" t="str">
        <f>IF(NOT(ISBLANK(Drummond!D243)),IF(OR(ISBLANK(Drummond!E243),Drummond!E243="N/A"),"no acb code",CONCATENATE(Lookup!F$1,A243,Lookup!G$1,B243,Lookup!H$1,H$1,Lookup!I$1)),"no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'08282014-1833-5' and cb."name" = 'Drummond Group Inc.' and cp.product_version_id = pv.product_version_id and pv.product_id = p.product_id and p.vendor_id = vend.vendor_id;</v>
      </c>
      <c r="F243" s="2" t="str">
        <f>IF(AND(NOT(ISBLANK(Drummond!G243)),Drummond!G243&lt;&gt;"N/A"),IF(C243="All",CONCATENATE(Lookup!F$2,D243,Lookup!G$2,B243,Lookup!H$2,H$1,Lookup!I$2),CONCATENATE(Lookup!F$3,D243,Lookup!G$3,B243,Lookup!H$3)),"no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244" spans="1:6" x14ac:dyDescent="0.25">
      <c r="A244" s="2" t="str">
        <f>IF(ISBLANK(Drummond!D244),FALSE,LOOKUP(Drummond!D244,Lookup!$A$2:$B$4))</f>
        <v>Affirmative</v>
      </c>
      <c r="B244" s="2" t="str">
        <f>IF(ISBLANK(Drummond!E244),FALSE,TRIM(Drummond!E244))</f>
        <v>08282014-1834-5</v>
      </c>
      <c r="C244" s="2" t="str">
        <f>IF(ISBLANK(Drummond!F244),FALSE,LOOKUP(Drummond!F244,Lookup!$A$6:$B$7))</f>
        <v>Single</v>
      </c>
      <c r="D244" s="2" t="str">
        <f>IF(ISBLANK(Drummond!G244),FALSE,Drummond!G244)</f>
        <v>http://www.medhost.com/about-us/meaningful-use-certification</v>
      </c>
      <c r="E244" s="2" t="str">
        <f>IF(NOT(ISBLANK(Drummond!D244)),IF(OR(ISBLANK(Drummond!E244),Drummond!E244="N/A"),"no acb code",CONCATENATE(Lookup!F$1,A244,Lookup!G$1,B244,Lookup!H$1,H$1,Lookup!I$1)),"no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'08282014-1834-5' and cb."name" = 'Drummond Group Inc.' and cp.product_version_id = pv.product_version_id and pv.product_id = p.product_id and p.vendor_id = vend.vendor_id;</v>
      </c>
      <c r="F244" s="2" t="str">
        <f>IF(AND(NOT(ISBLANK(Drummond!G244)),Drummond!G244&lt;&gt;"N/A"),IF(C244="All",CONCATENATE(Lookup!F$2,D244,Lookup!G$2,B244,Lookup!H$2,H$1,Lookup!I$2),CONCATENATE(Lookup!F$3,D244,Lookup!G$3,B244,Lookup!H$3)),"no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245" spans="1:6" x14ac:dyDescent="0.25">
      <c r="A245" s="2" t="str">
        <f>IF(ISBLANK(Drummond!D245),FALSE,LOOKUP(Drummond!D245,Lookup!$A$2:$B$4))</f>
        <v>Affirmative</v>
      </c>
      <c r="B245" s="2" t="str">
        <f>IF(ISBLANK(Drummond!E245),FALSE,TRIM(Drummond!E245))</f>
        <v>08282014-1835-5</v>
      </c>
      <c r="C245" s="2" t="str">
        <f>IF(ISBLANK(Drummond!F245),FALSE,LOOKUP(Drummond!F245,Lookup!$A$6:$B$7))</f>
        <v>Single</v>
      </c>
      <c r="D245" s="2" t="str">
        <f>IF(ISBLANK(Drummond!G245),FALSE,Drummond!G245)</f>
        <v>http://www.medhost.com/about-us/meaningful-use-certification</v>
      </c>
      <c r="E245" s="2" t="str">
        <f>IF(NOT(ISBLANK(Drummond!D245)),IF(OR(ISBLANK(Drummond!E245),Drummond!E245="N/A"),"no acb code",CONCATENATE(Lookup!F$1,A245,Lookup!G$1,B245,Lookup!H$1,H$1,Lookup!I$1)),"no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'08282014-1835-5' and cb."name" = 'Drummond Group Inc.' and cp.product_version_id = pv.product_version_id and pv.product_id = p.product_id and p.vendor_id = vend.vendor_id;</v>
      </c>
      <c r="F245" s="2" t="str">
        <f>IF(AND(NOT(ISBLANK(Drummond!G245)),Drummond!G245&lt;&gt;"N/A"),IF(C245="All",CONCATENATE(Lookup!F$2,D245,Lookup!G$2,B245,Lookup!H$2,H$1,Lookup!I$2),CONCATENATE(Lookup!F$3,D245,Lookup!G$3,B245,Lookup!H$3)),"no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246" spans="1:6" x14ac:dyDescent="0.25">
      <c r="A246" s="2" t="str">
        <f>IF(ISBLANK(Drummond!D246),FALSE,LOOKUP(Drummond!D246,Lookup!$A$2:$B$4))</f>
        <v>Affirmative</v>
      </c>
      <c r="B246" s="2" t="str">
        <f>IF(ISBLANK(Drummond!E246),FALSE,TRIM(Drummond!E246))</f>
        <v>02262015-0108-5</v>
      </c>
      <c r="C246" s="2" t="str">
        <f>IF(ISBLANK(Drummond!F246),FALSE,LOOKUP(Drummond!F246,Lookup!$A$6:$B$7))</f>
        <v>Single</v>
      </c>
      <c r="D246" s="2" t="str">
        <f>IF(ISBLANK(Drummond!G246),FALSE,Drummond!G246)</f>
        <v>http://www.medhost.com/about-us/meaningful-use-certification</v>
      </c>
      <c r="E246" s="2" t="str">
        <f>IF(NOT(ISBLANK(Drummond!D246)),IF(OR(ISBLANK(Drummond!E246),Drummond!E246="N/A"),"no acb code",CONCATENATE(Lookup!F$1,A246,Lookup!G$1,B246,Lookup!H$1,H$1,Lookup!I$1)),"no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'02262015-0108-5' and cb."name" = 'Drummond Group Inc.' and cp.product_version_id = pv.product_version_id and pv.product_id = p.product_id and p.vendor_id = vend.vendor_id;</v>
      </c>
      <c r="F246" s="2" t="str">
        <f>IF(AND(NOT(ISBLANK(Drummond!G246)),Drummond!G246&lt;&gt;"N/A"),IF(C246="All",CONCATENATE(Lookup!F$2,D246,Lookup!G$2,B246,Lookup!H$2,H$1,Lookup!I$2),CONCATENATE(Lookup!F$3,D246,Lookup!G$3,B246,Lookup!H$3)),"no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247" spans="1:6" x14ac:dyDescent="0.25">
      <c r="A247" s="2" t="str">
        <f>IF(ISBLANK(Drummond!D247),FALSE,LOOKUP(Drummond!D247,Lookup!$A$2:$B$4))</f>
        <v>Affirmative</v>
      </c>
      <c r="B247" s="2" t="str">
        <f>IF(ISBLANK(Drummond!E247),FALSE,TRIM(Drummond!E247))</f>
        <v>02262015-0109-5</v>
      </c>
      <c r="C247" s="2" t="str">
        <f>IF(ISBLANK(Drummond!F247),FALSE,LOOKUP(Drummond!F247,Lookup!$A$6:$B$7))</f>
        <v>Single</v>
      </c>
      <c r="D247" s="2" t="str">
        <f>IF(ISBLANK(Drummond!G247),FALSE,Drummond!G247)</f>
        <v>http://www.medhost.com/about-us/meaningful-use-certification</v>
      </c>
      <c r="E247" s="2" t="str">
        <f>IF(NOT(ISBLANK(Drummond!D247)),IF(OR(ISBLANK(Drummond!E247),Drummond!E247="N/A"),"no acb code",CONCATENATE(Lookup!F$1,A247,Lookup!G$1,B247,Lookup!H$1,H$1,Lookup!I$1)),"no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'02262015-0109-5' and cb."name" = 'Drummond Group Inc.' and cp.product_version_id = pv.product_version_id and pv.product_id = p.product_id and p.vendor_id = vend.vendor_id;</v>
      </c>
      <c r="F247" s="2" t="str">
        <f>IF(AND(NOT(ISBLANK(Drummond!G247)),Drummond!G247&lt;&gt;"N/A"),IF(C247="All",CONCATENATE(Lookup!F$2,D247,Lookup!G$2,B247,Lookup!H$2,H$1,Lookup!I$2),CONCATENATE(Lookup!F$3,D247,Lookup!G$3,B247,Lookup!H$3)),"no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248" spans="1:6" x14ac:dyDescent="0.25">
      <c r="A248" s="2" t="str">
        <f>IF(ISBLANK(Drummond!D248),FALSE,LOOKUP(Drummond!D248,Lookup!$A$2:$B$4))</f>
        <v>Affirmative</v>
      </c>
      <c r="B248" s="2" t="str">
        <f>IF(ISBLANK(Drummond!E248),FALSE,TRIM(Drummond!E248))</f>
        <v>02262015-0110-5</v>
      </c>
      <c r="C248" s="2" t="str">
        <f>IF(ISBLANK(Drummond!F248),FALSE,LOOKUP(Drummond!F248,Lookup!$A$6:$B$7))</f>
        <v>Single</v>
      </c>
      <c r="D248" s="2" t="str">
        <f>IF(ISBLANK(Drummond!G248),FALSE,Drummond!G248)</f>
        <v>http://www.medhost.com/about-us/meaningful-use-certification</v>
      </c>
      <c r="E248" s="2" t="str">
        <f>IF(NOT(ISBLANK(Drummond!D248)),IF(OR(ISBLANK(Drummond!E248),Drummond!E248="N/A"),"no acb code",CONCATENATE(Lookup!F$1,A248,Lookup!G$1,B248,Lookup!H$1,H$1,Lookup!I$1)),"no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'02262015-0110-5' and cb."name" = 'Drummond Group Inc.' and cp.product_version_id = pv.product_version_id and pv.product_id = p.product_id and p.vendor_id = vend.vendor_id;</v>
      </c>
      <c r="F248" s="2" t="str">
        <f>IF(AND(NOT(ISBLANK(Drummond!G248)),Drummond!G248&lt;&gt;"N/A"),IF(C248="All",CONCATENATE(Lookup!F$2,D248,Lookup!G$2,B248,Lookup!H$2,H$1,Lookup!I$2),CONCATENATE(Lookup!F$3,D248,Lookup!G$3,B248,Lookup!H$3)),"no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249" spans="1:6" x14ac:dyDescent="0.25">
      <c r="A249" s="2" t="str">
        <f>IF(ISBLANK(Drummond!D249),FALSE,LOOKUP(Drummond!D249,Lookup!$A$2:$B$4))</f>
        <v>Affirmative</v>
      </c>
      <c r="B249" s="2" t="str">
        <f>IF(ISBLANK(Drummond!E249),FALSE,TRIM(Drummond!E249))</f>
        <v>12302015-5230-5</v>
      </c>
      <c r="C249" s="2" t="str">
        <f>IF(ISBLANK(Drummond!F249),FALSE,LOOKUP(Drummond!F249,Lookup!$A$6:$B$7))</f>
        <v>Single</v>
      </c>
      <c r="D249" s="2" t="str">
        <f>IF(ISBLANK(Drummond!G249),FALSE,Drummond!G249)</f>
        <v>http://www.medhost.com/about-us/meaningful-use-certification</v>
      </c>
      <c r="E249" s="2" t="str">
        <f>IF(NOT(ISBLANK(Drummond!D249)),IF(OR(ISBLANK(Drummond!E249),Drummond!E249="N/A"),"no acb code",CONCATENATE(Lookup!F$1,A249,Lookup!G$1,B249,Lookup!H$1,H$1,Lookup!I$1)),"no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'12302015-5230-5' and cb."name" = 'Drummond Group Inc.' and cp.product_version_id = pv.product_version_id and pv.product_id = p.product_id and p.vendor_id = vend.vendor_id;</v>
      </c>
      <c r="F249" s="2" t="str">
        <f>IF(AND(NOT(ISBLANK(Drummond!G249)),Drummond!G249&lt;&gt;"N/A"),IF(C249="All",CONCATENATE(Lookup!F$2,D249,Lookup!G$2,B249,Lookup!H$2,H$1,Lookup!I$2),CONCATENATE(Lookup!F$3,D249,Lookup!G$3,B249,Lookup!H$3)),"no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'12302015-5230-5') as subquery where cp.certified_product_id = subquery.certified_product_id;</v>
      </c>
    </row>
    <row r="250" spans="1:6" x14ac:dyDescent="0.25">
      <c r="A250" s="2" t="str">
        <f>IF(ISBLANK(Drummond!D250),FALSE,LOOKUP(Drummond!D250,Lookup!$A$2:$B$4))</f>
        <v>Affirmative</v>
      </c>
      <c r="B250" s="2" t="str">
        <f>IF(ISBLANK(Drummond!E250),FALSE,TRIM(Drummond!E250))</f>
        <v>12302015-5231-5</v>
      </c>
      <c r="C250" s="2" t="str">
        <f>IF(ISBLANK(Drummond!F250),FALSE,LOOKUP(Drummond!F250,Lookup!$A$6:$B$7))</f>
        <v>Single</v>
      </c>
      <c r="D250" s="2" t="str">
        <f>IF(ISBLANK(Drummond!G250),FALSE,Drummond!G250)</f>
        <v>http://www.medhost.com/about-us/meaningful-use-certification</v>
      </c>
      <c r="E250" s="2" t="str">
        <f>IF(NOT(ISBLANK(Drummond!D250)),IF(OR(ISBLANK(Drummond!E250),Drummond!E250="N/A"),"no acb code",CONCATENATE(Lookup!F$1,A250,Lookup!G$1,B250,Lookup!H$1,H$1,Lookup!I$1)),"no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'12302015-5231-5' and cb."name" = 'Drummond Group Inc.' and cp.product_version_id = pv.product_version_id and pv.product_id = p.product_id and p.vendor_id = vend.vendor_id;</v>
      </c>
      <c r="F250" s="2" t="str">
        <f>IF(AND(NOT(ISBLANK(Drummond!G250)),Drummond!G250&lt;&gt;"N/A"),IF(C250="All",CONCATENATE(Lookup!F$2,D250,Lookup!G$2,B250,Lookup!H$2,H$1,Lookup!I$2),CONCATENATE(Lookup!F$3,D250,Lookup!G$3,B250,Lookup!H$3)),"no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'12302015-5231-5') as subquery where cp.certified_product_id = subquery.certified_product_id;</v>
      </c>
    </row>
    <row r="251" spans="1:6" x14ac:dyDescent="0.25">
      <c r="A251" s="2" t="str">
        <f>IF(ISBLANK(Drummond!D251),FALSE,LOOKUP(Drummond!D251,Lookup!$A$2:$B$4))</f>
        <v>Affirmative</v>
      </c>
      <c r="B251" s="2" t="str">
        <f>IF(ISBLANK(Drummond!E251),FALSE,TRIM(Drummond!E251))</f>
        <v>12302015-5232-5</v>
      </c>
      <c r="C251" s="2" t="str">
        <f>IF(ISBLANK(Drummond!F251),FALSE,LOOKUP(Drummond!F251,Lookup!$A$6:$B$7))</f>
        <v>Single</v>
      </c>
      <c r="D251" s="2" t="str">
        <f>IF(ISBLANK(Drummond!G251),FALSE,Drummond!G251)</f>
        <v>http://www.medhost.com/about-us/meaningful-use-certification</v>
      </c>
      <c r="E251" s="2" t="str">
        <f>IF(NOT(ISBLANK(Drummond!D251)),IF(OR(ISBLANK(Drummond!E251),Drummond!E251="N/A"),"no acb code",CONCATENATE(Lookup!F$1,A251,Lookup!G$1,B251,Lookup!H$1,H$1,Lookup!I$1)),"no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'12302015-5232-5' and cb."name" = 'Drummond Group Inc.' and cp.product_version_id = pv.product_version_id and pv.product_id = p.product_id and p.vendor_id = vend.vendor_id;</v>
      </c>
      <c r="F251" s="2" t="str">
        <f>IF(AND(NOT(ISBLANK(Drummond!G251)),Drummond!G251&lt;&gt;"N/A"),IF(C251="All",CONCATENATE(Lookup!F$2,D251,Lookup!G$2,B251,Lookup!H$2,H$1,Lookup!I$2),CONCATENATE(Lookup!F$3,D251,Lookup!G$3,B251,Lookup!H$3)),"no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'12302015-5232-5') as subquery where cp.certified_product_id = subquery.certified_product_id;</v>
      </c>
    </row>
    <row r="252" spans="1:6" x14ac:dyDescent="0.25">
      <c r="A252" s="2" t="str">
        <f>IF(ISBLANK(Drummond!D252),FALSE,LOOKUP(Drummond!D252,Lookup!$A$2:$B$4))</f>
        <v>Affirmative</v>
      </c>
      <c r="B252" s="2" t="str">
        <f>IF(ISBLANK(Drummond!E252),FALSE,TRIM(Drummond!E252))</f>
        <v>11122015-0602-5</v>
      </c>
      <c r="C252" s="2" t="str">
        <f>IF(ISBLANK(Drummond!F252),FALSE,LOOKUP(Drummond!F252,Lookup!$A$6:$B$7))</f>
        <v>Single</v>
      </c>
      <c r="D252" s="2" t="str">
        <f>IF(ISBLANK(Drummond!G252),FALSE,Drummond!G252)</f>
        <v>http://www.medhost.com/about-us/meaningful-use-certification</v>
      </c>
      <c r="E252" s="2" t="str">
        <f>IF(NOT(ISBLANK(Drummond!D252)),IF(OR(ISBLANK(Drummond!E252),Drummond!E252="N/A"),"no acb code",CONCATENATE(Lookup!F$1,A252,Lookup!G$1,B252,Lookup!H$1,H$1,Lookup!I$1)),"no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'11122015-0602-5' and cb."name" = 'Drummond Group Inc.' and cp.product_version_id = pv.product_version_id and pv.product_id = p.product_id and p.vendor_id = vend.vendor_id;</v>
      </c>
      <c r="F252" s="2" t="str">
        <f>IF(AND(NOT(ISBLANK(Drummond!G252)),Drummond!G252&lt;&gt;"N/A"),IF(C252="All",CONCATENATE(Lookup!F$2,D252,Lookup!G$2,B252,Lookup!H$2,H$1,Lookup!I$2),CONCATENATE(Lookup!F$3,D252,Lookup!G$3,B252,Lookup!H$3)),"no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'11122015-0602-5') as subquery where cp.certified_product_id = subquery.certified_product_id;</v>
      </c>
    </row>
    <row r="253" spans="1:6" x14ac:dyDescent="0.25">
      <c r="A253" s="2" t="str">
        <f>IF(ISBLANK(Drummond!D253),FALSE,LOOKUP(Drummond!D253,Lookup!$A$2:$B$4))</f>
        <v>Affirmative</v>
      </c>
      <c r="B253" s="2" t="str">
        <f>IF(ISBLANK(Drummond!E253),FALSE,TRIM(Drummond!E253))</f>
        <v>11122015-0603-5</v>
      </c>
      <c r="C253" s="2" t="str">
        <f>IF(ISBLANK(Drummond!F253),FALSE,LOOKUP(Drummond!F253,Lookup!$A$6:$B$7))</f>
        <v>Single</v>
      </c>
      <c r="D253" s="2" t="str">
        <f>IF(ISBLANK(Drummond!G253),FALSE,Drummond!G253)</f>
        <v>http://www.medhost.com/about-us/meaningful-use-certification</v>
      </c>
      <c r="E253" s="2" t="str">
        <f>IF(NOT(ISBLANK(Drummond!D253)),IF(OR(ISBLANK(Drummond!E253),Drummond!E253="N/A"),"no acb code",CONCATENATE(Lookup!F$1,A253,Lookup!G$1,B253,Lookup!H$1,H$1,Lookup!I$1)),"no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'11122015-0603-5' and cb."name" = 'Drummond Group Inc.' and cp.product_version_id = pv.product_version_id and pv.product_id = p.product_id and p.vendor_id = vend.vendor_id;</v>
      </c>
      <c r="F253" s="2" t="str">
        <f>IF(AND(NOT(ISBLANK(Drummond!G253)),Drummond!G253&lt;&gt;"N/A"),IF(C253="All",CONCATENATE(Lookup!F$2,D253,Lookup!G$2,B253,Lookup!H$2,H$1,Lookup!I$2),CONCATENATE(Lookup!F$3,D253,Lookup!G$3,B253,Lookup!H$3)),"no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'11122015-0603-5') as subquery where cp.certified_product_id = subquery.certified_product_id;</v>
      </c>
    </row>
    <row r="254" spans="1:6" x14ac:dyDescent="0.25">
      <c r="A254" s="2" t="str">
        <f>IF(ISBLANK(Drummond!D254),FALSE,LOOKUP(Drummond!D254,Lookup!$A$2:$B$4))</f>
        <v>Affirmative</v>
      </c>
      <c r="B254" s="2" t="str">
        <f>IF(ISBLANK(Drummond!E254),FALSE,TRIM(Drummond!E254))</f>
        <v>11122015-0604-5</v>
      </c>
      <c r="C254" s="2" t="str">
        <f>IF(ISBLANK(Drummond!F254),FALSE,LOOKUP(Drummond!F254,Lookup!$A$6:$B$7))</f>
        <v>Single</v>
      </c>
      <c r="D254" s="2" t="str">
        <f>IF(ISBLANK(Drummond!G254),FALSE,Drummond!G254)</f>
        <v>http://www.medhost.com/about-us/meaningful-use-certification</v>
      </c>
      <c r="E254" s="2" t="str">
        <f>IF(NOT(ISBLANK(Drummond!D254)),IF(OR(ISBLANK(Drummond!E254),Drummond!E254="N/A"),"no acb code",CONCATENATE(Lookup!F$1,A254,Lookup!G$1,B254,Lookup!H$1,H$1,Lookup!I$1)),"no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'11122015-0604-5' and cb."name" = 'Drummond Group Inc.' and cp.product_version_id = pv.product_version_id and pv.product_id = p.product_id and p.vendor_id = vend.vendor_id;</v>
      </c>
      <c r="F254" s="2" t="str">
        <f>IF(AND(NOT(ISBLANK(Drummond!G254)),Drummond!G254&lt;&gt;"N/A"),IF(C254="All",CONCATENATE(Lookup!F$2,D254,Lookup!G$2,B254,Lookup!H$2,H$1,Lookup!I$2),CONCATENATE(Lookup!F$3,D254,Lookup!G$3,B254,Lookup!H$3)),"no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'11122015-0604-5') as subquery where cp.certified_product_id = subquery.certified_product_id;</v>
      </c>
    </row>
    <row r="255" spans="1:6" x14ac:dyDescent="0.25">
      <c r="A255" s="2" t="str">
        <f>IF(ISBLANK(Drummond!D255),FALSE,LOOKUP(Drummond!D255,Lookup!$A$2:$B$4))</f>
        <v>Affirmative</v>
      </c>
      <c r="B255" s="2" t="str">
        <f>IF(ISBLANK(Drummond!E255),FALSE,TRIM(Drummond!E255))</f>
        <v>06252015-0259-5</v>
      </c>
      <c r="C255" s="2" t="str">
        <f>IF(ISBLANK(Drummond!F255),FALSE,LOOKUP(Drummond!F255,Lookup!$A$6:$B$7))</f>
        <v>Single</v>
      </c>
      <c r="D255" s="2" t="str">
        <f>IF(ISBLANK(Drummond!G255),FALSE,Drummond!G255)</f>
        <v>http://www.medhost.com/about-us/meaningful-use-certification</v>
      </c>
      <c r="E255" s="2" t="str">
        <f>IF(NOT(ISBLANK(Drummond!D255)),IF(OR(ISBLANK(Drummond!E255),Drummond!E255="N/A"),"no acb code",CONCATENATE(Lookup!F$1,A255,Lookup!G$1,B255,Lookup!H$1,H$1,Lookup!I$1)),"no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'06252015-0259-5' and cb."name" = 'Drummond Group Inc.' and cp.product_version_id = pv.product_version_id and pv.product_id = p.product_id and p.vendor_id = vend.vendor_id;</v>
      </c>
      <c r="F255" s="2" t="str">
        <f>IF(AND(NOT(ISBLANK(Drummond!G255)),Drummond!G255&lt;&gt;"N/A"),IF(C255="All",CONCATENATE(Lookup!F$2,D255,Lookup!G$2,B255,Lookup!H$2,H$1,Lookup!I$2),CONCATENATE(Lookup!F$3,D255,Lookup!G$3,B255,Lookup!H$3)),"no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256" spans="1:6" x14ac:dyDescent="0.25">
      <c r="A256" s="2" t="str">
        <f>IF(ISBLANK(Drummond!D256),FALSE,LOOKUP(Drummond!D256,Lookup!$A$2:$B$4))</f>
        <v>Affirmative</v>
      </c>
      <c r="B256" s="2" t="str">
        <f>IF(ISBLANK(Drummond!E256),FALSE,TRIM(Drummond!E256))</f>
        <v>06252015-0260-5</v>
      </c>
      <c r="C256" s="2" t="str">
        <f>IF(ISBLANK(Drummond!F256),FALSE,LOOKUP(Drummond!F256,Lookup!$A$6:$B$7))</f>
        <v>Single</v>
      </c>
      <c r="D256" s="2" t="str">
        <f>IF(ISBLANK(Drummond!G256),FALSE,Drummond!G256)</f>
        <v>http://www.medhost.com/about-us/meaningful-use-certification</v>
      </c>
      <c r="E256" s="2" t="str">
        <f>IF(NOT(ISBLANK(Drummond!D256)),IF(OR(ISBLANK(Drummond!E256),Drummond!E256="N/A"),"no acb code",CONCATENATE(Lookup!F$1,A256,Lookup!G$1,B256,Lookup!H$1,H$1,Lookup!I$1)),"no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'06252015-0260-5' and cb."name" = 'Drummond Group Inc.' and cp.product_version_id = pv.product_version_id and pv.product_id = p.product_id and p.vendor_id = vend.vendor_id;</v>
      </c>
      <c r="F256" s="2" t="str">
        <f>IF(AND(NOT(ISBLANK(Drummond!G256)),Drummond!G256&lt;&gt;"N/A"),IF(C256="All",CONCATENATE(Lookup!F$2,D256,Lookup!G$2,B256,Lookup!H$2,H$1,Lookup!I$2),CONCATENATE(Lookup!F$3,D256,Lookup!G$3,B256,Lookup!H$3)),"no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257" spans="1:6" x14ac:dyDescent="0.25">
      <c r="A257" s="2" t="str">
        <f>IF(ISBLANK(Drummond!D257),FALSE,LOOKUP(Drummond!D257,Lookup!$A$2:$B$4))</f>
        <v>Affirmative</v>
      </c>
      <c r="B257" s="2" t="str">
        <f>IF(ISBLANK(Drummond!E257),FALSE,TRIM(Drummond!E257))</f>
        <v>06252015-0261-5</v>
      </c>
      <c r="C257" s="2" t="str">
        <f>IF(ISBLANK(Drummond!F257),FALSE,LOOKUP(Drummond!F257,Lookup!$A$6:$B$7))</f>
        <v>Single</v>
      </c>
      <c r="D257" s="2" t="str">
        <f>IF(ISBLANK(Drummond!G257),FALSE,Drummond!G257)</f>
        <v>http://www.medhost.com/about-us/meaningful-use-certification</v>
      </c>
      <c r="E257" s="2" t="str">
        <f>IF(NOT(ISBLANK(Drummond!D257)),IF(OR(ISBLANK(Drummond!E257),Drummond!E257="N/A"),"no acb code",CONCATENATE(Lookup!F$1,A257,Lookup!G$1,B257,Lookup!H$1,H$1,Lookup!I$1)),"no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'06252015-0261-5' and cb."name" = 'Drummond Group Inc.' and cp.product_version_id = pv.product_version_id and pv.product_id = p.product_id and p.vendor_id = vend.vendor_id;</v>
      </c>
      <c r="F257" s="2" t="str">
        <f>IF(AND(NOT(ISBLANK(Drummond!G257)),Drummond!G257&lt;&gt;"N/A"),IF(C257="All",CONCATENATE(Lookup!F$2,D257,Lookup!G$2,B257,Lookup!H$2,H$1,Lookup!I$2),CONCATENATE(Lookup!F$3,D257,Lookup!G$3,B257,Lookup!H$3)),"no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258" spans="1:6" x14ac:dyDescent="0.25">
      <c r="A258" s="2" t="str">
        <f>IF(ISBLANK(Drummond!D258),FALSE,LOOKUP(Drummond!D258,Lookup!$A$2:$B$4))</f>
        <v>Affirmative</v>
      </c>
      <c r="B258" s="2" t="str">
        <f>IF(ISBLANK(Drummond!E258),FALSE,TRIM(Drummond!E258))</f>
        <v>07022015-2918-5</v>
      </c>
      <c r="C258" s="2" t="str">
        <f>IF(ISBLANK(Drummond!F258),FALSE,LOOKUP(Drummond!F258,Lookup!$A$6:$B$7))</f>
        <v>Single</v>
      </c>
      <c r="D258" s="2" t="str">
        <f>IF(ISBLANK(Drummond!G258),FALSE,Drummond!G258)</f>
        <v>http://www.medhost.com/offerings/advanced-perioperative/advanced-perioperative-certification</v>
      </c>
      <c r="E258" s="2" t="str">
        <f>IF(NOT(ISBLANK(Drummond!D258)),IF(OR(ISBLANK(Drummond!E258),Drummond!E258="N/A"),"no acb code",CONCATENATE(Lookup!F$1,A258,Lookup!G$1,B258,Lookup!H$1,H$1,Lookup!I$1)),"no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'07022015-2918-5' and cb."name" = 'Drummond Group Inc.' and cp.product_version_id = pv.product_version_id and pv.product_id = p.product_id and p.vendor_id = vend.vendor_id;</v>
      </c>
      <c r="F258" s="2" t="str">
        <f>IF(AND(NOT(ISBLANK(Drummond!G258)),Drummond!G258&lt;&gt;"N/A"),IF(C258="All",CONCATENATE(Lookup!F$2,D258,Lookup!G$2,B258,Lookup!H$2,H$1,Lookup!I$2),CONCATENATE(Lookup!F$3,D258,Lookup!G$3,B258,Lookup!H$3)),"no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'07022015-2918-5') as subquery where cp.certified_product_id = subquery.certified_product_id;</v>
      </c>
    </row>
    <row r="259" spans="1:6" x14ac:dyDescent="0.25">
      <c r="A259" s="2" t="str">
        <f>IF(ISBLANK(Drummond!D259),FALSE,LOOKUP(Drummond!D259,Lookup!$A$2:$B$4))</f>
        <v>Affirmative</v>
      </c>
      <c r="B259" s="2" t="str">
        <f>IF(ISBLANK(Drummond!E259),FALSE,TRIM(Drummond!E259))</f>
        <v>12182014-2970-1</v>
      </c>
      <c r="C259" s="2" t="str">
        <f>IF(ISBLANK(Drummond!F259),FALSE,LOOKUP(Drummond!F259,Lookup!$A$6:$B$7))</f>
        <v>Single</v>
      </c>
      <c r="D259" s="2" t="str">
        <f>IF(ISBLANK(Drummond!G259),FALSE,Drummond!G259)</f>
        <v>http://www.medhost.com/about-us/yourcareuniverse-certification</v>
      </c>
      <c r="E259" s="2" t="str">
        <f>IF(NOT(ISBLANK(Drummond!D259)),IF(OR(ISBLANK(Drummond!E259),Drummond!E259="N/A"),"no acb code",CONCATENATE(Lookup!F$1,A259,Lookup!G$1,B259,Lookup!H$1,H$1,Lookup!I$1)),"no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'12182014-2970-1' and cb."name" = 'Drummond Group Inc.' and cp.product_version_id = pv.product_version_id and pv.product_id = p.product_id and p.vendor_id = vend.vendor_id;</v>
      </c>
      <c r="F259" s="2" t="str">
        <f>IF(AND(NOT(ISBLANK(Drummond!G259)),Drummond!G259&lt;&gt;"N/A"),IF(C259="All",CONCATENATE(Lookup!F$2,D259,Lookup!G$2,B259,Lookup!H$2,H$1,Lookup!I$2),CONCATENATE(Lookup!F$3,D259,Lookup!G$3,B259,Lookup!H$3)),"no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260" spans="1:6" x14ac:dyDescent="0.25">
      <c r="A260" s="2" t="str">
        <f>IF(ISBLANK(Drummond!D260),FALSE,LOOKUP(Drummond!D260,Lookup!$A$2:$B$4))</f>
        <v>Affirmative</v>
      </c>
      <c r="B260" s="2" t="str">
        <f>IF(ISBLANK(Drummond!E260),FALSE,TRIM(Drummond!E260))</f>
        <v>12182014-2971-1</v>
      </c>
      <c r="C260" s="2" t="str">
        <f>IF(ISBLANK(Drummond!F260),FALSE,LOOKUP(Drummond!F260,Lookup!$A$6:$B$7))</f>
        <v>Single</v>
      </c>
      <c r="D260" s="2" t="str">
        <f>IF(ISBLANK(Drummond!G260),FALSE,Drummond!G260)</f>
        <v>http://www.medhost.com/about-us/yourcareuniverse-certification</v>
      </c>
      <c r="E260" s="2" t="str">
        <f>IF(NOT(ISBLANK(Drummond!D260)),IF(OR(ISBLANK(Drummond!E260),Drummond!E260="N/A"),"no acb code",CONCATENATE(Lookup!F$1,A260,Lookup!G$1,B260,Lookup!H$1,H$1,Lookup!I$1)),"no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'12182014-2971-1' and cb."name" = 'Drummond Group Inc.' and cp.product_version_id = pv.product_version_id and pv.product_id = p.product_id and p.vendor_id = vend.vendor_id;</v>
      </c>
      <c r="F260" s="2" t="str">
        <f>IF(AND(NOT(ISBLANK(Drummond!G260)),Drummond!G260&lt;&gt;"N/A"),IF(C260="All",CONCATENATE(Lookup!F$2,D260,Lookup!G$2,B260,Lookup!H$2,H$1,Lookup!I$2),CONCATENATE(Lookup!F$3,D260,Lookup!G$3,B260,Lookup!H$3)),"no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261" spans="1:6" x14ac:dyDescent="0.25">
      <c r="A261" s="2" t="str">
        <f>IF(ISBLANK(Drummond!D261),FALSE,LOOKUP(Drummond!D261,Lookup!$A$2:$B$4))</f>
        <v>Affirmative</v>
      </c>
      <c r="B261" s="2" t="str">
        <f>IF(ISBLANK(Drummond!E261),FALSE,TRIM(Drummond!E261))</f>
        <v>09252014-2966-1</v>
      </c>
      <c r="C261" s="2" t="str">
        <f>IF(ISBLANK(Drummond!F261),FALSE,LOOKUP(Drummond!F261,Lookup!$A$6:$B$7))</f>
        <v>Single</v>
      </c>
      <c r="D261" s="2" t="str">
        <f>IF(ISBLANK(Drummond!G261),FALSE,Drummond!G261)</f>
        <v>http://www.medhost.com/about-us/yourcareuniverse-certification</v>
      </c>
      <c r="E261" s="2" t="str">
        <f>IF(NOT(ISBLANK(Drummond!D261)),IF(OR(ISBLANK(Drummond!E261),Drummond!E261="N/A"),"no acb code",CONCATENATE(Lookup!F$1,A261,Lookup!G$1,B261,Lookup!H$1,H$1,Lookup!I$1)),"no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'09252014-2966-1' and cb."name" = 'Drummond Group Inc.' and cp.product_version_id = pv.product_version_id and pv.product_id = p.product_id and p.vendor_id = vend.vendor_id;</v>
      </c>
      <c r="F261" s="2" t="str">
        <f>IF(AND(NOT(ISBLANK(Drummond!G261)),Drummond!G261&lt;&gt;"N/A"),IF(C261="All",CONCATENATE(Lookup!F$2,D261,Lookup!G$2,B261,Lookup!H$2,H$1,Lookup!I$2),CONCATENATE(Lookup!F$3,D261,Lookup!G$3,B261,Lookup!H$3)),"no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262" spans="1:6" x14ac:dyDescent="0.25">
      <c r="A262" s="2" t="str">
        <f>IF(ISBLANK(Drummond!D262),FALSE,LOOKUP(Drummond!D262,Lookup!$A$2:$B$4))</f>
        <v>Affirmative</v>
      </c>
      <c r="B262" s="2" t="str">
        <f>IF(ISBLANK(Drummond!E262),FALSE,TRIM(Drummond!E262))</f>
        <v>09252014-2967-1</v>
      </c>
      <c r="C262" s="2" t="str">
        <f>IF(ISBLANK(Drummond!F262),FALSE,LOOKUP(Drummond!F262,Lookup!$A$6:$B$7))</f>
        <v>Single</v>
      </c>
      <c r="D262" s="2" t="str">
        <f>IF(ISBLANK(Drummond!G262),FALSE,Drummond!G262)</f>
        <v>http://www.medhost.com/about-us/yourcareuniverse-certification</v>
      </c>
      <c r="E262" s="2" t="str">
        <f>IF(NOT(ISBLANK(Drummond!D262)),IF(OR(ISBLANK(Drummond!E262),Drummond!E262="N/A"),"no acb code",CONCATENATE(Lookup!F$1,A262,Lookup!G$1,B262,Lookup!H$1,H$1,Lookup!I$1)),"no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'09252014-2967-1' and cb."name" = 'Drummond Group Inc.' and cp.product_version_id = pv.product_version_id and pv.product_id = p.product_id and p.vendor_id = vend.vendor_id;</v>
      </c>
      <c r="F262" s="2" t="str">
        <f>IF(AND(NOT(ISBLANK(Drummond!G262)),Drummond!G262&lt;&gt;"N/A"),IF(C262="All",CONCATENATE(Lookup!F$2,D262,Lookup!G$2,B262,Lookup!H$2,H$1,Lookup!I$2),CONCATENATE(Lookup!F$3,D262,Lookup!G$3,B262,Lookup!H$3)),"no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263" spans="1:6" x14ac:dyDescent="0.25">
      <c r="A263" s="2" t="str">
        <f>IF(ISBLANK(Drummond!D263),FALSE,LOOKUP(Drummond!D263,Lookup!$A$2:$B$4))</f>
        <v>Affirmative</v>
      </c>
      <c r="B263" s="2" t="str">
        <f>IF(ISBLANK(Drummond!E263),FALSE,TRIM(Drummond!E263))</f>
        <v>02162015-2968-5</v>
      </c>
      <c r="C263" s="2" t="str">
        <f>IF(ISBLANK(Drummond!F263),FALSE,LOOKUP(Drummond!F263,Lookup!$A$6:$B$7))</f>
        <v>Single</v>
      </c>
      <c r="D263" s="2" t="str">
        <f>IF(ISBLANK(Drummond!G263),FALSE,Drummond!G263)</f>
        <v>http://www.medhost.com/about-us/yourcareuniverse-certification</v>
      </c>
      <c r="E263" s="2" t="str">
        <f>IF(NOT(ISBLANK(Drummond!D263)),IF(OR(ISBLANK(Drummond!E263),Drummond!E263="N/A"),"no acb code",CONCATENATE(Lookup!F$1,A263,Lookup!G$1,B263,Lookup!H$1,H$1,Lookup!I$1)),"no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'02162015-2968-5' and cb."name" = 'Drummond Group Inc.' and cp.product_version_id = pv.product_version_id and pv.product_id = p.product_id and p.vendor_id = vend.vendor_id;</v>
      </c>
      <c r="F263" s="2" t="str">
        <f>IF(AND(NOT(ISBLANK(Drummond!G263)),Drummond!G263&lt;&gt;"N/A"),IF(C263="All",CONCATENATE(Lookup!F$2,D263,Lookup!G$2,B263,Lookup!H$2,H$1,Lookup!I$2),CONCATENATE(Lookup!F$3,D263,Lookup!G$3,B263,Lookup!H$3)),"no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264" spans="1:6" x14ac:dyDescent="0.25">
      <c r="A264" s="2" t="str">
        <f>IF(ISBLANK(Drummond!D264),FALSE,LOOKUP(Drummond!D264,Lookup!$A$2:$B$4))</f>
        <v>Affirmative</v>
      </c>
      <c r="B264" s="2" t="str">
        <f>IF(ISBLANK(Drummond!E264),FALSE,TRIM(Drummond!E264))</f>
        <v>02162015-2969-5</v>
      </c>
      <c r="C264" s="2" t="str">
        <f>IF(ISBLANK(Drummond!F264),FALSE,LOOKUP(Drummond!F264,Lookup!$A$6:$B$7))</f>
        <v>Single</v>
      </c>
      <c r="D264" s="2" t="str">
        <f>IF(ISBLANK(Drummond!G264),FALSE,Drummond!G264)</f>
        <v>http://www.medhost.com/about-us/yourcareuniverse-certification</v>
      </c>
      <c r="E264" s="2" t="str">
        <f>IF(NOT(ISBLANK(Drummond!D264)),IF(OR(ISBLANK(Drummond!E264),Drummond!E264="N/A"),"no acb code",CONCATENATE(Lookup!F$1,A264,Lookup!G$1,B264,Lookup!H$1,H$1,Lookup!I$1)),"no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'02162015-2969-5' and cb."name" = 'Drummond Group Inc.' and cp.product_version_id = pv.product_version_id and pv.product_id = p.product_id and p.vendor_id = vend.vendor_id;</v>
      </c>
      <c r="F264" s="2" t="str">
        <f>IF(AND(NOT(ISBLANK(Drummond!G264)),Drummond!G264&lt;&gt;"N/A"),IF(C264="All",CONCATENATE(Lookup!F$2,D264,Lookup!G$2,B264,Lookup!H$2,H$1,Lookup!I$2),CONCATENATE(Lookup!F$3,D264,Lookup!G$3,B264,Lookup!H$3)),"no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265" spans="1:6" x14ac:dyDescent="0.25">
      <c r="A265" s="2" t="str">
        <f>IF(ISBLANK(Drummond!D265),FALSE,LOOKUP(Drummond!D265,Lookup!$A$2:$B$4))</f>
        <v>Affirmative</v>
      </c>
      <c r="B265" s="2" t="str">
        <f>IF(ISBLANK(Drummond!E265),FALSE,TRIM(Drummond!E265))</f>
        <v>06052014-2246-5</v>
      </c>
      <c r="C265" s="2" t="str">
        <f>IF(ISBLANK(Drummond!F265),FALSE,LOOKUP(Drummond!F265,Lookup!$A$6:$B$7))</f>
        <v>Single</v>
      </c>
      <c r="D265" s="2" t="str">
        <f>IF(ISBLANK(Drummond!G265),FALSE,Drummond!G265)</f>
        <v>http://www.medhost.com/about-us/yourcareuniverse-certification</v>
      </c>
      <c r="E265" s="2" t="str">
        <f>IF(NOT(ISBLANK(Drummond!D265)),IF(OR(ISBLANK(Drummond!E265),Drummond!E265="N/A"),"no acb code",CONCATENATE(Lookup!F$1,A265,Lookup!G$1,B265,Lookup!H$1,H$1,Lookup!I$1)),"no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'06052014-2246-5' and cb."name" = 'Drummond Group Inc.' and cp.product_version_id = pv.product_version_id and pv.product_id = p.product_id and p.vendor_id = vend.vendor_id;</v>
      </c>
      <c r="F265" s="2" t="str">
        <f>IF(AND(NOT(ISBLANK(Drummond!G265)),Drummond!G265&lt;&gt;"N/A"),IF(C265="All",CONCATENATE(Lookup!F$2,D265,Lookup!G$2,B265,Lookup!H$2,H$1,Lookup!I$2),CONCATENATE(Lookup!F$3,D265,Lookup!G$3,B265,Lookup!H$3)),"no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266" spans="1:6" x14ac:dyDescent="0.25">
      <c r="A266" s="2" t="str">
        <f>IF(ISBLANK(Drummond!D266),FALSE,LOOKUP(Drummond!D266,Lookup!$A$2:$B$4))</f>
        <v>Affirmative</v>
      </c>
      <c r="B266" s="2" t="str">
        <f>IF(ISBLANK(Drummond!E266),FALSE,TRIM(Drummond!E266))</f>
        <v>06052014-2245-5</v>
      </c>
      <c r="C266" s="2" t="str">
        <f>IF(ISBLANK(Drummond!F266),FALSE,LOOKUP(Drummond!F266,Lookup!$A$6:$B$7))</f>
        <v>Single</v>
      </c>
      <c r="D266" s="2" t="str">
        <f>IF(ISBLANK(Drummond!G266),FALSE,Drummond!G266)</f>
        <v>http://www.medhost.com/about-us/yourcareuniverse-certification</v>
      </c>
      <c r="E266" s="2" t="str">
        <f>IF(NOT(ISBLANK(Drummond!D266)),IF(OR(ISBLANK(Drummond!E266),Drummond!E266="N/A"),"no acb code",CONCATENATE(Lookup!F$1,A266,Lookup!G$1,B266,Lookup!H$1,H$1,Lookup!I$1)),"no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'06052014-2245-5' and cb."name" = 'Drummond Group Inc.' and cp.product_version_id = pv.product_version_id and pv.product_id = p.product_id and p.vendor_id = vend.vendor_id;</v>
      </c>
      <c r="F266" s="2" t="str">
        <f>IF(AND(NOT(ISBLANK(Drummond!G266)),Drummond!G266&lt;&gt;"N/A"),IF(C266="All",CONCATENATE(Lookup!F$2,D266,Lookup!G$2,B266,Lookup!H$2,H$1,Lookup!I$2),CONCATENATE(Lookup!F$3,D266,Lookup!G$3,B266,Lookup!H$3)),"no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267" spans="1:6" x14ac:dyDescent="0.25">
      <c r="A267" s="2" t="str">
        <f>IF(ISBLANK(Drummond!D267),FALSE,LOOKUP(Drummond!D267,Lookup!$A$2:$B$4))</f>
        <v>Affirmative</v>
      </c>
      <c r="B267" s="2" t="str">
        <f>IF(ISBLANK(Drummond!E267),FALSE,TRIM(Drummond!E267))</f>
        <v>07022015-0256-5</v>
      </c>
      <c r="C267" s="2" t="str">
        <f>IF(ISBLANK(Drummond!F267),FALSE,LOOKUP(Drummond!F267,Lookup!$A$6:$B$7))</f>
        <v>Single</v>
      </c>
      <c r="D267" s="2" t="str">
        <f>IF(ISBLANK(Drummond!G267),FALSE,Drummond!G267)</f>
        <v>http://www.medhost.com/about-us/yourcareuniverse-certification</v>
      </c>
      <c r="E267" s="2" t="str">
        <f>IF(NOT(ISBLANK(Drummond!D267)),IF(OR(ISBLANK(Drummond!E267),Drummond!E267="N/A"),"no acb code",CONCATENATE(Lookup!F$1,A267,Lookup!G$1,B267,Lookup!H$1,H$1,Lookup!I$1)),"no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'07022015-0256-5' and cb."name" = 'Drummond Group Inc.' and cp.product_version_id = pv.product_version_id and pv.product_id = p.product_id and p.vendor_id = vend.vendor_id;</v>
      </c>
      <c r="F267" s="2" t="str">
        <f>IF(AND(NOT(ISBLANK(Drummond!G267)),Drummond!G267&lt;&gt;"N/A"),IF(C267="All",CONCATENATE(Lookup!F$2,D267,Lookup!G$2,B267,Lookup!H$2,H$1,Lookup!I$2),CONCATENATE(Lookup!F$3,D267,Lookup!G$3,B267,Lookup!H$3)),"no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268" spans="1:6" x14ac:dyDescent="0.25">
      <c r="A268" s="2" t="str">
        <f>IF(ISBLANK(Drummond!D268),FALSE,LOOKUP(Drummond!D268,Lookup!$A$2:$B$4))</f>
        <v>Affirmative</v>
      </c>
      <c r="B268" s="2" t="str">
        <f>IF(ISBLANK(Drummond!E268),FALSE,TRIM(Drummond!E268))</f>
        <v>07022015-0255-5</v>
      </c>
      <c r="C268" s="2" t="str">
        <f>IF(ISBLANK(Drummond!F268),FALSE,LOOKUP(Drummond!F268,Lookup!$A$6:$B$7))</f>
        <v>Single</v>
      </c>
      <c r="D268" s="2" t="str">
        <f>IF(ISBLANK(Drummond!G268),FALSE,Drummond!G268)</f>
        <v>http://www.medhost.com/about-us/yourcareuniverse-certification</v>
      </c>
      <c r="E268" s="2" t="str">
        <f>IF(NOT(ISBLANK(Drummond!D268)),IF(OR(ISBLANK(Drummond!E268),Drummond!E268="N/A"),"no acb code",CONCATENATE(Lookup!F$1,A268,Lookup!G$1,B268,Lookup!H$1,H$1,Lookup!I$1)),"no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'07022015-0255-5' and cb."name" = 'Drummond Group Inc.' and cp.product_version_id = pv.product_version_id and pv.product_id = p.product_id and p.vendor_id = vend.vendor_id;</v>
      </c>
      <c r="F268" s="2" t="str">
        <f>IF(AND(NOT(ISBLANK(Drummond!G268)),Drummond!G268&lt;&gt;"N/A"),IF(C268="All",CONCATENATE(Lookup!F$2,D268,Lookup!G$2,B268,Lookup!H$2,H$1,Lookup!I$2),CONCATENATE(Lookup!F$3,D268,Lookup!G$3,B268,Lookup!H$3)),"no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269" spans="1:6" x14ac:dyDescent="0.25">
      <c r="A269" s="2" t="str">
        <f>IF(ISBLANK(Drummond!D269),FALSE,LOOKUP(Drummond!D269,Lookup!$A$2:$B$4))</f>
        <v>Affirmative</v>
      </c>
      <c r="B269" s="2" t="str">
        <f>IF(ISBLANK(Drummond!E269),FALSE,TRIM(Drummond!E269))</f>
        <v>07022015-0258-5</v>
      </c>
      <c r="C269" s="2" t="str">
        <f>IF(ISBLANK(Drummond!F269),FALSE,LOOKUP(Drummond!F269,Lookup!$A$6:$B$7))</f>
        <v>Single</v>
      </c>
      <c r="D269" s="2" t="str">
        <f>IF(ISBLANK(Drummond!G269),FALSE,Drummond!G269)</f>
        <v>http://www.medhost.com/about-us/yourcareuniverse-certification</v>
      </c>
      <c r="E269" s="2" t="str">
        <f>IF(NOT(ISBLANK(Drummond!D269)),IF(OR(ISBLANK(Drummond!E269),Drummond!E269="N/A"),"no acb code",CONCATENATE(Lookup!F$1,A269,Lookup!G$1,B269,Lookup!H$1,H$1,Lookup!I$1)),"no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'07022015-0258-5' and cb."name" = 'Drummond Group Inc.' and cp.product_version_id = pv.product_version_id and pv.product_id = p.product_id and p.vendor_id = vend.vendor_id;</v>
      </c>
      <c r="F269" s="2" t="str">
        <f>IF(AND(NOT(ISBLANK(Drummond!G269)),Drummond!G269&lt;&gt;"N/A"),IF(C269="All",CONCATENATE(Lookup!F$2,D269,Lookup!G$2,B269,Lookup!H$2,H$1,Lookup!I$2),CONCATENATE(Lookup!F$3,D269,Lookup!G$3,B269,Lookup!H$3)),"no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270" spans="1:6" x14ac:dyDescent="0.25">
      <c r="A270" s="2" t="str">
        <f>IF(ISBLANK(Drummond!D270),FALSE,LOOKUP(Drummond!D270,Lookup!$A$2:$B$4))</f>
        <v>Affirmative</v>
      </c>
      <c r="B270" s="2" t="str">
        <f>IF(ISBLANK(Drummond!E270),FALSE,TRIM(Drummond!E270))</f>
        <v>07022015-0257-5</v>
      </c>
      <c r="C270" s="2" t="str">
        <f>IF(ISBLANK(Drummond!F270),FALSE,LOOKUP(Drummond!F270,Lookup!$A$6:$B$7))</f>
        <v>Single</v>
      </c>
      <c r="D270" s="2" t="str">
        <f>IF(ISBLANK(Drummond!G270),FALSE,Drummond!G270)</f>
        <v>http://www.medhost.com/about-us/yourcareuniverse-certification</v>
      </c>
      <c r="E270" s="2" t="str">
        <f>IF(NOT(ISBLANK(Drummond!D270)),IF(OR(ISBLANK(Drummond!E270),Drummond!E270="N/A"),"no acb code",CONCATENATE(Lookup!F$1,A270,Lookup!G$1,B270,Lookup!H$1,H$1,Lookup!I$1)),"no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'07022015-0257-5' and cb."name" = 'Drummond Group Inc.' and cp.product_version_id = pv.product_version_id and pv.product_id = p.product_id and p.vendor_id = vend.vendor_id;</v>
      </c>
      <c r="F270" s="2" t="str">
        <f>IF(AND(NOT(ISBLANK(Drummond!G270)),Drummond!G270&lt;&gt;"N/A"),IF(C270="All",CONCATENATE(Lookup!F$2,D270,Lookup!G$2,B270,Lookup!H$2,H$1,Lookup!I$2),CONCATENATE(Lookup!F$3,D270,Lookup!G$3,B270,Lookup!H$3)),"no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271" spans="1:6" x14ac:dyDescent="0.25">
      <c r="A271" s="2" t="str">
        <f>IF(ISBLANK(Drummond!D271),FALSE,LOOKUP(Drummond!D271,Lookup!$A$2:$B$4))</f>
        <v>Affirmative</v>
      </c>
      <c r="B271" s="2" t="str">
        <f>IF(ISBLANK(Drummond!E271),FALSE,TRIM(Drummond!E271))</f>
        <v>05192014-2570-5</v>
      </c>
      <c r="C271" s="2" t="str">
        <f>IF(ISBLANK(Drummond!F271),FALSE,LOOKUP(Drummond!F271,Lookup!$A$6:$B$7))</f>
        <v>Single</v>
      </c>
      <c r="D271" s="2" t="str">
        <f>IF(ISBLANK(Drummond!G271),FALSE,Drummond!G271)</f>
        <v>http://www.medhost.com/about-us/meaningful-use-certification</v>
      </c>
      <c r="E271" s="2" t="str">
        <f>IF(NOT(ISBLANK(Drummond!D271)),IF(OR(ISBLANK(Drummond!E271),Drummond!E271="N/A"),"no acb code",CONCATENATE(Lookup!F$1,A271,Lookup!G$1,B271,Lookup!H$1,H$1,Lookup!I$1)),"no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'05192014-2570-5' and cb."name" = 'Drummond Group Inc.' and cp.product_version_id = pv.product_version_id and pv.product_id = p.product_id and p.vendor_id = vend.vendor_id;</v>
      </c>
      <c r="F271" s="2" t="str">
        <f>IF(AND(NOT(ISBLANK(Drummond!G271)),Drummond!G271&lt;&gt;"N/A"),IF(C271="All",CONCATENATE(Lookup!F$2,D271,Lookup!G$2,B271,Lookup!H$2,H$1,Lookup!I$2),CONCATENATE(Lookup!F$3,D271,Lookup!G$3,B271,Lookup!H$3)),"no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272" spans="1:6" x14ac:dyDescent="0.25">
      <c r="A272" s="2" t="str">
        <f>IF(ISBLANK(Drummond!D272),FALSE,LOOKUP(Drummond!D272,Lookup!$A$2:$B$4))</f>
        <v>Affirmative</v>
      </c>
      <c r="B272" s="2" t="str">
        <f>IF(ISBLANK(Drummond!E272),FALSE,TRIM(Drummond!E272))</f>
        <v>02202014-2568-5</v>
      </c>
      <c r="C272" s="2" t="str">
        <f>IF(ISBLANK(Drummond!F272),FALSE,LOOKUP(Drummond!F272,Lookup!$A$6:$B$7))</f>
        <v>Single</v>
      </c>
      <c r="D272" s="2" t="str">
        <f>IF(ISBLANK(Drummond!G272),FALSE,Drummond!G272)</f>
        <v>http://www.medhost.com/about-us/meaningful-use-certification</v>
      </c>
      <c r="E272" s="2" t="str">
        <f>IF(NOT(ISBLANK(Drummond!D272)),IF(OR(ISBLANK(Drummond!E272),Drummond!E272="N/A"),"no acb code",CONCATENATE(Lookup!F$1,A272,Lookup!G$1,B272,Lookup!H$1,H$1,Lookup!I$1)),"no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'02202014-2568-5' and cb."name" = 'Drummond Group Inc.' and cp.product_version_id = pv.product_version_id and pv.product_id = p.product_id and p.vendor_id = vend.vendor_id;</v>
      </c>
      <c r="F272" s="2" t="str">
        <f>IF(AND(NOT(ISBLANK(Drummond!G272)),Drummond!G272&lt;&gt;"N/A"),IF(C272="All",CONCATENATE(Lookup!F$2,D272,Lookup!G$2,B272,Lookup!H$2,H$1,Lookup!I$2),CONCATENATE(Lookup!F$3,D272,Lookup!G$3,B272,Lookup!H$3)),"no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273" spans="1:6" x14ac:dyDescent="0.25">
      <c r="A273" s="2" t="str">
        <f>IF(ISBLANK(Drummond!D273),FALSE,LOOKUP(Drummond!D273,Lookup!$A$2:$B$4))</f>
        <v>Affirmative</v>
      </c>
      <c r="B273" s="2" t="str">
        <f>IF(ISBLANK(Drummond!E273),FALSE,TRIM(Drummond!E273))</f>
        <v>05192014-2569-5</v>
      </c>
      <c r="C273" s="2" t="str">
        <f>IF(ISBLANK(Drummond!F273),FALSE,LOOKUP(Drummond!F273,Lookup!$A$6:$B$7))</f>
        <v>Single</v>
      </c>
      <c r="D273" s="2" t="str">
        <f>IF(ISBLANK(Drummond!G273),FALSE,Drummond!G273)</f>
        <v>http://www.medhost.com/about-us/meaningful-use-certification</v>
      </c>
      <c r="E273" s="2" t="str">
        <f>IF(NOT(ISBLANK(Drummond!D273)),IF(OR(ISBLANK(Drummond!E273),Drummond!E273="N/A"),"no acb code",CONCATENATE(Lookup!F$1,A273,Lookup!G$1,B273,Lookup!H$1,H$1,Lookup!I$1)),"no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'05192014-2569-5' and cb."name" = 'Drummond Group Inc.' and cp.product_version_id = pv.product_version_id and pv.product_id = p.product_id and p.vendor_id = vend.vendor_id;</v>
      </c>
      <c r="F273" s="2" t="str">
        <f>IF(AND(NOT(ISBLANK(Drummond!G273)),Drummond!G273&lt;&gt;"N/A"),IF(C273="All",CONCATENATE(Lookup!F$2,D273,Lookup!G$2,B273,Lookup!H$2,H$1,Lookup!I$2),CONCATENATE(Lookup!F$3,D273,Lookup!G$3,B273,Lookup!H$3)),"no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274" spans="1:6" x14ac:dyDescent="0.25">
      <c r="A274" s="2" t="str">
        <f>IF(ISBLANK(Drummond!D274),FALSE,LOOKUP(Drummond!D274,Lookup!$A$2:$B$4))</f>
        <v>Affirmative</v>
      </c>
      <c r="B274" s="2" t="str">
        <f>IF(ISBLANK(Drummond!E274),FALSE,TRIM(Drummond!E274))</f>
        <v>02202014-2567-5</v>
      </c>
      <c r="C274" s="2" t="str">
        <f>IF(ISBLANK(Drummond!F274),FALSE,LOOKUP(Drummond!F274,Lookup!$A$6:$B$7))</f>
        <v>Single</v>
      </c>
      <c r="D274" s="2" t="str">
        <f>IF(ISBLANK(Drummond!G274),FALSE,Drummond!G274)</f>
        <v>http://www.medhost.com/about-us/meaningful-use-certification</v>
      </c>
      <c r="E274" s="2" t="str">
        <f>IF(NOT(ISBLANK(Drummond!D274)),IF(OR(ISBLANK(Drummond!E274),Drummond!E274="N/A"),"no acb code",CONCATENATE(Lookup!F$1,A274,Lookup!G$1,B274,Lookup!H$1,H$1,Lookup!I$1)),"no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'02202014-2567-5' and cb."name" = 'Drummond Group Inc.' and cp.product_version_id = pv.product_version_id and pv.product_id = p.product_id and p.vendor_id = vend.vendor_id;</v>
      </c>
      <c r="F274" s="2" t="str">
        <f>IF(AND(NOT(ISBLANK(Drummond!G274)),Drummond!G274&lt;&gt;"N/A"),IF(C274="All",CONCATENATE(Lookup!F$2,D274,Lookup!G$2,B274,Lookup!H$2,H$1,Lookup!I$2),CONCATENATE(Lookup!F$3,D274,Lookup!G$3,B274,Lookup!H$3)),"no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275" spans="1:6" x14ac:dyDescent="0.25">
      <c r="A275" s="2" t="str">
        <f>IF(ISBLANK(Drummond!D275),FALSE,LOOKUP(Drummond!D275,Lookup!$A$2:$B$4))</f>
        <v>Affirmative</v>
      </c>
      <c r="B275" s="2" t="str">
        <f>IF(ISBLANK(Drummond!E275),FALSE,TRIM(Drummond!E275))</f>
        <v>10302014-2916-5</v>
      </c>
      <c r="C275" s="2" t="str">
        <f>IF(ISBLANK(Drummond!F275),FALSE,LOOKUP(Drummond!F275,Lookup!$A$6:$B$7))</f>
        <v>Single</v>
      </c>
      <c r="D275" s="2" t="str">
        <f>IF(ISBLANK(Drummond!G275),FALSE,Drummond!G275)</f>
        <v>http://www.medhost.com/offerings/advanced-perioperative/advanced-perioperative-certification</v>
      </c>
      <c r="E275" s="2" t="str">
        <f>IF(NOT(ISBLANK(Drummond!D275)),IF(OR(ISBLANK(Drummond!E275),Drummond!E275="N/A"),"no acb code",CONCATENATE(Lookup!F$1,A275,Lookup!G$1,B275,Lookup!H$1,H$1,Lookup!I$1)),"no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'10302014-2916-5' and cb."name" = 'Drummond Group Inc.' and cp.product_version_id = pv.product_version_id and pv.product_id = p.product_id and p.vendor_id = vend.vendor_id;</v>
      </c>
      <c r="F275" s="2" t="str">
        <f>IF(AND(NOT(ISBLANK(Drummond!G275)),Drummond!G275&lt;&gt;"N/A"),IF(C275="All",CONCATENATE(Lookup!F$2,D275,Lookup!G$2,B275,Lookup!H$2,H$1,Lookup!I$2),CONCATENATE(Lookup!F$3,D275,Lookup!G$3,B275,Lookup!H$3)),"no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'10302014-2916-5') as subquery where cp.certified_product_id = subquery.certified_product_id;</v>
      </c>
    </row>
    <row r="276" spans="1:6" x14ac:dyDescent="0.25">
      <c r="A276" s="2" t="str">
        <f>IF(ISBLANK(Drummond!D276),FALSE,LOOKUP(Drummond!D276,Lookup!$A$2:$B$4))</f>
        <v>Affirmative</v>
      </c>
      <c r="B276" s="2" t="str">
        <f>IF(ISBLANK(Drummond!E276),FALSE,TRIM(Drummond!E276))</f>
        <v>12302015-1475-5</v>
      </c>
      <c r="C276" s="2" t="str">
        <f>IF(ISBLANK(Drummond!F276),FALSE,LOOKUP(Drummond!F276,Lookup!$A$6:$B$7))</f>
        <v>Single</v>
      </c>
      <c r="D276" s="2" t="str">
        <f>IF(ISBLANK(Drummond!G276),FALSE,Drummond!G276)</f>
        <v>http://www.medhost.com/offerings/advanced-perioperative/advanced-perioperative-certification</v>
      </c>
      <c r="E276" s="2" t="str">
        <f>IF(NOT(ISBLANK(Drummond!D276)),IF(OR(ISBLANK(Drummond!E276),Drummond!E276="N/A"),"no acb code",CONCATENATE(Lookup!F$1,A276,Lookup!G$1,B276,Lookup!H$1,H$1,Lookup!I$1)),"no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'12302015-1475-5' and cb."name" = 'Drummond Group Inc.' and cp.product_version_id = pv.product_version_id and pv.product_id = p.product_id and p.vendor_id = vend.vendor_id;</v>
      </c>
      <c r="F276" s="2" t="str">
        <f>IF(AND(NOT(ISBLANK(Drummond!G276)),Drummond!G276&lt;&gt;"N/A"),IF(C276="All",CONCATENATE(Lookup!F$2,D276,Lookup!G$2,B276,Lookup!H$2,H$1,Lookup!I$2),CONCATENATE(Lookup!F$3,D276,Lookup!G$3,B276,Lookup!H$3)),"no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'12302015-1475-5') as subquery where cp.certified_product_id = subquery.certified_product_id;</v>
      </c>
    </row>
    <row r="277" spans="1:6" x14ac:dyDescent="0.25">
      <c r="A277" s="2" t="str">
        <f>IF(ISBLANK(Drummond!D277),FALSE,LOOKUP(Drummond!D277,Lookup!$A$2:$B$4))</f>
        <v>Affirmative</v>
      </c>
      <c r="B277" s="2" t="str">
        <f>IF(ISBLANK(Drummond!E277),FALSE,TRIM(Drummond!E277))</f>
        <v>11122015-0350-5</v>
      </c>
      <c r="C277" s="2" t="str">
        <f>IF(ISBLANK(Drummond!F277),FALSE,LOOKUP(Drummond!F277,Lookup!$A$6:$B$7))</f>
        <v>Single</v>
      </c>
      <c r="D277" s="2" t="str">
        <f>IF(ISBLANK(Drummond!G277),FALSE,Drummond!G277)</f>
        <v>http://www.medhost.com/offerings/advanced-perioperative/advanced-perioperative-certification</v>
      </c>
      <c r="E277" s="2" t="str">
        <f>IF(NOT(ISBLANK(Drummond!D277)),IF(OR(ISBLANK(Drummond!E277),Drummond!E277="N/A"),"no acb code",CONCATENATE(Lookup!F$1,A277,Lookup!G$1,B277,Lookup!H$1,H$1,Lookup!I$1)),"no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'11122015-0350-5' and cb."name" = 'Drummond Group Inc.' and cp.product_version_id = pv.product_version_id and pv.product_id = p.product_id and p.vendor_id = vend.vendor_id;</v>
      </c>
      <c r="F277" s="2" t="str">
        <f>IF(AND(NOT(ISBLANK(Drummond!G277)),Drummond!G277&lt;&gt;"N/A"),IF(C277="All",CONCATENATE(Lookup!F$2,D277,Lookup!G$2,B277,Lookup!H$2,H$1,Lookup!I$2),CONCATENATE(Lookup!F$3,D277,Lookup!G$3,B277,Lookup!H$3)),"no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'11122015-0350-5') as subquery where cp.certified_product_id = subquery.certified_product_id;</v>
      </c>
    </row>
    <row r="278" spans="1:6" x14ac:dyDescent="0.25">
      <c r="A278" s="2" t="str">
        <f>IF(ISBLANK(Drummond!D278),FALSE,LOOKUP(Drummond!D278,Lookup!$A$2:$B$4))</f>
        <v>Affirmative</v>
      </c>
      <c r="B278" s="2" t="str">
        <f>IF(ISBLANK(Drummond!E278),FALSE,TRIM(Drummond!E278))</f>
        <v>05162014-2779-1</v>
      </c>
      <c r="C278" s="2" t="str">
        <f>IF(ISBLANK(Drummond!F278),FALSE,LOOKUP(Drummond!F278,Lookup!$A$6:$B$7))</f>
        <v>Single</v>
      </c>
      <c r="D278" s="2" t="str">
        <f>IF(ISBLANK(Drummond!G278),FALSE,Drummond!G278)</f>
        <v>http://www.medhost.com/offerings/advanced-perioperative/advanced-perioperative-certification</v>
      </c>
      <c r="E278" s="2" t="str">
        <f>IF(NOT(ISBLANK(Drummond!D278)),IF(OR(ISBLANK(Drummond!E278),Drummond!E278="N/A"),"no acb code",CONCATENATE(Lookup!F$1,A278,Lookup!G$1,B278,Lookup!H$1,H$1,Lookup!I$1)),"no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'05162014-2779-1' and cb."name" = 'Drummond Group Inc.' and cp.product_version_id = pv.product_version_id and pv.product_id = p.product_id and p.vendor_id = vend.vendor_id;</v>
      </c>
      <c r="F278" s="2" t="str">
        <f>IF(AND(NOT(ISBLANK(Drummond!G278)),Drummond!G278&lt;&gt;"N/A"),IF(C278="All",CONCATENATE(Lookup!F$2,D278,Lookup!G$2,B278,Lookup!H$2,H$1,Lookup!I$2),CONCATENATE(Lookup!F$3,D278,Lookup!G$3,B278,Lookup!H$3)),"no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'05162014-2779-1') as subquery where cp.certified_product_id = subquery.certified_product_id;</v>
      </c>
    </row>
    <row r="279" spans="1:6" x14ac:dyDescent="0.25">
      <c r="A279" s="2" t="str">
        <f>IF(ISBLANK(Drummond!D279),FALSE,LOOKUP(Drummond!D279,Lookup!$A$2:$B$4))</f>
        <v>Affirmative</v>
      </c>
      <c r="B279" s="2" t="str">
        <f>IF(ISBLANK(Drummond!E279),FALSE,TRIM(Drummond!E279))</f>
        <v>07192013-2005-6</v>
      </c>
      <c r="C279" s="2" t="str">
        <f>IF(ISBLANK(Drummond!F279),FALSE,LOOKUP(Drummond!F279,Lookup!$A$6:$B$7))</f>
        <v>Single</v>
      </c>
      <c r="D279" s="2" t="str">
        <f>IF(ISBLANK(Drummond!G279),FALSE,Drummond!G279)</f>
        <v>http://www.medhost.com/offerings/advanced-perioperative/advanced-perioperative-certification</v>
      </c>
      <c r="E279" s="2" t="str">
        <f>IF(NOT(ISBLANK(Drummond!D279)),IF(OR(ISBLANK(Drummond!E279),Drummond!E279="N/A"),"no acb code",CONCATENATE(Lookup!F$1,A279,Lookup!G$1,B279,Lookup!H$1,H$1,Lookup!I$1)),"no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'07192013-2005-6' and cb."name" = 'Drummond Group Inc.' and cp.product_version_id = pv.product_version_id and pv.product_id = p.product_id and p.vendor_id = vend.vendor_id;</v>
      </c>
      <c r="F279" s="2" t="str">
        <f>IF(AND(NOT(ISBLANK(Drummond!G279)),Drummond!G279&lt;&gt;"N/A"),IF(C279="All",CONCATENATE(Lookup!F$2,D279,Lookup!G$2,B279,Lookup!H$2,H$1,Lookup!I$2),CONCATENATE(Lookup!F$3,D279,Lookup!G$3,B279,Lookup!H$3)),"no url")</f>
        <v>update openchpl.certified_product as cp set transparency_attestation_url = 'http://www.medhost.com/offerings/advanced-perioperative/advanced-perioperative-certification' from (select certified_product_id from openchpl.certified_product as cp where cp.acb_certification_id = '07192013-2005-6') as subquery where cp.certified_product_id = subquery.certified_product_id;</v>
      </c>
    </row>
    <row r="280" spans="1:6" x14ac:dyDescent="0.25">
      <c r="A280" s="2" t="str">
        <f>IF(ISBLANK(Drummond!D280),FALSE,LOOKUP(Drummond!D280,Lookup!$A$2:$B$4))</f>
        <v>Affirmative</v>
      </c>
      <c r="B280" s="2" t="str">
        <f>IF(ISBLANK(Drummond!E280),FALSE,TRIM(Drummond!E280))</f>
        <v>09232013-2243-5</v>
      </c>
      <c r="C280" s="2" t="str">
        <f>IF(ISBLANK(Drummond!F280),FALSE,LOOKUP(Drummond!F280,Lookup!$A$6:$B$7))</f>
        <v>Single</v>
      </c>
      <c r="D280" s="2" t="str">
        <f>IF(ISBLANK(Drummond!G280),FALSE,Drummond!G280)</f>
        <v>http://www.medhost.com/about-us/yourcareuniverse-certification</v>
      </c>
      <c r="E280" s="2" t="str">
        <f>IF(NOT(ISBLANK(Drummond!D280)),IF(OR(ISBLANK(Drummond!E280),Drummond!E280="N/A"),"no acb code",CONCATENATE(Lookup!F$1,A280,Lookup!G$1,B280,Lookup!H$1,H$1,Lookup!I$1)),"no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'09232013-2243-5' and cb."name" = 'Drummond Group Inc.' and cp.product_version_id = pv.product_version_id and pv.product_id = p.product_id and p.vendor_id = vend.vendor_id;</v>
      </c>
      <c r="F280" s="2" t="str">
        <f>IF(AND(NOT(ISBLANK(Drummond!G280)),Drummond!G280&lt;&gt;"N/A"),IF(C280="All",CONCATENATE(Lookup!F$2,D280,Lookup!G$2,B280,Lookup!H$2,H$1,Lookup!I$2),CONCATENATE(Lookup!F$3,D280,Lookup!G$3,B280,Lookup!H$3)),"no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281" spans="1:6" x14ac:dyDescent="0.25">
      <c r="A281" s="2" t="str">
        <f>IF(ISBLANK(Drummond!D281),FALSE,LOOKUP(Drummond!D281,Lookup!$A$2:$B$4))</f>
        <v>Affirmative</v>
      </c>
      <c r="B281" s="2" t="str">
        <f>IF(ISBLANK(Drummond!E281),FALSE,TRIM(Drummond!E281))</f>
        <v>09232013-2244-5</v>
      </c>
      <c r="C281" s="2" t="str">
        <f>IF(ISBLANK(Drummond!F281),FALSE,LOOKUP(Drummond!F281,Lookup!$A$6:$B$7))</f>
        <v>Single</v>
      </c>
      <c r="D281" s="2" t="str">
        <f>IF(ISBLANK(Drummond!G281),FALSE,Drummond!G281)</f>
        <v>http://www.medhost.com/about-us/yourcareuniverse-certification</v>
      </c>
      <c r="E281" s="2" t="str">
        <f>IF(NOT(ISBLANK(Drummond!D281)),IF(OR(ISBLANK(Drummond!E281),Drummond!E281="N/A"),"no acb code",CONCATENATE(Lookup!F$1,A281,Lookup!G$1,B281,Lookup!H$1,H$1,Lookup!I$1)),"no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'09232013-2244-5' and cb."name" = 'Drummond Group Inc.' and cp.product_version_id = pv.product_version_id and pv.product_id = p.product_id and p.vendor_id = vend.vendor_id;</v>
      </c>
      <c r="F281" s="2" t="str">
        <f>IF(AND(NOT(ISBLANK(Drummond!G281)),Drummond!G281&lt;&gt;"N/A"),IF(C281="All",CONCATENATE(Lookup!F$2,D281,Lookup!G$2,B281,Lookup!H$2,H$1,Lookup!I$2),CONCATENATE(Lookup!F$3,D281,Lookup!G$3,B281,Lookup!H$3)),"no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282" spans="1:6" x14ac:dyDescent="0.25">
      <c r="A282" s="2" t="str">
        <f>IF(ISBLANK(Drummond!D282),FALSE,LOOKUP(Drummond!D282,Lookup!$A$2:$B$4))</f>
        <v>Affirmative</v>
      </c>
      <c r="B282" s="2" t="str">
        <f>IF(ISBLANK(Drummond!E282),FALSE,TRIM(Drummond!E282))</f>
        <v>04182013-1900-6</v>
      </c>
      <c r="C282" s="2" t="str">
        <f>IF(ISBLANK(Drummond!F282),FALSE,LOOKUP(Drummond!F282,Lookup!$A$6:$B$7))</f>
        <v>Single</v>
      </c>
      <c r="D282" s="2" t="str">
        <f>IF(ISBLANK(Drummond!G282),FALSE,Drummond!G282)</f>
        <v>http://www.medhost.com/offerings/edis/edis-certification</v>
      </c>
      <c r="E282" s="2" t="str">
        <f>IF(NOT(ISBLANK(Drummond!D282)),IF(OR(ISBLANK(Drummond!E282),Drummond!E282="N/A"),"no acb code",CONCATENATE(Lookup!F$1,A282,Lookup!G$1,B282,Lookup!H$1,H$1,Lookup!I$1)),"no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'04182013-1900-6' and cb."name" = 'Drummond Group Inc.' and cp.product_version_id = pv.product_version_id and pv.product_id = p.product_id and p.vendor_id = vend.vendor_id;</v>
      </c>
      <c r="F282" s="2" t="str">
        <f>IF(AND(NOT(ISBLANK(Drummond!G282)),Drummond!G282&lt;&gt;"N/A"),IF(C282="All",CONCATENATE(Lookup!F$2,D282,Lookup!G$2,B282,Lookup!H$2,H$1,Lookup!I$2),CONCATENATE(Lookup!F$3,D282,Lookup!G$3,B282,Lookup!H$3)),"no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283" spans="1:6" x14ac:dyDescent="0.25">
      <c r="A283" s="2" t="str">
        <f>IF(ISBLANK(Drummond!D283),FALSE,LOOKUP(Drummond!D283,Lookup!$A$2:$B$4))</f>
        <v>Affirmative</v>
      </c>
      <c r="B283" s="2" t="str">
        <f>IF(ISBLANK(Drummond!E283),FALSE,TRIM(Drummond!E283))</f>
        <v>04182013-1901-6</v>
      </c>
      <c r="C283" s="2" t="str">
        <f>IF(ISBLANK(Drummond!F283),FALSE,LOOKUP(Drummond!F283,Lookup!$A$6:$B$7))</f>
        <v>Single</v>
      </c>
      <c r="D283" s="2" t="str">
        <f>IF(ISBLANK(Drummond!G283),FALSE,Drummond!G283)</f>
        <v>http://www.medhost.com/offerings/edis/edis-certification</v>
      </c>
      <c r="E283" s="2" t="str">
        <f>IF(NOT(ISBLANK(Drummond!D283)),IF(OR(ISBLANK(Drummond!E283),Drummond!E283="N/A"),"no acb code",CONCATENATE(Lookup!F$1,A283,Lookup!G$1,B283,Lookup!H$1,H$1,Lookup!I$1)),"no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'04182013-1901-6' and cb."name" = 'Drummond Group Inc.' and cp.product_version_id = pv.product_version_id and pv.product_id = p.product_id and p.vendor_id = vend.vendor_id;</v>
      </c>
      <c r="F283" s="2" t="str">
        <f>IF(AND(NOT(ISBLANK(Drummond!G283)),Drummond!G283&lt;&gt;"N/A"),IF(C283="All",CONCATENATE(Lookup!F$2,D283,Lookup!G$2,B283,Lookup!H$2,H$1,Lookup!I$2),CONCATENATE(Lookup!F$3,D283,Lookup!G$3,B283,Lookup!H$3)),"no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284" spans="1:6" x14ac:dyDescent="0.25">
      <c r="A284" s="2" t="str">
        <f>IF(ISBLANK(Drummond!D284),FALSE,LOOKUP(Drummond!D284,Lookup!$A$2:$B$4))</f>
        <v>Affirmative</v>
      </c>
      <c r="B284" s="2" t="str">
        <f>IF(ISBLANK(Drummond!E284),FALSE,TRIM(Drummond!E284))</f>
        <v>12192013-1904-1</v>
      </c>
      <c r="C284" s="2" t="str">
        <f>IF(ISBLANK(Drummond!F284),FALSE,LOOKUP(Drummond!F284,Lookup!$A$6:$B$7))</f>
        <v>Single</v>
      </c>
      <c r="D284" s="2" t="str">
        <f>IF(ISBLANK(Drummond!G284),FALSE,Drummond!G284)</f>
        <v>http://www.medhost.com/offerings/edis/edis-certification</v>
      </c>
      <c r="E284" s="2" t="str">
        <f>IF(NOT(ISBLANK(Drummond!D284)),IF(OR(ISBLANK(Drummond!E284),Drummond!E284="N/A"),"no acb code",CONCATENATE(Lookup!F$1,A284,Lookup!G$1,B284,Lookup!H$1,H$1,Lookup!I$1)),"no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'12192013-1904-1' and cb."name" = 'Drummond Group Inc.' and cp.product_version_id = pv.product_version_id and pv.product_id = p.product_id and p.vendor_id = vend.vendor_id;</v>
      </c>
      <c r="F284" s="2" t="str">
        <f>IF(AND(NOT(ISBLANK(Drummond!G284)),Drummond!G284&lt;&gt;"N/A"),IF(C284="All",CONCATENATE(Lookup!F$2,D284,Lookup!G$2,B284,Lookup!H$2,H$1,Lookup!I$2),CONCATENATE(Lookup!F$3,D284,Lookup!G$3,B284,Lookup!H$3)),"no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285" spans="1:6" x14ac:dyDescent="0.25">
      <c r="A285" s="2" t="str">
        <f>IF(ISBLANK(Drummond!D285),FALSE,LOOKUP(Drummond!D285,Lookup!$A$2:$B$4))</f>
        <v>Affirmative</v>
      </c>
      <c r="B285" s="2" t="str">
        <f>IF(ISBLANK(Drummond!E285),FALSE,TRIM(Drummond!E285))</f>
        <v>08282014-2195-5</v>
      </c>
      <c r="C285" s="2" t="str">
        <f>IF(ISBLANK(Drummond!F285),FALSE,LOOKUP(Drummond!F285,Lookup!$A$6:$B$7))</f>
        <v>All</v>
      </c>
      <c r="D285" s="2" t="str">
        <f>IF(ISBLANK(Drummond!G285),FALSE,Drummond!G285)</f>
        <v>http://www.medtronsoftware.com/pdf/newsblasts/MEDEHR_Price_Transparency_Statement_030116.pdf</v>
      </c>
      <c r="E285" s="2" t="str">
        <f>IF(NOT(ISBLANK(Drummond!D285)),IF(OR(ISBLANK(Drummond!E285),Drummond!E285="N/A"),"no acb code",CONCATENATE(Lookup!F$1,A285,Lookup!G$1,B285,Lookup!H$1,H$1,Lookup!I$1)),"no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'08282014-2195-5' and cb."name" = 'Drummond Group Inc.' and cp.product_version_id = pv.product_version_id and pv.product_id = p.product_id and p.vendor_id = vend.vendor_id;</v>
      </c>
      <c r="F285" s="2" t="str">
        <f>IF(AND(NOT(ISBLANK(Drummond!G285)),Drummond!G285&lt;&gt;"N/A"),IF(C285="All",CONCATENATE(Lookup!F$2,D285,Lookup!G$2,B285,Lookup!H$2,H$1,Lookup!I$2),CONCATENATE(Lookup!F$3,D285,Lookup!G$3,B285,Lookup!H$3)),"no url")</f>
        <v>update openchpl.certified_product as cp set transparency_attestation_url = 'http://www.medtronsoftware.com/pdf/newsblasts/MEDEHR_Price_Transparency_Statement_030116.pdf' from (select certified_product_id from (select vend.vendor_code from openchpl.certified_product as cp, openchpl.product_version as pv, openchpl.product as p, openchpl.vendor as vend where cp.acb_certification_id = '08282014-2195-5'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6" spans="1:6" x14ac:dyDescent="0.25">
      <c r="A286" s="2" t="str">
        <f>IF(ISBLANK(Drummond!D286),FALSE,LOOKUP(Drummond!D286,Lookup!$A$2:$B$4))</f>
        <v>N/A</v>
      </c>
      <c r="B286" s="2" t="str">
        <f>IF(ISBLANK(Drummond!E286),FALSE,TRIM(Drummond!E286))</f>
        <v>10092014-2526-1</v>
      </c>
      <c r="C286" s="2" t="str">
        <f>IF(ISBLANK(Drummond!F286),FALSE,LOOKUP(Drummond!F286,Lookup!$A$6:$B$7))</f>
        <v>All</v>
      </c>
      <c r="D286" s="2" t="b">
        <f>IF(ISBLANK(Drummond!G286),FALSE,Drummond!G286)</f>
        <v>0</v>
      </c>
      <c r="E286" s="2" t="str">
        <f>IF(NOT(ISBLANK(Drummond!D286)),IF(OR(ISBLANK(Drummond!E286),Drummond!E286="N/A"),"no acb code",CONCATENATE(Lookup!F$1,A286,Lookup!G$1,B286,Lookup!H$1,H$1,Lookup!I$1)),"no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'10092014-2526-1' and cb."name" = 'Drummond Group Inc.' and cp.product_version_id = pv.product_version_id and pv.product_id = p.product_id and p.vendor_id = vend.vendor_id;</v>
      </c>
      <c r="F286" s="2" t="str">
        <f>IF(AND(NOT(ISBLANK(Drummond!G286)),Drummond!G286&lt;&gt;"N/A"),IF(C286="All",CONCATENATE(Lookup!F$2,D286,Lookup!G$2,B286,Lookup!H$2,H$1,Lookup!I$2),CONCATENATE(Lookup!F$3,D286,Lookup!G$3,B286,Lookup!H$3)),"no url")</f>
        <v>no url</v>
      </c>
    </row>
    <row r="287" spans="1:6" x14ac:dyDescent="0.25">
      <c r="A287" s="2" t="str">
        <f>IF(ISBLANK(Drummond!D287),FALSE,LOOKUP(Drummond!D287,Lookup!$A$2:$B$4))</f>
        <v>N/A</v>
      </c>
      <c r="B287" s="2" t="str">
        <f>IF(ISBLANK(Drummond!E287),FALSE,TRIM(Drummond!E287))</f>
        <v>07152013-1991-6</v>
      </c>
      <c r="C287" s="2" t="str">
        <f>IF(ISBLANK(Drummond!F287),FALSE,LOOKUP(Drummond!F287,Lookup!$A$6:$B$7))</f>
        <v>All</v>
      </c>
      <c r="D287" s="2" t="b">
        <f>IF(ISBLANK(Drummond!G287),FALSE,Drummond!G287)</f>
        <v>0</v>
      </c>
      <c r="E287" s="2" t="str">
        <f>IF(NOT(ISBLANK(Drummond!D287)),IF(OR(ISBLANK(Drummond!E287),Drummond!E287="N/A"),"no acb code",CONCATENATE(Lookup!F$1,A287,Lookup!G$1,B287,Lookup!H$1,H$1,Lookup!I$1)),"no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'07152013-1991-6' and cb."name" = 'Drummond Group Inc.' and cp.product_version_id = pv.product_version_id and pv.product_id = p.product_id and p.vendor_id = vend.vendor_id;</v>
      </c>
      <c r="F287" s="2" t="str">
        <f>IF(AND(NOT(ISBLANK(Drummond!G287)),Drummond!G287&lt;&gt;"N/A"),IF(C287="All",CONCATENATE(Lookup!F$2,D287,Lookup!G$2,B287,Lookup!H$2,H$1,Lookup!I$2),CONCATENATE(Lookup!F$3,D287,Lookup!G$3,B287,Lookup!H$3)),"no url")</f>
        <v>no url</v>
      </c>
    </row>
    <row r="288" spans="1:6" x14ac:dyDescent="0.25">
      <c r="A288" s="2" t="str">
        <f>IF(ISBLANK(Drummond!D288),FALSE,LOOKUP(Drummond!D288,Lookup!$A$2:$B$4))</f>
        <v>Affirmative</v>
      </c>
      <c r="B288" s="2" t="str">
        <f>IF(ISBLANK(Drummond!E288),FALSE,TRIM(Drummond!E288))</f>
        <v>09252014-2330-8</v>
      </c>
      <c r="C288" s="2" t="str">
        <f>IF(ISBLANK(Drummond!F288),FALSE,LOOKUP(Drummond!F288,Lookup!$A$6:$B$7))</f>
        <v>All</v>
      </c>
      <c r="D288" s="2" t="str">
        <f>IF(ISBLANK(Drummond!G288),FALSE,Drummond!G288)</f>
        <v>http://www.medusabill.com/EHR.html</v>
      </c>
      <c r="E288" s="2" t="str">
        <f>IF(NOT(ISBLANK(Drummond!D288)),IF(OR(ISBLANK(Drummond!E288),Drummond!E288="N/A"),"no acb code",CONCATENATE(Lookup!F$1,A288,Lookup!G$1,B288,Lookup!H$1,H$1,Lookup!I$1)),"no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'09252014-2330-8' and cb."name" = 'Drummond Group Inc.' and cp.product_version_id = pv.product_version_id and pv.product_id = p.product_id and p.vendor_id = vend.vendor_id;</v>
      </c>
      <c r="F288" s="2" t="str">
        <f>IF(AND(NOT(ISBLANK(Drummond!G288)),Drummond!G288&lt;&gt;"N/A"),IF(C288="All",CONCATENATE(Lookup!F$2,D288,Lookup!G$2,B288,Lookup!H$2,H$1,Lookup!I$2),CONCATENATE(Lookup!F$3,D288,Lookup!G$3,B288,Lookup!H$3)),"no url")</f>
        <v>update openchpl.certified_product as cp set transparency_attestation_url = 'http://www.medusabill.com/EHR.html' from (select certified_product_id from (select vend.vendor_code from openchpl.certified_product as cp, openchpl.product_version as pv, openchpl.product as p, openchpl.vendor as vend where cp.acb_certification_id = '09252014-2330-8'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9" spans="1:6" x14ac:dyDescent="0.25">
      <c r="A289" s="2" t="str">
        <f>IF(ISBLANK(Drummond!D289),FALSE,LOOKUP(Drummond!D289,Lookup!$A$2:$B$4))</f>
        <v>Affirmative</v>
      </c>
      <c r="B289" s="2" t="str">
        <f>IF(ISBLANK(Drummond!E289),FALSE,TRIM(Drummond!E289))</f>
        <v>07302015-0271-6</v>
      </c>
      <c r="C289" s="2" t="str">
        <f>IF(ISBLANK(Drummond!F289),FALSE,LOOKUP(Drummond!F289,Lookup!$A$6:$B$7))</f>
        <v>All</v>
      </c>
      <c r="D289" s="2" t="str">
        <f>IF(ISBLANK(Drummond!G289),FALSE,Drummond!G289)</f>
        <v>http://medallies.com/Drummond_Certification.html</v>
      </c>
      <c r="E289" s="2" t="str">
        <f>IF(NOT(ISBLANK(Drummond!D289)),IF(OR(ISBLANK(Drummond!E289),Drummond!E289="N/A"),"no acb code",CONCATENATE(Lookup!F$1,A289,Lookup!G$1,B289,Lookup!H$1,H$1,Lookup!I$1)),"no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'07302015-0271-6' and cb."name" = 'Drummond Group Inc.' and cp.product_version_id = pv.product_version_id and pv.product_id = p.product_id and p.vendor_id = vend.vendor_id;</v>
      </c>
      <c r="F289" s="2" t="str">
        <f>IF(AND(NOT(ISBLANK(Drummond!G289)),Drummond!G289&lt;&gt;"N/A"),IF(C289="All",CONCATENATE(Lookup!F$2,D289,Lookup!G$2,B289,Lookup!H$2,H$1,Lookup!I$2),CONCATENATE(Lookup!F$3,D289,Lookup!G$3,B289,Lookup!H$3)),"no url")</f>
        <v>update openchpl.certified_product as cp set transparency_attestation_url = 'http://medallies.com/Drummond_Certification.html' from (select certified_product_id from (select vend.vendor_code from openchpl.certified_product as cp, openchpl.product_version as pv, openchpl.product as p, openchpl.vendor as vend where cp.acb_certification_id = '07302015-0271-6'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0" spans="1:6" x14ac:dyDescent="0.25">
      <c r="A290" s="2" t="str">
        <f>IF(ISBLANK(Drummond!D290),FALSE,LOOKUP(Drummond!D290,Lookup!$A$2:$B$4))</f>
        <v>Affirmative</v>
      </c>
      <c r="B290" s="2" t="str">
        <f>IF(ISBLANK(Drummond!E290),FALSE,TRIM(Drummond!E290))</f>
        <v>09042014-2895-3</v>
      </c>
      <c r="C290" s="2" t="str">
        <f>IF(ISBLANK(Drummond!F290),FALSE,LOOKUP(Drummond!F290,Lookup!$A$6:$B$7))</f>
        <v>All</v>
      </c>
      <c r="D290" s="2" t="str">
        <f>IF(ISBLANK(Drummond!G290),FALSE,Drummond!G290)</f>
        <v>http://www.medcpu.com/resources/the-medcpu-meaningful-use-advisor/</v>
      </c>
      <c r="E290" s="2" t="str">
        <f>IF(NOT(ISBLANK(Drummond!D290)),IF(OR(ISBLANK(Drummond!E290),Drummond!E290="N/A"),"no acb code",CONCATENATE(Lookup!F$1,A290,Lookup!G$1,B290,Lookup!H$1,H$1,Lookup!I$1)),"no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'09042014-2895-3' and cb."name" = 'Drummond Group Inc.' and cp.product_version_id = pv.product_version_id and pv.product_id = p.product_id and p.vendor_id = vend.vendor_id;</v>
      </c>
      <c r="F290" s="2" t="str">
        <f>IF(AND(NOT(ISBLANK(Drummond!G290)),Drummond!G290&lt;&gt;"N/A"),IF(C290="All",CONCATENATE(Lookup!F$2,D290,Lookup!G$2,B290,Lookup!H$2,H$1,Lookup!I$2),CONCATENATE(Lookup!F$3,D290,Lookup!G$3,B290,Lookup!H$3)),"no url")</f>
        <v>update openchpl.certified_product as cp set transparency_attestation_url = 'http://www.medcpu.com/resources/the-medcpu-meaningful-use-advisor/' from (select certified_product_id from (select vend.vendor_code from openchpl.certified_product as cp, openchpl.product_version as pv, openchpl.product as p, openchpl.vendor as vend where cp.acb_certification_id = '09042014-2895-3'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1" spans="1:6" x14ac:dyDescent="0.25">
      <c r="A291" s="2" t="str">
        <f>IF(ISBLANK(Drummond!D291),FALSE,LOOKUP(Drummond!D291,Lookup!$A$2:$B$4))</f>
        <v>Affirmative</v>
      </c>
      <c r="B291" s="2" t="str">
        <f>IF(ISBLANK(Drummond!E291),FALSE,TRIM(Drummond!E291))</f>
        <v>04142014-1904-9</v>
      </c>
      <c r="C291" s="2" t="str">
        <f>IF(ISBLANK(Drummond!F291),FALSE,LOOKUP(Drummond!F291,Lookup!$A$6:$B$7))</f>
        <v>All</v>
      </c>
      <c r="D291" s="2" t="str">
        <f>IF(ISBLANK(Drummond!G291),FALSE,Drummond!G291)</f>
        <v>http://www.medevolve.com/mission-critical-solutions/ehr/</v>
      </c>
      <c r="E291" s="2" t="str">
        <f>IF(NOT(ISBLANK(Drummond!D291)),IF(OR(ISBLANK(Drummond!E291),Drummond!E291="N/A"),"no acb code",CONCATENATE(Lookup!F$1,A291,Lookup!G$1,B291,Lookup!H$1,H$1,Lookup!I$1)),"no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'04142014-1904-9' and cb."name" = 'Drummond Group Inc.' and cp.product_version_id = pv.product_version_id and pv.product_id = p.product_id and p.vendor_id = vend.vendor_id;</v>
      </c>
      <c r="F291" s="2" t="str">
        <f>IF(AND(NOT(ISBLANK(Drummond!G291)),Drummond!G291&lt;&gt;"N/A"),IF(C291="All",CONCATENATE(Lookup!F$2,D291,Lookup!G$2,B291,Lookup!H$2,H$1,Lookup!I$2),CONCATENATE(Lookup!F$3,D291,Lookup!G$3,B291,Lookup!H$3)),"no url")</f>
        <v>update openchpl.certified_product as cp set transparency_attestation_url = 'http://www.medevolve.com/mission-critical-solutions/ehr/' from (select certified_product_id from (select vend.vendor_code from openchpl.certified_product as cp, openchpl.product_version as pv, openchpl.product as p, openchpl.vendor as vend where cp.acb_certification_id = '04142014-1904-9'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2" spans="1:6" x14ac:dyDescent="0.25">
      <c r="A292" s="2" t="str">
        <f>IF(ISBLANK(Drummond!D292),FALSE,LOOKUP(Drummond!D292,Lookup!$A$2:$B$4))</f>
        <v>Affirmative</v>
      </c>
      <c r="B292" s="2" t="str">
        <f>IF(ISBLANK(Drummond!E292),FALSE,TRIM(Drummond!E292))</f>
        <v>11212013-1814-6</v>
      </c>
      <c r="C292" s="2" t="str">
        <f>IF(ISBLANK(Drummond!F292),FALSE,LOOKUP(Drummond!F292,Lookup!$A$6:$B$7))</f>
        <v>All</v>
      </c>
      <c r="D292" s="2" t="str">
        <f>IF(ISBLANK(Drummond!G292),FALSE,Drummond!G292)</f>
        <v>http://medinformatix.com/#/MU/MU2</v>
      </c>
      <c r="E292" s="2" t="str">
        <f>IF(NOT(ISBLANK(Drummond!D292)),IF(OR(ISBLANK(Drummond!E292),Drummond!E292="N/A"),"no acb code",CONCATENATE(Lookup!F$1,A292,Lookup!G$1,B292,Lookup!H$1,H$1,Lookup!I$1)),"no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'11212013-1814-6' and cb."name" = 'Drummond Group Inc.' and cp.product_version_id = pv.product_version_id and pv.product_id = p.product_id and p.vendor_id = vend.vendor_id;</v>
      </c>
      <c r="F292" s="2" t="str">
        <f>IF(AND(NOT(ISBLANK(Drummond!G292)),Drummond!G292&lt;&gt;"N/A"),IF(C292="All",CONCATENATE(Lookup!F$2,D292,Lookup!G$2,B292,Lookup!H$2,H$1,Lookup!I$2),CONCATENATE(Lookup!F$3,D292,Lookup!G$3,B292,Lookup!H$3)),"no url")</f>
        <v>update openchpl.certified_product as cp set transparency_attestation_url = 'http://medinformatix.com/#/MU/MU2' from (select certified_product_id from (select vend.vendor_code from openchpl.certified_product as cp, openchpl.product_version as pv, openchpl.product as p, openchpl.vendor as vend where cp.acb_certification_id = '11212013-1814-6'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3" spans="1:6" x14ac:dyDescent="0.25">
      <c r="A293" s="2" t="str">
        <f>IF(ISBLANK(Drummond!D293),FALSE,LOOKUP(Drummond!D293,Lookup!$A$2:$B$4))</f>
        <v>Affirmative</v>
      </c>
      <c r="B293" s="2" t="str">
        <f>IF(ISBLANK(Drummond!E293),FALSE,TRIM(Drummond!E293))</f>
        <v>09252014-2396-6</v>
      </c>
      <c r="C293" s="2" t="str">
        <f>IF(ISBLANK(Drummond!F293),FALSE,LOOKUP(Drummond!F293,Lookup!$A$6:$B$7))</f>
        <v>All</v>
      </c>
      <c r="D293" s="2" t="str">
        <f>IF(ISBLANK(Drummond!G293),FALSE,Drummond!G293)</f>
        <v>http://mednetmedical.com/certifications.html</v>
      </c>
      <c r="E293" s="2" t="str">
        <f>IF(NOT(ISBLANK(Drummond!D293)),IF(OR(ISBLANK(Drummond!E293),Drummond!E293="N/A"),"no acb code",CONCATENATE(Lookup!F$1,A293,Lookup!G$1,B293,Lookup!H$1,H$1,Lookup!I$1)),"no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'09252014-2396-6' and cb."name" = 'Drummond Group Inc.' and cp.product_version_id = pv.product_version_id and pv.product_id = p.product_id and p.vendor_id = vend.vendor_id;</v>
      </c>
      <c r="F293" s="2" t="str">
        <f>IF(AND(NOT(ISBLANK(Drummond!G293)),Drummond!G293&lt;&gt;"N/A"),IF(C293="All",CONCATENATE(Lookup!F$2,D293,Lookup!G$2,B293,Lookup!H$2,H$1,Lookup!I$2),CONCATENATE(Lookup!F$3,D293,Lookup!G$3,B293,Lookup!H$3)),"no url")</f>
        <v>update openchpl.certified_product as cp set transparency_attestation_url = 'http://mednetmedical.com/certifications.html' from (select certified_product_id from (select vend.vendor_code from openchpl.certified_product as cp, openchpl.product_version as pv, openchpl.product as p, openchpl.vendor as vend where cp.acb_certification_id = '09252014-2396-6'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4" spans="1:6" x14ac:dyDescent="0.25">
      <c r="A294" s="2" t="str">
        <f>IF(ISBLANK(Drummond!D294),FALSE,LOOKUP(Drummond!D294,Lookup!$A$2:$B$4))</f>
        <v>Affirmative</v>
      </c>
      <c r="B294" s="2" t="str">
        <f>IF(ISBLANK(Drummond!E294),FALSE,TRIM(Drummond!E294))</f>
        <v>09302014-2903-6</v>
      </c>
      <c r="C294" s="2" t="str">
        <f>IF(ISBLANK(Drummond!F294),FALSE,LOOKUP(Drummond!F294,Lookup!$A$6:$B$7))</f>
        <v>All</v>
      </c>
      <c r="D294" s="2" t="str">
        <f>IF(ISBLANK(Drummond!G294),FALSE,Drummond!G294)</f>
        <v>http://www.medonesystems.com/</v>
      </c>
      <c r="E294" s="2" t="str">
        <f>IF(NOT(ISBLANK(Drummond!D294)),IF(OR(ISBLANK(Drummond!E294),Drummond!E294="N/A"),"no acb code",CONCATENATE(Lookup!F$1,A294,Lookup!G$1,B294,Lookup!H$1,H$1,Lookup!I$1)),"no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'09302014-2903-6' and cb."name" = 'Drummond Group Inc.' and cp.product_version_id = pv.product_version_id and pv.product_id = p.product_id and p.vendor_id = vend.vendor_id;</v>
      </c>
      <c r="F294" s="2" t="str">
        <f>IF(AND(NOT(ISBLANK(Drummond!G294)),Drummond!G294&lt;&gt;"N/A"),IF(C294="All",CONCATENATE(Lookup!F$2,D294,Lookup!G$2,B294,Lookup!H$2,H$1,Lookup!I$2),CONCATENATE(Lookup!F$3,D294,Lookup!G$3,B294,Lookup!H$3)),"no url")</f>
        <v>update openchpl.certified_product as cp set transparency_attestation_url = 'http://www.medonesystems.com/' from (select certified_product_id from (select vend.vendor_code from openchpl.certified_product as cp, openchpl.product_version as pv, openchpl.product as p, openchpl.vendor as vend where cp.acb_certification_id = '09302014-2903-6'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5" spans="1:6" x14ac:dyDescent="0.25">
      <c r="A295" s="2" t="str">
        <f>IF(ISBLANK(Drummond!D295),FALSE,LOOKUP(Drummond!D295,Lookup!$A$2:$B$4))</f>
        <v>Affirmative</v>
      </c>
      <c r="B295" s="2" t="str">
        <f>IF(ISBLANK(Drummond!E295),FALSE,TRIM(Drummond!E295))</f>
        <v>07302015-2560-6</v>
      </c>
      <c r="C295" s="2" t="str">
        <f>IF(ISBLANK(Drummond!F295),FALSE,LOOKUP(Drummond!F295,Lookup!$A$6:$B$7))</f>
        <v>All</v>
      </c>
      <c r="D295" s="2" t="str">
        <f>IF(ISBLANK(Drummond!G295),FALSE,Drummond!G295)</f>
        <v>http://www.medirecpr.com/index-1.html</v>
      </c>
      <c r="E295" s="2" t="str">
        <f>IF(NOT(ISBLANK(Drummond!D295)),IF(OR(ISBLANK(Drummond!E295),Drummond!E295="N/A"),"no acb code",CONCATENATE(Lookup!F$1,A295,Lookup!G$1,B295,Lookup!H$1,H$1,Lookup!I$1)),"no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'07302015-2560-6' and cb."name" = 'Drummond Group Inc.' and cp.product_version_id = pv.product_version_id and pv.product_id = p.product_id and p.vendor_id = vend.vendor_id;</v>
      </c>
      <c r="F295" s="2" t="str">
        <f>IF(AND(NOT(ISBLANK(Drummond!G295)),Drummond!G295&lt;&gt;"N/A"),IF(C295="All",CONCATENATE(Lookup!F$2,D295,Lookup!G$2,B295,Lookup!H$2,H$1,Lookup!I$2),CONCATENATE(Lookup!F$3,D295,Lookup!G$3,B295,Lookup!H$3)),"no url")</f>
        <v>update openchpl.certified_product as cp set transparency_attestation_url = 'http://www.medirecpr.com/index-1.html' from (select certified_product_id from (select vend.vendor_code from openchpl.certified_product as cp, openchpl.product_version as pv, openchpl.product as p, openchpl.vendor as vend where cp.acb_certification_id = '07302015-2560-6'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6" spans="1:6" x14ac:dyDescent="0.25">
      <c r="A296" s="2" t="str">
        <f>IF(ISBLANK(Drummond!D296),FALSE,LOOKUP(Drummond!D296,Lookup!$A$2:$B$4))</f>
        <v>Affirmative</v>
      </c>
      <c r="B296" s="2" t="str">
        <f>IF(ISBLANK(Drummond!E296),FALSE,TRIM(Drummond!E296))</f>
        <v>12302014-2953-5</v>
      </c>
      <c r="C296" s="2" t="str">
        <f>IF(ISBLANK(Drummond!F296),FALSE,LOOKUP(Drummond!F296,Lookup!$A$6:$B$7))</f>
        <v>All</v>
      </c>
      <c r="D296" s="2" t="str">
        <f>IF(ISBLANK(Drummond!G296),FALSE,Drummond!G296)</f>
        <v>https://www.webchartnow.com/drummond</v>
      </c>
      <c r="E296" s="2" t="str">
        <f>IF(NOT(ISBLANK(Drummond!D296)),IF(OR(ISBLANK(Drummond!E296),Drummond!E296="N/A"),"no acb code",CONCATENATE(Lookup!F$1,A296,Lookup!G$1,B296,Lookup!H$1,H$1,Lookup!I$1)),"no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'12302014-2953-5' and cb."name" = 'Drummond Group Inc.' and cp.product_version_id = pv.product_version_id and pv.product_id = p.product_id and p.vendor_id = vend.vendor_id;</v>
      </c>
      <c r="F296" s="2" t="str">
        <f>IF(AND(NOT(ISBLANK(Drummond!G296)),Drummond!G296&lt;&gt;"N/A"),IF(C296="All",CONCATENATE(Lookup!F$2,D296,Lookup!G$2,B296,Lookup!H$2,H$1,Lookup!I$2),CONCATENATE(Lookup!F$3,D296,Lookup!G$3,B296,Lookup!H$3)),"no url")</f>
        <v>update openchpl.certified_product as cp set transparency_attestation_url = 'https://www.webchartnow.com/drummond' from (select certified_product_id from (select vend.vendor_code from openchpl.certified_product as cp, openchpl.product_version as pv, openchpl.product as p, openchpl.vendor as vend where cp.acb_certification_id = '12302014-2953-5'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7" spans="1:6" x14ac:dyDescent="0.25">
      <c r="A297" s="2" t="str">
        <f>IF(ISBLANK(Drummond!D297),FALSE,LOOKUP(Drummond!D297,Lookup!$A$2:$B$4))</f>
        <v>Affirmative</v>
      </c>
      <c r="B297" s="2" t="str">
        <f>IF(ISBLANK(Drummond!E297),FALSE,TRIM(Drummond!E297))</f>
        <v>01222015-3053-1</v>
      </c>
      <c r="C297" s="2" t="str">
        <f>IF(ISBLANK(Drummond!F297),FALSE,LOOKUP(Drummond!F297,Lookup!$A$6:$B$7))</f>
        <v>All</v>
      </c>
      <c r="D297" s="2" t="str">
        <f>IF(ISBLANK(Drummond!G297),FALSE,Drummond!G297)</f>
        <v>http://home.meditech.com/en/d/regulatoryresources/pages/certification.htm</v>
      </c>
      <c r="E297" s="2" t="str">
        <f>IF(NOT(ISBLANK(Drummond!D297)),IF(OR(ISBLANK(Drummond!E297),Drummond!E297="N/A"),"no acb code",CONCATENATE(Lookup!F$1,A297,Lookup!G$1,B297,Lookup!H$1,H$1,Lookup!I$1)),"no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'01222015-3053-1' and cb."name" = 'Drummond Group Inc.' and cp.product_version_id = pv.product_version_id and pv.product_id = p.product_id and p.vendor_id = vend.vendor_id;</v>
      </c>
      <c r="F297" s="2" t="str">
        <f>IF(AND(NOT(ISBLANK(Drummond!G297)),Drummond!G297&lt;&gt;"N/A"),IF(C297="All",CONCATENATE(Lookup!F$2,D297,Lookup!G$2,B297,Lookup!H$2,H$1,Lookup!I$2),CONCATENATE(Lookup!F$3,D297,Lookup!G$3,B297,Lookup!H$3)),"no url")</f>
        <v>update openchpl.certified_product as cp set transparency_attestation_url = 'http://home.meditech.com/en/d/regulatoryresources/pages/certification.htm' from (select certified_product_id from (select vend.vendor_code from openchpl.certified_product as cp, openchpl.product_version as pv, openchpl.product as p, openchpl.vendor as vend where cp.acb_certification_id = '01222015-3053-1'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8" spans="1:6" x14ac:dyDescent="0.25">
      <c r="A298" s="2" t="str">
        <f>IF(ISBLANK(Drummond!D298),FALSE,LOOKUP(Drummond!D298,Lookup!$A$2:$B$4))</f>
        <v>Affirmative</v>
      </c>
      <c r="B298" s="2" t="str">
        <f>IF(ISBLANK(Drummond!E298),FALSE,TRIM(Drummond!E298))</f>
        <v>11192015-4690-3</v>
      </c>
      <c r="C298" s="2" t="str">
        <f>IF(ISBLANK(Drummond!F298),FALSE,LOOKUP(Drummond!F298,Lookup!$A$6:$B$7))</f>
        <v>All</v>
      </c>
      <c r="D298" s="2" t="str">
        <f>IF(ISBLANK(Drummond!G298),FALSE,Drummond!G298)</f>
        <v>http://home.meditech.com/en/d/regulatoryresources/pages/certification.htm</v>
      </c>
      <c r="E298" s="2" t="str">
        <f>IF(NOT(ISBLANK(Drummond!D298)),IF(OR(ISBLANK(Drummond!E298),Drummond!E298="N/A"),"no acb code",CONCATENATE(Lookup!F$1,A298,Lookup!G$1,B298,Lookup!H$1,H$1,Lookup!I$1)),"no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'11192015-4690-3' and cb."name" = 'Drummond Group Inc.' and cp.product_version_id = pv.product_version_id and pv.product_id = p.product_id and p.vendor_id = vend.vendor_id;</v>
      </c>
      <c r="F298" s="2" t="str">
        <f>IF(AND(NOT(ISBLANK(Drummond!G298)),Drummond!G298&lt;&gt;"N/A"),IF(C298="All",CONCATENATE(Lookup!F$2,D298,Lookup!G$2,B298,Lookup!H$2,H$1,Lookup!I$2),CONCATENATE(Lookup!F$3,D298,Lookup!G$3,B298,Lookup!H$3)),"no url")</f>
        <v>update openchpl.certified_product as cp set transparency_attestation_url = 'http://home.meditech.com/en/d/regulatoryresources/pages/certification.htm' from (select certified_product_id from (select vend.vendor_code from openchpl.certified_product as cp, openchpl.product_version as pv, openchpl.product as p, openchpl.vendor as vend where cp.acb_certification_id = '11192015-4690-3'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9" spans="1:6" x14ac:dyDescent="0.25">
      <c r="A299" s="2" t="str">
        <f>IF(ISBLANK(Drummond!D299),FALSE,LOOKUP(Drummond!D299,Lookup!$A$2:$B$4))</f>
        <v>Affirmative</v>
      </c>
      <c r="B299" s="2" t="str">
        <f>IF(ISBLANK(Drummond!E299),FALSE,TRIM(Drummond!E299))</f>
        <v>06172014-2369-9</v>
      </c>
      <c r="C299" s="2" t="str">
        <f>IF(ISBLANK(Drummond!F299),FALSE,LOOKUP(Drummond!F299,Lookup!$A$6:$B$7))</f>
        <v>All</v>
      </c>
      <c r="D299" s="2" t="str">
        <f>IF(ISBLANK(Drummond!G299),FALSE,Drummond!G299)</f>
        <v>https://charmtracker.com/ehr/meaningful-use-certified-ehr.html</v>
      </c>
      <c r="E299" s="2" t="str">
        <f>IF(NOT(ISBLANK(Drummond!D299)),IF(OR(ISBLANK(Drummond!E299),Drummond!E299="N/A"),"no acb code",CONCATENATE(Lookup!F$1,A299,Lookup!G$1,B299,Lookup!H$1,H$1,Lookup!I$1)),"no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'06172014-2369-9' and cb."name" = 'Drummond Group Inc.' and cp.product_version_id = pv.product_version_id and pv.product_id = p.product_id and p.vendor_id = vend.vendor_id;</v>
      </c>
      <c r="F299" s="2" t="str">
        <f>IF(AND(NOT(ISBLANK(Drummond!G299)),Drummond!G299&lt;&gt;"N/A"),IF(C299="All",CONCATENATE(Lookup!F$2,D299,Lookup!G$2,B299,Lookup!H$2,H$1,Lookup!I$2),CONCATENATE(Lookup!F$3,D299,Lookup!G$3,B299,Lookup!H$3)),"no url")</f>
        <v>update openchpl.certified_product as cp set transparency_attestation_url = 'https://charmtracker.com/ehr/meaningful-use-certified-ehr.html' from (select certified_product_id from (select vend.vendor_code from openchpl.certified_product as cp, openchpl.product_version as pv, openchpl.product as p, openchpl.vendor as vend where cp.acb_certification_id = '06172014-2369-9'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0" spans="1:6" x14ac:dyDescent="0.25">
      <c r="A300" s="2" t="str">
        <f>IF(ISBLANK(Drummond!D300),FALSE,LOOKUP(Drummond!D300,Lookup!$A$2:$B$4))</f>
        <v>Negative</v>
      </c>
      <c r="B300" s="2" t="str">
        <f>IF(ISBLANK(Drummond!E300),FALSE,TRIM(Drummond!E300))</f>
        <v>01232014-2391-6</v>
      </c>
      <c r="C300" s="2" t="str">
        <f>IF(ISBLANK(Drummond!F300),FALSE,LOOKUP(Drummond!F300,Lookup!$A$6:$B$7))</f>
        <v>All</v>
      </c>
      <c r="D300" s="2" t="str">
        <f>IF(ISBLANK(Drummond!G300),FALSE,Drummond!G300)</f>
        <v>http://www.mediware.com/rehabilitation/why-mediware/meaningful-use-rehabilitation/</v>
      </c>
      <c r="E300" s="2" t="str">
        <f>IF(NOT(ISBLANK(Drummond!D300)),IF(OR(ISBLANK(Drummond!E300),Drummond!E300="N/A"),"no acb code",CONCATENATE(Lookup!F$1,A300,Lookup!G$1,B300,Lookup!H$1,H$1,Lookup!I$1)),"no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'01232014-2391-6' and cb."name" = 'Drummond Group Inc.' and cp.product_version_id = pv.product_version_id and pv.product_id = p.product_id and p.vendor_id = vend.vendor_id;</v>
      </c>
      <c r="F300" s="2" t="str">
        <f>IF(AND(NOT(ISBLANK(Drummond!G300)),Drummond!G300&lt;&gt;"N/A"),IF(C300="All",CONCATENATE(Lookup!F$2,D300,Lookup!G$2,B300,Lookup!H$2,H$1,Lookup!I$2),CONCATENATE(Lookup!F$3,D300,Lookup!G$3,B300,Lookup!H$3)),"no url")</f>
        <v>update openchpl.certified_product as cp set transparency_attestation_url = 'http://www.mediware.com/rehabilitation/why-mediware/meaningful-use-rehabilitation/' from (select certified_product_id from (select vend.vendor_code from openchpl.certified_product as cp, openchpl.product_version as pv, openchpl.product as p, openchpl.vendor as vend where cp.acb_certification_id = '01232014-2391-6'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1" spans="1:6" x14ac:dyDescent="0.25">
      <c r="A301" s="2" t="str">
        <f>IF(ISBLANK(Drummond!D301),FALSE,LOOKUP(Drummond!D301,Lookup!$A$2:$B$4))</f>
        <v>Affirmative</v>
      </c>
      <c r="B301" s="2" t="str">
        <f>IF(ISBLANK(Drummond!E301),FALSE,TRIM(Drummond!E301))</f>
        <v>03282014-2440-1</v>
      </c>
      <c r="C301" s="2" t="str">
        <f>IF(ISBLANK(Drummond!F301),FALSE,LOOKUP(Drummond!F301,Lookup!$A$6:$B$7))</f>
        <v>All</v>
      </c>
      <c r="D301" s="2" t="str">
        <f>IF(ISBLANK(Drummond!G301),FALSE,Drummond!G301)</f>
        <v>http://medstreaming.com/Products/EMR</v>
      </c>
      <c r="E301" s="2" t="str">
        <f>IF(NOT(ISBLANK(Drummond!D301)),IF(OR(ISBLANK(Drummond!E301),Drummond!E301="N/A"),"no acb code",CONCATENATE(Lookup!F$1,A301,Lookup!G$1,B301,Lookup!H$1,H$1,Lookup!I$1)),"no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'03282014-2440-1' and cb."name" = 'Drummond Group Inc.' and cp.product_version_id = pv.product_version_id and pv.product_id = p.product_id and p.vendor_id = vend.vendor_id;</v>
      </c>
      <c r="F301" s="2" t="str">
        <f>IF(AND(NOT(ISBLANK(Drummond!G301)),Drummond!G301&lt;&gt;"N/A"),IF(C301="All",CONCATENATE(Lookup!F$2,D301,Lookup!G$2,B301,Lookup!H$2,H$1,Lookup!I$2),CONCATENATE(Lookup!F$3,D301,Lookup!G$3,B301,Lookup!H$3)),"no url")</f>
        <v>update openchpl.certified_product as cp set transparency_attestation_url = 'http://medstreaming.com/Products/EMR' from (select certified_product_id from (select vend.vendor_code from openchpl.certified_product as cp, openchpl.product_version as pv, openchpl.product as p, openchpl.vendor as vend where cp.acb_certification_id = '03282014-2440-1'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2" spans="1:6" x14ac:dyDescent="0.25">
      <c r="A302" s="2" t="str">
        <f>IF(ISBLANK(Drummond!D302),FALSE,LOOKUP(Drummond!D302,Lookup!$A$2:$B$4))</f>
        <v>Affirmative</v>
      </c>
      <c r="B302" s="2" t="str">
        <f>IF(ISBLANK(Drummond!E302),FALSE,TRIM(Drummond!E302))</f>
        <v>12302014-2875-8</v>
      </c>
      <c r="C302" s="2" t="str">
        <f>IF(ISBLANK(Drummond!F302),FALSE,LOOKUP(Drummond!F302,Lookup!$A$6:$B$7))</f>
        <v>All</v>
      </c>
      <c r="D302" s="2" t="str">
        <f>IF(ISBLANK(Drummond!G302),FALSE,Drummond!G302)</f>
        <v>http://www.medtech.ws/</v>
      </c>
      <c r="E302" s="2" t="str">
        <f>IF(NOT(ISBLANK(Drummond!D302)),IF(OR(ISBLANK(Drummond!E302),Drummond!E302="N/A"),"no acb code",CONCATENATE(Lookup!F$1,A302,Lookup!G$1,B302,Lookup!H$1,H$1,Lookup!I$1)),"no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'12302014-2875-8' and cb."name" = 'Drummond Group Inc.' and cp.product_version_id = pv.product_version_id and pv.product_id = p.product_id and p.vendor_id = vend.vendor_id;</v>
      </c>
      <c r="F302" s="2" t="str">
        <f>IF(AND(NOT(ISBLANK(Drummond!G302)),Drummond!G302&lt;&gt;"N/A"),IF(C302="All",CONCATENATE(Lookup!F$2,D302,Lookup!G$2,B302,Lookup!H$2,H$1,Lookup!I$2),CONCATENATE(Lookup!F$3,D302,Lookup!G$3,B302,Lookup!H$3)),"no url")</f>
        <v>update openchpl.certified_product as cp set transparency_attestation_url = 'http://www.medtech.ws/' from (select certified_product_id from (select vend.vendor_code from openchpl.certified_product as cp, openchpl.product_version as pv, openchpl.product as p, openchpl.vendor as vend where cp.acb_certification_id = '12302014-2875-8'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3" spans="1:6" x14ac:dyDescent="0.25">
      <c r="A303" s="2" t="str">
        <f>IF(ISBLANK(Drummond!D303),FALSE,LOOKUP(Drummond!D303,Lookup!$A$2:$B$4))</f>
        <v>Affirmative</v>
      </c>
      <c r="B303" s="2" t="str">
        <f>IF(ISBLANK(Drummond!E303),FALSE,TRIM(Drummond!E303))</f>
        <v>02162015-3039-6</v>
      </c>
      <c r="C303" s="2" t="str">
        <f>IF(ISBLANK(Drummond!F303),FALSE,LOOKUP(Drummond!F303,Lookup!$A$6:$B$7))</f>
        <v>All</v>
      </c>
      <c r="D303" s="2" t="str">
        <f>IF(ISBLANK(Drummond!G303),FALSE,Drummond!G303)</f>
        <v>http://www.merge.com/Landing-Pages/Associated-Charges.aspx#MergeRIS</v>
      </c>
      <c r="E303" s="2" t="str">
        <f>IF(NOT(ISBLANK(Drummond!D303)),IF(OR(ISBLANK(Drummond!E303),Drummond!E303="N/A"),"no acb code",CONCATENATE(Lookup!F$1,A303,Lookup!G$1,B303,Lookup!H$1,H$1,Lookup!I$1)),"no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'02162015-3039-6' and cb."name" = 'Drummond Group Inc.' and cp.product_version_id = pv.product_version_id and pv.product_id = p.product_id and p.vendor_id = vend.vendor_id;</v>
      </c>
      <c r="F303" s="2" t="str">
        <f>IF(AND(NOT(ISBLANK(Drummond!G303)),Drummond!G303&lt;&gt;"N/A"),IF(C303="All",CONCATENATE(Lookup!F$2,D303,Lookup!G$2,B303,Lookup!H$2,H$1,Lookup!I$2),CONCATENATE(Lookup!F$3,D303,Lookup!G$3,B303,Lookup!H$3)),"no url")</f>
        <v>update openchpl.certified_product as cp set transparency_attestation_url = 'http://www.merge.com/Landing-Pages/Associated-Charges.aspx#MergeRIS' from (select certified_product_id from (select vend.vendor_code from openchpl.certified_product as cp, openchpl.product_version as pv, openchpl.product as p, openchpl.vendor as vend where cp.acb_certification_id = '02162015-3039-6'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4" spans="1:6" x14ac:dyDescent="0.25">
      <c r="A304" s="2" t="str">
        <f>IF(ISBLANK(Drummond!D304),FALSE,LOOKUP(Drummond!D304,Lookup!$A$2:$B$4))</f>
        <v>Affirmative</v>
      </c>
      <c r="B304" s="2" t="str">
        <f>IF(ISBLANK(Drummond!E304),FALSE,TRIM(Drummond!E304))</f>
        <v>11062014-2593-1</v>
      </c>
      <c r="C304" s="2" t="str">
        <f>IF(ISBLANK(Drummond!F304),FALSE,LOOKUP(Drummond!F304,Lookup!$A$6:$B$7))</f>
        <v>All</v>
      </c>
      <c r="D304" s="2" t="str">
        <f>IF(ISBLANK(Drummond!G304),FALSE,Drummond!G304)</f>
        <v>http://www.merge.com/Landing-Pages/Associated-Charges.aspx#MergeRIS</v>
      </c>
      <c r="E304" s="2" t="str">
        <f>IF(NOT(ISBLANK(Drummond!D304)),IF(OR(ISBLANK(Drummond!E304),Drummond!E304="N/A"),"no acb code",CONCATENATE(Lookup!F$1,A304,Lookup!G$1,B304,Lookup!H$1,H$1,Lookup!I$1)),"no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'11062014-2593-1' and cb."name" = 'Drummond Group Inc.' and cp.product_version_id = pv.product_version_id and pv.product_id = p.product_id and p.vendor_id = vend.vendor_id;</v>
      </c>
      <c r="F304" s="2" t="str">
        <f>IF(AND(NOT(ISBLANK(Drummond!G304)),Drummond!G304&lt;&gt;"N/A"),IF(C304="All",CONCATENATE(Lookup!F$2,D304,Lookup!G$2,B304,Lookup!H$2,H$1,Lookup!I$2),CONCATENATE(Lookup!F$3,D304,Lookup!G$3,B304,Lookup!H$3)),"no url")</f>
        <v>update openchpl.certified_product as cp set transparency_attestation_url = 'http://www.merge.com/Landing-Pages/Associated-Charges.aspx#MergeRIS' from (select certified_product_id from (select vend.vendor_code from openchpl.certified_product as cp, openchpl.product_version as pv, openchpl.product as p, openchpl.vendor as vend where cp.acb_certification_id = '11062014-2593-1'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5" spans="1:6" x14ac:dyDescent="0.25">
      <c r="A305" s="2" t="str">
        <f>IF(ISBLANK(Drummond!D305),FALSE,LOOKUP(Drummond!D305,Lookup!$A$2:$B$4))</f>
        <v>Negative</v>
      </c>
      <c r="B305" s="2" t="str">
        <f>IF(ISBLANK(Drummond!E305),FALSE,TRIM(Drummond!E305))</f>
        <v>03032014-2317-8</v>
      </c>
      <c r="C305" s="2" t="str">
        <f>IF(ISBLANK(Drummond!F305),FALSE,LOOKUP(Drummond!F305,Lookup!$A$6:$B$7))</f>
        <v>All</v>
      </c>
      <c r="D305" s="2" t="str">
        <f>IF(ISBLANK(Drummond!G305),FALSE,Drummond!G305)</f>
        <v>https://www.practicestudio.net/Company/CompanyInformation/Certifications.aspx#Drummond</v>
      </c>
      <c r="E305" s="2" t="str">
        <f>IF(NOT(ISBLANK(Drummond!D305)),IF(OR(ISBLANK(Drummond!E305),Drummond!E305="N/A"),"no acb code",CONCATENATE(Lookup!F$1,A305,Lookup!G$1,B305,Lookup!H$1,H$1,Lookup!I$1)),"no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'03032014-2317-8' and cb."name" = 'Drummond Group Inc.' and cp.product_version_id = pv.product_version_id and pv.product_id = p.product_id and p.vendor_id = vend.vendor_id;</v>
      </c>
      <c r="F305" s="2" t="str">
        <f>IF(AND(NOT(ISBLANK(Drummond!G305)),Drummond!G305&lt;&gt;"N/A"),IF(C305="All",CONCATENATE(Lookup!F$2,D305,Lookup!G$2,B305,Lookup!H$2,H$1,Lookup!I$2),CONCATENATE(Lookup!F$3,D305,Lookup!G$3,B305,Lookup!H$3)),"no url")</f>
        <v>update openchpl.certified_product as cp set transparency_attestation_url = 'https://www.practicestudio.net/Company/CompanyInformation/Certifications.aspx#Drummond' from (select certified_product_id from (select vend.vendor_code from openchpl.certified_product as cp, openchpl.product_version as pv, openchpl.product as p, openchpl.vendor as vend where cp.acb_certification_id = '03032014-2317-8'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6" spans="1:6" x14ac:dyDescent="0.25">
      <c r="A306" s="2" t="str">
        <f>IF(ISBLANK(Drummond!D306),FALSE,LOOKUP(Drummond!D306,Lookup!$A$2:$B$4))</f>
        <v>Affirmative</v>
      </c>
      <c r="B306" s="2" t="str">
        <f>IF(ISBLANK(Drummond!E306),FALSE,TRIM(Drummond!E306))</f>
        <v>01162015-2294-1</v>
      </c>
      <c r="C306" s="2" t="str">
        <f>IF(ISBLANK(Drummond!F306),FALSE,LOOKUP(Drummond!F306,Lookup!$A$6:$B$7))</f>
        <v>All</v>
      </c>
      <c r="D306" s="2" t="str">
        <f>IF(ISBLANK(Drummond!G306),FALSE,Drummond!G306)</f>
        <v>https://www.healthvault.com/us/en/Meaningful-Use</v>
      </c>
      <c r="E306" s="2" t="str">
        <f>IF(NOT(ISBLANK(Drummond!D306)),IF(OR(ISBLANK(Drummond!E306),Drummond!E306="N/A"),"no acb code",CONCATENATE(Lookup!F$1,A306,Lookup!G$1,B306,Lookup!H$1,H$1,Lookup!I$1)),"no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'01162015-2294-1' and cb."name" = 'Drummond Group Inc.' and cp.product_version_id = pv.product_version_id and pv.product_id = p.product_id and p.vendor_id = vend.vendor_id;</v>
      </c>
      <c r="F306" s="2" t="str">
        <f>IF(AND(NOT(ISBLANK(Drummond!G306)),Drummond!G306&lt;&gt;"N/A"),IF(C306="All",CONCATENATE(Lookup!F$2,D306,Lookup!G$2,B306,Lookup!H$2,H$1,Lookup!I$2),CONCATENATE(Lookup!F$3,D306,Lookup!G$3,B306,Lookup!H$3)),"no url")</f>
        <v>update openchpl.certified_product as cp set transparency_attestation_url = 'https://www.healthvault.com/us/en/Meaningful-Use' from (select certified_product_id from (select vend.vendor_code from openchpl.certified_product as cp, openchpl.product_version as pv, openchpl.product as p, openchpl.vendor as vend where cp.acb_certification_id = '01162015-2294-1'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7" spans="1:6" x14ac:dyDescent="0.25">
      <c r="A307" s="2" t="str">
        <f>IF(ISBLANK(Drummond!D307),FALSE,LOOKUP(Drummond!D307,Lookup!$A$2:$B$4))</f>
        <v>Affirmative</v>
      </c>
      <c r="B307" s="2" t="str">
        <f>IF(ISBLANK(Drummond!E307),FALSE,TRIM(Drummond!E307))</f>
        <v>08072014-2497-9</v>
      </c>
      <c r="C307" s="2" t="str">
        <f>IF(ISBLANK(Drummond!F307),FALSE,LOOKUP(Drummond!F307,Lookup!$A$6:$B$7))</f>
        <v>All</v>
      </c>
      <c r="D307" s="2" t="str">
        <f>IF(ISBLANK(Drummond!G307),FALSE,Drummond!G307)</f>
        <v>http://charttalk.net/2012/price-transparency/</v>
      </c>
      <c r="E307" s="2" t="str">
        <f>IF(NOT(ISBLANK(Drummond!D307)),IF(OR(ISBLANK(Drummond!E307),Drummond!E307="N/A"),"no acb code",CONCATENATE(Lookup!F$1,A307,Lookup!G$1,B307,Lookup!H$1,H$1,Lookup!I$1)),"no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'08072014-2497-9' and cb."name" = 'Drummond Group Inc.' and cp.product_version_id = pv.product_version_id and pv.product_id = p.product_id and p.vendor_id = vend.vendor_id;</v>
      </c>
      <c r="F307" s="2" t="str">
        <f>IF(AND(NOT(ISBLANK(Drummond!G307)),Drummond!G307&lt;&gt;"N/A"),IF(C307="All",CONCATENATE(Lookup!F$2,D307,Lookup!G$2,B307,Lookup!H$2,H$1,Lookup!I$2),CONCATENATE(Lookup!F$3,D307,Lookup!G$3,B307,Lookup!H$3)),"no url")</f>
        <v>update openchpl.certified_product as cp set transparency_attestation_url = 'http://charttalk.net/2012/price-transparency/' from (select certified_product_id from (select vend.vendor_code from openchpl.certified_product as cp, openchpl.product_version as pv, openchpl.product as p, openchpl.vendor as vend where cp.acb_certification_id = '08072014-2497-9'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8" spans="1:6" x14ac:dyDescent="0.25">
      <c r="A308" s="2" t="str">
        <f>IF(ISBLANK(Drummond!D308),FALSE,LOOKUP(Drummond!D308,Lookup!$A$2:$B$4))</f>
        <v>N/A</v>
      </c>
      <c r="B308" s="2" t="str">
        <f>IF(ISBLANK(Drummond!E308),FALSE,TRIM(Drummond!E308))</f>
        <v>05222014-2512-1</v>
      </c>
      <c r="C308" s="2" t="str">
        <f>IF(ISBLANK(Drummond!F308),FALSE,LOOKUP(Drummond!F308,Lookup!$A$6:$B$7))</f>
        <v>All</v>
      </c>
      <c r="D308" s="2" t="b">
        <f>IF(ISBLANK(Drummond!G308),FALSE,Drummond!G308)</f>
        <v>0</v>
      </c>
      <c r="E308" s="2" t="str">
        <f>IF(NOT(ISBLANK(Drummond!D308)),IF(OR(ISBLANK(Drummond!E308),Drummond!E308="N/A"),"no acb code",CONCATENATE(Lookup!F$1,A308,Lookup!G$1,B308,Lookup!H$1,H$1,Lookup!I$1)),"no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'05222014-2512-1' and cb."name" = 'Drummond Group Inc.' and cp.product_version_id = pv.product_version_id and pv.product_id = p.product_id and p.vendor_id = vend.vendor_id;</v>
      </c>
      <c r="F308" s="2" t="str">
        <f>IF(AND(NOT(ISBLANK(Drummond!G308)),Drummond!G308&lt;&gt;"N/A"),IF(C308="All",CONCATENATE(Lookup!F$2,D308,Lookup!G$2,B308,Lookup!H$2,H$1,Lookup!I$2),CONCATENATE(Lookup!F$3,D308,Lookup!G$3,B308,Lookup!H$3)),"no url")</f>
        <v>no url</v>
      </c>
    </row>
    <row r="309" spans="1:6" x14ac:dyDescent="0.25">
      <c r="A309" s="2" t="str">
        <f>IF(ISBLANK(Drummond!D309),FALSE,LOOKUP(Drummond!D309,Lookup!$A$2:$B$4))</f>
        <v>Affirmative</v>
      </c>
      <c r="B309" s="2" t="str">
        <f>IF(ISBLANK(Drummond!E309),FALSE,TRIM(Drummond!E309))</f>
        <v>09032015-1103-3</v>
      </c>
      <c r="C309" s="2" t="str">
        <f>IF(ISBLANK(Drummond!F309),FALSE,LOOKUP(Drummond!F309,Lookup!$A$6:$B$7))</f>
        <v>All</v>
      </c>
      <c r="D309" s="2" t="str">
        <f>IF(ISBLANK(Drummond!G309),FALSE,Drummond!G309)</f>
        <v>http://www.mitchellandmccormick.net/products---services.html</v>
      </c>
      <c r="E309" s="2" t="str">
        <f>IF(NOT(ISBLANK(Drummond!D309)),IF(OR(ISBLANK(Drummond!E309),Drummond!E309="N/A"),"no acb code",CONCATENATE(Lookup!F$1,A309,Lookup!G$1,B309,Lookup!H$1,H$1,Lookup!I$1)),"no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'09032015-1103-3' and cb."name" = 'Drummond Group Inc.' and cp.product_version_id = pv.product_version_id and pv.product_id = p.product_id and p.vendor_id = vend.vendor_id;</v>
      </c>
      <c r="F309" s="2" t="str">
        <f>IF(AND(NOT(ISBLANK(Drummond!G309)),Drummond!G309&lt;&gt;"N/A"),IF(C309="All",CONCATENATE(Lookup!F$2,D309,Lookup!G$2,B309,Lookup!H$2,H$1,Lookup!I$2),CONCATENATE(Lookup!F$3,D309,Lookup!G$3,B309,Lookup!H$3)),"no url")</f>
        <v>update openchpl.certified_product as cp set transparency_attestation_url = 'http://www.mitchellandmccormick.net/products---services.html' from (select certified_product_id from (select vend.vendor_code from openchpl.certified_product as cp, openchpl.product_version as pv, openchpl.product as p, openchpl.vendor as vend where cp.acb_certification_id = '09032015-1103-3'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0" spans="1:6" x14ac:dyDescent="0.25">
      <c r="A310" s="2" t="str">
        <f>IF(ISBLANK(Drummond!D310),FALSE,LOOKUP(Drummond!D310,Lookup!$A$2:$B$4))</f>
        <v>Affirmative</v>
      </c>
      <c r="B310" s="2" t="str">
        <f>IF(ISBLANK(Drummond!E310),FALSE,TRIM(Drummond!E310))</f>
        <v>07162015-2937-5</v>
      </c>
      <c r="C310" s="2" t="str">
        <f>IF(ISBLANK(Drummond!F310),FALSE,LOOKUP(Drummond!F310,Lookup!$A$6:$B$7))</f>
        <v>All</v>
      </c>
      <c r="D310" s="2" t="str">
        <f>IF(ISBLANK(Drummond!G310),FALSE,Drummond!G310)</f>
        <v>http://www.modulemd.com/value-stack/ONC-Certified.html</v>
      </c>
      <c r="E310" s="2" t="str">
        <f>IF(NOT(ISBLANK(Drummond!D310)),IF(OR(ISBLANK(Drummond!E310),Drummond!E310="N/A"),"no acb code",CONCATENATE(Lookup!F$1,A310,Lookup!G$1,B310,Lookup!H$1,H$1,Lookup!I$1)),"no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'07162015-2937-5' and cb."name" = 'Drummond Group Inc.' and cp.product_version_id = pv.product_version_id and pv.product_id = p.product_id and p.vendor_id = vend.vendor_id;</v>
      </c>
      <c r="F310" s="2" t="str">
        <f>IF(AND(NOT(ISBLANK(Drummond!G310)),Drummond!G310&lt;&gt;"N/A"),IF(C310="All",CONCATENATE(Lookup!F$2,D310,Lookup!G$2,B310,Lookup!H$2,H$1,Lookup!I$2),CONCATENATE(Lookup!F$3,D310,Lookup!G$3,B310,Lookup!H$3)),"no url")</f>
        <v>update openchpl.certified_product as cp set transparency_attestation_url = 'http://www.modulemd.com/value-stack/ONC-Certified.html' from (select certified_product_id from (select vend.vendor_code from openchpl.certified_product as cp, openchpl.product_version as pv, openchpl.product as p, openchpl.vendor as vend where cp.acb_certification_id = '07162015-2937-5'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1" spans="1:6" x14ac:dyDescent="0.25">
      <c r="A311" s="2" t="str">
        <f>IF(ISBLANK(Drummond!D311),FALSE,LOOKUP(Drummond!D311,Lookup!$A$2:$B$4))</f>
        <v>Affirmative</v>
      </c>
      <c r="B311" s="2" t="str">
        <f>IF(ISBLANK(Drummond!E311),FALSE,TRIM(Drummond!E311))</f>
        <v>02112016-4510-5</v>
      </c>
      <c r="C311" s="2" t="str">
        <f>IF(ISBLANK(Drummond!F311),FALSE,LOOKUP(Drummond!F311,Lookup!$A$6:$B$7))</f>
        <v>All</v>
      </c>
      <c r="D311" s="2" t="str">
        <f>IF(ISBLANK(Drummond!G311),FALSE,Drummond!G311)</f>
        <v>http://www.mydoctorschart.com/disclosures</v>
      </c>
      <c r="E311" s="2" t="str">
        <f>IF(NOT(ISBLANK(Drummond!D311)),IF(OR(ISBLANK(Drummond!E311),Drummond!E311="N/A"),"no acb code",CONCATENATE(Lookup!F$1,A311,Lookup!G$1,B311,Lookup!H$1,H$1,Lookup!I$1)),"no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'02112016-4510-5' and cb."name" = 'Drummond Group Inc.' and cp.product_version_id = pv.product_version_id and pv.product_id = p.product_id and p.vendor_id = vend.vendor_id;</v>
      </c>
      <c r="F311" s="2" t="str">
        <f>IF(AND(NOT(ISBLANK(Drummond!G311)),Drummond!G311&lt;&gt;"N/A"),IF(C311="All",CONCATENATE(Lookup!F$2,D311,Lookup!G$2,B311,Lookup!H$2,H$1,Lookup!I$2),CONCATENATE(Lookup!F$3,D311,Lookup!G$3,B311,Lookup!H$3)),"no url")</f>
        <v>update openchpl.certified_product as cp set transparency_attestation_url = 'http://www.mydoctorschart.com/disclosures' from (select certified_product_id from (select vend.vendor_code from openchpl.certified_product as cp, openchpl.product_version as pv, openchpl.product as p, openchpl.vendor as vend where cp.acb_certification_id = '02112016-4510-5'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2" spans="1:6" x14ac:dyDescent="0.25">
      <c r="A312" s="2" t="str">
        <f>IF(ISBLANK(Drummond!D312),FALSE,LOOKUP(Drummond!D312,Lookup!$A$2:$B$4))</f>
        <v>Affirmative</v>
      </c>
      <c r="B312" s="2" t="str">
        <f>IF(ISBLANK(Drummond!E312),FALSE,TRIM(Drummond!E312))</f>
        <v>08072014-2686-5</v>
      </c>
      <c r="C312" s="2" t="str">
        <f>IF(ISBLANK(Drummond!F312),FALSE,LOOKUP(Drummond!F312,Lookup!$A$6:$B$7))</f>
        <v>All</v>
      </c>
      <c r="D312" s="2" t="str">
        <f>IF(ISBLANK(Drummond!G312),FALSE,Drummond!G312)</f>
        <v>http://www.techcareehr.com/</v>
      </c>
      <c r="E312" s="2" t="str">
        <f>IF(NOT(ISBLANK(Drummond!D312)),IF(OR(ISBLANK(Drummond!E312),Drummond!E312="N/A"),"no acb code",CONCATENATE(Lookup!F$1,A312,Lookup!G$1,B312,Lookup!H$1,H$1,Lookup!I$1)),"no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'08072014-2686-5' and cb."name" = 'Drummond Group Inc.' and cp.product_version_id = pv.product_version_id and pv.product_id = p.product_id and p.vendor_id = vend.vendor_id;</v>
      </c>
      <c r="F312" s="2" t="str">
        <f>IF(AND(NOT(ISBLANK(Drummond!G312)),Drummond!G312&lt;&gt;"N/A"),IF(C312="All",CONCATENATE(Lookup!F$2,D312,Lookup!G$2,B312,Lookup!H$2,H$1,Lookup!I$2),CONCATENATE(Lookup!F$3,D312,Lookup!G$3,B312,Lookup!H$3)),"no url")</f>
        <v>update openchpl.certified_product as cp set transparency_attestation_url = 'http://www.techcareehr.com/' from (select certified_product_id from (select vend.vendor_code from openchpl.certified_product as cp, openchpl.product_version as pv, openchpl.product as p, openchpl.vendor as vend where cp.acb_certification_id = '08072014-2686-5'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3" spans="1:6" x14ac:dyDescent="0.25">
      <c r="A313" s="2" t="str">
        <f>IF(ISBLANK(Drummond!D313),FALSE,LOOKUP(Drummond!D313,Lookup!$A$2:$B$4))</f>
        <v>Affirmative</v>
      </c>
      <c r="B313" s="2" t="str">
        <f>IF(ISBLANK(Drummond!E313),FALSE,TRIM(Drummond!E313))</f>
        <v>12302014-3004-6</v>
      </c>
      <c r="C313" s="2" t="str">
        <f>IF(ISBLANK(Drummond!F313),FALSE,LOOKUP(Drummond!F313,Lookup!$A$6:$B$7))</f>
        <v>All</v>
      </c>
      <c r="D313" s="2" t="str">
        <f>IF(ISBLANK(Drummond!G313),FALSE,Drummond!G313)</f>
        <v>http://navishealth.com/products/engage/</v>
      </c>
      <c r="E313" s="2" t="str">
        <f>IF(NOT(ISBLANK(Drummond!D313)),IF(OR(ISBLANK(Drummond!E313),Drummond!E313="N/A"),"no acb code",CONCATENATE(Lookup!F$1,A313,Lookup!G$1,B313,Lookup!H$1,H$1,Lookup!I$1)),"no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'12302014-3004-6' and cb."name" = 'Drummond Group Inc.' and cp.product_version_id = pv.product_version_id and pv.product_id = p.product_id and p.vendor_id = vend.vendor_id;</v>
      </c>
      <c r="F313" s="2" t="str">
        <f>IF(AND(NOT(ISBLANK(Drummond!G313)),Drummond!G313&lt;&gt;"N/A"),IF(C313="All",CONCATENATE(Lookup!F$2,D313,Lookup!G$2,B313,Lookup!H$2,H$1,Lookup!I$2),CONCATENATE(Lookup!F$3,D313,Lookup!G$3,B313,Lookup!H$3)),"no url")</f>
        <v>update openchpl.certified_product as cp set transparency_attestation_url = 'http://navishealth.com/products/engage/' from (select certified_product_id from (select vend.vendor_code from openchpl.certified_product as cp, openchpl.product_version as pv, openchpl.product as p, openchpl.vendor as vend where cp.acb_certification_id = '12302014-3004-6'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4" spans="1:6" x14ac:dyDescent="0.25">
      <c r="A314" s="2" t="str">
        <f>IF(ISBLANK(Drummond!D314),FALSE,LOOKUP(Drummond!D314,Lookup!$A$2:$B$4))</f>
        <v>Affirmative</v>
      </c>
      <c r="B314" s="2" t="str">
        <f>IF(ISBLANK(Drummond!E314),FALSE,TRIM(Drummond!E314))</f>
        <v>06052014-2702-9</v>
      </c>
      <c r="C314" s="2" t="str">
        <f>IF(ISBLANK(Drummond!F314),FALSE,LOOKUP(Drummond!F314,Lookup!$A$6:$B$7))</f>
        <v>Single</v>
      </c>
      <c r="D314" s="2" t="str">
        <f>IF(ISBLANK(Drummond!G314),FALSE,Drummond!G314)</f>
        <v>http://www.nethealth.com/products/urgent-care/urgent-care-emr/</v>
      </c>
      <c r="E314" s="2" t="str">
        <f>IF(NOT(ISBLANK(Drummond!D314)),IF(OR(ISBLANK(Drummond!E314),Drummond!E314="N/A"),"no acb code",CONCATENATE(Lookup!F$1,A314,Lookup!G$1,B314,Lookup!H$1,H$1,Lookup!I$1)),"no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'06052014-2702-9' and cb."name" = 'Drummond Group Inc.' and cp.product_version_id = pv.product_version_id and pv.product_id = p.product_id and p.vendor_id = vend.vendor_id;</v>
      </c>
      <c r="F314" s="2" t="str">
        <f>IF(AND(NOT(ISBLANK(Drummond!G314)),Drummond!G314&lt;&gt;"N/A"),IF(C314="All",CONCATENATE(Lookup!F$2,D314,Lookup!G$2,B314,Lookup!H$2,H$1,Lookup!I$2),CONCATENATE(Lookup!F$3,D314,Lookup!G$3,B314,Lookup!H$3)),"no url")</f>
        <v>update openchpl.certified_product as cp set transparency_attestation_url = 'http://www.nethealth.com/products/urgent-care/urgent-care-emr/' from (select certified_product_id from openchpl.certified_product as cp where cp.acb_certification_id = '06052014-2702-9') as subquery where cp.certified_product_id = subquery.certified_product_id;</v>
      </c>
    </row>
    <row r="315" spans="1:6" x14ac:dyDescent="0.25">
      <c r="A315" s="2" t="str">
        <f>IF(ISBLANK(Drummond!D315),FALSE,LOOKUP(Drummond!D315,Lookup!$A$2:$B$4))</f>
        <v>Affirmative</v>
      </c>
      <c r="B315" s="2" t="str">
        <f>IF(ISBLANK(Drummond!E315),FALSE,TRIM(Drummond!E315))</f>
        <v>06182015-0210-5</v>
      </c>
      <c r="C315" s="2" t="str">
        <f>IF(ISBLANK(Drummond!F315),FALSE,LOOKUP(Drummond!F315,Lookup!$A$6:$B$7))</f>
        <v>Single</v>
      </c>
      <c r="D315" s="2" t="str">
        <f>IF(ISBLANK(Drummond!G315),FALSE,Drummond!G315)</f>
        <v>http://www.nethealth.com/products/urgent-care/urgent-care-emr/</v>
      </c>
      <c r="E315" s="2" t="str">
        <f>IF(NOT(ISBLANK(Drummond!D315)),IF(OR(ISBLANK(Drummond!E315),Drummond!E315="N/A"),"no acb code",CONCATENATE(Lookup!F$1,A315,Lookup!G$1,B315,Lookup!H$1,H$1,Lookup!I$1)),"no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'06182015-0210-5' and cb."name" = 'Drummond Group Inc.' and cp.product_version_id = pv.product_version_id and pv.product_id = p.product_id and p.vendor_id = vend.vendor_id;</v>
      </c>
      <c r="F315" s="2" t="str">
        <f>IF(AND(NOT(ISBLANK(Drummond!G315)),Drummond!G315&lt;&gt;"N/A"),IF(C315="All",CONCATENATE(Lookup!F$2,D315,Lookup!G$2,B315,Lookup!H$2,H$1,Lookup!I$2),CONCATENATE(Lookup!F$3,D315,Lookup!G$3,B315,Lookup!H$3)),"no url")</f>
        <v>update openchpl.certified_product as cp set transparency_attestation_url = 'http://www.nethealth.com/products/urgent-care/urgent-care-emr/' from (select certified_product_id from openchpl.certified_product as cp where cp.acb_certification_id = '06182015-0210-5') as subquery where cp.certified_product_id = subquery.certified_product_id;</v>
      </c>
    </row>
    <row r="316" spans="1:6" x14ac:dyDescent="0.25">
      <c r="A316" s="2" t="str">
        <f>IF(ISBLANK(Drummond!D316),FALSE,LOOKUP(Drummond!D316,Lookup!$A$2:$B$4))</f>
        <v>Affirmative</v>
      </c>
      <c r="B316" s="2" t="str">
        <f>IF(ISBLANK(Drummond!E316),FALSE,TRIM(Drummond!E316))</f>
        <v>12052013-2024-9</v>
      </c>
      <c r="C316" s="2" t="str">
        <f>IF(ISBLANK(Drummond!F316),FALSE,LOOKUP(Drummond!F316,Lookup!$A$6:$B$7))</f>
        <v>Single</v>
      </c>
      <c r="D316" s="2" t="str">
        <f>IF(ISBLANK(Drummond!G316),FALSE,Drummond!G316)</f>
        <v>http://www.nethealth.com/products/wound-care/woundexpert-software-wound-care-ehr/</v>
      </c>
      <c r="E316" s="2" t="str">
        <f>IF(NOT(ISBLANK(Drummond!D316)),IF(OR(ISBLANK(Drummond!E316),Drummond!E316="N/A"),"no acb code",CONCATENATE(Lookup!F$1,A316,Lookup!G$1,B316,Lookup!H$1,H$1,Lookup!I$1)),"no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'12052013-2024-9' and cb."name" = 'Drummond Group Inc.' and cp.product_version_id = pv.product_version_id and pv.product_id = p.product_id and p.vendor_id = vend.vendor_id;</v>
      </c>
      <c r="F316" s="2" t="str">
        <f>IF(AND(NOT(ISBLANK(Drummond!G316)),Drummond!G316&lt;&gt;"N/A"),IF(C316="All",CONCATENATE(Lookup!F$2,D316,Lookup!G$2,B316,Lookup!H$2,H$1,Lookup!I$2),CONCATENATE(Lookup!F$3,D316,Lookup!G$3,B316,Lookup!H$3)),"no url")</f>
        <v>update openchpl.certified_product as cp set transparency_attestation_url = 'http://www.nethealth.com/products/wound-care/woundexpert-software-wound-care-ehr/' from (select certified_product_id from openchpl.certified_product as cp where cp.acb_certification_id = '12052013-2024-9') as subquery where cp.certified_product_id = subquery.certified_product_id;</v>
      </c>
    </row>
    <row r="317" spans="1:6" x14ac:dyDescent="0.25">
      <c r="A317" s="2" t="str">
        <f>IF(ISBLANK(Drummond!D317),FALSE,LOOKUP(Drummond!D317,Lookup!$A$2:$B$4))</f>
        <v>Affirmative</v>
      </c>
      <c r="B317" s="2" t="str">
        <f>IF(ISBLANK(Drummond!E317),FALSE,TRIM(Drummond!E317))</f>
        <v>07162015-2025-8</v>
      </c>
      <c r="C317" s="2" t="str">
        <f>IF(ISBLANK(Drummond!F317),FALSE,LOOKUP(Drummond!F317,Lookup!$A$6:$B$7))</f>
        <v>Single</v>
      </c>
      <c r="D317" s="2" t="str">
        <f>IF(ISBLANK(Drummond!G317),FALSE,Drummond!G317)</f>
        <v>http://www.nethealth.com/products/wound-care/woundexpert-software-wound-care-ehr/</v>
      </c>
      <c r="E317" s="2" t="str">
        <f>IF(NOT(ISBLANK(Drummond!D317)),IF(OR(ISBLANK(Drummond!E317),Drummond!E317="N/A"),"no acb code",CONCATENATE(Lookup!F$1,A317,Lookup!G$1,B317,Lookup!H$1,H$1,Lookup!I$1)),"no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'07162015-2025-8' and cb."name" = 'Drummond Group Inc.' and cp.product_version_id = pv.product_version_id and pv.product_id = p.product_id and p.vendor_id = vend.vendor_id;</v>
      </c>
      <c r="F317" s="2" t="str">
        <f>IF(AND(NOT(ISBLANK(Drummond!G317)),Drummond!G317&lt;&gt;"N/A"),IF(C317="All",CONCATENATE(Lookup!F$2,D317,Lookup!G$2,B317,Lookup!H$2,H$1,Lookup!I$2),CONCATENATE(Lookup!F$3,D317,Lookup!G$3,B317,Lookup!H$3)),"no url")</f>
        <v>update openchpl.certified_product as cp set transparency_attestation_url = 'http://www.nethealth.com/products/wound-care/woundexpert-software-wound-care-ehr/' from (select certified_product_id from openchpl.certified_product as cp where cp.acb_certification_id = '07162015-2025-8') as subquery where cp.certified_product_id = subquery.certified_product_id;</v>
      </c>
    </row>
    <row r="318" spans="1:6" x14ac:dyDescent="0.25">
      <c r="A318" s="2" t="str">
        <f>IF(ISBLANK(Drummond!D318),FALSE,LOOKUP(Drummond!D318,Lookup!$A$2:$B$4))</f>
        <v>Affirmative</v>
      </c>
      <c r="B318" s="2" t="str">
        <f>IF(ISBLANK(Drummond!E318),FALSE,TRIM(Drummond!E318))</f>
        <v>07022015-2076-5</v>
      </c>
      <c r="C318" s="2" t="str">
        <f>IF(ISBLANK(Drummond!F318),FALSE,LOOKUP(Drummond!F318,Lookup!$A$6:$B$7))</f>
        <v>All</v>
      </c>
      <c r="D318" s="2" t="str">
        <f>IF(ISBLANK(Drummond!G318),FALSE,Drummond!G318)</f>
        <v>http://www.nextstepsolutionsinc.com/product-info-behaviorial-health-software.php</v>
      </c>
      <c r="E318" s="2" t="str">
        <f>IF(NOT(ISBLANK(Drummond!D318)),IF(OR(ISBLANK(Drummond!E318),Drummond!E318="N/A"),"no acb code",CONCATENATE(Lookup!F$1,A318,Lookup!G$1,B318,Lookup!H$1,H$1,Lookup!I$1)),"no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'07022015-2076-5' and cb."name" = 'Drummond Group Inc.' and cp.product_version_id = pv.product_version_id and pv.product_id = p.product_id and p.vendor_id = vend.vendor_id;</v>
      </c>
      <c r="F318" s="2" t="str">
        <f>IF(AND(NOT(ISBLANK(Drummond!G318)),Drummond!G318&lt;&gt;"N/A"),IF(C318="All",CONCATENATE(Lookup!F$2,D318,Lookup!G$2,B318,Lookup!H$2,H$1,Lookup!I$2),CONCATENATE(Lookup!F$3,D318,Lookup!G$3,B318,Lookup!H$3)),"no url")</f>
        <v>update openchpl.certified_product as cp set transparency_attestation_url = 'http://www.nextstepsolutionsinc.com/product-info-behaviorial-health-software.php' from (select certified_product_id from (select vend.vendor_code from openchpl.certified_product as cp, openchpl.product_version as pv, openchpl.product as p, openchpl.vendor as vend where cp.acb_certification_id = '07022015-2076-5'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9" spans="1:6" x14ac:dyDescent="0.25">
      <c r="A319" s="2" t="str">
        <f>IF(ISBLANK(Drummond!D319),FALSE,LOOKUP(Drummond!D319,Lookup!$A$2:$B$4))</f>
        <v>Affirmative</v>
      </c>
      <c r="B319" s="2" t="str">
        <f>IF(ISBLANK(Drummond!E319),FALSE,TRIM(Drummond!E319))</f>
        <v>03062014-2409-6</v>
      </c>
      <c r="C319" s="2" t="str">
        <f>IF(ISBLANK(Drummond!F319),FALSE,LOOKUP(Drummond!F319,Lookup!$A$6:$B$7))</f>
        <v>All</v>
      </c>
      <c r="D319" s="2" t="str">
        <f>IF(ISBLANK(Drummond!G319),FALSE,Drummond!G319)</f>
        <v>http://www.nexusclinical.com/certification/</v>
      </c>
      <c r="E319" s="2" t="str">
        <f>IF(NOT(ISBLANK(Drummond!D319)),IF(OR(ISBLANK(Drummond!E319),Drummond!E319="N/A"),"no acb code",CONCATENATE(Lookup!F$1,A319,Lookup!G$1,B319,Lookup!H$1,H$1,Lookup!I$1)),"no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'03062014-2409-6' and cb."name" = 'Drummond Group Inc.' and cp.product_version_id = pv.product_version_id and pv.product_id = p.product_id and p.vendor_id = vend.vendor_id;</v>
      </c>
      <c r="F319" s="2" t="str">
        <f>IF(AND(NOT(ISBLANK(Drummond!G319)),Drummond!G319&lt;&gt;"N/A"),IF(C319="All",CONCATENATE(Lookup!F$2,D319,Lookup!G$2,B319,Lookup!H$2,H$1,Lookup!I$2),CONCATENATE(Lookup!F$3,D319,Lookup!G$3,B319,Lookup!H$3)),"no url")</f>
        <v>update openchpl.certified_product as cp set transparency_attestation_url = 'http://www.nexusclinical.com/certification/' from (select certified_product_id from (select vend.vendor_code from openchpl.certified_product as cp, openchpl.product_version as pv, openchpl.product as p, openchpl.vendor as vend where cp.acb_certification_id = '03062014-2409-6'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0" spans="1:6" x14ac:dyDescent="0.25">
      <c r="A320" s="2" t="str">
        <f>IF(ISBLANK(Drummond!D320),FALSE,LOOKUP(Drummond!D320,Lookup!$A$2:$B$4))</f>
        <v>Affirmative</v>
      </c>
      <c r="B320" s="2" t="str">
        <f>IF(ISBLANK(Drummond!E320),FALSE,TRIM(Drummond!E320))</f>
        <v>09172015-3570-6</v>
      </c>
      <c r="C320" s="2" t="str">
        <f>IF(ISBLANK(Drummond!F320),FALSE,LOOKUP(Drummond!F320,Lookup!$A$6:$B$7))</f>
        <v>All</v>
      </c>
      <c r="D320" s="2" t="str">
        <f>IF(ISBLANK(Drummond!G320),FALSE,Drummond!G320)</f>
        <v>http://www.nexusclinical.com/certification/</v>
      </c>
      <c r="E320" s="2" t="str">
        <f>IF(NOT(ISBLANK(Drummond!D320)),IF(OR(ISBLANK(Drummond!E320),Drummond!E320="N/A"),"no acb code",CONCATENATE(Lookup!F$1,A320,Lookup!G$1,B320,Lookup!H$1,H$1,Lookup!I$1)),"no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'09172015-3570-6' and cb."name" = 'Drummond Group Inc.' and cp.product_version_id = pv.product_version_id and pv.product_id = p.product_id and p.vendor_id = vend.vendor_id;</v>
      </c>
      <c r="F320" s="2" t="str">
        <f>IF(AND(NOT(ISBLANK(Drummond!G320)),Drummond!G320&lt;&gt;"N/A"),IF(C320="All",CONCATENATE(Lookup!F$2,D320,Lookup!G$2,B320,Lookup!H$2,H$1,Lookup!I$2),CONCATENATE(Lookup!F$3,D320,Lookup!G$3,B320,Lookup!H$3)),"no url")</f>
        <v>update openchpl.certified_product as cp set transparency_attestation_url = 'http://www.nexusclinical.com/certification/' from (select certified_product_id from (select vend.vendor_code from openchpl.certified_product as cp, openchpl.product_version as pv, openchpl.product as p, openchpl.vendor as vend where cp.acb_certification_id = '09172015-3570-6'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1" spans="1:6" x14ac:dyDescent="0.25">
      <c r="A321" s="2" t="str">
        <f>IF(ISBLANK(Drummond!D321),FALSE,LOOKUP(Drummond!D321,Lookup!$A$2:$B$4))</f>
        <v>Affirmative</v>
      </c>
      <c r="B321" s="2" t="str">
        <f>IF(ISBLANK(Drummond!E321),FALSE,TRIM(Drummond!E321))</f>
        <v>01102014-2465-5</v>
      </c>
      <c r="C321" s="2" t="str">
        <f>IF(ISBLANK(Drummond!F321),FALSE,LOOKUP(Drummond!F321,Lookup!$A$6:$B$7))</f>
        <v>All</v>
      </c>
      <c r="D321" s="2" t="str">
        <f>IF(ISBLANK(Drummond!G321),FALSE,Drummond!G321)</f>
        <v>http://www.nablemd.com/#certification</v>
      </c>
      <c r="E321" s="2" t="str">
        <f>IF(NOT(ISBLANK(Drummond!D321)),IF(OR(ISBLANK(Drummond!E321),Drummond!E321="N/A"),"no acb code",CONCATENATE(Lookup!F$1,A321,Lookup!G$1,B321,Lookup!H$1,H$1,Lookup!I$1)),"no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'01102014-2465-5' and cb."name" = 'Drummond Group Inc.' and cp.product_version_id = pv.product_version_id and pv.product_id = p.product_id and p.vendor_id = vend.vendor_id;</v>
      </c>
      <c r="F321" s="2" t="str">
        <f>IF(AND(NOT(ISBLANK(Drummond!G321)),Drummond!G321&lt;&gt;"N/A"),IF(C321="All",CONCATENATE(Lookup!F$2,D321,Lookup!G$2,B321,Lookup!H$2,H$1,Lookup!I$2),CONCATENATE(Lookup!F$3,D321,Lookup!G$3,B321,Lookup!H$3)),"no url")</f>
        <v>update openchpl.certified_product as cp set transparency_attestation_url = 'http://www.nablemd.com/#certification' from (select certified_product_id from (select vend.vendor_code from openchpl.certified_product as cp, openchpl.product_version as pv, openchpl.product as p, openchpl.vendor as vend where cp.acb_certification_id = '01102014-2465-5'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2" spans="1:6" x14ac:dyDescent="0.25">
      <c r="A322" s="2" t="str">
        <f>IF(ISBLANK(Drummond!D322),FALSE,LOOKUP(Drummond!D322,Lookup!$A$2:$B$4))</f>
        <v>Affirmative</v>
      </c>
      <c r="B322" s="2" t="str">
        <f>IF(ISBLANK(Drummond!E322),FALSE,TRIM(Drummond!E322))</f>
        <v>07022015-0296-1</v>
      </c>
      <c r="C322" s="2" t="str">
        <f>IF(ISBLANK(Drummond!F322),FALSE,LOOKUP(Drummond!F322,Lookup!$A$6:$B$7))</f>
        <v>All</v>
      </c>
      <c r="D322" s="2" t="str">
        <f>IF(ISBLANK(Drummond!G322),FALSE,Drummond!G322)</f>
        <v>http://oasite.com/ONC_certification.asp</v>
      </c>
      <c r="E322" s="2" t="str">
        <f>IF(NOT(ISBLANK(Drummond!D322)),IF(OR(ISBLANK(Drummond!E322),Drummond!E322="N/A"),"no acb code",CONCATENATE(Lookup!F$1,A322,Lookup!G$1,B322,Lookup!H$1,H$1,Lookup!I$1)),"no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'07022015-0296-1' and cb."name" = 'Drummond Group Inc.' and cp.product_version_id = pv.product_version_id and pv.product_id = p.product_id and p.vendor_id = vend.vendor_id;</v>
      </c>
      <c r="F322" s="2" t="str">
        <f>IF(AND(NOT(ISBLANK(Drummond!G322)),Drummond!G322&lt;&gt;"N/A"),IF(C322="All",CONCATENATE(Lookup!F$2,D322,Lookup!G$2,B322,Lookup!H$2,H$1,Lookup!I$2),CONCATENATE(Lookup!F$3,D322,Lookup!G$3,B322,Lookup!H$3)),"no url")</f>
        <v>update openchpl.certified_product as cp set transparency_attestation_url = 'http://oasite.com/ONC_certification.asp' from (select certified_product_id from (select vend.vendor_code from openchpl.certified_product as cp, openchpl.product_version as pv, openchpl.product as p, openchpl.vendor as vend where cp.acb_certification_id = '07022015-0296-1'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3" spans="1:6" x14ac:dyDescent="0.25">
      <c r="A323" s="2" t="str">
        <f>IF(ISBLANK(Drummond!D323),FALSE,LOOKUP(Drummond!D323,Lookup!$A$2:$B$4))</f>
        <v>Affirmative</v>
      </c>
      <c r="B323" s="2" t="str">
        <f>IF(ISBLANK(Drummond!E323),FALSE,TRIM(Drummond!E323))</f>
        <v>12192013-1812-1</v>
      </c>
      <c r="C323" s="2" t="str">
        <f>IF(ISBLANK(Drummond!F323),FALSE,LOOKUP(Drummond!F323,Lookup!$A$6:$B$7))</f>
        <v>All</v>
      </c>
      <c r="D323" s="2" t="str">
        <f>IF(ISBLANK(Drummond!G323),FALSE,Drummond!G323)</f>
        <v>http://oasite.com/ONC_certification.asp</v>
      </c>
      <c r="E323" s="2" t="str">
        <f>IF(NOT(ISBLANK(Drummond!D323)),IF(OR(ISBLANK(Drummond!E323),Drummond!E323="N/A"),"no acb code",CONCATENATE(Lookup!F$1,A323,Lookup!G$1,B323,Lookup!H$1,H$1,Lookup!I$1)),"no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'12192013-1812-1' and cb."name" = 'Drummond Group Inc.' and cp.product_version_id = pv.product_version_id and pv.product_id = p.product_id and p.vendor_id = vend.vendor_id;</v>
      </c>
      <c r="F323" s="2" t="str">
        <f>IF(AND(NOT(ISBLANK(Drummond!G323)),Drummond!G323&lt;&gt;"N/A"),IF(C323="All",CONCATENATE(Lookup!F$2,D323,Lookup!G$2,B323,Lookup!H$2,H$1,Lookup!I$2),CONCATENATE(Lookup!F$3,D323,Lookup!G$3,B323,Lookup!H$3)),"no url")</f>
        <v>update openchpl.certified_product as cp set transparency_attestation_url = 'http://oasite.com/ONC_certification.asp' from (select certified_product_id from (select vend.vendor_code from openchpl.certified_product as cp, openchpl.product_version as pv, openchpl.product as p, openchpl.vendor as vend where cp.acb_certification_id = '12192013-1812-1'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4" spans="1:6" x14ac:dyDescent="0.25">
      <c r="A324" s="2" t="str">
        <f>IF(ISBLANK(Drummond!D324),FALSE,LOOKUP(Drummond!D324,Lookup!$A$2:$B$4))</f>
        <v>Affirmative</v>
      </c>
      <c r="B324" s="2" t="str">
        <f>IF(ISBLANK(Drummond!E324),FALSE,TRIM(Drummond!E324))</f>
        <v>08282014-2726-8</v>
      </c>
      <c r="C324" s="2" t="str">
        <f>IF(ISBLANK(Drummond!F324),FALSE,LOOKUP(Drummond!F324,Lookup!$A$6:$B$7))</f>
        <v>All</v>
      </c>
      <c r="D324" s="2" t="str">
        <f>IF(ISBLANK(Drummond!G324),FALSE,Drummond!G324)</f>
        <v>http://www.flexmedical.com/education/mu/certification.aspx</v>
      </c>
      <c r="E324" s="2" t="str">
        <f>IF(NOT(ISBLANK(Drummond!D324)),IF(OR(ISBLANK(Drummond!E324),Drummond!E324="N/A"),"no acb code",CONCATENATE(Lookup!F$1,A324,Lookup!G$1,B324,Lookup!H$1,H$1,Lookup!I$1)),"no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'08282014-2726-8' and cb."name" = 'Drummond Group Inc.' and cp.product_version_id = pv.product_version_id and pv.product_id = p.product_id and p.vendor_id = vend.vendor_id;</v>
      </c>
      <c r="F324" s="2" t="str">
        <f>IF(AND(NOT(ISBLANK(Drummond!G324)),Drummond!G324&lt;&gt;"N/A"),IF(C324="All",CONCATENATE(Lookup!F$2,D324,Lookup!G$2,B324,Lookup!H$2,H$1,Lookup!I$2),CONCATENATE(Lookup!F$3,D324,Lookup!G$3,B324,Lookup!H$3)),"no url")</f>
        <v>update openchpl.certified_product as cp set transparency_attestation_url = 'http://www.flexmedical.com/education/mu/certification.aspx' from (select certified_product_id from (select vend.vendor_code from openchpl.certified_product as cp, openchpl.product_version as pv, openchpl.product as p, openchpl.vendor as vend where cp.acb_certification_id = '08282014-2726-8'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5" spans="1:6" x14ac:dyDescent="0.25">
      <c r="A325" s="2" t="str">
        <f>IF(ISBLANK(Drummond!D325),FALSE,LOOKUP(Drummond!D325,Lookup!$A$2:$B$4))</f>
        <v>Affirmative</v>
      </c>
      <c r="B325" s="2" t="str">
        <f>IF(ISBLANK(Drummond!E325),FALSE,TRIM(Drummond!E325))</f>
        <v>11212014-2114-1</v>
      </c>
      <c r="C325" s="2" t="str">
        <f>IF(ISBLANK(Drummond!F325),FALSE,LOOKUP(Drummond!F325,Lookup!$A$6:$B$7))</f>
        <v>All</v>
      </c>
      <c r="D325" s="2" t="str">
        <f>IF(ISBLANK(Drummond!G325),FALSE,Drummond!G325)</f>
        <v>http://odlink.com/hi-tech_act</v>
      </c>
      <c r="E325" s="2" t="str">
        <f>IF(NOT(ISBLANK(Drummond!D325)),IF(OR(ISBLANK(Drummond!E325),Drummond!E325="N/A"),"no acb code",CONCATENATE(Lookup!F$1,A325,Lookup!G$1,B325,Lookup!H$1,H$1,Lookup!I$1)),"no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'11212014-2114-1' and cb."name" = 'Drummond Group Inc.' and cp.product_version_id = pv.product_version_id and pv.product_id = p.product_id and p.vendor_id = vend.vendor_id;</v>
      </c>
      <c r="F325" s="2" t="str">
        <f>IF(AND(NOT(ISBLANK(Drummond!G325)),Drummond!G325&lt;&gt;"N/A"),IF(C325="All",CONCATENATE(Lookup!F$2,D325,Lookup!G$2,B325,Lookup!H$2,H$1,Lookup!I$2),CONCATENATE(Lookup!F$3,D325,Lookup!G$3,B325,Lookup!H$3)),"no url")</f>
        <v>update openchpl.certified_product as cp set transparency_attestation_url = 'http://odlink.com/hi-tech_act' from (select certified_product_id from (select vend.vendor_code from openchpl.certified_product as cp, openchpl.product_version as pv, openchpl.product as p, openchpl.vendor as vend where cp.acb_certification_id = '11212014-2114-1'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6" spans="1:6" x14ac:dyDescent="0.25">
      <c r="A326" s="2" t="str">
        <f>IF(ISBLANK(Drummond!D326),FALSE,LOOKUP(Drummond!D326,Lookup!$A$2:$B$4))</f>
        <v>Affirmative</v>
      </c>
      <c r="B326" s="2" t="str">
        <f>IF(ISBLANK(Drummond!E326),FALSE,TRIM(Drummond!E326))</f>
        <v>02262015-3001-6</v>
      </c>
      <c r="C326" s="2" t="str">
        <f>IF(ISBLANK(Drummond!F326),FALSE,LOOKUP(Drummond!F326,Lookup!$A$6:$B$7))</f>
        <v>All</v>
      </c>
      <c r="D326" s="2" t="str">
        <f>IF(ISBLANK(Drummond!G326),FALSE,Drummond!G326)</f>
        <v>http://www.ocuco.us/certification.html</v>
      </c>
      <c r="E326" s="2" t="str">
        <f>IF(NOT(ISBLANK(Drummond!D326)),IF(OR(ISBLANK(Drummond!E326),Drummond!E326="N/A"),"no acb code",CONCATENATE(Lookup!F$1,A326,Lookup!G$1,B326,Lookup!H$1,H$1,Lookup!I$1)),"no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'02262015-3001-6' and cb."name" = 'Drummond Group Inc.' and cp.product_version_id = pv.product_version_id and pv.product_id = p.product_id and p.vendor_id = vend.vendor_id;</v>
      </c>
      <c r="F326" s="2" t="str">
        <f>IF(AND(NOT(ISBLANK(Drummond!G326)),Drummond!G326&lt;&gt;"N/A"),IF(C326="All",CONCATENATE(Lookup!F$2,D326,Lookup!G$2,B326,Lookup!H$2,H$1,Lookup!I$2),CONCATENATE(Lookup!F$3,D326,Lookup!G$3,B326,Lookup!H$3)),"no url")</f>
        <v>update openchpl.certified_product as cp set transparency_attestation_url = 'http://www.ocuco.us/certification.html' from (select certified_product_id from (select vend.vendor_code from openchpl.certified_product as cp, openchpl.product_version as pv, openchpl.product as p, openchpl.vendor as vend where cp.acb_certification_id = '02262015-3001-6'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7" spans="1:6" x14ac:dyDescent="0.25">
      <c r="A327" s="2" t="str">
        <f>IF(ISBLANK(Drummond!D327),FALSE,LOOKUP(Drummond!D327,Lookup!$A$2:$B$4))</f>
        <v>Affirmative</v>
      </c>
      <c r="B327" s="2" t="str">
        <f>IF(ISBLANK(Drummond!E327),FALSE,TRIM(Drummond!E327))</f>
        <v>09172015-4470-6</v>
      </c>
      <c r="C327" s="2" t="str">
        <f>IF(ISBLANK(Drummond!F327),FALSE,LOOKUP(Drummond!F327,Lookup!$A$6:$B$7))</f>
        <v>All</v>
      </c>
      <c r="D327" s="2" t="str">
        <f>IF(ISBLANK(Drummond!G327),FALSE,Drummond!G327)</f>
        <v>https://cms.officeally.com/acb-certification.aspx</v>
      </c>
      <c r="E327" s="2" t="str">
        <f>IF(NOT(ISBLANK(Drummond!D327)),IF(OR(ISBLANK(Drummond!E327),Drummond!E327="N/A"),"no acb code",CONCATENATE(Lookup!F$1,A327,Lookup!G$1,B327,Lookup!H$1,H$1,Lookup!I$1)),"no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'09172015-4470-6' and cb."name" = 'Drummond Group Inc.' and cp.product_version_id = pv.product_version_id and pv.product_id = p.product_id and p.vendor_id = vend.vendor_id;</v>
      </c>
      <c r="F327" s="2" t="str">
        <f>IF(AND(NOT(ISBLANK(Drummond!G327)),Drummond!G327&lt;&gt;"N/A"),IF(C327="All",CONCATENATE(Lookup!F$2,D327,Lookup!G$2,B327,Lookup!H$2,H$1,Lookup!I$2),CONCATENATE(Lookup!F$3,D327,Lookup!G$3,B327,Lookup!H$3)),"no url")</f>
        <v>update openchpl.certified_product as cp set transparency_attestation_url = 'https://cms.officeally.com/acb-certification.aspx' from (select certified_product_id from (select vend.vendor_code from openchpl.certified_product as cp, openchpl.product_version as pv, openchpl.product as p, openchpl.vendor as vend where cp.acb_certification_id = '09172015-4470-6'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8" spans="1:6" x14ac:dyDescent="0.25">
      <c r="A328" s="2" t="str">
        <f>IF(ISBLANK(Drummond!D328),FALSE,LOOKUP(Drummond!D328,Lookup!$A$2:$B$4))</f>
        <v>Affirmative</v>
      </c>
      <c r="B328" s="2" t="str">
        <f>IF(ISBLANK(Drummond!E328),FALSE,TRIM(Drummond!E328))</f>
        <v>05212015-2896-6</v>
      </c>
      <c r="C328" s="2" t="str">
        <f>IF(ISBLANK(Drummond!F328),FALSE,LOOKUP(Drummond!F328,Lookup!$A$6:$B$7))</f>
        <v>All</v>
      </c>
      <c r="D328" s="2" t="str">
        <f>IF(ISBLANK(Drummond!G328),FALSE,Drummond!G328)</f>
        <v>https://cms.officeally.com/acb-certification.aspx</v>
      </c>
      <c r="E328" s="2" t="str">
        <f>IF(NOT(ISBLANK(Drummond!D328)),IF(OR(ISBLANK(Drummond!E328),Drummond!E328="N/A"),"no acb code",CONCATENATE(Lookup!F$1,A328,Lookup!G$1,B328,Lookup!H$1,H$1,Lookup!I$1)),"no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'05212015-2896-6' and cb."name" = 'Drummond Group Inc.' and cp.product_version_id = pv.product_version_id and pv.product_id = p.product_id and p.vendor_id = vend.vendor_id;</v>
      </c>
      <c r="F328" s="2" t="str">
        <f>IF(AND(NOT(ISBLANK(Drummond!G328)),Drummond!G328&lt;&gt;"N/A"),IF(C328="All",CONCATENATE(Lookup!F$2,D328,Lookup!G$2,B328,Lookup!H$2,H$1,Lookup!I$2),CONCATENATE(Lookup!F$3,D328,Lookup!G$3,B328,Lookup!H$3)),"no url")</f>
        <v>update openchpl.certified_product as cp set transparency_attestation_url = 'https://cms.officeally.com/acb-certification.aspx' from (select certified_product_id from (select vend.vendor_code from openchpl.certified_product as cp, openchpl.product_version as pv, openchpl.product as p, openchpl.vendor as vend where cp.acb_certification_id = '05212015-2896-6'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9" spans="1:6" x14ac:dyDescent="0.25">
      <c r="A329" s="2" t="str">
        <f>IF(ISBLANK(Drummond!D329),FALSE,LOOKUP(Drummond!D329,Lookup!$A$2:$B$4))</f>
        <v>Affirmative</v>
      </c>
      <c r="B329" s="2" t="str">
        <f>IF(ISBLANK(Drummond!E329),FALSE,TRIM(Drummond!E329))</f>
        <v>01232014-2016-6</v>
      </c>
      <c r="C329" s="2" t="str">
        <f>IF(ISBLANK(Drummond!F329),FALSE,LOOKUP(Drummond!F329,Lookup!$A$6:$B$7))</f>
        <v>All</v>
      </c>
      <c r="D329" s="2" t="str">
        <f>IF(ISBLANK(Drummond!G329),FALSE,Drummond!G329)</f>
        <v>http://omedix.com/products/patient-portal/meaningful-use/</v>
      </c>
      <c r="E329" s="2" t="str">
        <f>IF(NOT(ISBLANK(Drummond!D329)),IF(OR(ISBLANK(Drummond!E329),Drummond!E329="N/A"),"no acb code",CONCATENATE(Lookup!F$1,A329,Lookup!G$1,B329,Lookup!H$1,H$1,Lookup!I$1)),"no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'01232014-2016-6' and cb."name" = 'Drummond Group Inc.' and cp.product_version_id = pv.product_version_id and pv.product_id = p.product_id and p.vendor_id = vend.vendor_id;</v>
      </c>
      <c r="F329" s="2" t="str">
        <f>IF(AND(NOT(ISBLANK(Drummond!G329)),Drummond!G329&lt;&gt;"N/A"),IF(C329="All",CONCATENATE(Lookup!F$2,D329,Lookup!G$2,B329,Lookup!H$2,H$1,Lookup!I$2),CONCATENATE(Lookup!F$3,D329,Lookup!G$3,B329,Lookup!H$3)),"no url")</f>
        <v>update openchpl.certified_product as cp set transparency_attestation_url = 'http://omedix.com/products/patient-portal/meaningful-use/' from (select certified_product_id from (select vend.vendor_code from openchpl.certified_product as cp, openchpl.product_version as pv, openchpl.product as p, openchpl.vendor as vend where cp.acb_certification_id = '01232014-2016-6'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0" spans="1:6" x14ac:dyDescent="0.25">
      <c r="A330" s="2" t="str">
        <f>IF(ISBLANK(Drummond!D330),FALSE,LOOKUP(Drummond!D330,Lookup!$A$2:$B$4))</f>
        <v>Affirmative</v>
      </c>
      <c r="B330" s="2" t="str">
        <f>IF(ISBLANK(Drummond!E330),FALSE,TRIM(Drummond!E330))</f>
        <v>06042015-0288-1</v>
      </c>
      <c r="C330" s="2" t="str">
        <f>IF(ISBLANK(Drummond!F330),FALSE,LOOKUP(Drummond!F330,Lookup!$A$6:$B$7))</f>
        <v>All</v>
      </c>
      <c r="D330" s="2" t="str">
        <f>IF(ISBLANK(Drummond!G330),FALSE,Drummond!G330)</f>
        <v>http://opendental.com/manual/ehrlicense.html</v>
      </c>
      <c r="E330" s="2" t="str">
        <f>IF(NOT(ISBLANK(Drummond!D330)),IF(OR(ISBLANK(Drummond!E330),Drummond!E330="N/A"),"no acb code",CONCATENATE(Lookup!F$1,A330,Lookup!G$1,B330,Lookup!H$1,H$1,Lookup!I$1)),"no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'06042015-0288-1' and cb."name" = 'Drummond Group Inc.' and cp.product_version_id = pv.product_version_id and pv.product_id = p.product_id and p.vendor_id = vend.vendor_id;</v>
      </c>
      <c r="F330" s="2" t="str">
        <f>IF(AND(NOT(ISBLANK(Drummond!G330)),Drummond!G330&lt;&gt;"N/A"),IF(C330="All",CONCATENATE(Lookup!F$2,D330,Lookup!G$2,B330,Lookup!H$2,H$1,Lookup!I$2),CONCATENATE(Lookup!F$3,D330,Lookup!G$3,B330,Lookup!H$3)),"no url")</f>
        <v>update openchpl.certified_product as cp set transparency_attestation_url = 'http://opendental.com/manual/ehrlicense.html' from (select certified_product_id from (select vend.vendor_code from openchpl.certified_product as cp, openchpl.product_version as pv, openchpl.product as p, openchpl.vendor as vend where cp.acb_certification_id = '06042015-0288-1'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1" spans="1:6" x14ac:dyDescent="0.25">
      <c r="A331" s="2" t="str">
        <f>IF(ISBLANK(Drummond!D331),FALSE,LOOKUP(Drummond!D331,Lookup!$A$2:$B$4))</f>
        <v>Affirmative</v>
      </c>
      <c r="B331" s="2" t="str">
        <f>IF(ISBLANK(Drummond!E331),FALSE,TRIM(Drummond!E331))</f>
        <v>10092014-2212-3</v>
      </c>
      <c r="C331" s="2" t="str">
        <f>IF(ISBLANK(Drummond!F331),FALSE,LOOKUP(Drummond!F331,Lookup!$A$6:$B$7))</f>
        <v>All</v>
      </c>
      <c r="D331" s="2" t="str">
        <f>IF(ISBLANK(Drummond!G331),FALSE,Drummond!G331)</f>
        <v>http://healthcareoss.com/wp-content/uploads/2016/03/Mandatory-Disclosure-Statement-MCEMR-2-25-2016-1.pdf</v>
      </c>
      <c r="E331" s="2" t="str">
        <f>IF(NOT(ISBLANK(Drummond!D331)),IF(OR(ISBLANK(Drummond!E331),Drummond!E331="N/A"),"no acb code",CONCATENATE(Lookup!F$1,A331,Lookup!G$1,B331,Lookup!H$1,H$1,Lookup!I$1)),"no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'10092014-2212-3' and cb."name" = 'Drummond Group Inc.' and cp.product_version_id = pv.product_version_id and pv.product_id = p.product_id and p.vendor_id = vend.vendor_id;</v>
      </c>
      <c r="F331" s="2" t="str">
        <f>IF(AND(NOT(ISBLANK(Drummond!G331)),Drummond!G331&lt;&gt;"N/A"),IF(C331="All",CONCATENATE(Lookup!F$2,D331,Lookup!G$2,B331,Lookup!H$2,H$1,Lookup!I$2),CONCATENATE(Lookup!F$3,D331,Lookup!G$3,B331,Lookup!H$3)),"no url")</f>
        <v>update openchpl.certified_product as cp set transparency_attestation_url = 'http://healthcareoss.com/wp-content/uploads/2016/03/Mandatory-Disclosure-Statement-MCEMR-2-25-2016-1.pdf' from (select certified_product_id from (select vend.vendor_code from openchpl.certified_product as cp, openchpl.product_version as pv, openchpl.product as p, openchpl.vendor as vend where cp.acb_certification_id = '10092014-2212-3'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2" spans="1:6" x14ac:dyDescent="0.25">
      <c r="A332" s="2" t="str">
        <f>IF(ISBLANK(Drummond!D332),FALSE,LOOKUP(Drummond!D332,Lookup!$A$2:$B$4))</f>
        <v>Affirmative</v>
      </c>
      <c r="B332" s="2" t="str">
        <f>IF(ISBLANK(Drummond!E332),FALSE,TRIM(Drummond!E332))</f>
        <v>12302014-2570-5</v>
      </c>
      <c r="C332" s="2" t="str">
        <f>IF(ISBLANK(Drummond!F332),FALSE,LOOKUP(Drummond!F332,Lookup!$A$6:$B$7))</f>
        <v>All</v>
      </c>
      <c r="D332" s="2" t="str">
        <f>IF(ISBLANK(Drummond!G332),FALSE,Drummond!G332)</f>
        <v>http://pbomd.com/price.htm</v>
      </c>
      <c r="E332" s="2" t="str">
        <f>IF(NOT(ISBLANK(Drummond!D332)),IF(OR(ISBLANK(Drummond!E332),Drummond!E332="N/A"),"no acb code",CONCATENATE(Lookup!F$1,A332,Lookup!G$1,B332,Lookup!H$1,H$1,Lookup!I$1)),"no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'12302014-2570-5' and cb."name" = 'Drummond Group Inc.' and cp.product_version_id = pv.product_version_id and pv.product_id = p.product_id and p.vendor_id = vend.vendor_id;</v>
      </c>
      <c r="F332" s="2" t="str">
        <f>IF(AND(NOT(ISBLANK(Drummond!G332)),Drummond!G332&lt;&gt;"N/A"),IF(C332="All",CONCATENATE(Lookup!F$2,D332,Lookup!G$2,B332,Lookup!H$2,H$1,Lookup!I$2),CONCATENATE(Lookup!F$3,D332,Lookup!G$3,B332,Lookup!H$3)),"no url")</f>
        <v>update openchpl.certified_product as cp set transparency_attestation_url = 'http://pbomd.com/price.htm' from (select certified_product_id from (select vend.vendor_code from openchpl.certified_product as cp, openchpl.product_version as pv, openchpl.product as p, openchpl.vendor as vend where cp.acb_certification_id = '12302014-2570-5'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3" spans="1:6" x14ac:dyDescent="0.25">
      <c r="A333" s="2" t="str">
        <f>IF(ISBLANK(Drummond!D333),FALSE,LOOKUP(Drummond!D333,Lookup!$A$2:$B$4))</f>
        <v>Affirmative</v>
      </c>
      <c r="B333" s="2" t="str">
        <f>IF(ISBLANK(Drummond!E333),FALSE,TRIM(Drummond!E333))</f>
        <v>12302015-9990-3</v>
      </c>
      <c r="C333" s="2" t="str">
        <f>IF(ISBLANK(Drummond!F333),FALSE,LOOKUP(Drummond!F333,Lookup!$A$6:$B$7))</f>
        <v>All</v>
      </c>
      <c r="D333" s="2" t="str">
        <f>IF(ISBLANK(Drummond!G333),FALSE,Drummond!G333)</f>
        <v>http://pbsinet.com/products-and-services/medical-solutions/</v>
      </c>
      <c r="E333" s="2" t="str">
        <f>IF(NOT(ISBLANK(Drummond!D333)),IF(OR(ISBLANK(Drummond!E333),Drummond!E333="N/A"),"no acb code",CONCATENATE(Lookup!F$1,A333,Lookup!G$1,B333,Lookup!H$1,H$1,Lookup!I$1)),"no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'12302015-9990-3' and cb."name" = 'Drummond Group Inc.' and cp.product_version_id = pv.product_version_id and pv.product_id = p.product_id and p.vendor_id = vend.vendor_id;</v>
      </c>
      <c r="F333" s="2" t="str">
        <f>IF(AND(NOT(ISBLANK(Drummond!G333)),Drummond!G333&lt;&gt;"N/A"),IF(C333="All",CONCATENATE(Lookup!F$2,D333,Lookup!G$2,B333,Lookup!H$2,H$1,Lookup!I$2),CONCATENATE(Lookup!F$3,D333,Lookup!G$3,B333,Lookup!H$3)),"no url")</f>
        <v>update openchpl.certified_product as cp set transparency_attestation_url = 'http://pbsinet.com/products-and-services/medical-solutions/' from (select certified_product_id from (select vend.vendor_code from openchpl.certified_product as cp, openchpl.product_version as pv, openchpl.product as p, openchpl.vendor as vend where cp.acb_certification_id = '12302015-9990-3'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4" spans="1:6" x14ac:dyDescent="0.25">
      <c r="A334" s="2" t="str">
        <f>IF(ISBLANK(Drummond!D334),FALSE,LOOKUP(Drummond!D334,Lookup!$A$2:$B$4))</f>
        <v>Negative</v>
      </c>
      <c r="B334" s="2" t="str">
        <f>IF(ISBLANK(Drummond!E334),FALSE,TRIM(Drummond!E334))</f>
        <v>06052014-2114-8</v>
      </c>
      <c r="C334" s="2" t="str">
        <f>IF(ISBLANK(Drummond!F334),FALSE,LOOKUP(Drummond!F334,Lookup!$A$6:$B$7))</f>
        <v>All</v>
      </c>
      <c r="D334" s="2" t="str">
        <f>IF(ISBLANK(Drummond!G334),FALSE,Drummond!G334)</f>
        <v>http://pcisgold.com/#fDrummond</v>
      </c>
      <c r="E334" s="2" t="str">
        <f>IF(NOT(ISBLANK(Drummond!D334)),IF(OR(ISBLANK(Drummond!E334),Drummond!E334="N/A"),"no acb code",CONCATENATE(Lookup!F$1,A334,Lookup!G$1,B334,Lookup!H$1,H$1,Lookup!I$1)),"no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'06052014-2114-8' and cb."name" = 'Drummond Group Inc.' and cp.product_version_id = pv.product_version_id and pv.product_id = p.product_id and p.vendor_id = vend.vendor_id;</v>
      </c>
      <c r="F334" s="2" t="str">
        <f>IF(AND(NOT(ISBLANK(Drummond!G334)),Drummond!G334&lt;&gt;"N/A"),IF(C334="All",CONCATENATE(Lookup!F$2,D334,Lookup!G$2,B334,Lookup!H$2,H$1,Lookup!I$2),CONCATENATE(Lookup!F$3,D334,Lookup!G$3,B334,Lookup!H$3)),"no url")</f>
        <v>update openchpl.certified_product as cp set transparency_attestation_url = 'http://pcisgold.com/#fDrummond' from (select certified_product_id from (select vend.vendor_code from openchpl.certified_product as cp, openchpl.product_version as pv, openchpl.product as p, openchpl.vendor as vend where cp.acb_certification_id = '06052014-2114-8'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5" spans="1:6" x14ac:dyDescent="0.25">
      <c r="A335" s="2" t="str">
        <f>IF(ISBLANK(Drummond!D335),FALSE,LOOKUP(Drummond!D335,Lookup!$A$2:$B$4))</f>
        <v>Affirmative</v>
      </c>
      <c r="B335" s="2" t="str">
        <f>IF(ISBLANK(Drummond!E335),FALSE,TRIM(Drummond!E335))</f>
        <v>12042014-2999-3</v>
      </c>
      <c r="C335" s="2" t="str">
        <f>IF(ISBLANK(Drummond!F335),FALSE,LOOKUP(Drummond!F335,Lookup!$A$6:$B$7))</f>
        <v>All</v>
      </c>
      <c r="D335" s="2" t="str">
        <f>IF(ISBLANK(Drummond!G335),FALSE,Drummond!G335)</f>
        <v>http://www.mentalhealthbilling.com/disclosurestatement.html</v>
      </c>
      <c r="E335" s="2" t="str">
        <f>IF(NOT(ISBLANK(Drummond!D335)),IF(OR(ISBLANK(Drummond!E335),Drummond!E335="N/A"),"no acb code",CONCATENATE(Lookup!F$1,A335,Lookup!G$1,B335,Lookup!H$1,H$1,Lookup!I$1)),"no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'12042014-2999-3' and cb."name" = 'Drummond Group Inc.' and cp.product_version_id = pv.product_version_id and pv.product_id = p.product_id and p.vendor_id = vend.vendor_id;</v>
      </c>
      <c r="F335" s="2" t="str">
        <f>IF(AND(NOT(ISBLANK(Drummond!G335)),Drummond!G335&lt;&gt;"N/A"),IF(C335="All",CONCATENATE(Lookup!F$2,D335,Lookup!G$2,B335,Lookup!H$2,H$1,Lookup!I$2),CONCATENATE(Lookup!F$3,D335,Lookup!G$3,B335,Lookup!H$3)),"no url")</f>
        <v>update openchpl.certified_product as cp set transparency_attestation_url = 'http://www.mentalhealthbilling.com/disclosurestatement.html' from (select certified_product_id from (select vend.vendor_code from openchpl.certified_product as cp, openchpl.product_version as pv, openchpl.product as p, openchpl.vendor as vend where cp.acb_certification_id = '12042014-2999-3'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6" spans="1:6" x14ac:dyDescent="0.25">
      <c r="A336" s="2" t="str">
        <f>IF(ISBLANK(Drummond!D336),FALSE,LOOKUP(Drummond!D336,Lookup!$A$2:$B$4))</f>
        <v>N/A</v>
      </c>
      <c r="B336" s="2" t="str">
        <f>IF(ISBLANK(Drummond!E336),FALSE,TRIM(Drummond!E336))</f>
        <v>09302015-2771-6</v>
      </c>
      <c r="C336" s="2" t="str">
        <f>IF(ISBLANK(Drummond!F336),FALSE,LOOKUP(Drummond!F336,Lookup!$A$6:$B$7))</f>
        <v>All</v>
      </c>
      <c r="D336" s="2" t="b">
        <f>IF(ISBLANK(Drummond!G336),FALSE,Drummond!G336)</f>
        <v>0</v>
      </c>
      <c r="E336" s="2" t="str">
        <f>IF(NOT(ISBLANK(Drummond!D336)),IF(OR(ISBLANK(Drummond!E336),Drummond!E336="N/A"),"no acb code",CONCATENATE(Lookup!F$1,A336,Lookup!G$1,B336,Lookup!H$1,H$1,Lookup!I$1)),"no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'09302015-2771-6' and cb."name" = 'Drummond Group Inc.' and cp.product_version_id = pv.product_version_id and pv.product_id = p.product_id and p.vendor_id = vend.vendor_id;</v>
      </c>
      <c r="F336" s="2" t="str">
        <f>IF(AND(NOT(ISBLANK(Drummond!G336)),Drummond!G336&lt;&gt;"N/A"),IF(C336="All",CONCATENATE(Lookup!F$2,D336,Lookup!G$2,B336,Lookup!H$2,H$1,Lookup!I$2),CONCATENATE(Lookup!F$3,D336,Lookup!G$3,B336,Lookup!H$3)),"no url")</f>
        <v>no url</v>
      </c>
    </row>
    <row r="337" spans="1:6" x14ac:dyDescent="0.25">
      <c r="A337" s="2" t="str">
        <f>IF(ISBLANK(Drummond!D337),FALSE,LOOKUP(Drummond!D337,Lookup!$A$2:$B$4))</f>
        <v>Affirmative</v>
      </c>
      <c r="B337" s="2" t="str">
        <f>IF(ISBLANK(Drummond!E337),FALSE,TRIM(Drummond!E337))</f>
        <v>03282014-2220-5</v>
      </c>
      <c r="C337" s="2" t="str">
        <f>IF(ISBLANK(Drummond!F337),FALSE,LOOKUP(Drummond!F337,Lookup!$A$6:$B$7))</f>
        <v>All</v>
      </c>
      <c r="D337" s="2" t="str">
        <f>IF(ISBLANK(Drummond!G337),FALSE,Drummond!G337)</f>
        <v>http://patagoniahealth.com/advantages/affordability/</v>
      </c>
      <c r="E337" s="2" t="str">
        <f>IF(NOT(ISBLANK(Drummond!D337)),IF(OR(ISBLANK(Drummond!E337),Drummond!E337="N/A"),"no acb code",CONCATENATE(Lookup!F$1,A337,Lookup!G$1,B337,Lookup!H$1,H$1,Lookup!I$1)),"no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'03282014-2220-5' and cb."name" = 'Drummond Group Inc.' and cp.product_version_id = pv.product_version_id and pv.product_id = p.product_id and p.vendor_id = vend.vendor_id;</v>
      </c>
      <c r="F337" s="2" t="str">
        <f>IF(AND(NOT(ISBLANK(Drummond!G337)),Drummond!G337&lt;&gt;"N/A"),IF(C337="All",CONCATENATE(Lookup!F$2,D337,Lookup!G$2,B337,Lookup!H$2,H$1,Lookup!I$2),CONCATENATE(Lookup!F$3,D337,Lookup!G$3,B337,Lookup!H$3)),"no url")</f>
        <v>update openchpl.certified_product as cp set transparency_attestation_url = 'http://patagoniahealth.com/advantages/affordability/' from (select certified_product_id from (select vend.vendor_code from openchpl.certified_product as cp, openchpl.product_version as pv, openchpl.product as p, openchpl.vendor as vend where cp.acb_certification_id = '03282014-2220-5'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8" spans="1:6" x14ac:dyDescent="0.25">
      <c r="A338" s="2" t="str">
        <f>IF(ISBLANK(Drummond!D338),FALSE,LOOKUP(Drummond!D338,Lookup!$A$2:$B$4))</f>
        <v>Affirmative</v>
      </c>
      <c r="B338" s="2" t="str">
        <f>IF(ISBLANK(Drummond!E338),FALSE,TRIM(Drummond!E338))</f>
        <v>06262014-1989-8</v>
      </c>
      <c r="C338" s="2" t="str">
        <f>IF(ISBLANK(Drummond!F338),FALSE,LOOKUP(Drummond!F338,Lookup!$A$6:$B$7))</f>
        <v>All</v>
      </c>
      <c r="D338" s="2" t="str">
        <f>IF(ISBLANK(Drummond!G338),FALSE,Drummond!G338)</f>
        <v>https://www.pattersondental.com/AppStore/Details/Eaglesoft%20Clinician</v>
      </c>
      <c r="E338" s="2" t="str">
        <f>IF(NOT(ISBLANK(Drummond!D338)),IF(OR(ISBLANK(Drummond!E338),Drummond!E338="N/A"),"no acb code",CONCATENATE(Lookup!F$1,A338,Lookup!G$1,B338,Lookup!H$1,H$1,Lookup!I$1)),"no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'06262014-1989-8' and cb."name" = 'Drummond Group Inc.' and cp.product_version_id = pv.product_version_id and pv.product_id = p.product_id and p.vendor_id = vend.vendor_id;</v>
      </c>
      <c r="F338" s="2" t="str">
        <f>IF(AND(NOT(ISBLANK(Drummond!G338)),Drummond!G338&lt;&gt;"N/A"),IF(C338="All",CONCATENATE(Lookup!F$2,D338,Lookup!G$2,B338,Lookup!H$2,H$1,Lookup!I$2),CONCATENATE(Lookup!F$3,D338,Lookup!G$3,B338,Lookup!H$3)),"no url")</f>
        <v>update openchpl.certified_product as cp set transparency_attestation_url = 'https://www.pattersondental.com/AppStore/Details/Eaglesoft%20Clinician' from (select certified_product_id from (select vend.vendor_code from openchpl.certified_product as cp, openchpl.product_version as pv, openchpl.product as p, openchpl.vendor as vend where cp.acb_certification_id = '06262014-1989-8'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9" spans="1:6" x14ac:dyDescent="0.25">
      <c r="A339" s="2" t="str">
        <f>IF(ISBLANK(Drummond!D339),FALSE,LOOKUP(Drummond!D339,Lookup!$A$2:$B$4))</f>
        <v>Negative</v>
      </c>
      <c r="B339" s="2" t="str">
        <f>IF(ISBLANK(Drummond!E339),FALSE,TRIM(Drummond!E339))</f>
        <v>11142013-2108-9</v>
      </c>
      <c r="C339" s="2" t="str">
        <f>IF(ISBLANK(Drummond!F339),FALSE,LOOKUP(Drummond!F339,Lookup!$A$6:$B$7))</f>
        <v>All</v>
      </c>
      <c r="D339" s="2" t="str">
        <f>IF(ISBLANK(Drummond!G339),FALSE,Drummond!G339)</f>
        <v>http://www.phoenixortho.net/phoenix-ortho-receives-meaningful-use-stage-ii-certification.html</v>
      </c>
      <c r="E339" s="2" t="str">
        <f>IF(NOT(ISBLANK(Drummond!D339)),IF(OR(ISBLANK(Drummond!E339),Drummond!E339="N/A"),"no acb code",CONCATENATE(Lookup!F$1,A339,Lookup!G$1,B339,Lookup!H$1,H$1,Lookup!I$1)),"no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'11142013-2108-9' and cb."name" = 'Drummond Group Inc.' and cp.product_version_id = pv.product_version_id and pv.product_id = p.product_id and p.vendor_id = vend.vendor_id;</v>
      </c>
      <c r="F339" s="2" t="str">
        <f>IF(AND(NOT(ISBLANK(Drummond!G339)),Drummond!G339&lt;&gt;"N/A"),IF(C339="All",CONCATENATE(Lookup!F$2,D339,Lookup!G$2,B339,Lookup!H$2,H$1,Lookup!I$2),CONCATENATE(Lookup!F$3,D339,Lookup!G$3,B339,Lookup!H$3)),"no url")</f>
        <v>update openchpl.certified_product as cp set transparency_attestation_url = 'http://www.phoenixortho.net/phoenix-ortho-receives-meaningful-use-stage-ii-certification.html' from (select certified_product_id from (select vend.vendor_code from openchpl.certified_product as cp, openchpl.product_version as pv, openchpl.product as p, openchpl.vendor as vend where cp.acb_certification_id = '11142013-2108-9'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0" spans="1:6" x14ac:dyDescent="0.25">
      <c r="A340" s="2" t="str">
        <f>IF(ISBLANK(Drummond!D340),FALSE,LOOKUP(Drummond!D340,Lookup!$A$2:$B$4))</f>
        <v>Affirmative</v>
      </c>
      <c r="B340" s="2" t="str">
        <f>IF(ISBLANK(Drummond!E340),FALSE,TRIM(Drummond!E340))</f>
        <v>09302015-2072-5</v>
      </c>
      <c r="C340" s="2" t="str">
        <f>IF(ISBLANK(Drummond!F340),FALSE,LOOKUP(Drummond!F340,Lookup!$A$6:$B$7))</f>
        <v>All</v>
      </c>
      <c r="D340" s="2" t="str">
        <f>IF(ISBLANK(Drummond!G340),FALSE,Drummond!G340)</f>
        <v>http://www.pcc.com/pcc-experience/solution/</v>
      </c>
      <c r="E340" s="2" t="str">
        <f>IF(NOT(ISBLANK(Drummond!D340)),IF(OR(ISBLANK(Drummond!E340),Drummond!E340="N/A"),"no acb code",CONCATENATE(Lookup!F$1,A340,Lookup!G$1,B340,Lookup!H$1,H$1,Lookup!I$1)),"no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'09302015-2072-5' and cb."name" = 'Drummond Group Inc.' and cp.product_version_id = pv.product_version_id and pv.product_id = p.product_id and p.vendor_id = vend.vendor_id;</v>
      </c>
      <c r="F340" s="2" t="str">
        <f>IF(AND(NOT(ISBLANK(Drummond!G340)),Drummond!G340&lt;&gt;"N/A"),IF(C340="All",CONCATENATE(Lookup!F$2,D340,Lookup!G$2,B340,Lookup!H$2,H$1,Lookup!I$2),CONCATENATE(Lookup!F$3,D340,Lookup!G$3,B340,Lookup!H$3)),"no url")</f>
        <v>update openchpl.certified_product as cp set transparency_attestation_url = 'http://www.pcc.com/pcc-experience/solution/' from (select certified_product_id from (select vend.vendor_code from openchpl.certified_product as cp, openchpl.product_version as pv, openchpl.product as p, openchpl.vendor as vend where cp.acb_certification_id = '09302015-2072-5'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1" spans="1:6" x14ac:dyDescent="0.25">
      <c r="A341" s="2" t="str">
        <f>IF(ISBLANK(Drummond!D341),FALSE,LOOKUP(Drummond!D341,Lookup!$A$2:$B$4))</f>
        <v>Affirmative</v>
      </c>
      <c r="B341" s="2" t="str">
        <f>IF(ISBLANK(Drummond!E341),FALSE,TRIM(Drummond!E341))</f>
        <v>10102013-1937-1</v>
      </c>
      <c r="C341" s="2" t="str">
        <f>IF(ISBLANK(Drummond!F341),FALSE,LOOKUP(Drummond!F341,Lookup!$A$6:$B$7))</f>
        <v>All</v>
      </c>
      <c r="D341" s="2" t="str">
        <f>IF(ISBLANK(Drummond!G341),FALSE,Drummond!G341)</f>
        <v>http://www.plexustg.com/solutions_touch_mu.html</v>
      </c>
      <c r="E341" s="2" t="str">
        <f>IF(NOT(ISBLANK(Drummond!D341)),IF(OR(ISBLANK(Drummond!E341),Drummond!E341="N/A"),"no acb code",CONCATENATE(Lookup!F$1,A341,Lookup!G$1,B341,Lookup!H$1,H$1,Lookup!I$1)),"no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'10102013-1937-1' and cb."name" = 'Drummond Group Inc.' and cp.product_version_id = pv.product_version_id and pv.product_id = p.product_id and p.vendor_id = vend.vendor_id;</v>
      </c>
      <c r="F341" s="2" t="str">
        <f>IF(AND(NOT(ISBLANK(Drummond!G341)),Drummond!G341&lt;&gt;"N/A"),IF(C341="All",CONCATENATE(Lookup!F$2,D341,Lookup!G$2,B341,Lookup!H$2,H$1,Lookup!I$2),CONCATENATE(Lookup!F$3,D341,Lookup!G$3,B341,Lookup!H$3)),"no url")</f>
        <v>update openchpl.certified_product as cp set transparency_attestation_url = 'http://www.plexustg.com/solutions_touch_mu.html' from (select certified_product_id from (select vend.vendor_code from openchpl.certified_product as cp, openchpl.product_version as pv, openchpl.product as p, openchpl.vendor as vend where cp.acb_certification_id = '10102013-1937-1'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2" spans="1:6" x14ac:dyDescent="0.25">
      <c r="A342" s="2" t="str">
        <f>IF(ISBLANK(Drummond!D342),FALSE,LOOKUP(Drummond!D342,Lookup!$A$2:$B$4))</f>
        <v>Affirmative</v>
      </c>
      <c r="B342" s="2" t="str">
        <f>IF(ISBLANK(Drummond!E342),FALSE,TRIM(Drummond!E342))</f>
        <v>12112014-2541-3</v>
      </c>
      <c r="C342" s="2" t="str">
        <f>IF(ISBLANK(Drummond!F342),FALSE,LOOKUP(Drummond!F342,Lookup!$A$6:$B$7))</f>
        <v>All</v>
      </c>
      <c r="D342" s="2" t="str">
        <f>IF(ISBLANK(Drummond!G342),FALSE,Drummond!G342)</f>
        <v>http://pbsinet.com/products-and-services/medical-solutions/</v>
      </c>
      <c r="E342" s="2" t="str">
        <f>IF(NOT(ISBLANK(Drummond!D342)),IF(OR(ISBLANK(Drummond!E342),Drummond!E342="N/A"),"no acb code",CONCATENATE(Lookup!F$1,A342,Lookup!G$1,B342,Lookup!H$1,H$1,Lookup!I$1)),"no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'12112014-2541-3' and cb."name" = 'Drummond Group Inc.' and cp.product_version_id = pv.product_version_id and pv.product_id = p.product_id and p.vendor_id = vend.vendor_id;</v>
      </c>
      <c r="F342" s="2" t="str">
        <f>IF(AND(NOT(ISBLANK(Drummond!G342)),Drummond!G342&lt;&gt;"N/A"),IF(C342="All",CONCATENATE(Lookup!F$2,D342,Lookup!G$2,B342,Lookup!H$2,H$1,Lookup!I$2),CONCATENATE(Lookup!F$3,D342,Lookup!G$3,B342,Lookup!H$3)),"no url")</f>
        <v>update openchpl.certified_product as cp set transparency_attestation_url = 'http://pbsinet.com/products-and-services/medical-solutions/' from (select certified_product_id from (select vend.vendor_code from openchpl.certified_product as cp, openchpl.product_version as pv, openchpl.product as p, openchpl.vendor as vend where cp.acb_certification_id = '12112014-2541-3'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3" spans="1:6" x14ac:dyDescent="0.25">
      <c r="A343" s="2" t="str">
        <f>IF(ISBLANK(Drummond!D343),FALSE,LOOKUP(Drummond!D343,Lookup!$A$2:$B$4))</f>
        <v>Affirmative</v>
      </c>
      <c r="B343" s="2" t="str">
        <f>IF(ISBLANK(Drummond!E343),FALSE,TRIM(Drummond!E343))</f>
        <v>05212015-3031-3</v>
      </c>
      <c r="C343" s="2" t="str">
        <f>IF(ISBLANK(Drummond!F343),FALSE,LOOKUP(Drummond!F343,Lookup!$A$6:$B$7))</f>
        <v>All</v>
      </c>
      <c r="D343" s="2" t="str">
        <f>IF(ISBLANK(Drummond!G343),FALSE,Drummond!G343)</f>
        <v>http://precisioncare.com/news-and-events/</v>
      </c>
      <c r="E343" s="2" t="str">
        <f>IF(NOT(ISBLANK(Drummond!D343)),IF(OR(ISBLANK(Drummond!E343),Drummond!E343="N/A"),"no acb code",CONCATENATE(Lookup!F$1,A343,Lookup!G$1,B343,Lookup!H$1,H$1,Lookup!I$1)),"no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'05212015-3031-3' and cb."name" = 'Drummond Group Inc.' and cp.product_version_id = pv.product_version_id and pv.product_id = p.product_id and p.vendor_id = vend.vendor_id;</v>
      </c>
      <c r="F343" s="2" t="str">
        <f>IF(AND(NOT(ISBLANK(Drummond!G343)),Drummond!G343&lt;&gt;"N/A"),IF(C343="All",CONCATENATE(Lookup!F$2,D343,Lookup!G$2,B343,Lookup!H$2,H$1,Lookup!I$2),CONCATENATE(Lookup!F$3,D343,Lookup!G$3,B343,Lookup!H$3)),"no url")</f>
        <v>update openchpl.certified_product as cp set transparency_attestation_url = 'http://precisioncare.com/news-and-events/' from (select certified_product_id from (select vend.vendor_code from openchpl.certified_product as cp, openchpl.product_version as pv, openchpl.product as p, openchpl.vendor as vend where cp.acb_certification_id = '05212015-3031-3'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4" spans="1:6" x14ac:dyDescent="0.25">
      <c r="A344" s="2" t="str">
        <f>IF(ISBLANK(Drummond!D344),FALSE,LOOKUP(Drummond!D344,Lookup!$A$2:$B$4))</f>
        <v>Affirmative</v>
      </c>
      <c r="B344" s="2" t="str">
        <f>IF(ISBLANK(Drummond!E344),FALSE,TRIM(Drummond!E344))</f>
        <v>03032014-2090-6</v>
      </c>
      <c r="C344" s="2" t="str">
        <f>IF(ISBLANK(Drummond!F344),FALSE,LOOKUP(Drummond!F344,Lookup!$A$6:$B$7))</f>
        <v>All</v>
      </c>
      <c r="D344" s="2" t="str">
        <f>IF(ISBLANK(Drummond!G344),FALSE,Drummond!G344)</f>
        <v>http://www.procompsoftware.com/Landers/Page/3/Certified-EHR</v>
      </c>
      <c r="E344" s="2" t="str">
        <f>IF(NOT(ISBLANK(Drummond!D344)),IF(OR(ISBLANK(Drummond!E344),Drummond!E344="N/A"),"no acb code",CONCATENATE(Lookup!F$1,A344,Lookup!G$1,B344,Lookup!H$1,H$1,Lookup!I$1)),"no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'03032014-2090-6' and cb."name" = 'Drummond Group Inc.' and cp.product_version_id = pv.product_version_id and pv.product_id = p.product_id and p.vendor_id = vend.vendor_id;</v>
      </c>
      <c r="F344" s="2" t="str">
        <f>IF(AND(NOT(ISBLANK(Drummond!G344)),Drummond!G344&lt;&gt;"N/A"),IF(C344="All",CONCATENATE(Lookup!F$2,D344,Lookup!G$2,B344,Lookup!H$2,H$1,Lookup!I$2),CONCATENATE(Lookup!F$3,D344,Lookup!G$3,B344,Lookup!H$3)),"no url")</f>
        <v>update openchpl.certified_product as cp set transparency_attestation_url = 'http://www.procompsoftware.com/Landers/Page/3/Certified-EHR' from (select certified_product_id from (select vend.vendor_code from openchpl.certified_product as cp, openchpl.product_version as pv, openchpl.product as p, openchpl.vendor as vend where cp.acb_certification_id = '03032014-2090-6'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5" spans="1:6" x14ac:dyDescent="0.25">
      <c r="A345" s="2" t="str">
        <f>IF(ISBLANK(Drummond!D345),FALSE,LOOKUP(Drummond!D345,Lookup!$A$2:$B$4))</f>
        <v>Affirmative</v>
      </c>
      <c r="B345" s="2" t="str">
        <f>IF(ISBLANK(Drummond!E345),FALSE,TRIM(Drummond!E345))</f>
        <v>11212014-2297-1</v>
      </c>
      <c r="C345" s="2" t="str">
        <f>IF(ISBLANK(Drummond!F345),FALSE,LOOKUP(Drummond!F345,Lookup!$A$6:$B$7))</f>
        <v>All</v>
      </c>
      <c r="D345" s="2" t="str">
        <f>IF(ISBLANK(Drummond!G345),FALSE,Drummond!G345)</f>
        <v>http://mdsuite.com/meaningful-use-disclosure/</v>
      </c>
      <c r="E345" s="2" t="str">
        <f>IF(NOT(ISBLANK(Drummond!D345)),IF(OR(ISBLANK(Drummond!E345),Drummond!E345="N/A"),"no acb code",CONCATENATE(Lookup!F$1,A345,Lookup!G$1,B345,Lookup!H$1,H$1,Lookup!I$1)),"no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'11212014-2297-1' and cb."name" = 'Drummond Group Inc.' and cp.product_version_id = pv.product_version_id and pv.product_id = p.product_id and p.vendor_id = vend.vendor_id;</v>
      </c>
      <c r="F345" s="2" t="str">
        <f>IF(AND(NOT(ISBLANK(Drummond!G345)),Drummond!G345&lt;&gt;"N/A"),IF(C345="All",CONCATENATE(Lookup!F$2,D345,Lookup!G$2,B345,Lookup!H$2,H$1,Lookup!I$2),CONCATENATE(Lookup!F$3,D345,Lookup!G$3,B345,Lookup!H$3)),"no url")</f>
        <v>update openchpl.certified_product as cp set transparency_attestation_url = 'http://mdsuite.com/meaningful-use-disclosure/' from (select certified_product_id from (select vend.vendor_code from openchpl.certified_product as cp, openchpl.product_version as pv, openchpl.product as p, openchpl.vendor as vend where cp.acb_certification_id = '11212014-2297-1'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6" spans="1:6" x14ac:dyDescent="0.25">
      <c r="A346" s="2" t="str">
        <f>IF(ISBLANK(Drummond!D346),FALSE,LOOKUP(Drummond!D346,Lookup!$A$2:$B$4))</f>
        <v>Affirmative</v>
      </c>
      <c r="B346" s="2" t="str">
        <f>IF(ISBLANK(Drummond!E346),FALSE,TRIM(Drummond!E346))</f>
        <v>12192013-2362-5</v>
      </c>
      <c r="C346" s="2" t="str">
        <f>IF(ISBLANK(Drummond!F346),FALSE,LOOKUP(Drummond!F346,Lookup!$A$6:$B$7))</f>
        <v>All</v>
      </c>
      <c r="D346" s="2" t="str">
        <f>IF(ISBLANK(Drummond!G346),FALSE,Drummond!G346)</f>
        <v>http://prognosisinnovation.com/our-products/onc-certified/</v>
      </c>
      <c r="E346" s="2" t="str">
        <f>IF(NOT(ISBLANK(Drummond!D346)),IF(OR(ISBLANK(Drummond!E346),Drummond!E346="N/A"),"no acb code",CONCATENATE(Lookup!F$1,A346,Lookup!G$1,B346,Lookup!H$1,H$1,Lookup!I$1)),"no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'12192013-2362-5' and cb."name" = 'Drummond Group Inc.' and cp.product_version_id = pv.product_version_id and pv.product_id = p.product_id and p.vendor_id = vend.vendor_id;</v>
      </c>
      <c r="F346" s="2" t="str">
        <f>IF(AND(NOT(ISBLANK(Drummond!G346)),Drummond!G346&lt;&gt;"N/A"),IF(C346="All",CONCATENATE(Lookup!F$2,D346,Lookup!G$2,B346,Lookup!H$2,H$1,Lookup!I$2),CONCATENATE(Lookup!F$3,D346,Lookup!G$3,B346,Lookup!H$3)),"no url")</f>
        <v>update openchpl.certified_product as cp set transparency_attestation_url = 'http://prognosisinnovation.com/our-products/onc-certified/' from (select certified_product_id from (select vend.vendor_code from openchpl.certified_product as cp, openchpl.product_version as pv, openchpl.product as p, openchpl.vendor as vend where cp.acb_certification_id = '12192013-2362-5'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7" spans="1:6" x14ac:dyDescent="0.25">
      <c r="A347" s="2" t="str">
        <f>IF(ISBLANK(Drummond!D347),FALSE,LOOKUP(Drummond!D347,Lookup!$A$2:$B$4))</f>
        <v>Affirmative</v>
      </c>
      <c r="B347" s="2" t="str">
        <f>IF(ISBLANK(Drummond!E347),FALSE,TRIM(Drummond!E347))</f>
        <v>09252014-2367-5</v>
      </c>
      <c r="C347" s="2" t="str">
        <f>IF(ISBLANK(Drummond!F347),FALSE,LOOKUP(Drummond!F347,Lookup!$A$6:$B$7))</f>
        <v>All</v>
      </c>
      <c r="D347" s="2" t="str">
        <f>IF(ISBLANK(Drummond!G347),FALSE,Drummond!G347)</f>
        <v>http://prognosisinnovation.com/our-products/onc-certified/</v>
      </c>
      <c r="E347" s="2" t="str">
        <f>IF(NOT(ISBLANK(Drummond!D347)),IF(OR(ISBLANK(Drummond!E347),Drummond!E347="N/A"),"no acb code",CONCATENATE(Lookup!F$1,A347,Lookup!G$1,B347,Lookup!H$1,H$1,Lookup!I$1)),"no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'09252014-2367-5' and cb."name" = 'Drummond Group Inc.' and cp.product_version_id = pv.product_version_id and pv.product_id = p.product_id and p.vendor_id = vend.vendor_id;</v>
      </c>
      <c r="F347" s="2" t="str">
        <f>IF(AND(NOT(ISBLANK(Drummond!G347)),Drummond!G347&lt;&gt;"N/A"),IF(C347="All",CONCATENATE(Lookup!F$2,D347,Lookup!G$2,B347,Lookup!H$2,H$1,Lookup!I$2),CONCATENATE(Lookup!F$3,D347,Lookup!G$3,B347,Lookup!H$3)),"no url")</f>
        <v>update openchpl.certified_product as cp set transparency_attestation_url = 'http://prognosisinnovation.com/our-products/onc-certified/' from (select certified_product_id from (select vend.vendor_code from openchpl.certified_product as cp, openchpl.product_version as pv, openchpl.product as p, openchpl.vendor as vend where cp.acb_certification_id = '09252014-2367-5'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8" spans="1:6" x14ac:dyDescent="0.25">
      <c r="A348" s="2" t="str">
        <f>IF(ISBLANK(Drummond!D348),FALSE,LOOKUP(Drummond!D348,Lookup!$A$2:$B$4))</f>
        <v>Affirmative</v>
      </c>
      <c r="B348" s="2" t="str">
        <f>IF(ISBLANK(Drummond!E348),FALSE,TRIM(Drummond!E348))</f>
        <v>05142015-1199-3</v>
      </c>
      <c r="C348" s="2" t="str">
        <f>IF(ISBLANK(Drummond!F348),FALSE,LOOKUP(Drummond!F348,Lookup!$A$6:$B$7))</f>
        <v>All</v>
      </c>
      <c r="D348" s="2" t="str">
        <f>IF(ISBLANK(Drummond!G348),FALSE,Drummond!G348)</f>
        <v>http://patientprompt.com/meaningful-use/</v>
      </c>
      <c r="E348" s="2" t="str">
        <f>IF(NOT(ISBLANK(Drummond!D348)),IF(OR(ISBLANK(Drummond!E348),Drummond!E348="N/A"),"no acb code",CONCATENATE(Lookup!F$1,A348,Lookup!G$1,B348,Lookup!H$1,H$1,Lookup!I$1)),"no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'05142015-1199-3' and cb."name" = 'Drummond Group Inc.' and cp.product_version_id = pv.product_version_id and pv.product_id = p.product_id and p.vendor_id = vend.vendor_id;</v>
      </c>
      <c r="F348" s="2" t="str">
        <f>IF(AND(NOT(ISBLANK(Drummond!G348)),Drummond!G348&lt;&gt;"N/A"),IF(C348="All",CONCATENATE(Lookup!F$2,D348,Lookup!G$2,B348,Lookup!H$2,H$1,Lookup!I$2),CONCATENATE(Lookup!F$3,D348,Lookup!G$3,B348,Lookup!H$3)),"no url")</f>
        <v>update openchpl.certified_product as cp set transparency_attestation_url = 'http://patientprompt.com/meaningful-use/' from (select certified_product_id from (select vend.vendor_code from openchpl.certified_product as cp, openchpl.product_version as pv, openchpl.product as p, openchpl.vendor as vend where cp.acb_certification_id = '05142015-1199-3'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9" spans="1:6" x14ac:dyDescent="0.25">
      <c r="A349" s="2" t="str">
        <f>IF(ISBLANK(Drummond!D349),FALSE,LOOKUP(Drummond!D349,Lookup!$A$2:$B$4))</f>
        <v>N/A</v>
      </c>
      <c r="B349" s="2" t="str">
        <f>IF(ISBLANK(Drummond!E349),FALSE,TRIM(Drummond!E349))</f>
        <v>07242014-2665-6</v>
      </c>
      <c r="C349" s="2" t="str">
        <f>IF(ISBLANK(Drummond!F349),FALSE,LOOKUP(Drummond!F349,Lookup!$A$6:$B$7))</f>
        <v>All</v>
      </c>
      <c r="D349" s="2" t="b">
        <f>IF(ISBLANK(Drummond!G349),FALSE,Drummond!G349)</f>
        <v>0</v>
      </c>
      <c r="E349" s="2" t="str">
        <f>IF(NOT(ISBLANK(Drummond!D349)),IF(OR(ISBLANK(Drummond!E349),Drummond!E349="N/A"),"no acb code",CONCATENATE(Lookup!F$1,A349,Lookup!G$1,B349,Lookup!H$1,H$1,Lookup!I$1)),"no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'07242014-2665-6' and cb."name" = 'Drummond Group Inc.' and cp.product_version_id = pv.product_version_id and pv.product_id = p.product_id and p.vendor_id = vend.vendor_id;</v>
      </c>
      <c r="F349" s="2" t="str">
        <f>IF(AND(NOT(ISBLANK(Drummond!G349)),Drummond!G349&lt;&gt;"N/A"),IF(C349="All",CONCATENATE(Lookup!F$2,D349,Lookup!G$2,B349,Lookup!H$2,H$1,Lookup!I$2),CONCATENATE(Lookup!F$3,D349,Lookup!G$3,B349,Lookup!H$3)),"no url")</f>
        <v>no url</v>
      </c>
    </row>
    <row r="350" spans="1:6" x14ac:dyDescent="0.25">
      <c r="A350" s="2" t="str">
        <f>IF(ISBLANK(Drummond!D350),FALSE,LOOKUP(Drummond!D350,Lookup!$A$2:$B$4))</f>
        <v>Affirmative</v>
      </c>
      <c r="B350" s="2" t="str">
        <f>IF(ISBLANK(Drummond!E350),FALSE,TRIM(Drummond!E350))</f>
        <v>09172015-0297-8</v>
      </c>
      <c r="C350" s="2" t="str">
        <f>IF(ISBLANK(Drummond!F350),FALSE,LOOKUP(Drummond!F350,Lookup!$A$6:$B$7))</f>
        <v>All</v>
      </c>
      <c r="D350" s="2" t="str">
        <f>IF(ISBLANK(Drummond!G350),FALSE,Drummond!G350)</f>
        <v>http://www.qrshs.com/2014</v>
      </c>
      <c r="E350" s="2" t="str">
        <f>IF(NOT(ISBLANK(Drummond!D350)),IF(OR(ISBLANK(Drummond!E350),Drummond!E350="N/A"),"no acb code",CONCATENATE(Lookup!F$1,A350,Lookup!G$1,B350,Lookup!H$1,H$1,Lookup!I$1)),"no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'09172015-0297-8' and cb."name" = 'Drummond Group Inc.' and cp.product_version_id = pv.product_version_id and pv.product_id = p.product_id and p.vendor_id = vend.vendor_id;</v>
      </c>
      <c r="F350" s="2" t="str">
        <f>IF(AND(NOT(ISBLANK(Drummond!G350)),Drummond!G350&lt;&gt;"N/A"),IF(C350="All",CONCATENATE(Lookup!F$2,D350,Lookup!G$2,B350,Lookup!H$2,H$1,Lookup!I$2),CONCATENATE(Lookup!F$3,D350,Lookup!G$3,B350,Lookup!H$3)),"no url")</f>
        <v>update openchpl.certified_product as cp set transparency_attestation_url = 'http://www.qrshs.com/2014' from (select certified_product_id from (select vend.vendor_code from openchpl.certified_product as cp, openchpl.product_version as pv, openchpl.product as p, openchpl.vendor as vend where cp.acb_certification_id = '09172015-0297-8'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1" spans="1:6" x14ac:dyDescent="0.25">
      <c r="A351" s="2" t="str">
        <f>IF(ISBLANK(Drummond!D351),FALSE,LOOKUP(Drummond!D351,Lookup!$A$2:$B$4))</f>
        <v>Affirmative</v>
      </c>
      <c r="B351" s="2" t="str">
        <f>IF(ISBLANK(Drummond!E351),FALSE,TRIM(Drummond!E351))</f>
        <v>12122013-2087-8</v>
      </c>
      <c r="C351" s="2" t="str">
        <f>IF(ISBLANK(Drummond!F351),FALSE,LOOKUP(Drummond!F351,Lookup!$A$6:$B$7))</f>
        <v>All</v>
      </c>
      <c r="D351" s="2" t="str">
        <f>IF(ISBLANK(Drummond!G351),FALSE,Drummond!G351)</f>
        <v>http://www.qrshs.com/2014</v>
      </c>
      <c r="E351" s="2" t="str">
        <f>IF(NOT(ISBLANK(Drummond!D351)),IF(OR(ISBLANK(Drummond!E351),Drummond!E351="N/A"),"no acb code",CONCATENATE(Lookup!F$1,A351,Lookup!G$1,B351,Lookup!H$1,H$1,Lookup!I$1)),"no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'12122013-2087-8' and cb."name" = 'Drummond Group Inc.' and cp.product_version_id = pv.product_version_id and pv.product_id = p.product_id and p.vendor_id = vend.vendor_id;</v>
      </c>
      <c r="F351" s="2" t="str">
        <f>IF(AND(NOT(ISBLANK(Drummond!G351)),Drummond!G351&lt;&gt;"N/A"),IF(C351="All",CONCATENATE(Lookup!F$2,D351,Lookup!G$2,B351,Lookup!H$2,H$1,Lookup!I$2),CONCATENATE(Lookup!F$3,D351,Lookup!G$3,B351,Lookup!H$3)),"no url")</f>
        <v>update openchpl.certified_product as cp set transparency_attestation_url = 'http://www.qrshs.com/2014' from (select certified_product_id from (select vend.vendor_code from openchpl.certified_product as cp, openchpl.product_version as pv, openchpl.product as p, openchpl.vendor as vend where cp.acb_certification_id = '12122013-2087-8'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2" spans="1:6" x14ac:dyDescent="0.25">
      <c r="A352" s="2" t="str">
        <f>IF(ISBLANK(Drummond!D352),FALSE,LOOKUP(Drummond!D352,Lookup!$A$2:$B$4))</f>
        <v>Affirmative</v>
      </c>
      <c r="B352" s="2" t="str">
        <f>IF(ISBLANK(Drummond!E352),FALSE,TRIM(Drummond!E352))</f>
        <v>05072015-0261-8</v>
      </c>
      <c r="C352" s="2" t="str">
        <f>IF(ISBLANK(Drummond!F352),FALSE,LOOKUP(Drummond!F352,Lookup!$A$6:$B$7))</f>
        <v>All</v>
      </c>
      <c r="D352" s="2" t="str">
        <f>IF(ISBLANK(Drummond!G352),FALSE,Drummond!G352)</f>
        <v>http://www.quadramed.com/en/solutions_services/clinical_solutions/certifications/united_states/</v>
      </c>
      <c r="E352" s="2" t="str">
        <f>IF(NOT(ISBLANK(Drummond!D352)),IF(OR(ISBLANK(Drummond!E352),Drummond!E352="N/A"),"no acb code",CONCATENATE(Lookup!F$1,A352,Lookup!G$1,B352,Lookup!H$1,H$1,Lookup!I$1)),"no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'05072015-0261-8' and cb."name" = 'Drummond Group Inc.' and cp.product_version_id = pv.product_version_id and pv.product_id = p.product_id and p.vendor_id = vend.vendor_id;</v>
      </c>
      <c r="F352" s="2" t="str">
        <f>IF(AND(NOT(ISBLANK(Drummond!G352)),Drummond!G352&lt;&gt;"N/A"),IF(C352="All",CONCATENATE(Lookup!F$2,D352,Lookup!G$2,B352,Lookup!H$2,H$1,Lookup!I$2),CONCATENATE(Lookup!F$3,D352,Lookup!G$3,B352,Lookup!H$3)),"no url")</f>
        <v>update openchpl.certified_product as cp set transparency_attestation_url = 'http://www.quadramed.com/en/solutions_services/clinical_solutions/certifications/united_states/' from (select certified_product_id from (select vend.vendor_code from openchpl.certified_product as cp, openchpl.product_version as pv, openchpl.product as p, openchpl.vendor as vend where cp.acb_certification_id = '05072015-0261-8'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3" spans="1:6" x14ac:dyDescent="0.25">
      <c r="A353" s="2" t="str">
        <f>IF(ISBLANK(Drummond!D353),FALSE,LOOKUP(Drummond!D353,Lookup!$A$2:$B$4))</f>
        <v>Affirmative</v>
      </c>
      <c r="B353" s="2" t="str">
        <f>IF(ISBLANK(Drummond!E353),FALSE,TRIM(Drummond!E353))</f>
        <v>01102014-2299-9</v>
      </c>
      <c r="C353" s="2" t="str">
        <f>IF(ISBLANK(Drummond!F353),FALSE,LOOKUP(Drummond!F353,Lookup!$A$6:$B$7))</f>
        <v>All</v>
      </c>
      <c r="D353" s="2" t="str">
        <f>IF(ISBLANK(Drummond!G353),FALSE,Drummond!G353)</f>
        <v>http://www.quadramed.com/en/solutions_services/clinical_solutions/certifications/united_states/</v>
      </c>
      <c r="E353" s="2" t="str">
        <f>IF(NOT(ISBLANK(Drummond!D353)),IF(OR(ISBLANK(Drummond!E353),Drummond!E353="N/A"),"no acb code",CONCATENATE(Lookup!F$1,A353,Lookup!G$1,B353,Lookup!H$1,H$1,Lookup!I$1)),"no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'01102014-2299-9' and cb."name" = 'Drummond Group Inc.' and cp.product_version_id = pv.product_version_id and pv.product_id = p.product_id and p.vendor_id = vend.vendor_id;</v>
      </c>
      <c r="F353" s="2" t="str">
        <f>IF(AND(NOT(ISBLANK(Drummond!G353)),Drummond!G353&lt;&gt;"N/A"),IF(C353="All",CONCATENATE(Lookup!F$2,D353,Lookup!G$2,B353,Lookup!H$2,H$1,Lookup!I$2),CONCATENATE(Lookup!F$3,D353,Lookup!G$3,B353,Lookup!H$3)),"no url")</f>
        <v>update openchpl.certified_product as cp set transparency_attestation_url = 'http://www.quadramed.com/en/solutions_services/clinical_solutions/certifications/united_states/' from (select certified_product_id from (select vend.vendor_code from openchpl.certified_product as cp, openchpl.product_version as pv, openchpl.product as p, openchpl.vendor as vend where cp.acb_certification_id = '01102014-2299-9'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4" spans="1:6" x14ac:dyDescent="0.25">
      <c r="A354" s="2" t="str">
        <f>IF(ISBLANK(Drummond!D354),FALSE,LOOKUP(Drummond!D354,Lookup!$A$2:$B$4))</f>
        <v>Affirmative</v>
      </c>
      <c r="B354" s="2" t="str">
        <f>IF(ISBLANK(Drummond!E354),FALSE,TRIM(Drummond!E354))</f>
        <v>10232014-2634-8</v>
      </c>
      <c r="C354" s="2" t="str">
        <f>IF(ISBLANK(Drummond!F354),FALSE,LOOKUP(Drummond!F354,Lookup!$A$6:$B$7))</f>
        <v>All</v>
      </c>
      <c r="D354" s="2" t="str">
        <f>IF(ISBLANK(Drummond!G354),FALSE,Drummond!G354)</f>
        <v>http://www.qualifacts.com/news/qualifacts-achieves-comprehensive-stage-2-meaningful-use-certification/</v>
      </c>
      <c r="E354" s="2" t="str">
        <f>IF(NOT(ISBLANK(Drummond!D354)),IF(OR(ISBLANK(Drummond!E354),Drummond!E354="N/A"),"no acb code",CONCATENATE(Lookup!F$1,A354,Lookup!G$1,B354,Lookup!H$1,H$1,Lookup!I$1)),"no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'10232014-2634-8' and cb."name" = 'Drummond Group Inc.' and cp.product_version_id = pv.product_version_id and pv.product_id = p.product_id and p.vendor_id = vend.vendor_id;</v>
      </c>
      <c r="F354" s="2" t="str">
        <f>IF(AND(NOT(ISBLANK(Drummond!G354)),Drummond!G354&lt;&gt;"N/A"),IF(C354="All",CONCATENATE(Lookup!F$2,D354,Lookup!G$2,B354,Lookup!H$2,H$1,Lookup!I$2),CONCATENATE(Lookup!F$3,D354,Lookup!G$3,B354,Lookup!H$3)),"no url")</f>
        <v>update openchpl.certified_product as cp set transparency_attestation_url = 'http://www.qualifacts.com/news/qualifacts-achieves-comprehensive-stage-2-meaningful-use-certification/' from (select certified_product_id from (select vend.vendor_code from openchpl.certified_product as cp, openchpl.product_version as pv, openchpl.product as p, openchpl.vendor as vend where cp.acb_certification_id = '10232014-2634-8'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5" spans="1:6" x14ac:dyDescent="0.25">
      <c r="A355" s="2" t="str">
        <f>IF(ISBLANK(Drummond!D355),FALSE,LOOKUP(Drummond!D355,Lookup!$A$2:$B$4))</f>
        <v>Affirmative</v>
      </c>
      <c r="B355" s="2" t="str">
        <f>IF(ISBLANK(Drummond!E355),FALSE,TRIM(Drummond!E355))</f>
        <v>09112014-2384-1</v>
      </c>
      <c r="C355" s="2" t="str">
        <f>IF(ISBLANK(Drummond!F355),FALSE,LOOKUP(Drummond!F355,Lookup!$A$6:$B$7))</f>
        <v>All</v>
      </c>
      <c r="D355" s="2" t="str">
        <f>IF(ISBLANK(Drummond!G355),FALSE,Drummond!G355)</f>
        <v>http://www.raintreeinc.com/certifications/</v>
      </c>
      <c r="E355" s="2" t="str">
        <f>IF(NOT(ISBLANK(Drummond!D355)),IF(OR(ISBLANK(Drummond!E355),Drummond!E355="N/A"),"no acb code",CONCATENATE(Lookup!F$1,A355,Lookup!G$1,B355,Lookup!H$1,H$1,Lookup!I$1)),"no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'09112014-2384-1' and cb."name" = 'Drummond Group Inc.' and cp.product_version_id = pv.product_version_id and pv.product_id = p.product_id and p.vendor_id = vend.vendor_id;</v>
      </c>
      <c r="F355" s="2" t="str">
        <f>IF(AND(NOT(ISBLANK(Drummond!G355)),Drummond!G355&lt;&gt;"N/A"),IF(C355="All",CONCATENATE(Lookup!F$2,D355,Lookup!G$2,B355,Lookup!H$2,H$1,Lookup!I$2),CONCATENATE(Lookup!F$3,D355,Lookup!G$3,B355,Lookup!H$3)),"no url")</f>
        <v>update openchpl.certified_product as cp set transparency_attestation_url = 'http://www.raintreeinc.com/certifications/' from (select certified_product_id from (select vend.vendor_code from openchpl.certified_product as cp, openchpl.product_version as pv, openchpl.product as p, openchpl.vendor as vend where cp.acb_certification_id = '09112014-2384-1'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6" spans="1:6" x14ac:dyDescent="0.25">
      <c r="A356" s="2" t="str">
        <f>IF(ISBLANK(Drummond!D356),FALSE,LOOKUP(Drummond!D356,Lookup!$A$2:$B$4))</f>
        <v>Affirmative</v>
      </c>
      <c r="B356" s="2" t="str">
        <f>IF(ISBLANK(Drummond!E356),FALSE,TRIM(Drummond!E356))</f>
        <v>05162014-1982-8</v>
      </c>
      <c r="C356" s="2" t="str">
        <f>IF(ISBLANK(Drummond!F356),FALSE,LOOKUP(Drummond!F356,Lookup!$A$6:$B$7))</f>
        <v>All</v>
      </c>
      <c r="D356" s="2" t="str">
        <f>IF(ISBLANK(Drummond!G356),FALSE,Drummond!G356)</f>
        <v>http://www.relimedsolutions.com/certification.html</v>
      </c>
      <c r="E356" s="2" t="str">
        <f>IF(NOT(ISBLANK(Drummond!D356)),IF(OR(ISBLANK(Drummond!E356),Drummond!E356="N/A"),"no acb code",CONCATENATE(Lookup!F$1,A356,Lookup!G$1,B356,Lookup!H$1,H$1,Lookup!I$1)),"no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'05162014-1982-8' and cb."name" = 'Drummond Group Inc.' and cp.product_version_id = pv.product_version_id and pv.product_id = p.product_id and p.vendor_id = vend.vendor_id;</v>
      </c>
      <c r="F356" s="2" t="str">
        <f>IF(AND(NOT(ISBLANK(Drummond!G356)),Drummond!G356&lt;&gt;"N/A"),IF(C356="All",CONCATENATE(Lookup!F$2,D356,Lookup!G$2,B356,Lookup!H$2,H$1,Lookup!I$2),CONCATENATE(Lookup!F$3,D356,Lookup!G$3,B356,Lookup!H$3)),"no url")</f>
        <v>update openchpl.certified_product as cp set transparency_attestation_url = 'http://www.relimedsolutions.com/certification.html' from (select certified_product_id from (select vend.vendor_code from openchpl.certified_product as cp, openchpl.product_version as pv, openchpl.product as p, openchpl.vendor as vend where cp.acb_certification_id = '05162014-1982-8'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7" spans="1:6" x14ac:dyDescent="0.25">
      <c r="A357" s="2" t="str">
        <f>IF(ISBLANK(Drummond!D357),FALSE,LOOKUP(Drummond!D357,Lookup!$A$2:$B$4))</f>
        <v>N/A</v>
      </c>
      <c r="B357" s="2" t="str">
        <f>IF(ISBLANK(Drummond!E357),FALSE,TRIM(Drummond!E357))</f>
        <v>06262014-2661-3</v>
      </c>
      <c r="C357" s="2" t="str">
        <f>IF(ISBLANK(Drummond!F357),FALSE,LOOKUP(Drummond!F357,Lookup!$A$6:$B$7))</f>
        <v>All</v>
      </c>
      <c r="D357" s="2" t="b">
        <f>IF(ISBLANK(Drummond!G357),FALSE,Drummond!G357)</f>
        <v>0</v>
      </c>
      <c r="E357" s="2" t="str">
        <f>IF(NOT(ISBLANK(Drummond!D357)),IF(OR(ISBLANK(Drummond!E357),Drummond!E357="N/A"),"no acb code",CONCATENATE(Lookup!F$1,A357,Lookup!G$1,B357,Lookup!H$1,H$1,Lookup!I$1)),"no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'06262014-2661-3' and cb."name" = 'Drummond Group Inc.' and cp.product_version_id = pv.product_version_id and pv.product_id = p.product_id and p.vendor_id = vend.vendor_id;</v>
      </c>
      <c r="F357" s="2" t="str">
        <f>IF(AND(NOT(ISBLANK(Drummond!G357)),Drummond!G357&lt;&gt;"N/A"),IF(C357="All",CONCATENATE(Lookup!F$2,D357,Lookup!G$2,B357,Lookup!H$2,H$1,Lookup!I$2),CONCATENATE(Lookup!F$3,D357,Lookup!G$3,B357,Lookup!H$3)),"no url")</f>
        <v>no url</v>
      </c>
    </row>
    <row r="358" spans="1:6" x14ac:dyDescent="0.25">
      <c r="A358" s="2" t="str">
        <f>IF(ISBLANK(Drummond!D358),FALSE,LOOKUP(Drummond!D358,Lookup!$A$2:$B$4))</f>
        <v>N/A</v>
      </c>
      <c r="B358" s="2" t="str">
        <f>IF(ISBLANK(Drummond!E358),FALSE,TRIM(Drummond!E358))</f>
        <v>01102014-2381-5</v>
      </c>
      <c r="C358" s="2" t="str">
        <f>IF(ISBLANK(Drummond!F358),FALSE,LOOKUP(Drummond!F358,Lookup!$A$6:$B$7))</f>
        <v>All</v>
      </c>
      <c r="D358" s="2" t="b">
        <f>IF(ISBLANK(Drummond!G358),FALSE,Drummond!G358)</f>
        <v>0</v>
      </c>
      <c r="E358" s="2" t="str">
        <f>IF(NOT(ISBLANK(Drummond!D358)),IF(OR(ISBLANK(Drummond!E358),Drummond!E358="N/A"),"no acb code",CONCATENATE(Lookup!F$1,A358,Lookup!G$1,B358,Lookup!H$1,H$1,Lookup!I$1)),"no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'01102014-2381-5' and cb."name" = 'Drummond Group Inc.' and cp.product_version_id = pv.product_version_id and pv.product_id = p.product_id and p.vendor_id = vend.vendor_id;</v>
      </c>
      <c r="F358" s="2" t="str">
        <f>IF(AND(NOT(ISBLANK(Drummond!G358)),Drummond!G358&lt;&gt;"N/A"),IF(C358="All",CONCATENATE(Lookup!F$2,D358,Lookup!G$2,B358,Lookup!H$2,H$1,Lookup!I$2),CONCATENATE(Lookup!F$3,D358,Lookup!G$3,B358,Lookup!H$3)),"no url")</f>
        <v>no url</v>
      </c>
    </row>
    <row r="359" spans="1:6" x14ac:dyDescent="0.25">
      <c r="A359" s="2" t="str">
        <f>IF(ISBLANK(Drummond!D359),FALSE,LOOKUP(Drummond!D359,Lookup!$A$2:$B$4))</f>
        <v>Affirmative</v>
      </c>
      <c r="B359" s="2" t="str">
        <f>IF(ISBLANK(Drummond!E359),FALSE,TRIM(Drummond!E359))</f>
        <v>02132014-2114-9</v>
      </c>
      <c r="C359" s="2" t="str">
        <f>IF(ISBLANK(Drummond!F359),FALSE,LOOKUP(Drummond!F359,Lookup!$A$6:$B$7))</f>
        <v>All</v>
      </c>
      <c r="D359" s="2" t="str">
        <f>IF(ISBLANK(Drummond!G359),FALSE,Drummond!G359)</f>
        <v>http://www.rwhc.com/Services/QualityPrograms/RWHCMeaningfulUseeMeasuresSolution.aspx</v>
      </c>
      <c r="E359" s="2" t="str">
        <f>IF(NOT(ISBLANK(Drummond!D359)),IF(OR(ISBLANK(Drummond!E359),Drummond!E359="N/A"),"no acb code",CONCATENATE(Lookup!F$1,A359,Lookup!G$1,B359,Lookup!H$1,H$1,Lookup!I$1)),"no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'02132014-2114-9' and cb."name" = 'Drummond Group Inc.' and cp.product_version_id = pv.product_version_id and pv.product_id = p.product_id and p.vendor_id = vend.vendor_id;</v>
      </c>
      <c r="F359" s="2" t="str">
        <f>IF(AND(NOT(ISBLANK(Drummond!G359)),Drummond!G359&lt;&gt;"N/A"),IF(C359="All",CONCATENATE(Lookup!F$2,D359,Lookup!G$2,B359,Lookup!H$2,H$1,Lookup!I$2),CONCATENATE(Lookup!F$3,D359,Lookup!G$3,B359,Lookup!H$3)),"no url")</f>
        <v>update openchpl.certified_product as cp set transparency_attestation_url = 'http://www.rwhc.com/Services/QualityPrograms/RWHCMeaningfulUseeMeasuresSolution.aspx' from (select certified_product_id from (select vend.vendor_code from openchpl.certified_product as cp, openchpl.product_version as pv, openchpl.product as p, openchpl.vendor as vend where cp.acb_certification_id = '02132014-2114-9'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0" spans="1:6" x14ac:dyDescent="0.25">
      <c r="A360" s="2" t="str">
        <f>IF(ISBLANK(Drummond!D360),FALSE,LOOKUP(Drummond!D360,Lookup!$A$2:$B$4))</f>
        <v>Affirmative</v>
      </c>
      <c r="B360" s="2" t="str">
        <f>IF(ISBLANK(Drummond!E360),FALSE,TRIM(Drummond!E360))</f>
        <v>06262014-2591-5</v>
      </c>
      <c r="C360" s="2" t="str">
        <f>IF(ISBLANK(Drummond!F360),FALSE,LOOKUP(Drummond!F360,Lookup!$A$6:$B$7))</f>
        <v>All</v>
      </c>
      <c r="D360" s="2" t="str">
        <f>IF(ISBLANK(Drummond!G360),FALSE,Drummond!G360)</f>
        <v>http://www.soapware.com/2014-edition-drummond-certified-ehr/</v>
      </c>
      <c r="E360" s="2" t="str">
        <f>IF(NOT(ISBLANK(Drummond!D360)),IF(OR(ISBLANK(Drummond!E360),Drummond!E360="N/A"),"no acb code",CONCATENATE(Lookup!F$1,A360,Lookup!G$1,B360,Lookup!H$1,H$1,Lookup!I$1)),"no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'06262014-2591-5' and cb."name" = 'Drummond Group Inc.' and cp.product_version_id = pv.product_version_id and pv.product_id = p.product_id and p.vendor_id = vend.vendor_id;</v>
      </c>
      <c r="F360" s="2" t="str">
        <f>IF(AND(NOT(ISBLANK(Drummond!G360)),Drummond!G360&lt;&gt;"N/A"),IF(C360="All",CONCATENATE(Lookup!F$2,D360,Lookup!G$2,B360,Lookup!H$2,H$1,Lookup!I$2),CONCATENATE(Lookup!F$3,D360,Lookup!G$3,B360,Lookup!H$3)),"no url")</f>
        <v>update openchpl.certified_product as cp set transparency_attestation_url = 'http://www.soapware.com/2014-edition-drummond-certified-ehr/' from (select certified_product_id from (select vend.vendor_code from openchpl.certified_product as cp, openchpl.product_version as pv, openchpl.product as p, openchpl.vendor as vend where cp.acb_certification_id = '06262014-2591-5'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1" spans="1:6" x14ac:dyDescent="0.25">
      <c r="A361" s="2" t="str">
        <f>IF(ISBLANK(Drummond!D361),FALSE,LOOKUP(Drummond!D361,Lookup!$A$2:$B$4))</f>
        <v>Affirmative</v>
      </c>
      <c r="B361" s="2" t="str">
        <f>IF(ISBLANK(Drummond!E361),FALSE,TRIM(Drummond!E361))</f>
        <v>05212015-0247-3</v>
      </c>
      <c r="C361" s="2" t="str">
        <f>IF(ISBLANK(Drummond!F361),FALSE,LOOKUP(Drummond!F361,Lookup!$A$6:$B$7))</f>
        <v>All</v>
      </c>
      <c r="D361" s="2" t="str">
        <f>IF(ISBLANK(Drummond!G361),FALSE,Drummond!G361)</f>
        <v>http://sticomputer.com/meaningfuluse/</v>
      </c>
      <c r="E361" s="2" t="str">
        <f>IF(NOT(ISBLANK(Drummond!D361)),IF(OR(ISBLANK(Drummond!E361),Drummond!E361="N/A"),"no acb code",CONCATENATE(Lookup!F$1,A361,Lookup!G$1,B361,Lookup!H$1,H$1,Lookup!I$1)),"no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'05212015-0247-3' and cb."name" = 'Drummond Group Inc.' and cp.product_version_id = pv.product_version_id and pv.product_id = p.product_id and p.vendor_id = vend.vendor_id;</v>
      </c>
      <c r="F361" s="2" t="str">
        <f>IF(AND(NOT(ISBLANK(Drummond!G361)),Drummond!G361&lt;&gt;"N/A"),IF(C361="All",CONCATENATE(Lookup!F$2,D361,Lookup!G$2,B361,Lookup!H$2,H$1,Lookup!I$2),CONCATENATE(Lookup!F$3,D361,Lookup!G$3,B361,Lookup!H$3)),"no url")</f>
        <v>update openchpl.certified_product as cp set transparency_attestation_url = 'http://sticomputer.com/meaningfuluse/' from (select certified_product_id from (select vend.vendor_code from openchpl.certified_product as cp, openchpl.product_version as pv, openchpl.product as p, openchpl.vendor as vend where cp.acb_certification_id = '05212015-0247-3'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2" spans="1:6" x14ac:dyDescent="0.25">
      <c r="A362" s="2" t="str">
        <f>IF(ISBLANK(Drummond!D362),FALSE,LOOKUP(Drummond!D362,Lookup!$A$2:$B$4))</f>
        <v>Affirmative</v>
      </c>
      <c r="B362" s="2" t="str">
        <f>IF(ISBLANK(Drummond!E362),FALSE,TRIM(Drummond!E362))</f>
        <v>05282015-2836-8</v>
      </c>
      <c r="C362" s="2" t="str">
        <f>IF(ISBLANK(Drummond!F362),FALSE,LOOKUP(Drummond!F362,Lookup!$A$6:$B$7))</f>
        <v>All</v>
      </c>
      <c r="D362" s="2" t="str">
        <f>IF(ISBLANK(Drummond!G362),FALSE,Drummond!G362)</f>
        <v>http://sajix.com/PressReleases.php?pg=news</v>
      </c>
      <c r="E362" s="2" t="str">
        <f>IF(NOT(ISBLANK(Drummond!D362)),IF(OR(ISBLANK(Drummond!E362),Drummond!E362="N/A"),"no acb code",CONCATENATE(Lookup!F$1,A362,Lookup!G$1,B362,Lookup!H$1,H$1,Lookup!I$1)),"no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'05282015-2836-8' and cb."name" = 'Drummond Group Inc.' and cp.product_version_id = pv.product_version_id and pv.product_id = p.product_id and p.vendor_id = vend.vendor_id;</v>
      </c>
      <c r="F362" s="2" t="str">
        <f>IF(AND(NOT(ISBLANK(Drummond!G362)),Drummond!G362&lt;&gt;"N/A"),IF(C362="All",CONCATENATE(Lookup!F$2,D362,Lookup!G$2,B362,Lookup!H$2,H$1,Lookup!I$2),CONCATENATE(Lookup!F$3,D362,Lookup!G$3,B362,Lookup!H$3)),"no url")</f>
        <v>update openchpl.certified_product as cp set transparency_attestation_url = 'http://sajix.com/PressReleases.php?pg=news' from (select certified_product_id from (select vend.vendor_code from openchpl.certified_product as cp, openchpl.product_version as pv, openchpl.product as p, openchpl.vendor as vend where cp.acb_certification_id = '05282015-2836-8'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3" spans="1:6" x14ac:dyDescent="0.25">
      <c r="A363" s="2" t="str">
        <f>IF(ISBLANK(Drummond!D363),FALSE,LOOKUP(Drummond!D363,Lookup!$A$2:$B$4))</f>
        <v>Affirmative</v>
      </c>
      <c r="B363" s="2" t="str">
        <f>IF(ISBLANK(Drummond!E363),FALSE,TRIM(Drummond!E363))</f>
        <v>08072014-2453-9</v>
      </c>
      <c r="C363" s="2" t="str">
        <f>IF(ISBLANK(Drummond!F363),FALSE,LOOKUP(Drummond!F363,Lookup!$A$6:$B$7))</f>
        <v>All</v>
      </c>
      <c r="D363" s="2" t="str">
        <f>IF(ISBLANK(Drummond!G363),FALSE,Drummond!G363)</f>
        <v>http://www.bravadohealth.com/certified-ehr</v>
      </c>
      <c r="E363" s="2" t="str">
        <f>IF(NOT(ISBLANK(Drummond!D363)),IF(OR(ISBLANK(Drummond!E363),Drummond!E363="N/A"),"no acb code",CONCATENATE(Lookup!F$1,A363,Lookup!G$1,B363,Lookup!H$1,H$1,Lookup!I$1)),"no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'08072014-2453-9' and cb."name" = 'Drummond Group Inc.' and cp.product_version_id = pv.product_version_id and pv.product_id = p.product_id and p.vendor_id = vend.vendor_id;</v>
      </c>
      <c r="F363" s="2" t="str">
        <f>IF(AND(NOT(ISBLANK(Drummond!G363)),Drummond!G363&lt;&gt;"N/A"),IF(C363="All",CONCATENATE(Lookup!F$2,D363,Lookup!G$2,B363,Lookup!H$2,H$1,Lookup!I$2),CONCATENATE(Lookup!F$3,D363,Lookup!G$3,B363,Lookup!H$3)),"no url")</f>
        <v>update openchpl.certified_product as cp set transparency_attestation_url = 'http://www.bravadohealth.com/certified-ehr' from (select certified_product_id from (select vend.vendor_code from openchpl.certified_product as cp, openchpl.product_version as pv, openchpl.product as p, openchpl.vendor as vend where cp.acb_certification_id = '08072014-2453-9'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4" spans="1:6" x14ac:dyDescent="0.25">
      <c r="A364" s="2" t="str">
        <f>IF(ISBLANK(Drummond!D364),FALSE,LOOKUP(Drummond!D364,Lookup!$A$2:$B$4))</f>
        <v>Affirmative</v>
      </c>
      <c r="B364" s="2" t="str">
        <f>IF(ISBLANK(Drummond!E364),FALSE,TRIM(Drummond!E364))</f>
        <v>04102015-0195-1</v>
      </c>
      <c r="C364" s="2" t="str">
        <f>IF(ISBLANK(Drummond!F364),FALSE,LOOKUP(Drummond!F364,Lookup!$A$6:$B$7))</f>
        <v>All</v>
      </c>
      <c r="D364" s="2" t="str">
        <f>IF(ISBLANK(Drummond!G364),FALSE,Drummond!G364)</f>
        <v>http://www.secureexsolutions.com/resources-publications/secure-exchange-solutions-achieves-onc-acb-certification-for-ses-direct/</v>
      </c>
      <c r="E364" s="2" t="str">
        <f>IF(NOT(ISBLANK(Drummond!D364)),IF(OR(ISBLANK(Drummond!E364),Drummond!E364="N/A"),"no acb code",CONCATENATE(Lookup!F$1,A364,Lookup!G$1,B364,Lookup!H$1,H$1,Lookup!I$1)),"no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'04102015-0195-1' and cb."name" = 'Drummond Group Inc.' and cp.product_version_id = pv.product_version_id and pv.product_id = p.product_id and p.vendor_id = vend.vendor_id;</v>
      </c>
      <c r="F364" s="2" t="str">
        <f>IF(AND(NOT(ISBLANK(Drummond!G364)),Drummond!G364&lt;&gt;"N/A"),IF(C364="All",CONCATENATE(Lookup!F$2,D364,Lookup!G$2,B364,Lookup!H$2,H$1,Lookup!I$2),CONCATENATE(Lookup!F$3,D364,Lookup!G$3,B364,Lookup!H$3)),"no url")</f>
        <v>update openchpl.certified_product as cp set transparency_attestation_url = 'http://www.secureexsolutions.com/resources-publications/secure-exchange-solutions-achieves-onc-acb-certification-for-ses-direct/' from (select certified_product_id from (select vend.vendor_code from openchpl.certified_product as cp, openchpl.product_version as pv, openchpl.product as p, openchpl.vendor as vend where cp.acb_certification_id = '04102015-0195-1'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5" spans="1:6" x14ac:dyDescent="0.25">
      <c r="A365" s="2" t="str">
        <f>IF(ISBLANK(Drummond!D365),FALSE,LOOKUP(Drummond!D365,Lookup!$A$2:$B$4))</f>
        <v>Affirmative</v>
      </c>
      <c r="B365" s="2" t="str">
        <f>IF(ISBLANK(Drummond!E365),FALSE,TRIM(Drummond!E365))</f>
        <v>04282014-2565-9</v>
      </c>
      <c r="C365" s="2" t="str">
        <f>IF(ISBLANK(Drummond!F365),FALSE,LOOKUP(Drummond!F365,Lookup!$A$6:$B$7))</f>
        <v>All</v>
      </c>
      <c r="D365" s="2" t="str">
        <f>IF(ISBLANK(Drummond!G365),FALSE,Drummond!G365)</f>
        <v>http://www.totaldental.com/ehr-certification-dental-software</v>
      </c>
      <c r="E365" s="2" t="str">
        <f>IF(NOT(ISBLANK(Drummond!D365)),IF(OR(ISBLANK(Drummond!E365),Drummond!E365="N/A"),"no acb code",CONCATENATE(Lookup!F$1,A365,Lookup!G$1,B365,Lookup!H$1,H$1,Lookup!I$1)),"no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'04282014-2565-9' and cb."name" = 'Drummond Group Inc.' and cp.product_version_id = pv.product_version_id and pv.product_id = p.product_id and p.vendor_id = vend.vendor_id;</v>
      </c>
      <c r="F365" s="2" t="str">
        <f>IF(AND(NOT(ISBLANK(Drummond!G365)),Drummond!G365&lt;&gt;"N/A"),IF(C365="All",CONCATENATE(Lookup!F$2,D365,Lookup!G$2,B365,Lookup!H$2,H$1,Lookup!I$2),CONCATENATE(Lookup!F$3,D365,Lookup!G$3,B365,Lookup!H$3)),"no url")</f>
        <v>update openchpl.certified_product as cp set transparency_attestation_url = 'http://www.totaldental.com/ehr-certification-dental-software' from (select certified_product_id from (select vend.vendor_code from openchpl.certified_product as cp, openchpl.product_version as pv, openchpl.product as p, openchpl.vendor as vend where cp.acb_certification_id = '04282014-2565-9'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6" spans="1:6" x14ac:dyDescent="0.25">
      <c r="A366" s="2" t="str">
        <f>IF(ISBLANK(Drummond!D366),FALSE,LOOKUP(Drummond!D366,Lookup!$A$2:$B$4))</f>
        <v>Negative</v>
      </c>
      <c r="B366" s="2" t="str">
        <f>IF(ISBLANK(Drummond!E366),FALSE,TRIM(Drummond!E366))</f>
        <v>09302014-2241-9</v>
      </c>
      <c r="C366" s="2" t="str">
        <f>IF(ISBLANK(Drummond!F366),FALSE,LOOKUP(Drummond!F366,Lookup!$A$6:$B$7))</f>
        <v>All</v>
      </c>
      <c r="D366" s="2" t="str">
        <f>IF(ISBLANK(Drummond!G366),FALSE,Drummond!G366)</f>
        <v>http://www.silkone.com/EHR-MU-Disclosure.aspx</v>
      </c>
      <c r="E366" s="2" t="str">
        <f>IF(NOT(ISBLANK(Drummond!D366)),IF(OR(ISBLANK(Drummond!E366),Drummond!E366="N/A"),"no acb code",CONCATENATE(Lookup!F$1,A366,Lookup!G$1,B366,Lookup!H$1,H$1,Lookup!I$1)),"no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'09302014-2241-9' and cb."name" = 'Drummond Group Inc.' and cp.product_version_id = pv.product_version_id and pv.product_id = p.product_id and p.vendor_id = vend.vendor_id;</v>
      </c>
      <c r="F366" s="2" t="str">
        <f>IF(AND(NOT(ISBLANK(Drummond!G366)),Drummond!G366&lt;&gt;"N/A"),IF(C366="All",CONCATENATE(Lookup!F$2,D366,Lookup!G$2,B366,Lookup!H$2,H$1,Lookup!I$2),CONCATENATE(Lookup!F$3,D366,Lookup!G$3,B366,Lookup!H$3)),"no url")</f>
        <v>update openchpl.certified_product as cp set transparency_attestation_url = 'http://www.silkone.com/EHR-MU-Disclosure.aspx' from (select certified_product_id from (select vend.vendor_code from openchpl.certified_product as cp, openchpl.product_version as pv, openchpl.product as p, openchpl.vendor as vend where cp.acb_certification_id = '09302014-2241-9'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7" spans="1:6" x14ac:dyDescent="0.25">
      <c r="A367" s="2" t="str">
        <f>IF(ISBLANK(Drummond!D367),FALSE,LOOKUP(Drummond!D367,Lookup!$A$2:$B$4))</f>
        <v>Affirmative</v>
      </c>
      <c r="B367" s="2" t="str">
        <f>IF(ISBLANK(Drummond!E367),FALSE,TRIM(Drummond!E367))</f>
        <v>11062014-1981-1</v>
      </c>
      <c r="C367" s="2" t="str">
        <f>IF(ISBLANK(Drummond!F367),FALSE,LOOKUP(Drummond!F367,Lookup!$A$6:$B$7))</f>
        <v>All</v>
      </c>
      <c r="D367" s="2" t="str">
        <f>IF(ISBLANK(Drummond!G367),FALSE,Drummond!G367)</f>
        <v>https://pimsyehr.com/resources/meaningful-use</v>
      </c>
      <c r="E367" s="2" t="str">
        <f>IF(NOT(ISBLANK(Drummond!D367)),IF(OR(ISBLANK(Drummond!E367),Drummond!E367="N/A"),"no acb code",CONCATENATE(Lookup!F$1,A367,Lookup!G$1,B367,Lookup!H$1,H$1,Lookup!I$1)),"no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'11062014-1981-1' and cb."name" = 'Drummond Group Inc.' and cp.product_version_id = pv.product_version_id and pv.product_id = p.product_id and p.vendor_id = vend.vendor_id;</v>
      </c>
      <c r="F367" s="2" t="str">
        <f>IF(AND(NOT(ISBLANK(Drummond!G367)),Drummond!G367&lt;&gt;"N/A"),IF(C367="All",CONCATENATE(Lookup!F$2,D367,Lookup!G$2,B367,Lookup!H$2,H$1,Lookup!I$2),CONCATENATE(Lookup!F$3,D367,Lookup!G$3,B367,Lookup!H$3)),"no url")</f>
        <v>update openchpl.certified_product as cp set transparency_attestation_url = 'https://pimsyehr.com/resources/meaningful-use' from (select certified_product_id from (select vend.vendor_code from openchpl.certified_product as cp, openchpl.product_version as pv, openchpl.product as p, openchpl.vendor as vend where cp.acb_certification_id = '11062014-1981-1'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8" spans="1:6" x14ac:dyDescent="0.25">
      <c r="A368" s="2" t="str">
        <f>IF(ISBLANK(Drummond!D368),FALSE,LOOKUP(Drummond!D368,Lookup!$A$2:$B$4))</f>
        <v>Affirmative</v>
      </c>
      <c r="B368" s="2" t="str">
        <f>IF(ISBLANK(Drummond!E368),FALSE,TRIM(Drummond!E368))</f>
        <v>06292015-2898-3</v>
      </c>
      <c r="C368" s="2" t="str">
        <f>IF(ISBLANK(Drummond!F368),FALSE,LOOKUP(Drummond!F368,Lookup!$A$6:$B$7))</f>
        <v>All</v>
      </c>
      <c r="D368" s="2" t="str">
        <f>IF(ISBLANK(Drummond!G368),FALSE,Drummond!G368)</f>
        <v>http://sohisystems.com/ehrCertification.html</v>
      </c>
      <c r="E368" s="2" t="str">
        <f>IF(NOT(ISBLANK(Drummond!D368)),IF(OR(ISBLANK(Drummond!E368),Drummond!E368="N/A"),"no acb code",CONCATENATE(Lookup!F$1,A368,Lookup!G$1,B368,Lookup!H$1,H$1,Lookup!I$1)),"no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'06292015-2898-3' and cb."name" = 'Drummond Group Inc.' and cp.product_version_id = pv.product_version_id and pv.product_id = p.product_id and p.vendor_id = vend.vendor_id;</v>
      </c>
      <c r="F368" s="2" t="str">
        <f>IF(AND(NOT(ISBLANK(Drummond!G368)),Drummond!G368&lt;&gt;"N/A"),IF(C368="All",CONCATENATE(Lookup!F$2,D368,Lookup!G$2,B368,Lookup!H$2,H$1,Lookup!I$2),CONCATENATE(Lookup!F$3,D368,Lookup!G$3,B368,Lookup!H$3)),"no url")</f>
        <v>update openchpl.certified_product as cp set transparency_attestation_url = 'http://sohisystems.com/ehrCertification.html' from (select certified_product_id from (select vend.vendor_code from openchpl.certified_product as cp, openchpl.product_version as pv, openchpl.product as p, openchpl.vendor as vend where cp.acb_certification_id = '06292015-2898-3'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9" spans="1:6" x14ac:dyDescent="0.25">
      <c r="A369" s="2" t="str">
        <f>IF(ISBLANK(Drummond!D369),FALSE,LOOKUP(Drummond!D369,Lookup!$A$2:$B$4))</f>
        <v>Affirmative</v>
      </c>
      <c r="B369" s="2" t="str">
        <f>IF(ISBLANK(Drummond!E369),FALSE,TRIM(Drummond!E369))</f>
        <v>10172013-2404-8</v>
      </c>
      <c r="C369" s="2" t="str">
        <f>IF(ISBLANK(Drummond!F369),FALSE,LOOKUP(Drummond!F369,Lookup!$A$6:$B$7))</f>
        <v>All</v>
      </c>
      <c r="D369" s="2" t="str">
        <f>IF(ISBLANK(Drummond!G369),FALSE,Drummond!G369)</f>
        <v>https://sophrona.com/products/meaningful-use-portal/</v>
      </c>
      <c r="E369" s="2" t="str">
        <f>IF(NOT(ISBLANK(Drummond!D369)),IF(OR(ISBLANK(Drummond!E369),Drummond!E369="N/A"),"no acb code",CONCATENATE(Lookup!F$1,A369,Lookup!G$1,B369,Lookup!H$1,H$1,Lookup!I$1)),"no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'10172013-2404-8' and cb."name" = 'Drummond Group Inc.' and cp.product_version_id = pv.product_version_id and pv.product_id = p.product_id and p.vendor_id = vend.vendor_id;</v>
      </c>
      <c r="F369" s="2" t="str">
        <f>IF(AND(NOT(ISBLANK(Drummond!G369)),Drummond!G369&lt;&gt;"N/A"),IF(C369="All",CONCATENATE(Lookup!F$2,D369,Lookup!G$2,B369,Lookup!H$2,H$1,Lookup!I$2),CONCATENATE(Lookup!F$3,D369,Lookup!G$3,B369,Lookup!H$3)),"no url")</f>
        <v>update openchpl.certified_product as cp set transparency_attestation_url = 'https://sophrona.com/products/meaningful-use-portal/' from (select certified_product_id from (select vend.vendor_code from openchpl.certified_product as cp, openchpl.product_version as pv, openchpl.product as p, openchpl.vendor as vend where cp.acb_certification_id = '10172013-2404-8'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0" spans="1:6" x14ac:dyDescent="0.25">
      <c r="A370" s="2" t="str">
        <f>IF(ISBLANK(Drummond!D370),FALSE,LOOKUP(Drummond!D370,Lookup!$A$2:$B$4))</f>
        <v>Affirmative</v>
      </c>
      <c r="B370" s="2" t="str">
        <f>IF(ISBLANK(Drummond!E370),FALSE,TRIM(Drummond!E370))</f>
        <v>09252014-2670-8</v>
      </c>
      <c r="C370" s="2" t="str">
        <f>IF(ISBLANK(Drummond!F370),FALSE,LOOKUP(Drummond!F370,Lookup!$A$6:$B$7))</f>
        <v>All</v>
      </c>
      <c r="D370" s="2" t="str">
        <f>IF(ISBLANK(Drummond!G370),FALSE,Drummond!G370)</f>
        <v>http://sourcemed.net/specialty-hospital-software</v>
      </c>
      <c r="E370" s="2" t="str">
        <f>IF(NOT(ISBLANK(Drummond!D370)),IF(OR(ISBLANK(Drummond!E370),Drummond!E370="N/A"),"no acb code",CONCATENATE(Lookup!F$1,A370,Lookup!G$1,B370,Lookup!H$1,H$1,Lookup!I$1)),"no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'09252014-2670-8' and cb."name" = 'Drummond Group Inc.' and cp.product_version_id = pv.product_version_id and pv.product_id = p.product_id and p.vendor_id = vend.vendor_id;</v>
      </c>
      <c r="F370" s="2" t="str">
        <f>IF(AND(NOT(ISBLANK(Drummond!G370)),Drummond!G370&lt;&gt;"N/A"),IF(C370="All",CONCATENATE(Lookup!F$2,D370,Lookup!G$2,B370,Lookup!H$2,H$1,Lookup!I$2),CONCATENATE(Lookup!F$3,D370,Lookup!G$3,B370,Lookup!H$3)),"no url")</f>
        <v>update openchpl.certified_product as cp set transparency_attestation_url = 'http://sourcemed.net/specialty-hospital-software' from (select certified_product_id from (select vend.vendor_code from openchpl.certified_product as cp, openchpl.product_version as pv, openchpl.product as p, openchpl.vendor as vend where cp.acb_certification_id = '09252014-2670-8'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1" spans="1:6" x14ac:dyDescent="0.25">
      <c r="A371" s="2" t="str">
        <f>IF(ISBLANK(Drummond!D371),FALSE,LOOKUP(Drummond!D371,Lookup!$A$2:$B$4))</f>
        <v>N/A</v>
      </c>
      <c r="B371" s="2" t="str">
        <f>IF(ISBLANK(Drummond!E371),FALSE,TRIM(Drummond!E371))</f>
        <v>09302014-2706-6</v>
      </c>
      <c r="C371" s="2" t="str">
        <f>IF(ISBLANK(Drummond!F371),FALSE,LOOKUP(Drummond!F371,Lookup!$A$6:$B$7))</f>
        <v>All</v>
      </c>
      <c r="D371" s="2" t="b">
        <f>IF(ISBLANK(Drummond!G371),FALSE,Drummond!G371)</f>
        <v>0</v>
      </c>
      <c r="E371" s="2" t="str">
        <f>IF(NOT(ISBLANK(Drummond!D371)),IF(OR(ISBLANK(Drummond!E371),Drummond!E371="N/A"),"no acb code",CONCATENATE(Lookup!F$1,A371,Lookup!G$1,B371,Lookup!H$1,H$1,Lookup!I$1)),"no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'09302014-2706-6' and cb."name" = 'Drummond Group Inc.' and cp.product_version_id = pv.product_version_id and pv.product_id = p.product_id and p.vendor_id = vend.vendor_id;</v>
      </c>
      <c r="F371" s="2" t="str">
        <f>IF(AND(NOT(ISBLANK(Drummond!G371)),Drummond!G371&lt;&gt;"N/A"),IF(C371="All",CONCATENATE(Lookup!F$2,D371,Lookup!G$2,B371,Lookup!H$2,H$1,Lookup!I$2),CONCATENATE(Lookup!F$3,D371,Lookup!G$3,B371,Lookup!H$3)),"no url")</f>
        <v>no url</v>
      </c>
    </row>
    <row r="372" spans="1:6" x14ac:dyDescent="0.25">
      <c r="A372" s="2" t="str">
        <f>IF(ISBLANK(Drummond!D372),FALSE,LOOKUP(Drummond!D372,Lookup!$A$2:$B$4))</f>
        <v>N/A</v>
      </c>
      <c r="B372" s="2" t="str">
        <f>IF(ISBLANK(Drummond!E372),FALSE,TRIM(Drummond!E372))</f>
        <v>09172015-3381-6</v>
      </c>
      <c r="C372" s="2" t="str">
        <f>IF(ISBLANK(Drummond!F372),FALSE,LOOKUP(Drummond!F372,Lookup!$A$6:$B$7))</f>
        <v>All</v>
      </c>
      <c r="D372" s="2" t="b">
        <f>IF(ISBLANK(Drummond!G372),FALSE,Drummond!G372)</f>
        <v>0</v>
      </c>
      <c r="E372" s="2" t="str">
        <f>IF(NOT(ISBLANK(Drummond!D372)),IF(OR(ISBLANK(Drummond!E372),Drummond!E372="N/A"),"no acb code",CONCATENATE(Lookup!F$1,A372,Lookup!G$1,B372,Lookup!H$1,H$1,Lookup!I$1)),"no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'09172015-3381-6' and cb."name" = 'Drummond Group Inc.' and cp.product_version_id = pv.product_version_id and pv.product_id = p.product_id and p.vendor_id = vend.vendor_id;</v>
      </c>
      <c r="F372" s="2" t="str">
        <f>IF(AND(NOT(ISBLANK(Drummond!G372)),Drummond!G372&lt;&gt;"N/A"),IF(C372="All",CONCATENATE(Lookup!F$2,D372,Lookup!G$2,B372,Lookup!H$2,H$1,Lookup!I$2),CONCATENATE(Lookup!F$3,D372,Lookup!G$3,B372,Lookup!H$3)),"no url")</f>
        <v>no url</v>
      </c>
    </row>
    <row r="373" spans="1:6" x14ac:dyDescent="0.25">
      <c r="A373" s="2" t="str">
        <f>IF(ISBLANK(Drummond!D373),FALSE,LOOKUP(Drummond!D373,Lookup!$A$2:$B$4))</f>
        <v>Affirmative</v>
      </c>
      <c r="B373" s="2" t="str">
        <f>IF(ISBLANK(Drummond!E373),FALSE,TRIM(Drummond!E373))</f>
        <v>09242015-0305-5</v>
      </c>
      <c r="C373" s="2" t="str">
        <f>IF(ISBLANK(Drummond!F373),FALSE,LOOKUP(Drummond!F373,Lookup!$A$6:$B$7))</f>
        <v>All</v>
      </c>
      <c r="D373" s="2" t="str">
        <f>IF(ISBLANK(Drummond!G373),FALSE,Drummond!G373)</f>
        <v>http://www.synaphealth.com/drummond-certificate/</v>
      </c>
      <c r="E373" s="2" t="str">
        <f>IF(NOT(ISBLANK(Drummond!D373)),IF(OR(ISBLANK(Drummond!E373),Drummond!E373="N/A"),"no acb code",CONCATENATE(Lookup!F$1,A373,Lookup!G$1,B373,Lookup!H$1,H$1,Lookup!I$1)),"no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'09242015-0305-5' and cb."name" = 'Drummond Group Inc.' and cp.product_version_id = pv.product_version_id and pv.product_id = p.product_id and p.vendor_id = vend.vendor_id;</v>
      </c>
      <c r="F373" s="2" t="str">
        <f>IF(AND(NOT(ISBLANK(Drummond!G373)),Drummond!G373&lt;&gt;"N/A"),IF(C373="All",CONCATENATE(Lookup!F$2,D373,Lookup!G$2,B373,Lookup!H$2,H$1,Lookup!I$2),CONCATENATE(Lookup!F$3,D373,Lookup!G$3,B373,Lookup!H$3)),"no url")</f>
        <v>update openchpl.certified_product as cp set transparency_attestation_url = 'http://www.synaphealth.com/drummond-certificate/' from (select certified_product_id from (select vend.vendor_code from openchpl.certified_product as cp, openchpl.product_version as pv, openchpl.product as p, openchpl.vendor as vend where cp.acb_certification_id = '09242015-0305-5'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4" spans="1:6" x14ac:dyDescent="0.25">
      <c r="A374" s="2" t="str">
        <f>IF(ISBLANK(Drummond!D374),FALSE,LOOKUP(Drummond!D374,Lookup!$A$2:$B$4))</f>
        <v>Affirmative</v>
      </c>
      <c r="B374" s="2" t="str">
        <f>IF(ISBLANK(Drummond!E374),FALSE,TRIM(Drummond!E374))</f>
        <v>05142015-0263-3</v>
      </c>
      <c r="C374" s="2" t="str">
        <f>IF(ISBLANK(Drummond!F374),FALSE,LOOKUP(Drummond!F374,Lookup!$A$6:$B$7))</f>
        <v>All</v>
      </c>
      <c r="D374" s="2" t="str">
        <f>IF(ISBLANK(Drummond!G374),FALSE,Drummond!G374)</f>
        <v>http://www.standingstoneinc.com/</v>
      </c>
      <c r="E374" s="2" t="str">
        <f>IF(NOT(ISBLANK(Drummond!D374)),IF(OR(ISBLANK(Drummond!E374),Drummond!E374="N/A"),"no acb code",CONCATENATE(Lookup!F$1,A374,Lookup!G$1,B374,Lookup!H$1,H$1,Lookup!I$1)),"no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'05142015-0263-3' and cb."name" = 'Drummond Group Inc.' and cp.product_version_id = pv.product_version_id and pv.product_id = p.product_id and p.vendor_id = vend.vendor_id;</v>
      </c>
      <c r="F374" s="2" t="str">
        <f>IF(AND(NOT(ISBLANK(Drummond!G374)),Drummond!G374&lt;&gt;"N/A"),IF(C374="All",CONCATENATE(Lookup!F$2,D374,Lookup!G$2,B374,Lookup!H$2,H$1,Lookup!I$2),CONCATENATE(Lookup!F$3,D374,Lookup!G$3,B374,Lookup!H$3)),"no url")</f>
        <v>update openchpl.certified_product as cp set transparency_attestation_url = 'http://www.standingstoneinc.com/' from (select certified_product_id from (select vend.vendor_code from openchpl.certified_product as cp, openchpl.product_version as pv, openchpl.product as p, openchpl.vendor as vend where cp.acb_certification_id = '05142015-0263-3'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5" spans="1:6" x14ac:dyDescent="0.25">
      <c r="A375" s="2" t="str">
        <f>IF(ISBLANK(Drummond!D375),FALSE,LOOKUP(Drummond!D375,Lookup!$A$2:$B$4))</f>
        <v>Affirmative</v>
      </c>
      <c r="B375" s="2" t="str">
        <f>IF(ISBLANK(Drummond!E375),FALSE,TRIM(Drummond!E375))</f>
        <v>05302014-2636-3</v>
      </c>
      <c r="C375" s="2" t="str">
        <f>IF(ISBLANK(Drummond!F375),FALSE,LOOKUP(Drummond!F375,Lookup!$A$6:$B$7))</f>
        <v>All</v>
      </c>
      <c r="D375" s="2" t="str">
        <f>IF(ISBLANK(Drummond!G375),FALSE,Drummond!G375)</f>
        <v>http://www.standingstoneinc.com/</v>
      </c>
      <c r="E375" s="2" t="str">
        <f>IF(NOT(ISBLANK(Drummond!D375)),IF(OR(ISBLANK(Drummond!E375),Drummond!E375="N/A"),"no acb code",CONCATENATE(Lookup!F$1,A375,Lookup!G$1,B375,Lookup!H$1,H$1,Lookup!I$1)),"no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'05302014-2636-3' and cb."name" = 'Drummond Group Inc.' and cp.product_version_id = pv.product_version_id and pv.product_id = p.product_id and p.vendor_id = vend.vendor_id;</v>
      </c>
      <c r="F375" s="2" t="str">
        <f>IF(AND(NOT(ISBLANK(Drummond!G375)),Drummond!G375&lt;&gt;"N/A"),IF(C375="All",CONCATENATE(Lookup!F$2,D375,Lookup!G$2,B375,Lookup!H$2,H$1,Lookup!I$2),CONCATENATE(Lookup!F$3,D375,Lookup!G$3,B375,Lookup!H$3)),"no url")</f>
        <v>update openchpl.certified_product as cp set transparency_attestation_url = 'http://www.standingstoneinc.com/' from (select certified_product_id from (select vend.vendor_code from openchpl.certified_product as cp, openchpl.product_version as pv, openchpl.product as p, openchpl.vendor as vend where cp.acb_certification_id = '05302014-2636-3'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6" spans="1:6" x14ac:dyDescent="0.25">
      <c r="A376" s="2" t="str">
        <f>IF(ISBLANK(Drummond!D376),FALSE,LOOKUP(Drummond!D376,Lookup!$A$2:$B$4))</f>
        <v>Affirmative</v>
      </c>
      <c r="B376" s="2" t="str">
        <f>IF(ISBLANK(Drummond!E376),FALSE,TRIM(Drummond!E376))</f>
        <v>03142014-2465-1</v>
      </c>
      <c r="C376" s="2" t="str">
        <f>IF(ISBLANK(Drummond!F376),FALSE,LOOKUP(Drummond!F376,Lookup!$A$6:$B$7))</f>
        <v>All</v>
      </c>
      <c r="D376" s="2" t="str">
        <f>IF(ISBLANK(Drummond!G376),FALSE,Drummond!G376)</f>
        <v>https://www.starmedllc.com/</v>
      </c>
      <c r="E376" s="2" t="str">
        <f>IF(NOT(ISBLANK(Drummond!D376)),IF(OR(ISBLANK(Drummond!E376),Drummond!E376="N/A"),"no acb code",CONCATENATE(Lookup!F$1,A376,Lookup!G$1,B376,Lookup!H$1,H$1,Lookup!I$1)),"no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'03142014-2465-1' and cb."name" = 'Drummond Group Inc.' and cp.product_version_id = pv.product_version_id and pv.product_id = p.product_id and p.vendor_id = vend.vendor_id;</v>
      </c>
      <c r="F376" s="2" t="str">
        <f>IF(AND(NOT(ISBLANK(Drummond!G376)),Drummond!G376&lt;&gt;"N/A"),IF(C376="All",CONCATENATE(Lookup!F$2,D376,Lookup!G$2,B376,Lookup!H$2,H$1,Lookup!I$2),CONCATENATE(Lookup!F$3,D376,Lookup!G$3,B376,Lookup!H$3)),"no url")</f>
        <v>update openchpl.certified_product as cp set transparency_attestation_url = 'https://www.starmedllc.com/' from (select certified_product_id from (select vend.vendor_code from openchpl.certified_product as cp, openchpl.product_version as pv, openchpl.product as p, openchpl.vendor as vend where cp.acb_certification_id = '03142014-2465-1'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7" spans="1:6" x14ac:dyDescent="0.25">
      <c r="A377" s="2" t="str">
        <f>IF(ISBLANK(Drummond!D377),FALSE,LOOKUP(Drummond!D377,Lookup!$A$2:$B$4))</f>
        <v>Negative</v>
      </c>
      <c r="B377" s="2" t="str">
        <f>IF(ISBLANK(Drummond!E377),FALSE,TRIM(Drummond!E377))</f>
        <v>08202015-0144-3</v>
      </c>
      <c r="C377" s="2" t="str">
        <f>IF(ISBLANK(Drummond!F377),FALSE,LOOKUP(Drummond!F377,Lookup!$A$6:$B$7))</f>
        <v>All</v>
      </c>
      <c r="D377" s="2" t="str">
        <f>IF(ISBLANK(Drummond!G377),FALSE,Drummond!G377)</f>
        <v>http://www.streamlinehealth.net/looking-glass-health-solutions/coding-cdi/enterprise-content-management/</v>
      </c>
      <c r="E377" s="2" t="str">
        <f>IF(NOT(ISBLANK(Drummond!D377)),IF(OR(ISBLANK(Drummond!E377),Drummond!E377="N/A"),"no acb code",CONCATENATE(Lookup!F$1,A377,Lookup!G$1,B377,Lookup!H$1,H$1,Lookup!I$1)),"no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'08202015-0144-3' and cb."name" = 'Drummond Group Inc.' and cp.product_version_id = pv.product_version_id and pv.product_id = p.product_id and p.vendor_id = vend.vendor_id;</v>
      </c>
      <c r="F377" s="2" t="str">
        <f>IF(AND(NOT(ISBLANK(Drummond!G377)),Drummond!G377&lt;&gt;"N/A"),IF(C377="All",CONCATENATE(Lookup!F$2,D377,Lookup!G$2,B377,Lookup!H$2,H$1,Lookup!I$2),CONCATENATE(Lookup!F$3,D377,Lookup!G$3,B377,Lookup!H$3)),"no url")</f>
        <v>update openchpl.certified_product as cp set transparency_attestation_url = 'http://www.streamlinehealth.net/looking-glass-health-solutions/coding-cdi/enterprise-content-management/' from (select certified_product_id from (select vend.vendor_code from openchpl.certified_product as cp, openchpl.product_version as pv, openchpl.product as p, openchpl.vendor as vend where cp.acb_certification_id = '08202015-0144-3'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8" spans="1:6" x14ac:dyDescent="0.25">
      <c r="A378" s="2" t="str">
        <f>IF(ISBLANK(Drummond!D378),FALSE,LOOKUP(Drummond!D378,Lookup!$A$2:$B$4))</f>
        <v>Affirmative</v>
      </c>
      <c r="B378" s="2" t="str">
        <f>IF(ISBLANK(Drummond!E378),FALSE,TRIM(Drummond!E378))</f>
        <v>07302015-3021-3</v>
      </c>
      <c r="C378" s="2" t="str">
        <f>IF(ISBLANK(Drummond!F378),FALSE,LOOKUP(Drummond!F378,Lookup!$A$6:$B$7))</f>
        <v>All</v>
      </c>
      <c r="D378" s="2" t="str">
        <f>IF(ISBLANK(Drummond!G378),FALSE,Drummond!G378)</f>
        <v>http://www.talksoftonline.com/</v>
      </c>
      <c r="E378" s="2" t="str">
        <f>IF(NOT(ISBLANK(Drummond!D378)),IF(OR(ISBLANK(Drummond!E378),Drummond!E378="N/A"),"no acb code",CONCATENATE(Lookup!F$1,A378,Lookup!G$1,B378,Lookup!H$1,H$1,Lookup!I$1)),"no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'07302015-3021-3' and cb."name" = 'Drummond Group Inc.' and cp.product_version_id = pv.product_version_id and pv.product_id = p.product_id and p.vendor_id = vend.vendor_id;</v>
      </c>
      <c r="F378" s="2" t="str">
        <f>IF(AND(NOT(ISBLANK(Drummond!G378)),Drummond!G378&lt;&gt;"N/A"),IF(C378="All",CONCATENATE(Lookup!F$2,D378,Lookup!G$2,B378,Lookup!H$2,H$1,Lookup!I$2),CONCATENATE(Lookup!F$3,D378,Lookup!G$3,B378,Lookup!H$3)),"no url")</f>
        <v>update openchpl.certified_product as cp set transparency_attestation_url = 'http://www.talksoftonline.com/' from (select certified_product_id from (select vend.vendor_code from openchpl.certified_product as cp, openchpl.product_version as pv, openchpl.product as p, openchpl.vendor as vend where cp.acb_certification_id = '07302015-3021-3'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9" spans="1:6" x14ac:dyDescent="0.25">
      <c r="A379" s="2" t="str">
        <f>IF(ISBLANK(Drummond!D379),FALSE,LOOKUP(Drummond!D379,Lookup!$A$2:$B$4))</f>
        <v>Affirmative</v>
      </c>
      <c r="B379" s="2" t="str">
        <f>IF(ISBLANK(Drummond!E379),FALSE,TRIM(Drummond!E379))</f>
        <v>11132014-2936-1</v>
      </c>
      <c r="C379" s="2" t="str">
        <f>IF(ISBLANK(Drummond!F379),FALSE,LOOKUP(Drummond!F379,Lookup!$A$6:$B$7))</f>
        <v>All</v>
      </c>
      <c r="D379" s="2" t="str">
        <f>IF(ISBLANK(Drummond!G379),FALSE,Drummond!G379)</f>
        <v>http://www.mdrhythm.com/mdrhythm-onc2014.html</v>
      </c>
      <c r="E379" s="2" t="str">
        <f>IF(NOT(ISBLANK(Drummond!D379)),IF(OR(ISBLANK(Drummond!E379),Drummond!E379="N/A"),"no acb code",CONCATENATE(Lookup!F$1,A379,Lookup!G$1,B379,Lookup!H$1,H$1,Lookup!I$1)),"no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'11132014-2936-1' and cb."name" = 'Drummond Group Inc.' and cp.product_version_id = pv.product_version_id and pv.product_id = p.product_id and p.vendor_id = vend.vendor_id;</v>
      </c>
      <c r="F379" s="2" t="str">
        <f>IF(AND(NOT(ISBLANK(Drummond!G379)),Drummond!G379&lt;&gt;"N/A"),IF(C379="All",CONCATENATE(Lookup!F$2,D379,Lookup!G$2,B379,Lookup!H$2,H$1,Lookup!I$2),CONCATENATE(Lookup!F$3,D379,Lookup!G$3,B379,Lookup!H$3)),"no url")</f>
        <v>update openchpl.certified_product as cp set transparency_attestation_url = 'http://www.mdrhythm.com/mdrhythm-onc2014.html' from (select certified_product_id from (select vend.vendor_code from openchpl.certified_product as cp, openchpl.product_version as pv, openchpl.product as p, openchpl.vendor as vend where cp.acb_certification_id = '11132014-2936-1'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0" spans="1:6" x14ac:dyDescent="0.25">
      <c r="A380" s="2" t="str">
        <f>IF(ISBLANK(Drummond!D380),FALSE,LOOKUP(Drummond!D380,Lookup!$A$2:$B$4))</f>
        <v>Affirmative</v>
      </c>
      <c r="B380" s="2" t="str">
        <f>IF(ISBLANK(Drummond!E380),FALSE,TRIM(Drummond!E380))</f>
        <v>04282014-1976-1</v>
      </c>
      <c r="C380" s="2" t="str">
        <f>IF(ISBLANK(Drummond!F380),FALSE,LOOKUP(Drummond!F380,Lookup!$A$6:$B$7))</f>
        <v>All</v>
      </c>
      <c r="D380" s="2" t="str">
        <f>IF(ISBLANK(Drummond!G380),FALSE,Drummond!G380)</f>
        <v>http://www.echoman.com/meaningful-use/</v>
      </c>
      <c r="E380" s="2" t="str">
        <f>IF(NOT(ISBLANK(Drummond!D380)),IF(OR(ISBLANK(Drummond!E380),Drummond!E380="N/A"),"no acb code",CONCATENATE(Lookup!F$1,A380,Lookup!G$1,B380,Lookup!H$1,H$1,Lookup!I$1)),"no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'04282014-1976-1' and cb."name" = 'Drummond Group Inc.' and cp.product_version_id = pv.product_version_id and pv.product_id = p.product_id and p.vendor_id = vend.vendor_id;</v>
      </c>
      <c r="F380" s="2" t="str">
        <f>IF(AND(NOT(ISBLANK(Drummond!G380)),Drummond!G380&lt;&gt;"N/A"),IF(C380="All",CONCATENATE(Lookup!F$2,D380,Lookup!G$2,B380,Lookup!H$2,H$1,Lookup!I$2),CONCATENATE(Lookup!F$3,D380,Lookup!G$3,B380,Lookup!H$3)),"no url")</f>
        <v>update openchpl.certified_product as cp set transparency_attestation_url = 'http://www.echoman.com/meaningful-use/' from (select certified_product_id from (select vend.vendor_code from openchpl.certified_product as cp, openchpl.product_version as pv, openchpl.product as p, openchpl.vendor as vend where cp.acb_certification_id = '04282014-1976-1'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1" spans="1:6" x14ac:dyDescent="0.25">
      <c r="A381" s="2" t="str">
        <f>IF(ISBLANK(Drummond!D381),FALSE,LOOKUP(Drummond!D381,Lookup!$A$2:$B$4))</f>
        <v>Negative</v>
      </c>
      <c r="B381" s="2" t="str">
        <f>IF(ISBLANK(Drummond!E381),FALSE,TRIM(Drummond!E381))</f>
        <v>03032016-6840-8</v>
      </c>
      <c r="C381" s="2" t="str">
        <f>IF(ISBLANK(Drummond!F381),FALSE,LOOKUP(Drummond!F381,Lookup!$A$6:$B$7))</f>
        <v>All</v>
      </c>
      <c r="D381" s="2" t="str">
        <f>IF(ISBLANK(Drummond!G381),FALSE,Drummond!G381)</f>
        <v>http://thegaragein.com/ignite</v>
      </c>
      <c r="E381" s="2" t="str">
        <f>IF(NOT(ISBLANK(Drummond!D381)),IF(OR(ISBLANK(Drummond!E381),Drummond!E381="N/A"),"no acb code",CONCATENATE(Lookup!F$1,A381,Lookup!G$1,B381,Lookup!H$1,H$1,Lookup!I$1)),"no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'03032016-6840-8' and cb."name" = 'Drummond Group Inc.' and cp.product_version_id = pv.product_version_id and pv.product_id = p.product_id and p.vendor_id = vend.vendor_id;</v>
      </c>
      <c r="F381" s="2" t="str">
        <f>IF(AND(NOT(ISBLANK(Drummond!G381)),Drummond!G381&lt;&gt;"N/A"),IF(C381="All",CONCATENATE(Lookup!F$2,D381,Lookup!G$2,B381,Lookup!H$2,H$1,Lookup!I$2),CONCATENATE(Lookup!F$3,D381,Lookup!G$3,B381,Lookup!H$3)),"no url")</f>
        <v>update openchpl.certified_product as cp set transparency_attestation_url = 'http://thegaragein.com/ignite' from (select certified_product_id from (select vend.vendor_code from openchpl.certified_product as cp, openchpl.product_version as pv, openchpl.product as p, openchpl.vendor as vend where cp.acb_certification_id = '03032016-6840-8'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2" spans="1:6" x14ac:dyDescent="0.25">
      <c r="A382" s="2" t="str">
        <f>IF(ISBLANK(Drummond!D382),FALSE,LOOKUP(Drummond!D382,Lookup!$A$2:$B$4))</f>
        <v>Affirmative</v>
      </c>
      <c r="B382" s="2" t="str">
        <f>IF(ISBLANK(Drummond!E382),FALSE,TRIM(Drummond!E382))</f>
        <v>09252014-2479-6</v>
      </c>
      <c r="C382" s="2" t="str">
        <f>IF(ISBLANK(Drummond!F382),FALSE,LOOKUP(Drummond!F382,Lookup!$A$6:$B$7))</f>
        <v>All</v>
      </c>
      <c r="D382" s="2" t="str">
        <f>IF(ISBLANK(Drummond!G382),FALSE,Drummond!G382)</f>
        <v>http://shamsgroup.com/healthcare-solutions/certified-mu-solutions/</v>
      </c>
      <c r="E382" s="2" t="str">
        <f>IF(NOT(ISBLANK(Drummond!D382)),IF(OR(ISBLANK(Drummond!E382),Drummond!E382="N/A"),"no acb code",CONCATENATE(Lookup!F$1,A382,Lookup!G$1,B382,Lookup!H$1,H$1,Lookup!I$1)),"no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'09252014-2479-6' and cb."name" = 'Drummond Group Inc.' and cp.product_version_id = pv.product_version_id and pv.product_id = p.product_id and p.vendor_id = vend.vendor_id;</v>
      </c>
      <c r="F382" s="2" t="str">
        <f>IF(AND(NOT(ISBLANK(Drummond!G382)),Drummond!G382&lt;&gt;"N/A"),IF(C382="All",CONCATENATE(Lookup!F$2,D382,Lookup!G$2,B382,Lookup!H$2,H$1,Lookup!I$2),CONCATENATE(Lookup!F$3,D382,Lookup!G$3,B382,Lookup!H$3)),"no url")</f>
        <v>update openchpl.certified_product as cp set transparency_attestation_url = 'http://shamsgroup.com/healthcare-solutions/certified-mu-solutions/' from (select certified_product_id from (select vend.vendor_code from openchpl.certified_product as cp, openchpl.product_version as pv, openchpl.product as p, openchpl.vendor as vend where cp.acb_certification_id = '09252014-2479-6'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3" spans="1:6" x14ac:dyDescent="0.25">
      <c r="A383" s="2" t="str">
        <f>IF(ISBLANK(Drummond!D383),FALSE,LOOKUP(Drummond!D383,Lookup!$A$2:$B$4))</f>
        <v>Affirmative</v>
      </c>
      <c r="B383" s="2" t="str">
        <f>IF(ISBLANK(Drummond!E383),FALSE,TRIM(Drummond!E383))</f>
        <v>10232014-1995-8</v>
      </c>
      <c r="C383" s="2" t="str">
        <f>IF(ISBLANK(Drummond!F383),FALSE,LOOKUP(Drummond!F383,Lookup!$A$6:$B$7))</f>
        <v>All</v>
      </c>
      <c r="D383" s="2" t="str">
        <f>IF(ISBLANK(Drummond!G383),FALSE,Drummond!G383)</f>
        <v xml:space="preserve">http://www.therapservices.net/therap-clinical-for-meaningful-use-2014-5/ </v>
      </c>
      <c r="E383" s="2" t="str">
        <f>IF(NOT(ISBLANK(Drummond!D383)),IF(OR(ISBLANK(Drummond!E383),Drummond!E383="N/A"),"no acb code",CONCATENATE(Lookup!F$1,A383,Lookup!G$1,B383,Lookup!H$1,H$1,Lookup!I$1)),"no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'10232014-1995-8' and cb."name" = 'Drummond Group Inc.' and cp.product_version_id = pv.product_version_id and pv.product_id = p.product_id and p.vendor_id = vend.vendor_id;</v>
      </c>
      <c r="F383" s="2" t="str">
        <f>IF(AND(NOT(ISBLANK(Drummond!G383)),Drummond!G383&lt;&gt;"N/A"),IF(C383="All",CONCATENATE(Lookup!F$2,D383,Lookup!G$2,B383,Lookup!H$2,H$1,Lookup!I$2),CONCATENATE(Lookup!F$3,D383,Lookup!G$3,B383,Lookup!H$3)),"no url")</f>
        <v>update openchpl.certified_product as cp set transparency_attestation_url = 'http://www.therapservices.net/therap-clinical-for-meaningful-use-2014-5/ ' from (select certified_product_id from (select vend.vendor_code from openchpl.certified_product as cp, openchpl.product_version as pv, openchpl.product as p, openchpl.vendor as vend where cp.acb_certification_id = '10232014-1995-8'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4" spans="1:6" x14ac:dyDescent="0.25">
      <c r="A384" s="2" t="str">
        <f>IF(ISBLANK(Drummond!D384),FALSE,LOOKUP(Drummond!D384,Lookup!$A$2:$B$4))</f>
        <v>Affirmative</v>
      </c>
      <c r="B384" s="2" t="str">
        <f>IF(ISBLANK(Drummond!E384),FALSE,TRIM(Drummond!E384))</f>
        <v>09032015-1301-5</v>
      </c>
      <c r="C384" s="2" t="str">
        <f>IF(ISBLANK(Drummond!F384),FALSE,LOOKUP(Drummond!F384,Lookup!$A$6:$B$7))</f>
        <v>All</v>
      </c>
      <c r="D384" s="2" t="str">
        <f>IF(ISBLANK(Drummond!G384),FALSE,Drummond!G384)</f>
        <v>http://www.thrasys.com/about/</v>
      </c>
      <c r="E384" s="2" t="str">
        <f>IF(NOT(ISBLANK(Drummond!D384)),IF(OR(ISBLANK(Drummond!E384),Drummond!E384="N/A"),"no acb code",CONCATENATE(Lookup!F$1,A384,Lookup!G$1,B384,Lookup!H$1,H$1,Lookup!I$1)),"no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'09032015-1301-5' and cb."name" = 'Drummond Group Inc.' and cp.product_version_id = pv.product_version_id and pv.product_id = p.product_id and p.vendor_id = vend.vendor_id;</v>
      </c>
      <c r="F384" s="2" t="str">
        <f>IF(AND(NOT(ISBLANK(Drummond!G384)),Drummond!G384&lt;&gt;"N/A"),IF(C384="All",CONCATENATE(Lookup!F$2,D384,Lookup!G$2,B384,Lookup!H$2,H$1,Lookup!I$2),CONCATENATE(Lookup!F$3,D384,Lookup!G$3,B384,Lookup!H$3)),"no url")</f>
        <v>update openchpl.certified_product as cp set transparency_attestation_url = 'http://www.thrasys.com/about/' from (select certified_product_id from (select vend.vendor_code from openchpl.certified_product as cp, openchpl.product_version as pv, openchpl.product as p, openchpl.vendor as vend where cp.acb_certification_id = '09032015-1301-5'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5" spans="1:6" x14ac:dyDescent="0.25">
      <c r="A385" s="2" t="str">
        <f>IF(ISBLANK(Drummond!D385),FALSE,LOOKUP(Drummond!D385,Lookup!$A$2:$B$4))</f>
        <v>Affirmative</v>
      </c>
      <c r="B385" s="2" t="str">
        <f>IF(ISBLANK(Drummond!E385),FALSE,TRIM(Drummond!E385))</f>
        <v>09182014-2773-1</v>
      </c>
      <c r="C385" s="2" t="str">
        <f>IF(ISBLANK(Drummond!F385),FALSE,LOOKUP(Drummond!F385,Lookup!$A$6:$B$7))</f>
        <v>All</v>
      </c>
      <c r="D385" s="2" t="str">
        <f>IF(ISBLANK(Drummond!G385),FALSE,Drummond!G385)</f>
        <v>https://www.tranquilmoney.com/disclosure.html</v>
      </c>
      <c r="E385" s="2" t="str">
        <f>IF(NOT(ISBLANK(Drummond!D385)),IF(OR(ISBLANK(Drummond!E385),Drummond!E385="N/A"),"no acb code",CONCATENATE(Lookup!F$1,A385,Lookup!G$1,B385,Lookup!H$1,H$1,Lookup!I$1)),"no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'09182014-2773-1' and cb."name" = 'Drummond Group Inc.' and cp.product_version_id = pv.product_version_id and pv.product_id = p.product_id and p.vendor_id = vend.vendor_id;</v>
      </c>
      <c r="F385" s="2" t="str">
        <f>IF(AND(NOT(ISBLANK(Drummond!G385)),Drummond!G385&lt;&gt;"N/A"),IF(C385="All",CONCATENATE(Lookup!F$2,D385,Lookup!G$2,B385,Lookup!H$2,H$1,Lookup!I$2),CONCATENATE(Lookup!F$3,D385,Lookup!G$3,B385,Lookup!H$3)),"no url")</f>
        <v>update openchpl.certified_product as cp set transparency_attestation_url = 'https://www.tranquilmoney.com/disclosure.html' from (select certified_product_id from (select vend.vendor_code from openchpl.certified_product as cp, openchpl.product_version as pv, openchpl.product as p, openchpl.vendor as vend where cp.acb_certification_id = '09182014-2773-1'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6" spans="1:6" x14ac:dyDescent="0.25">
      <c r="A386" s="2" t="str">
        <f>IF(ISBLANK(Drummond!D386),FALSE,LOOKUP(Drummond!D386,Lookup!$A$2:$B$4))</f>
        <v>Affirmative</v>
      </c>
      <c r="B386" s="2" t="str">
        <f>IF(ISBLANK(Drummond!E386),FALSE,TRIM(Drummond!E386))</f>
        <v>12112014-2589-5</v>
      </c>
      <c r="C386" s="2" t="str">
        <f>IF(ISBLANK(Drummond!F386),FALSE,LOOKUP(Drummond!F386,Lookup!$A$6:$B$7))</f>
        <v>All</v>
      </c>
      <c r="D386" s="2" t="str">
        <f>IF(ISBLANK(Drummond!G386),FALSE,Drummond!G386)</f>
        <v>http://transmed.net/prices/index</v>
      </c>
      <c r="E386" s="2" t="str">
        <f>IF(NOT(ISBLANK(Drummond!D386)),IF(OR(ISBLANK(Drummond!E386),Drummond!E386="N/A"),"no acb code",CONCATENATE(Lookup!F$1,A386,Lookup!G$1,B386,Lookup!H$1,H$1,Lookup!I$1)),"no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'12112014-2589-5' and cb."name" = 'Drummond Group Inc.' and cp.product_version_id = pv.product_version_id and pv.product_id = p.product_id and p.vendor_id = vend.vendor_id;</v>
      </c>
      <c r="F386" s="2" t="str">
        <f>IF(AND(NOT(ISBLANK(Drummond!G386)),Drummond!G386&lt;&gt;"N/A"),IF(C386="All",CONCATENATE(Lookup!F$2,D386,Lookup!G$2,B386,Lookup!H$2,H$1,Lookup!I$2),CONCATENATE(Lookup!F$3,D386,Lookup!G$3,B386,Lookup!H$3)),"no url")</f>
        <v>update openchpl.certified_product as cp set transparency_attestation_url = 'http://transmed.net/prices/index' from (select certified_product_id from (select vend.vendor_code from openchpl.certified_product as cp, openchpl.product_version as pv, openchpl.product as p, openchpl.vendor as vend where cp.acb_certification_id = '12112014-2589-5'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7" spans="1:6" x14ac:dyDescent="0.25">
      <c r="A387" s="2" t="str">
        <f>IF(ISBLANK(Drummond!D387),FALSE,LOOKUP(Drummond!D387,Lookup!$A$2:$B$4))</f>
        <v>Affirmative</v>
      </c>
      <c r="B387" s="2" t="str">
        <f>IF(ISBLANK(Drummond!E387),FALSE,TRIM(Drummond!E387))</f>
        <v>03192015-2996-1</v>
      </c>
      <c r="C387" s="2" t="str">
        <f>IF(ISBLANK(Drummond!F387),FALSE,LOOKUP(Drummond!F387,Lookup!$A$6:$B$7))</f>
        <v>Single</v>
      </c>
      <c r="D387" s="2" t="str">
        <f>IF(ISBLANK(Drummond!G387),FALSE,Drummond!G387)</f>
        <v>http://truvenhealth.com/your-healthcare-focus/hospital-management-decisions/meaningful-use-quality-manager</v>
      </c>
      <c r="E387" s="2" t="str">
        <f>IF(NOT(ISBLANK(Drummond!D387)),IF(OR(ISBLANK(Drummond!E387),Drummond!E387="N/A"),"no acb code",CONCATENATE(Lookup!F$1,A387,Lookup!G$1,B387,Lookup!H$1,H$1,Lookup!I$1)),"no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'03192015-2996-1' and cb."name" = 'Drummond Group Inc.' and cp.product_version_id = pv.product_version_id and pv.product_id = p.product_id and p.vendor_id = vend.vendor_id;</v>
      </c>
      <c r="F387" s="2" t="str">
        <f>IF(AND(NOT(ISBLANK(Drummond!G387)),Drummond!G387&lt;&gt;"N/A"),IF(C387="All",CONCATENATE(Lookup!F$2,D387,Lookup!G$2,B387,Lookup!H$2,H$1,Lookup!I$2),CONCATENATE(Lookup!F$3,D387,Lookup!G$3,B387,Lookup!H$3)),"no url")</f>
        <v>update openchpl.certified_product as cp set transparency_attestation_url = 'http://truvenhealth.com/your-healthcare-focus/hospital-management-decisions/meaningful-use-quality-manager' from (select certified_product_id from openchpl.certified_product as cp where cp.acb_certification_id = '03192015-2996-1') as subquery where cp.certified_product_id = subquery.certified_product_id;</v>
      </c>
    </row>
    <row r="388" spans="1:6" x14ac:dyDescent="0.25">
      <c r="A388" s="2" t="str">
        <f>IF(ISBLANK(Drummond!D388),FALSE,LOOKUP(Drummond!D388,Lookup!$A$2:$B$4))</f>
        <v>Affirmative</v>
      </c>
      <c r="B388" s="2" t="str">
        <f>IF(ISBLANK(Drummond!E388),FALSE,TRIM(Drummond!E388))</f>
        <v>03302015-3002-6</v>
      </c>
      <c r="C388" s="2" t="str">
        <f>IF(ISBLANK(Drummond!F388),FALSE,LOOKUP(Drummond!F388,Lookup!$A$6:$B$7))</f>
        <v>All</v>
      </c>
      <c r="D388" s="2" t="str">
        <f>IF(ISBLANK(Drummond!G388),FALSE,Drummond!G388)</f>
        <v>http://www.twinsailstech.com/</v>
      </c>
      <c r="E388" s="2" t="str">
        <f>IF(NOT(ISBLANK(Drummond!D388)),IF(OR(ISBLANK(Drummond!E388),Drummond!E388="N/A"),"no acb code",CONCATENATE(Lookup!F$1,A388,Lookup!G$1,B388,Lookup!H$1,H$1,Lookup!I$1)),"no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'03302015-3002-6' and cb."name" = 'Drummond Group Inc.' and cp.product_version_id = pv.product_version_id and pv.product_id = p.product_id and p.vendor_id = vend.vendor_id;</v>
      </c>
      <c r="F388" s="2" t="str">
        <f>IF(AND(NOT(ISBLANK(Drummond!G388)),Drummond!G388&lt;&gt;"N/A"),IF(C388="All",CONCATENATE(Lookup!F$2,D388,Lookup!G$2,B388,Lookup!H$2,H$1,Lookup!I$2),CONCATENATE(Lookup!F$3,D388,Lookup!G$3,B388,Lookup!H$3)),"no url")</f>
        <v>update openchpl.certified_product as cp set transparency_attestation_url = 'http://www.twinsailstech.com/' from (select certified_product_id from (select vend.vendor_code from openchpl.certified_product as cp, openchpl.product_version as pv, openchpl.product as p, openchpl.vendor as vend where cp.acb_certification_id = '03302015-3002-6'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9" spans="1:6" x14ac:dyDescent="0.25">
      <c r="A389" s="2" t="str">
        <f>IF(ISBLANK(Drummond!D389),FALSE,LOOKUP(Drummond!D389,Lookup!$A$2:$B$4))</f>
        <v>Affirmative</v>
      </c>
      <c r="B389" s="2" t="str">
        <f>IF(ISBLANK(Drummond!E389),FALSE,TRIM(Drummond!E389))</f>
        <v>09042014-2635-3</v>
      </c>
      <c r="C389" s="2" t="str">
        <f>IF(ISBLANK(Drummond!F389),FALSE,LOOKUP(Drummond!F389,Lookup!$A$6:$B$7))</f>
        <v>All</v>
      </c>
      <c r="D389" s="2" t="str">
        <f>IF(ISBLANK(Drummond!G389),FALSE,Drummond!G389)</f>
        <v>https://umbiedentalcare.com/price_transparency.html</v>
      </c>
      <c r="E389" s="2" t="str">
        <f>IF(NOT(ISBLANK(Drummond!D389)),IF(OR(ISBLANK(Drummond!E389),Drummond!E389="N/A"),"no acb code",CONCATENATE(Lookup!F$1,A389,Lookup!G$1,B389,Lookup!H$1,H$1,Lookup!I$1)),"no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'09042014-2635-3' and cb."name" = 'Drummond Group Inc.' and cp.product_version_id = pv.product_version_id and pv.product_id = p.product_id and p.vendor_id = vend.vendor_id;</v>
      </c>
      <c r="F389" s="2" t="str">
        <f>IF(AND(NOT(ISBLANK(Drummond!G389)),Drummond!G389&lt;&gt;"N/A"),IF(C389="All",CONCATENATE(Lookup!F$2,D389,Lookup!G$2,B389,Lookup!H$2,H$1,Lookup!I$2),CONCATENATE(Lookup!F$3,D389,Lookup!G$3,B389,Lookup!H$3)),"no url")</f>
        <v>update openchpl.certified_product as cp set transparency_attestation_url = 'https://umbiedentalcare.com/price_transparency.html' from (select certified_product_id from (select vend.vendor_code from openchpl.certified_product as cp, openchpl.product_version as pv, openchpl.product as p, openchpl.vendor as vend where cp.acb_certification_id = '09042014-2635-3'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0" spans="1:6" x14ac:dyDescent="0.25">
      <c r="A390" s="2" t="str">
        <f>IF(ISBLANK(Drummond!D390),FALSE,LOOKUP(Drummond!D390,Lookup!$A$2:$B$4))</f>
        <v>Affirmative</v>
      </c>
      <c r="B390" s="2" t="str">
        <f>IF(ISBLANK(Drummond!E390),FALSE,TRIM(Drummond!E390))</f>
        <v>12182014-2604-3</v>
      </c>
      <c r="C390" s="2" t="str">
        <f>IF(ISBLANK(Drummond!F390),FALSE,LOOKUP(Drummond!F390,Lookup!$A$6:$B$7))</f>
        <v>All</v>
      </c>
      <c r="D390" s="2" t="str">
        <f>IF(ISBLANK(Drummond!G390),FALSE,Drummond!G390)</f>
        <v>http://www.unicharts.com/certification.html</v>
      </c>
      <c r="E390" s="2" t="str">
        <f>IF(NOT(ISBLANK(Drummond!D390)),IF(OR(ISBLANK(Drummond!E390),Drummond!E390="N/A"),"no acb code",CONCATENATE(Lookup!F$1,A390,Lookup!G$1,B390,Lookup!H$1,H$1,Lookup!I$1)),"no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'12182014-2604-3' and cb."name" = 'Drummond Group Inc.' and cp.product_version_id = pv.product_version_id and pv.product_id = p.product_id and p.vendor_id = vend.vendor_id;</v>
      </c>
      <c r="F390" s="2" t="str">
        <f>IF(AND(NOT(ISBLANK(Drummond!G390)),Drummond!G390&lt;&gt;"N/A"),IF(C390="All",CONCATENATE(Lookup!F$2,D390,Lookup!G$2,B390,Lookup!H$2,H$1,Lookup!I$2),CONCATENATE(Lookup!F$3,D390,Lookup!G$3,B390,Lookup!H$3)),"no url")</f>
        <v>update openchpl.certified_product as cp set transparency_attestation_url = 'http://www.unicharts.com/certification.html' from (select certified_product_id from (select vend.vendor_code from openchpl.certified_product as cp, openchpl.product_version as pv, openchpl.product as p, openchpl.vendor as vend where cp.acb_certification_id = '12182014-2604-3'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1" spans="1:6" x14ac:dyDescent="0.25">
      <c r="A391" s="2" t="str">
        <f>IF(ISBLANK(Drummond!D391),FALSE,LOOKUP(Drummond!D391,Lookup!$A$2:$B$4))</f>
        <v>Affirmative</v>
      </c>
      <c r="B391" s="2" t="str">
        <f>IF(ISBLANK(Drummond!E391),FALSE,TRIM(Drummond!E391))</f>
        <v>03032014-2238-6</v>
      </c>
      <c r="C391" s="2" t="str">
        <f>IF(ISBLANK(Drummond!F391),FALSE,LOOKUP(Drummond!F391,Lookup!$A$6:$B$7))</f>
        <v>All</v>
      </c>
      <c r="D391" s="2" t="str">
        <f>IF(ISBLANK(Drummond!G391),FALSE,Drummond!G391)</f>
        <v>http://unityware.com/us/about/mu-certification/</v>
      </c>
      <c r="E391" s="2" t="str">
        <f>IF(NOT(ISBLANK(Drummond!D391)),IF(OR(ISBLANK(Drummond!E391),Drummond!E391="N/A"),"no acb code",CONCATENATE(Lookup!F$1,A391,Lookup!G$1,B391,Lookup!H$1,H$1,Lookup!I$1)),"no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'03032014-2238-6' and cb."name" = 'Drummond Group Inc.' and cp.product_version_id = pv.product_version_id and pv.product_id = p.product_id and p.vendor_id = vend.vendor_id;</v>
      </c>
      <c r="F391" s="2" t="str">
        <f>IF(AND(NOT(ISBLANK(Drummond!G391)),Drummond!G391&lt;&gt;"N/A"),IF(C391="All",CONCATENATE(Lookup!F$2,D391,Lookup!G$2,B391,Lookup!H$2,H$1,Lookup!I$2),CONCATENATE(Lookup!F$3,D391,Lookup!G$3,B391,Lookup!H$3)),"no url")</f>
        <v>update openchpl.certified_product as cp set transparency_attestation_url = 'http://unityware.com/us/about/mu-certification/' from (select certified_product_id from (select vend.vendor_code from openchpl.certified_product as cp, openchpl.product_version as pv, openchpl.product as p, openchpl.vendor as vend where cp.acb_certification_id = '03032014-2238-6'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2" spans="1:6" x14ac:dyDescent="0.25">
      <c r="A392" s="2" t="str">
        <f>IF(ISBLANK(Drummond!D392),FALSE,LOOKUP(Drummond!D392,Lookup!$A$2:$B$4))</f>
        <v>Affirmative</v>
      </c>
      <c r="B392" s="2" t="str">
        <f>IF(ISBLANK(Drummond!E392),FALSE,TRIM(Drummond!E392))</f>
        <v>04102015-0178-5</v>
      </c>
      <c r="C392" s="2" t="str">
        <f>IF(ISBLANK(Drummond!F392),FALSE,LOOKUP(Drummond!F392,Lookup!$A$6:$B$7))</f>
        <v>All</v>
      </c>
      <c r="D392" s="2" t="str">
        <f>IF(ISBLANK(Drummond!G392),FALSE,Drummond!G392)</f>
        <v>https://www.updox.com/updox-2014-1-onc-hit-certification</v>
      </c>
      <c r="E392" s="2" t="str">
        <f>IF(NOT(ISBLANK(Drummond!D392)),IF(OR(ISBLANK(Drummond!E392),Drummond!E392="N/A"),"no acb code",CONCATENATE(Lookup!F$1,A392,Lookup!G$1,B392,Lookup!H$1,H$1,Lookup!I$1)),"no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'04102015-0178-5' and cb."name" = 'Drummond Group Inc.' and cp.product_version_id = pv.product_version_id and pv.product_id = p.product_id and p.vendor_id = vend.vendor_id;</v>
      </c>
      <c r="F392" s="2" t="str">
        <f>IF(AND(NOT(ISBLANK(Drummond!G392)),Drummond!G392&lt;&gt;"N/A"),IF(C392="All",CONCATENATE(Lookup!F$2,D392,Lookup!G$2,B392,Lookup!H$2,H$1,Lookup!I$2),CONCATENATE(Lookup!F$3,D392,Lookup!G$3,B392,Lookup!H$3)),"no url")</f>
        <v>update openchpl.certified_product as cp set transparency_attestation_url = 'https://www.updox.com/updox-2014-1-onc-hit-certification' from (select certified_product_id from (select vend.vendor_code from openchpl.certified_product as cp, openchpl.product_version as pv, openchpl.product as p, openchpl.vendor as vend where cp.acb_certification_id = '04102015-0178-5'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3" spans="1:6" x14ac:dyDescent="0.25">
      <c r="A393" s="2" t="str">
        <f>IF(ISBLANK(Drummond!D393),FALSE,LOOKUP(Drummond!D393,Lookup!$A$2:$B$4))</f>
        <v>N/A</v>
      </c>
      <c r="B393" s="2" t="str">
        <f>IF(ISBLANK(Drummond!E393),FALSE,TRIM(Drummond!E393))</f>
        <v>05222014-2648-5</v>
      </c>
      <c r="C393" s="2" t="str">
        <f>IF(ISBLANK(Drummond!F393),FALSE,LOOKUP(Drummond!F393,Lookup!$A$6:$B$7))</f>
        <v>All</v>
      </c>
      <c r="D393" s="2" t="b">
        <f>IF(ISBLANK(Drummond!G393),FALSE,Drummond!G393)</f>
        <v>0</v>
      </c>
      <c r="E393" s="2" t="str">
        <f>IF(NOT(ISBLANK(Drummond!D393)),IF(OR(ISBLANK(Drummond!E393),Drummond!E393="N/A"),"no acb code",CONCATENATE(Lookup!F$1,A393,Lookup!G$1,B393,Lookup!H$1,H$1,Lookup!I$1)),"no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'05222014-2648-5' and cb."name" = 'Drummond Group Inc.' and cp.product_version_id = pv.product_version_id and pv.product_id = p.product_id and p.vendor_id = vend.vendor_id;</v>
      </c>
      <c r="F393" s="2" t="str">
        <f>IF(AND(NOT(ISBLANK(Drummond!G393)),Drummond!G393&lt;&gt;"N/A"),IF(C393="All",CONCATENATE(Lookup!F$2,D393,Lookup!G$2,B393,Lookup!H$2,H$1,Lookup!I$2),CONCATENATE(Lookup!F$3,D393,Lookup!G$3,B393,Lookup!H$3)),"no url")</f>
        <v>no url</v>
      </c>
    </row>
    <row r="394" spans="1:6" x14ac:dyDescent="0.25">
      <c r="A394" s="2" t="str">
        <f>IF(ISBLANK(Drummond!D394),FALSE,LOOKUP(Drummond!D394,Lookup!$A$2:$B$4))</f>
        <v>Affirmative</v>
      </c>
      <c r="B394" s="2" t="str">
        <f>IF(ISBLANK(Drummond!E394),FALSE,TRIM(Drummond!E394))</f>
        <v>12302014-2940-3</v>
      </c>
      <c r="C394" s="2" t="str">
        <f>IF(ISBLANK(Drummond!F394),FALSE,LOOKUP(Drummond!F394,Lookup!$A$6:$B$7))</f>
        <v>All</v>
      </c>
      <c r="D394" s="2" t="str">
        <f>IF(ISBLANK(Drummond!G394),FALSE,Drummond!G394)</f>
        <v>http://www.vmsehr.com/#&amp;panel1-1</v>
      </c>
      <c r="E394" s="2" t="str">
        <f>IF(NOT(ISBLANK(Drummond!D394)),IF(OR(ISBLANK(Drummond!E394),Drummond!E394="N/A"),"no acb code",CONCATENATE(Lookup!F$1,A394,Lookup!G$1,B394,Lookup!H$1,H$1,Lookup!I$1)),"no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'12302014-2940-3' and cb."name" = 'Drummond Group Inc.' and cp.product_version_id = pv.product_version_id and pv.product_id = p.product_id and p.vendor_id = vend.vendor_id;</v>
      </c>
      <c r="F394" s="2" t="str">
        <f>IF(AND(NOT(ISBLANK(Drummond!G394)),Drummond!G394&lt;&gt;"N/A"),IF(C394="All",CONCATENATE(Lookup!F$2,D394,Lookup!G$2,B394,Lookup!H$2,H$1,Lookup!I$2),CONCATENATE(Lookup!F$3,D394,Lookup!G$3,B394,Lookup!H$3)),"no url")</f>
        <v>update openchpl.certified_product as cp set transparency_attestation_url = 'http://www.vmsehr.com/#&amp;panel1-1' from (select certified_product_id from (select vend.vendor_code from openchpl.certified_product as cp, openchpl.product_version as pv, openchpl.product as p, openchpl.vendor as vend where cp.acb_certification_id = '12302014-2940-3'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5" spans="1:6" x14ac:dyDescent="0.25">
      <c r="A395" s="2" t="str">
        <f>IF(ISBLANK(Drummond!D395),FALSE,LOOKUP(Drummond!D395,Lookup!$A$2:$B$4))</f>
        <v>Affirmative</v>
      </c>
      <c r="B395" s="2" t="str">
        <f>IF(ISBLANK(Drummond!E395),FALSE,TRIM(Drummond!E395))</f>
        <v>08202015-2923-5</v>
      </c>
      <c r="C395" s="2" t="str">
        <f>IF(ISBLANK(Drummond!F395),FALSE,LOOKUP(Drummond!F395,Lookup!$A$6:$B$7))</f>
        <v>All</v>
      </c>
      <c r="D395" s="2" t="str">
        <f>IF(ISBLANK(Drummond!G395),FALSE,Drummond!G395)</f>
        <v>http://www.vigiboss.com/md4front/ehr-meaningful-use-certification/</v>
      </c>
      <c r="E395" s="2" t="str">
        <f>IF(NOT(ISBLANK(Drummond!D395)),IF(OR(ISBLANK(Drummond!E395),Drummond!E395="N/A"),"no acb code",CONCATENATE(Lookup!F$1,A395,Lookup!G$1,B395,Lookup!H$1,H$1,Lookup!I$1)),"no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'08202015-2923-5' and cb."name" = 'Drummond Group Inc.' and cp.product_version_id = pv.product_version_id and pv.product_id = p.product_id and p.vendor_id = vend.vendor_id;</v>
      </c>
      <c r="F395" s="2" t="str">
        <f>IF(AND(NOT(ISBLANK(Drummond!G395)),Drummond!G395&lt;&gt;"N/A"),IF(C395="All",CONCATENATE(Lookup!F$2,D395,Lookup!G$2,B395,Lookup!H$2,H$1,Lookup!I$2),CONCATENATE(Lookup!F$3,D395,Lookup!G$3,B395,Lookup!H$3)),"no url")</f>
        <v>update openchpl.certified_product as cp set transparency_attestation_url = 'http://www.vigiboss.com/md4front/ehr-meaningful-use-certification/' from (select certified_product_id from (select vend.vendor_code from openchpl.certified_product as cp, openchpl.product_version as pv, openchpl.product as p, openchpl.vendor as vend where cp.acb_certification_id = '08202015-2923-5'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6" spans="1:6" x14ac:dyDescent="0.25">
      <c r="A396" s="2" t="str">
        <f>IF(ISBLANK(Drummond!D396),FALSE,LOOKUP(Drummond!D396,Lookup!$A$2:$B$4))</f>
        <v>Affirmative</v>
      </c>
      <c r="B396" s="2" t="str">
        <f>IF(ISBLANK(Drummond!E396),FALSE,TRIM(Drummond!E396))</f>
        <v>12302014-2541-6</v>
      </c>
      <c r="C396" s="2" t="str">
        <f>IF(ISBLANK(Drummond!F396),FALSE,LOOKUP(Drummond!F396,Lookup!$A$6:$B$7))</f>
        <v>All</v>
      </c>
      <c r="D396" s="2" t="str">
        <f>IF(ISBLANK(Drummond!G396),FALSE,Drummond!G396)</f>
        <v>http://visiontree.com/information/newsevents/meaningfuluse/</v>
      </c>
      <c r="E396" s="2" t="str">
        <f>IF(NOT(ISBLANK(Drummond!D396)),IF(OR(ISBLANK(Drummond!E396),Drummond!E396="N/A"),"no acb code",CONCATENATE(Lookup!F$1,A396,Lookup!G$1,B396,Lookup!H$1,H$1,Lookup!I$1)),"no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'12302014-2541-6' and cb."name" = 'Drummond Group Inc.' and cp.product_version_id = pv.product_version_id and pv.product_id = p.product_id and p.vendor_id = vend.vendor_id;</v>
      </c>
      <c r="F396" s="2" t="str">
        <f>IF(AND(NOT(ISBLANK(Drummond!G396)),Drummond!G396&lt;&gt;"N/A"),IF(C396="All",CONCATENATE(Lookup!F$2,D396,Lookup!G$2,B396,Lookup!H$2,H$1,Lookup!I$2),CONCATENATE(Lookup!F$3,D396,Lookup!G$3,B396,Lookup!H$3)),"no url")</f>
        <v>update openchpl.certified_product as cp set transparency_attestation_url = 'http://visiontree.com/information/newsevents/meaningfuluse/' from (select certified_product_id from (select vend.vendor_code from openchpl.certified_product as cp, openchpl.product_version as pv, openchpl.product as p, openchpl.vendor as vend where cp.acb_certification_id = '12302014-2541-6'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7" spans="1:6" x14ac:dyDescent="0.25">
      <c r="A397" s="2" t="str">
        <f>IF(ISBLANK(Drummond!D397),FALSE,LOOKUP(Drummond!D397,Lookup!$A$2:$B$4))</f>
        <v>Affirmative</v>
      </c>
      <c r="B397" s="2" t="str">
        <f>IF(ISBLANK(Drummond!E397),FALSE,TRIM(Drummond!E397))</f>
        <v>04232015-2971-8</v>
      </c>
      <c r="C397" s="2" t="str">
        <f>IF(ISBLANK(Drummond!F397),FALSE,LOOKUP(Drummond!F397,Lookup!$A$6:$B$7))</f>
        <v>All</v>
      </c>
      <c r="D397" s="2" t="str">
        <f>IF(ISBLANK(Drummond!G397),FALSE,Drummond!G397)</f>
        <v>http://www.startyouruprise.com/certification</v>
      </c>
      <c r="E397" s="2" t="str">
        <f>IF(NOT(ISBLANK(Drummond!D397)),IF(OR(ISBLANK(Drummond!E397),Drummond!E397="N/A"),"no acb code",CONCATENATE(Lookup!F$1,A397,Lookup!G$1,B397,Lookup!H$1,H$1,Lookup!I$1)),"no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'04232015-2971-8' and cb."name" = 'Drummond Group Inc.' and cp.product_version_id = pv.product_version_id and pv.product_id = p.product_id and p.vendor_id = vend.vendor_id;</v>
      </c>
      <c r="F397" s="2" t="str">
        <f>IF(AND(NOT(ISBLANK(Drummond!G397)),Drummond!G397&lt;&gt;"N/A"),IF(C397="All",CONCATENATE(Lookup!F$2,D397,Lookup!G$2,B397,Lookup!H$2,H$1,Lookup!I$2),CONCATENATE(Lookup!F$3,D397,Lookup!G$3,B397,Lookup!H$3)),"no url")</f>
        <v>update openchpl.certified_product as cp set transparency_attestation_url = 'http://www.startyouruprise.com/certification' from (select certified_product_id from (select vend.vendor_code from openchpl.certified_product as cp, openchpl.product_version as pv, openchpl.product as p, openchpl.vendor as vend where cp.acb_certification_id = '04232015-2971-8'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8" spans="1:6" x14ac:dyDescent="0.25">
      <c r="A398" s="2" t="str">
        <f>IF(ISBLANK(Drummond!D398),FALSE,LOOKUP(Drummond!D398,Lookup!$A$2:$B$4))</f>
        <v>Affirmative</v>
      </c>
      <c r="B398" s="2" t="str">
        <f>IF(ISBLANK(Drummond!E398),FALSE,TRIM(Drummond!E398))</f>
        <v>08072014-2569-3</v>
      </c>
      <c r="C398" s="2" t="str">
        <f>IF(ISBLANK(Drummond!F398),FALSE,LOOKUP(Drummond!F398,Lookup!$A$6:$B$7))</f>
        <v>All</v>
      </c>
      <c r="D398" s="2" t="str">
        <f>IF(ISBLANK(Drummond!G398),FALSE,Drummond!G398)</f>
        <v>http://visualoutcomes.com/meaningful_use.html</v>
      </c>
      <c r="E398" s="2" t="str">
        <f>IF(NOT(ISBLANK(Drummond!D398)),IF(OR(ISBLANK(Drummond!E398),Drummond!E398="N/A"),"no acb code",CONCATENATE(Lookup!F$1,A398,Lookup!G$1,B398,Lookup!H$1,H$1,Lookup!I$1)),"no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'08072014-2569-3' and cb."name" = 'Drummond Group Inc.' and cp.product_version_id = pv.product_version_id and pv.product_id = p.product_id and p.vendor_id = vend.vendor_id;</v>
      </c>
      <c r="F398" s="2" t="str">
        <f>IF(AND(NOT(ISBLANK(Drummond!G398)),Drummond!G398&lt;&gt;"N/A"),IF(C398="All",CONCATENATE(Lookup!F$2,D398,Lookup!G$2,B398,Lookup!H$2,H$1,Lookup!I$2),CONCATENATE(Lookup!F$3,D398,Lookup!G$3,B398,Lookup!H$3)),"no url")</f>
        <v>update openchpl.certified_product as cp set transparency_attestation_url = 'http://visualoutcomes.com/meaningful_use.html' from (select certified_product_id from (select vend.vendor_code from openchpl.certified_product as cp, openchpl.product_version as pv, openchpl.product as p, openchpl.vendor as vend where cp.acb_certification_id = '08072014-2569-3'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9" spans="1:6" x14ac:dyDescent="0.25">
      <c r="A399" s="2" t="str">
        <f>IF(ISBLANK(Drummond!D399),FALSE,LOOKUP(Drummond!D399,Lookup!$A$2:$B$4))</f>
        <v>Affirmative</v>
      </c>
      <c r="B399" s="2" t="str">
        <f>IF(ISBLANK(Drummond!E399),FALSE,TRIM(Drummond!E399))</f>
        <v>06252015-0212-5</v>
      </c>
      <c r="C399" s="2" t="str">
        <f>IF(ISBLANK(Drummond!F399),FALSE,LOOKUP(Drummond!F399,Lookup!$A$6:$B$7))</f>
        <v>All</v>
      </c>
      <c r="D399" s="2" t="str">
        <f>IF(ISBLANK(Drummond!G399),FALSE,Drummond!G399)</f>
        <v xml:space="preserve"> http://ismartehr.com/</v>
      </c>
      <c r="E399" s="2" t="str">
        <f>IF(NOT(ISBLANK(Drummond!D399)),IF(OR(ISBLANK(Drummond!E399),Drummond!E399="N/A"),"no acb code",CONCATENATE(Lookup!F$1,A399,Lookup!G$1,B399,Lookup!H$1,H$1,Lookup!I$1)),"no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'06252015-0212-5' and cb."name" = 'Drummond Group Inc.' and cp.product_version_id = pv.product_version_id and pv.product_id = p.product_id and p.vendor_id = vend.vendor_id;</v>
      </c>
      <c r="F399" s="2" t="str">
        <f>IF(AND(NOT(ISBLANK(Drummond!G399)),Drummond!G399&lt;&gt;"N/A"),IF(C399="All",CONCATENATE(Lookup!F$2,D399,Lookup!G$2,B399,Lookup!H$2,H$1,Lookup!I$2),CONCATENATE(Lookup!F$3,D399,Lookup!G$3,B399,Lookup!H$3)),"no url")</f>
        <v>update openchpl.certified_product as cp set transparency_attestation_url = ' http://ismartehr.com/' from (select certified_product_id from (select vend.vendor_code from openchpl.certified_product as cp, openchpl.product_version as pv, openchpl.product as p, openchpl.vendor as vend where cp.acb_certification_id = '06252015-0212-5'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0" spans="1:6" x14ac:dyDescent="0.25">
      <c r="A400" s="2" t="str">
        <f>IF(ISBLANK(Drummond!D400),FALSE,LOOKUP(Drummond!D400,Lookup!$A$2:$B$4))</f>
        <v>Affirmative</v>
      </c>
      <c r="B400" s="2" t="str">
        <f>IF(ISBLANK(Drummond!E400),FALSE,TRIM(Drummond!E400))</f>
        <v>05212015-3005-6</v>
      </c>
      <c r="C400" s="2" t="str">
        <f>IF(ISBLANK(Drummond!F400),FALSE,LOOKUP(Drummond!F400,Lookup!$A$6:$B$7))</f>
        <v>All</v>
      </c>
      <c r="D400" s="2" t="str">
        <f>IF(ISBLANK(Drummond!G400),FALSE,Drummond!G400)</f>
        <v>http://www.welligent.com/meaningful-use/</v>
      </c>
      <c r="E400" s="2" t="str">
        <f>IF(NOT(ISBLANK(Drummond!D400)),IF(OR(ISBLANK(Drummond!E400),Drummond!E400="N/A"),"no acb code",CONCATENATE(Lookup!F$1,A400,Lookup!G$1,B400,Lookup!H$1,H$1,Lookup!I$1)),"no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'05212015-3005-6' and cb."name" = 'Drummond Group Inc.' and cp.product_version_id = pv.product_version_id and pv.product_id = p.product_id and p.vendor_id = vend.vendor_id;</v>
      </c>
      <c r="F400" s="2" t="str">
        <f>IF(AND(NOT(ISBLANK(Drummond!G400)),Drummond!G400&lt;&gt;"N/A"),IF(C400="All",CONCATENATE(Lookup!F$2,D400,Lookup!G$2,B400,Lookup!H$2,H$1,Lookup!I$2),CONCATENATE(Lookup!F$3,D400,Lookup!G$3,B400,Lookup!H$3)),"no url")</f>
        <v>update openchpl.certified_product as cp set transparency_attestation_url = 'http://www.welligent.com/meaningful-use/' from (select certified_product_id from (select vend.vendor_code from openchpl.certified_product as cp, openchpl.product_version as pv, openchpl.product as p, openchpl.vendor as vend where cp.acb_certification_id = '05212015-3005-6'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1" spans="1:6" x14ac:dyDescent="0.25">
      <c r="A401" s="2" t="str">
        <f>IF(ISBLANK(Drummond!D401),FALSE,LOOKUP(Drummond!D401,Lookup!$A$2:$B$4))</f>
        <v>Affirmative</v>
      </c>
      <c r="B401" s="2" t="str">
        <f>IF(ISBLANK(Drummond!E401),FALSE,TRIM(Drummond!E401))</f>
        <v>09042014-1930-5</v>
      </c>
      <c r="C401" s="2" t="str">
        <f>IF(ISBLANK(Drummond!F401),FALSE,LOOKUP(Drummond!F401,Lookup!$A$6:$B$7))</f>
        <v>All</v>
      </c>
      <c r="D401" s="2" t="str">
        <f>IF(ISBLANK(Drummond!G401),FALSE,Drummond!G401)</f>
        <v>http://www.practicedirector.com/</v>
      </c>
      <c r="E401" s="2" t="str">
        <f>IF(NOT(ISBLANK(Drummond!D401)),IF(OR(ISBLANK(Drummond!E401),Drummond!E401="N/A"),"no acb code",CONCATENATE(Lookup!F$1,A401,Lookup!G$1,B401,Lookup!H$1,H$1,Lookup!I$1)),"no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'09042014-1930-5' and cb."name" = 'Drummond Group Inc.' and cp.product_version_id = pv.product_version_id and pv.product_id = p.product_id and p.vendor_id = vend.vendor_id;</v>
      </c>
      <c r="F401" s="2" t="str">
        <f>IF(AND(NOT(ISBLANK(Drummond!G401)),Drummond!G401&lt;&gt;"N/A"),IF(C401="All",CONCATENATE(Lookup!F$2,D401,Lookup!G$2,B401,Lookup!H$2,H$1,Lookup!I$2),CONCATENATE(Lookup!F$3,D401,Lookup!G$3,B401,Lookup!H$3)),"no url")</f>
        <v>update openchpl.certified_product as cp set transparency_attestation_url = 'http://www.practicedirector.com/' from (select certified_product_id from (select vend.vendor_code from openchpl.certified_product as cp, openchpl.product_version as pv, openchpl.product as p, openchpl.vendor as vend where cp.acb_certification_id = '09042014-1930-5'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2" spans="1:6" x14ac:dyDescent="0.25">
      <c r="A402" s="2" t="str">
        <f>IF(ISBLANK(Drummond!D402),FALSE,LOOKUP(Drummond!D402,Lookup!$A$2:$B$4))</f>
        <v>Affirmative</v>
      </c>
      <c r="B402" s="2" t="str">
        <f>IF(ISBLANK(Drummond!E402),FALSE,TRIM(Drummond!E402))</f>
        <v>08132015-0402-1</v>
      </c>
      <c r="C402" s="2" t="str">
        <f>IF(ISBLANK(Drummond!F402),FALSE,LOOKUP(Drummond!F402,Lookup!$A$6:$B$7))</f>
        <v>All</v>
      </c>
      <c r="D402" s="2" t="str">
        <f>IF(ISBLANK(Drummond!G402),FALSE,Drummond!G402)</f>
        <v>http://www.medhost.com/about-us/yourcareuniverse-certification</v>
      </c>
      <c r="E402" s="2" t="str">
        <f>IF(NOT(ISBLANK(Drummond!D402)),IF(OR(ISBLANK(Drummond!E402),Drummond!E402="N/A"),"no acb code",CONCATENATE(Lookup!F$1,A402,Lookup!G$1,B402,Lookup!H$1,H$1,Lookup!I$1)),"no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'08132015-0402-1' and cb."name" = 'Drummond Group Inc.' and cp.product_version_id = pv.product_version_id and pv.product_id = p.product_id and p.vendor_id = vend.vendor_id;</v>
      </c>
      <c r="F402" s="2" t="str">
        <f>IF(AND(NOT(ISBLANK(Drummond!G402)),Drummond!G402&lt;&gt;"N/A"),IF(C402="All",CONCATENATE(Lookup!F$2,D402,Lookup!G$2,B402,Lookup!H$2,H$1,Lookup!I$2),CONCATENATE(Lookup!F$3,D402,Lookup!G$3,B402,Lookup!H$3)),"no url")</f>
        <v>update openchpl.certified_product as cp set transparency_attestation_url = 'http://www.medhost.com/about-us/yourcareuniverse-certification' from (select certified_product_id from (select vend.vendor_code from openchpl.certified_product as cp, openchpl.product_version as pv, openchpl.product as p, openchpl.vendor as vend where cp.acb_certification_id = '08132015-0402-1'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3" spans="1:6" x14ac:dyDescent="0.25">
      <c r="A403" s="2" t="str">
        <f>IF(ISBLANK(Drummond!D403),FALSE,LOOKUP(Drummond!D403,Lookup!$A$2:$B$4))</f>
        <v>Affirmative</v>
      </c>
      <c r="B403" s="2" t="str">
        <f>IF(ISBLANK(Drummond!E403),FALSE,TRIM(Drummond!E403))</f>
        <v>12112015-5321-5</v>
      </c>
      <c r="C403" s="2" t="str">
        <f>IF(ISBLANK(Drummond!F403),FALSE,LOOKUP(Drummond!F403,Lookup!$A$6:$B$7))</f>
        <v>Single</v>
      </c>
      <c r="D403" s="2" t="str">
        <f>IF(ISBLANK(Drummond!G403),FALSE,Drummond!G403)</f>
        <v>http://www.medhost.com/about-us/yourcareuniverse-certification</v>
      </c>
      <c r="E403" s="2" t="str">
        <f>IF(NOT(ISBLANK(Drummond!D403)),IF(OR(ISBLANK(Drummond!E403),Drummond!E403="N/A"),"no acb code",CONCATENATE(Lookup!F$1,A403,Lookup!G$1,B403,Lookup!H$1,H$1,Lookup!I$1)),"no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'12112015-5321-5' and cb."name" = 'Drummond Group Inc.' and cp.product_version_id = pv.product_version_id and pv.product_id = p.product_id and p.vendor_id = vend.vendor_id;</v>
      </c>
      <c r="F403" s="2" t="str">
        <f>IF(AND(NOT(ISBLANK(Drummond!G403)),Drummond!G403&lt;&gt;"N/A"),IF(C403="All",CONCATENATE(Lookup!F$2,D403,Lookup!G$2,B403,Lookup!H$2,H$1,Lookup!I$2),CONCATENATE(Lookup!F$3,D403,Lookup!G$3,B403,Lookup!H$3)),"no url")</f>
        <v>update openchpl.certified_product as cp set transparency_attestation_url = 'http://www.medhost.com/about-us/yourcareuniverse-certification' from (select certified_product_id from openchpl.certified_product as cp where cp.acb_certification_id = '12112015-5321-5') as subquery where cp.certified_product_id = subquery.certified_product_id;</v>
      </c>
    </row>
    <row r="404" spans="1:6" x14ac:dyDescent="0.25">
      <c r="A404" s="2" t="str">
        <f>IF(ISBLANK(Drummond!D404),FALSE,LOOKUP(Drummond!D404,Lookup!$A$2:$B$4))</f>
        <v>Affirmative</v>
      </c>
      <c r="B404" s="2" t="str">
        <f>IF(ISBLANK(Drummond!E404),FALSE,TRIM(Drummond!E404))</f>
        <v>12182014-2615-1</v>
      </c>
      <c r="C404" s="2" t="str">
        <f>IF(ISBLANK(Drummond!F404),FALSE,LOOKUP(Drummond!F404,Lookup!$A$6:$B$7))</f>
        <v>All</v>
      </c>
      <c r="D404" s="2" t="str">
        <f>IF(ISBLANK(Drummond!G404),FALSE,Drummond!G404)</f>
        <v>http://info.digichart.com/drummond-certified</v>
      </c>
      <c r="E404" s="2" t="str">
        <f>IF(NOT(ISBLANK(Drummond!D404)),IF(OR(ISBLANK(Drummond!E404),Drummond!E404="N/A"),"no acb code",CONCATENATE(Lookup!F$1,A404,Lookup!G$1,B404,Lookup!H$1,H$1,Lookup!I$1)),"no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'12182014-2615-1' and cb."name" = 'Drummond Group Inc.' and cp.product_version_id = pv.product_version_id and pv.product_id = p.product_id and p.vendor_id = vend.vendor_id;</v>
      </c>
      <c r="F404" s="2" t="str">
        <f>IF(AND(NOT(ISBLANK(Drummond!G404)),Drummond!G404&lt;&gt;"N/A"),IF(C404="All",CONCATENATE(Lookup!F$2,D404,Lookup!G$2,B404,Lookup!H$2,H$1,Lookup!I$2),CONCATENATE(Lookup!F$3,D404,Lookup!G$3,B404,Lookup!H$3)),"no url")</f>
        <v>update openchpl.certified_product as cp set transparency_attestation_url = 'http://info.digichart.com/drummond-certified' from (select certified_product_id from (select vend.vendor_code from openchpl.certified_product as cp, openchpl.product_version as pv, openchpl.product as p, openchpl.vendor as vend where cp.acb_certification_id = '12182014-2615-1'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5" spans="1:6" x14ac:dyDescent="0.25">
      <c r="A405" s="2" t="str">
        <f>IF(ISBLANK(Drummond!D405),FALSE,LOOKUP(Drummond!D405,Lookup!$A$2:$B$4))</f>
        <v>Affirmative</v>
      </c>
      <c r="B405" s="2" t="str">
        <f>IF(ISBLANK(Drummond!E405),FALSE,TRIM(Drummond!E405))</f>
        <v>07312014-3001-1</v>
      </c>
      <c r="C405" s="2" t="str">
        <f>IF(ISBLANK(Drummond!F405),FALSE,LOOKUP(Drummond!F405,Lookup!$A$6:$B$7))</f>
        <v>All</v>
      </c>
      <c r="D405" s="2" t="str">
        <f>IF(ISBLANK(Drummond!G405),FALSE,Drummond!G405)</f>
        <v>https://www.eclinicalworks.com/resources/meaningful-use-disclosure/</v>
      </c>
      <c r="E405" s="2" t="str">
        <f>IF(NOT(ISBLANK(Drummond!D405)),IF(OR(ISBLANK(Drummond!E405),Drummond!E405="N/A"),"no acb code",CONCATENATE(Lookup!F$1,A405,Lookup!G$1,B405,Lookup!H$1,H$1,Lookup!I$1)),"no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'07312014-3001-1' and cb."name" = 'Drummond Group Inc.' and cp.product_version_id = pv.product_version_id and pv.product_id = p.product_id and p.vendor_id = vend.vendor_id;</v>
      </c>
      <c r="F405" s="2" t="str">
        <f>IF(AND(NOT(ISBLANK(Drummond!G405)),Drummond!G405&lt;&gt;"N/A"),IF(C405="All",CONCATENATE(Lookup!F$2,D405,Lookup!G$2,B405,Lookup!H$2,H$1,Lookup!I$2),CONCATENATE(Lookup!F$3,D405,Lookup!G$3,B405,Lookup!H$3)),"no url")</f>
        <v>update openchpl.certified_product as cp set transparency_attestation_url = 'https://www.eclinicalworks.com/resources/meaningful-use-disclosure/' from (select certified_product_id from (select vend.vendor_code from openchpl.certified_product as cp, openchpl.product_version as pv, openchpl.product as p, openchpl.vendor as vend where cp.acb_certification_id = '07312014-3001-1'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6" spans="1:6" x14ac:dyDescent="0.25">
      <c r="A406" s="2" t="str">
        <f>IF(ISBLANK(Drummond!D406),FALSE,LOOKUP(Drummond!D406,Lookup!$A$2:$B$4))</f>
        <v>Affirmative</v>
      </c>
      <c r="B406" s="2" t="str">
        <f>IF(ISBLANK(Drummond!E406),FALSE,TRIM(Drummond!E406))</f>
        <v>07162015-0295-1</v>
      </c>
      <c r="C406" s="2" t="str">
        <f>IF(ISBLANK(Drummond!F406),FALSE,LOOKUP(Drummond!F406,Lookup!$A$6:$B$7))</f>
        <v>All</v>
      </c>
      <c r="D406" s="2" t="str">
        <f>IF(ISBLANK(Drummond!G406),FALSE,Drummond!G406)</f>
        <v>https://www.mywellnessbuddy.com/learn-more</v>
      </c>
      <c r="E406" s="2" t="str">
        <f>IF(NOT(ISBLANK(Drummond!D406)),IF(OR(ISBLANK(Drummond!E406),Drummond!E406="N/A"),"no acb code",CONCATENATE(Lookup!F$1,A406,Lookup!G$1,B406,Lookup!H$1,H$1,Lookup!I$1)),"no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'07162015-0295-1' and cb."name" = 'Drummond Group Inc.' and cp.product_version_id = pv.product_version_id and pv.product_id = p.product_id and p.vendor_id = vend.vendor_id;</v>
      </c>
      <c r="F406" s="2" t="str">
        <f>IF(AND(NOT(ISBLANK(Drummond!G406)),Drummond!G406&lt;&gt;"N/A"),IF(C406="All",CONCATENATE(Lookup!F$2,D406,Lookup!G$2,B406,Lookup!H$2,H$1,Lookup!I$2),CONCATENATE(Lookup!F$3,D406,Lookup!G$3,B406,Lookup!H$3)),"no url")</f>
        <v>update openchpl.certified_product as cp set transparency_attestation_url = 'https://www.mywellnessbuddy.com/learn-more' from (select certified_product_id from (select vend.vendor_code from openchpl.certified_product as cp, openchpl.product_version as pv, openchpl.product as p, openchpl.vendor as vend where cp.acb_certification_id = '07162015-0295-1'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7" spans="1:6" x14ac:dyDescent="0.25">
      <c r="A407" s="2" t="str">
        <f>IF(ISBLANK(Drummond!D407),FALSE,LOOKUP(Drummond!D407,Lookup!$A$2:$B$4))</f>
        <v>Affirmative</v>
      </c>
      <c r="B407" s="2" t="str">
        <f>IF(ISBLANK(Drummond!E407),FALSE,TRIM(Drummond!E407))</f>
        <v>09302014-2752-6</v>
      </c>
      <c r="C407" s="2" t="str">
        <f>IF(ISBLANK(Drummond!F407),FALSE,LOOKUP(Drummond!F407,Lookup!$A$6:$B$7))</f>
        <v>All</v>
      </c>
      <c r="D407" s="2" t="str">
        <f>IF(ISBLANK(Drummond!G407),FALSE,Drummond!G407)</f>
        <v>http://medq.com/ehr.html</v>
      </c>
      <c r="E407" s="2" t="str">
        <f>IF(NOT(ISBLANK(Drummond!D407)),IF(OR(ISBLANK(Drummond!E407),Drummond!E407="N/A"),"no acb code",CONCATENATE(Lookup!F$1,A407,Lookup!G$1,B407,Lookup!H$1,H$1,Lookup!I$1)),"no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'09302014-2752-6' and cb."name" = 'Drummond Group Inc.' and cp.product_version_id = pv.product_version_id and pv.product_id = p.product_id and p.vendor_id = vend.vendor_id;</v>
      </c>
      <c r="F407" s="2" t="str">
        <f>IF(AND(NOT(ISBLANK(Drummond!G407)),Drummond!G407&lt;&gt;"N/A"),IF(C407="All",CONCATENATE(Lookup!F$2,D407,Lookup!G$2,B407,Lookup!H$2,H$1,Lookup!I$2),CONCATENATE(Lookup!F$3,D407,Lookup!G$3,B407,Lookup!H$3)),"no url")</f>
        <v>update openchpl.certified_product as cp set transparency_attestation_url = 'http://medq.com/ehr.html' from (select certified_product_id from (select vend.vendor_code from openchpl.certified_product as cp, openchpl.product_version as pv, openchpl.product as p, openchpl.vendor as vend where cp.acb_certification_id = '09302014-2752-6'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8" spans="1:6" x14ac:dyDescent="0.25">
      <c r="A408" s="2" t="str">
        <f>IF(ISBLANK(Drummond!D408),FALSE,LOOKUP(Drummond!D408,Lookup!$A$2:$B$4))</f>
        <v>Affirmative</v>
      </c>
      <c r="B408" s="2" t="str">
        <f>IF(ISBLANK(Drummond!E408),FALSE,TRIM(Drummond!E408))</f>
        <v>09182014-2528-8</v>
      </c>
      <c r="C408" s="2" t="str">
        <f>IF(ISBLANK(Drummond!F408),FALSE,LOOKUP(Drummond!F408,Lookup!$A$6:$B$7))</f>
        <v>All</v>
      </c>
      <c r="D408" s="2" t="str">
        <f>IF(ISBLANK(Drummond!G408),FALSE,Drummond!G408)</f>
        <v>http://veedis.com/</v>
      </c>
      <c r="E408" s="2" t="str">
        <f>IF(NOT(ISBLANK(Drummond!D408)),IF(OR(ISBLANK(Drummond!E408),Drummond!E408="N/A"),"no acb code",CONCATENATE(Lookup!F$1,A408,Lookup!G$1,B408,Lookup!H$1,H$1,Lookup!I$1)),"no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'09182014-2528-8' and cb."name" = 'Drummond Group Inc.' and cp.product_version_id = pv.product_version_id and pv.product_id = p.product_id and p.vendor_id = vend.vendor_id;</v>
      </c>
      <c r="F408" s="2" t="str">
        <f>IF(AND(NOT(ISBLANK(Drummond!G408)),Drummond!G408&lt;&gt;"N/A"),IF(C408="All",CONCATENATE(Lookup!F$2,D408,Lookup!G$2,B408,Lookup!H$2,H$1,Lookup!I$2),CONCATENATE(Lookup!F$3,D408,Lookup!G$3,B408,Lookup!H$3)),"no url")</f>
        <v>update openchpl.certified_product as cp set transparency_attestation_url = 'http://veedis.com/' from (select certified_product_id from (select vend.vendor_code from openchpl.certified_product as cp, openchpl.product_version as pv, openchpl.product as p, openchpl.vendor as vend where cp.acb_certification_id = '09182014-2528-8'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9" spans="1:6" hidden="1" x14ac:dyDescent="0.25">
      <c r="A409" s="2" t="b">
        <f>IF(ISBLANK(Drummond!D409),FALSE,LOOKUP(Drummond!D409,Lookup!$A$2:$B$4))</f>
        <v>0</v>
      </c>
      <c r="B409" s="2" t="b">
        <f>IF(ISBLANK(Drummond!E409),FALSE,TRIM(Drummond!E409))</f>
        <v>0</v>
      </c>
      <c r="C409" s="2" t="b">
        <f>IF(ISBLANK(Drummond!F409),FALSE,LOOKUP(Drummond!F409,Lookup!$A$6:$B$7))</f>
        <v>0</v>
      </c>
      <c r="D409" s="2" t="b">
        <f>IF(ISBLANK(Drummond!G409),FALSE,Drummond!G409)</f>
        <v>0</v>
      </c>
      <c r="E409" s="2" t="str">
        <f>IF(NOT(ISBLANK(Drummond!D409)),IF(OR(ISBLANK(Drummond!E409),Drummond!E409="N/A"),"no acb code",CONCATENATE(Lookup!F$1,A409,Lookup!G$1,B409,Lookup!H$1,H$1,Lookup!I$1)),"no attestation")</f>
        <v>no attestation</v>
      </c>
      <c r="F409" s="2" t="str">
        <f>IF(AND(NOT(ISBLANK(Drummond!G409)),Drummond!G409&lt;&gt;"N/A"),IF(C409="All",CONCATENATE(Lookup!F$2,D409,Lookup!G$2,B409,Lookup!H$2,H$1,Lookup!I$2),CONCATENATE(Lookup!F$3,D409,Lookup!G$3,B409,Lookup!H$3)),"no url")</f>
        <v>no url</v>
      </c>
    </row>
    <row r="410" spans="1:6" hidden="1" x14ac:dyDescent="0.25">
      <c r="A410" s="2" t="b">
        <f>IF(ISBLANK(Drummond!D410),FALSE,LOOKUP(Drummond!D410,Lookup!$A$2:$B$4))</f>
        <v>0</v>
      </c>
      <c r="B410" s="2" t="b">
        <f>IF(ISBLANK(Drummond!E410),FALSE,TRIM(Drummond!E410))</f>
        <v>0</v>
      </c>
      <c r="C410" s="2" t="b">
        <f>IF(ISBLANK(Drummond!F410),FALSE,LOOKUP(Drummond!F410,Lookup!$A$6:$B$7))</f>
        <v>0</v>
      </c>
      <c r="D410" s="2" t="b">
        <f>IF(ISBLANK(Drummond!G410),FALSE,Drummond!G410)</f>
        <v>0</v>
      </c>
      <c r="E410" s="2" t="str">
        <f>IF(NOT(ISBLANK(Drummond!D410)),IF(OR(ISBLANK(Drummond!E410),Drummond!E410="N/A"),"no acb code",CONCATENATE(Lookup!F$1,A410,Lookup!G$1,B410,Lookup!H$1,H$1,Lookup!I$1)),"no attestation")</f>
        <v>no attestation</v>
      </c>
      <c r="F410" s="2" t="str">
        <f>IF(AND(NOT(ISBLANK(Drummond!G410)),Drummond!G410&lt;&gt;"N/A"),IF(C410="All",CONCATENATE(Lookup!F$2,D410,Lookup!G$2,B410,Lookup!H$2,H$1,Lookup!I$2),CONCATENATE(Lookup!F$3,D410,Lookup!G$3,B410,Lookup!H$3)),"no url")</f>
        <v>no url</v>
      </c>
    </row>
    <row r="411" spans="1:6" hidden="1" x14ac:dyDescent="0.25">
      <c r="A411" s="2" t="b">
        <f>IF(ISBLANK(Drummond!D411),FALSE,LOOKUP(Drummond!D411,Lookup!$A$2:$B$4))</f>
        <v>0</v>
      </c>
      <c r="B411" s="2" t="b">
        <f>IF(ISBLANK(Drummond!E411),FALSE,TRIM(Drummond!E411))</f>
        <v>0</v>
      </c>
      <c r="C411" s="2" t="b">
        <f>IF(ISBLANK(Drummond!F411),FALSE,LOOKUP(Drummond!F411,Lookup!$A$6:$B$7))</f>
        <v>0</v>
      </c>
      <c r="D411" s="2" t="b">
        <f>IF(ISBLANK(Drummond!G411),FALSE,Drummond!G411)</f>
        <v>0</v>
      </c>
      <c r="E411" s="2" t="str">
        <f>IF(NOT(ISBLANK(Drummond!D411)),IF(OR(ISBLANK(Drummond!E411),Drummond!E411="N/A"),"no acb code",CONCATENATE(Lookup!F$1,A411,Lookup!G$1,B411,Lookup!H$1,H$1,Lookup!I$1)),"no attestation")</f>
        <v>no attestation</v>
      </c>
      <c r="F411" s="2" t="str">
        <f>IF(AND(NOT(ISBLANK(Drummond!G411)),Drummond!G411&lt;&gt;"N/A"),IF(C411="All",CONCATENATE(Lookup!F$2,D411,Lookup!G$2,B411,Lookup!H$2,H$1,Lookup!I$2),CONCATENATE(Lookup!F$3,D411,Lookup!G$3,B411,Lookup!H$3)),"no url")</f>
        <v>no url</v>
      </c>
    </row>
    <row r="412" spans="1:6" hidden="1" x14ac:dyDescent="0.25">
      <c r="A412" s="2" t="b">
        <f>IF(ISBLANK(Drummond!D412),FALSE,LOOKUP(Drummond!D412,Lookup!$A$2:$B$4))</f>
        <v>0</v>
      </c>
      <c r="B412" s="2" t="b">
        <f>IF(ISBLANK(Drummond!E412),FALSE,TRIM(Drummond!E412))</f>
        <v>0</v>
      </c>
      <c r="C412" s="2" t="b">
        <f>IF(ISBLANK(Drummond!F412),FALSE,LOOKUP(Drummond!F412,Lookup!$A$6:$B$7))</f>
        <v>0</v>
      </c>
      <c r="D412" s="2" t="b">
        <f>IF(ISBLANK(Drummond!G412),FALSE,Drummond!G412)</f>
        <v>0</v>
      </c>
      <c r="E412" s="2" t="str">
        <f>IF(NOT(ISBLANK(Drummond!D412)),IF(OR(ISBLANK(Drummond!E412),Drummond!E412="N/A"),"no acb code",CONCATENATE(Lookup!F$1,A412,Lookup!G$1,B412,Lookup!H$1,H$1,Lookup!I$1)),"no attestation")</f>
        <v>no attestation</v>
      </c>
      <c r="F412" s="2" t="str">
        <f>IF(AND(NOT(ISBLANK(Drummond!G412)),Drummond!G412&lt;&gt;"N/A"),IF(C412="All",CONCATENATE(Lookup!F$2,D412,Lookup!G$2,B412,Lookup!H$2,H$1,Lookup!I$2),CONCATENATE(Lookup!F$3,D412,Lookup!G$3,B412,Lookup!H$3)),"no url")</f>
        <v>no url</v>
      </c>
    </row>
    <row r="413" spans="1:6" hidden="1" x14ac:dyDescent="0.25">
      <c r="A413" s="2" t="b">
        <f>IF(ISBLANK(Drummond!D413),FALSE,LOOKUP(Drummond!D413,Lookup!$A$2:$B$4))</f>
        <v>0</v>
      </c>
      <c r="B413" s="2" t="b">
        <f>IF(ISBLANK(Drummond!E413),FALSE,TRIM(Drummond!E413))</f>
        <v>0</v>
      </c>
      <c r="C413" s="2" t="b">
        <f>IF(ISBLANK(Drummond!F413),FALSE,LOOKUP(Drummond!F413,Lookup!$A$6:$B$7))</f>
        <v>0</v>
      </c>
      <c r="D413" s="2" t="b">
        <f>IF(ISBLANK(Drummond!G413),FALSE,Drummond!G413)</f>
        <v>0</v>
      </c>
      <c r="E413" s="2" t="str">
        <f>IF(NOT(ISBLANK(Drummond!D413)),IF(OR(ISBLANK(Drummond!E413),Drummond!E413="N/A"),"no acb code",CONCATENATE(Lookup!F$1,A413,Lookup!G$1,B413,Lookup!H$1,H$1,Lookup!I$1)),"no attestation")</f>
        <v>no attestation</v>
      </c>
      <c r="F413" s="2" t="str">
        <f>IF(AND(NOT(ISBLANK(Drummond!G413)),Drummond!G413&lt;&gt;"N/A"),IF(C413="All",CONCATENATE(Lookup!F$2,D413,Lookup!G$2,B413,Lookup!H$2,H$1,Lookup!I$2),CONCATENATE(Lookup!F$3,D413,Lookup!G$3,B413,Lookup!H$3)),"no url")</f>
        <v>no url</v>
      </c>
    </row>
    <row r="414" spans="1:6" hidden="1" x14ac:dyDescent="0.25">
      <c r="A414" s="2" t="b">
        <f>IF(ISBLANK(Drummond!D414),FALSE,LOOKUP(Drummond!D414,Lookup!$A$2:$B$4))</f>
        <v>0</v>
      </c>
      <c r="B414" s="2" t="b">
        <f>IF(ISBLANK(Drummond!E414),FALSE,TRIM(Drummond!E414))</f>
        <v>0</v>
      </c>
      <c r="C414" s="2" t="b">
        <f>IF(ISBLANK(Drummond!F414),FALSE,LOOKUP(Drummond!F414,Lookup!$A$6:$B$7))</f>
        <v>0</v>
      </c>
      <c r="D414" s="2" t="b">
        <f>IF(ISBLANK(Drummond!G414),FALSE,Drummond!G414)</f>
        <v>0</v>
      </c>
      <c r="E414" s="2" t="str">
        <f>IF(NOT(ISBLANK(Drummond!D414)),IF(OR(ISBLANK(Drummond!E414),Drummond!E414="N/A"),"no acb code",CONCATENATE(Lookup!F$1,A414,Lookup!G$1,B414,Lookup!H$1,H$1,Lookup!I$1)),"no attestation")</f>
        <v>no attestation</v>
      </c>
      <c r="F414" s="2" t="str">
        <f>IF(AND(NOT(ISBLANK(Drummond!G414)),Drummond!G414&lt;&gt;"N/A"),IF(C414="All",CONCATENATE(Lookup!F$2,D414,Lookup!G$2,B414,Lookup!H$2,H$1,Lookup!I$2),CONCATENATE(Lookup!F$3,D414,Lookup!G$3,B414,Lookup!H$3)),"no url")</f>
        <v>no url</v>
      </c>
    </row>
    <row r="415" spans="1:6" hidden="1" x14ac:dyDescent="0.25">
      <c r="A415" s="2" t="b">
        <f>IF(ISBLANK(Drummond!D415),FALSE,LOOKUP(Drummond!D415,Lookup!$A$2:$B$4))</f>
        <v>0</v>
      </c>
      <c r="B415" s="2" t="b">
        <f>IF(ISBLANK(Drummond!E415),FALSE,TRIM(Drummond!E415))</f>
        <v>0</v>
      </c>
      <c r="C415" s="2" t="b">
        <f>IF(ISBLANK(Drummond!F415),FALSE,LOOKUP(Drummond!F415,Lookup!$A$6:$B$7))</f>
        <v>0</v>
      </c>
      <c r="D415" s="2" t="b">
        <f>IF(ISBLANK(Drummond!G415),FALSE,Drummond!G415)</f>
        <v>0</v>
      </c>
      <c r="E415" s="2" t="str">
        <f>IF(NOT(ISBLANK(Drummond!D415)),IF(OR(ISBLANK(Drummond!E415),Drummond!E415="N/A"),"no acb code",CONCATENATE(Lookup!F$1,A415,Lookup!G$1,B415,Lookup!H$1,H$1,Lookup!I$1)),"no attestation")</f>
        <v>no attestation</v>
      </c>
      <c r="F415" s="2" t="str">
        <f>IF(AND(NOT(ISBLANK(Drummond!G415)),Drummond!G415&lt;&gt;"N/A"),IF(C415="All",CONCATENATE(Lookup!F$2,D415,Lookup!G$2,B415,Lookup!H$2,H$1,Lookup!I$2),CONCATENATE(Lookup!F$3,D415,Lookup!G$3,B415,Lookup!H$3)),"no url")</f>
        <v>no url</v>
      </c>
    </row>
  </sheetData>
  <autoFilter ref="A1:H1601">
    <filterColumn colId="0">
      <filters blank="1">
        <filter val="Affirmative"/>
        <filter val="N/A"/>
        <filter val="Negativ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9"/>
  <sheetViews>
    <sheetView zoomScale="115" zoomScaleNormal="115" workbookViewId="0">
      <pane ySplit="1" topLeftCell="A104" activePane="bottomLeft" state="frozen"/>
      <selection pane="bottomLeft" activeCell="B111" sqref="B111"/>
    </sheetView>
  </sheetViews>
  <sheetFormatPr defaultRowHeight="15" x14ac:dyDescent="0.25"/>
  <cols>
    <col min="1" max="1" width="11.7109375" style="7" bestFit="1" customWidth="1"/>
    <col min="2" max="2" width="50.85546875" style="7" customWidth="1"/>
    <col min="3" max="3" width="21.42578125" style="7" customWidth="1"/>
    <col min="4" max="4" width="16.28515625" style="7" customWidth="1"/>
    <col min="5" max="5" width="35.42578125" style="7" bestFit="1" customWidth="1"/>
    <col min="6" max="7" width="38.42578125" style="7" customWidth="1"/>
    <col min="8" max="8" width="20.85546875" style="7" customWidth="1"/>
    <col min="9" max="16384" width="9.140625" style="7"/>
  </cols>
  <sheetData>
    <row r="1" spans="1:8" ht="75" x14ac:dyDescent="0.25">
      <c r="A1" s="9" t="s">
        <v>0</v>
      </c>
      <c r="B1" s="9" t="s">
        <v>1</v>
      </c>
      <c r="C1" s="9" t="s">
        <v>2</v>
      </c>
      <c r="D1" s="9" t="s">
        <v>468</v>
      </c>
      <c r="E1" s="9" t="s">
        <v>4</v>
      </c>
      <c r="F1" s="10" t="s">
        <v>1776</v>
      </c>
      <c r="G1" s="9" t="s">
        <v>5</v>
      </c>
      <c r="H1" s="11" t="s">
        <v>1777</v>
      </c>
    </row>
    <row r="2" spans="1:8" x14ac:dyDescent="0.25">
      <c r="A2" s="12">
        <v>1000</v>
      </c>
      <c r="B2" s="12" t="s">
        <v>667</v>
      </c>
      <c r="C2" s="12"/>
      <c r="D2" s="12"/>
      <c r="E2" s="12"/>
      <c r="F2" s="12"/>
      <c r="G2" s="12"/>
      <c r="H2" s="12"/>
    </row>
    <row r="3" spans="1:8" x14ac:dyDescent="0.25">
      <c r="A3" s="12">
        <v>1001</v>
      </c>
      <c r="B3" s="12" t="s">
        <v>668</v>
      </c>
      <c r="C3" s="12"/>
      <c r="D3" s="12"/>
      <c r="E3" s="12"/>
      <c r="F3" s="12"/>
      <c r="G3" s="12"/>
      <c r="H3" s="12"/>
    </row>
    <row r="4" spans="1:8" x14ac:dyDescent="0.25">
      <c r="A4" s="12">
        <v>1002</v>
      </c>
      <c r="B4" s="12" t="s">
        <v>669</v>
      </c>
      <c r="C4" s="12"/>
      <c r="D4" s="12"/>
      <c r="E4" s="12"/>
      <c r="F4" s="12"/>
      <c r="G4" s="12"/>
      <c r="H4" s="12"/>
    </row>
    <row r="5" spans="1:8" x14ac:dyDescent="0.25">
      <c r="A5" s="12">
        <v>1003</v>
      </c>
      <c r="B5" s="12" t="s">
        <v>767</v>
      </c>
      <c r="C5" s="12"/>
      <c r="D5" s="12"/>
      <c r="E5" s="12"/>
      <c r="F5" s="12"/>
      <c r="G5" s="12"/>
      <c r="H5" s="12"/>
    </row>
    <row r="6" spans="1:8" x14ac:dyDescent="0.25">
      <c r="A6" s="12">
        <v>1004</v>
      </c>
      <c r="B6" s="12" t="s">
        <v>670</v>
      </c>
      <c r="C6" s="12"/>
      <c r="D6" s="12"/>
      <c r="E6" s="12"/>
      <c r="F6" s="12"/>
      <c r="G6" s="12"/>
      <c r="H6" s="12"/>
    </row>
    <row r="7" spans="1:8" x14ac:dyDescent="0.25">
      <c r="A7" s="12">
        <v>1005</v>
      </c>
      <c r="B7" s="12" t="s">
        <v>671</v>
      </c>
      <c r="C7" s="12"/>
      <c r="D7" s="12"/>
      <c r="E7" s="12"/>
      <c r="F7" s="12"/>
      <c r="G7" s="12"/>
      <c r="H7" s="12"/>
    </row>
    <row r="8" spans="1:8" x14ac:dyDescent="0.25">
      <c r="A8" s="12">
        <v>1006</v>
      </c>
      <c r="B8" s="12" t="s">
        <v>672</v>
      </c>
      <c r="C8" s="12"/>
      <c r="D8" s="12"/>
      <c r="E8" s="12"/>
      <c r="F8" s="12"/>
      <c r="G8" s="12"/>
      <c r="H8" s="12"/>
    </row>
    <row r="9" spans="1:8" x14ac:dyDescent="0.25">
      <c r="A9" s="12">
        <v>1007</v>
      </c>
      <c r="B9" s="12" t="s">
        <v>673</v>
      </c>
      <c r="C9" s="12"/>
      <c r="D9" s="12"/>
      <c r="E9" s="12"/>
      <c r="F9" s="12"/>
      <c r="G9" s="12"/>
      <c r="H9" s="12"/>
    </row>
    <row r="10" spans="1:8" x14ac:dyDescent="0.25">
      <c r="A10" s="12">
        <v>1008</v>
      </c>
      <c r="B10" s="12" t="s">
        <v>674</v>
      </c>
      <c r="C10" s="12"/>
      <c r="D10" s="12"/>
      <c r="E10" s="12"/>
      <c r="F10" s="12"/>
      <c r="G10" s="12"/>
      <c r="H10" s="12"/>
    </row>
    <row r="11" spans="1:8" x14ac:dyDescent="0.25">
      <c r="A11" s="12">
        <v>1009</v>
      </c>
      <c r="B11" s="12" t="s">
        <v>675</v>
      </c>
      <c r="C11" s="12"/>
      <c r="D11" s="12"/>
      <c r="E11" s="12"/>
      <c r="F11" s="12"/>
      <c r="G11" s="12"/>
      <c r="H11" s="12"/>
    </row>
    <row r="12" spans="1:8" x14ac:dyDescent="0.25">
      <c r="A12" s="12">
        <v>1010</v>
      </c>
      <c r="B12" s="12" t="s">
        <v>680</v>
      </c>
      <c r="C12" s="12"/>
      <c r="D12" s="12"/>
      <c r="E12" s="12"/>
      <c r="F12" s="12"/>
      <c r="G12" s="12"/>
      <c r="H12" s="12"/>
    </row>
    <row r="13" spans="1:8" x14ac:dyDescent="0.25">
      <c r="A13" s="12">
        <v>1011</v>
      </c>
      <c r="B13" s="12" t="s">
        <v>681</v>
      </c>
      <c r="C13" s="12"/>
      <c r="D13" s="12"/>
      <c r="E13" s="12"/>
      <c r="F13" s="12"/>
      <c r="G13" s="12"/>
      <c r="H13" s="12"/>
    </row>
    <row r="14" spans="1:8" x14ac:dyDescent="0.25">
      <c r="A14" s="12">
        <v>1012</v>
      </c>
      <c r="B14" s="12" t="s">
        <v>682</v>
      </c>
      <c r="C14" s="12"/>
      <c r="D14" s="12"/>
      <c r="E14" s="12"/>
      <c r="F14" s="12"/>
      <c r="G14" s="12"/>
      <c r="H14" s="12"/>
    </row>
    <row r="15" spans="1:8" x14ac:dyDescent="0.25">
      <c r="A15" s="12">
        <v>1013</v>
      </c>
      <c r="B15" s="12" t="s">
        <v>684</v>
      </c>
      <c r="C15" s="12"/>
      <c r="D15" s="12"/>
      <c r="E15" s="12"/>
      <c r="F15" s="12"/>
      <c r="G15" s="12"/>
      <c r="H15" s="12"/>
    </row>
    <row r="16" spans="1:8" x14ac:dyDescent="0.25">
      <c r="A16" s="12">
        <v>1014</v>
      </c>
      <c r="B16" s="12" t="s">
        <v>6</v>
      </c>
      <c r="C16" s="12"/>
      <c r="D16" s="12"/>
      <c r="E16" s="12"/>
      <c r="F16" s="12"/>
      <c r="G16" s="12"/>
      <c r="H16" s="12"/>
    </row>
    <row r="17" spans="1:8" x14ac:dyDescent="0.25">
      <c r="A17" s="12">
        <v>1015</v>
      </c>
      <c r="B17" s="12" t="s">
        <v>7</v>
      </c>
      <c r="C17" s="12"/>
      <c r="D17" s="12"/>
      <c r="E17" s="12"/>
      <c r="F17" s="12"/>
      <c r="G17" s="12"/>
      <c r="H17" s="12"/>
    </row>
    <row r="18" spans="1:8" x14ac:dyDescent="0.25">
      <c r="A18" s="12">
        <v>1016</v>
      </c>
      <c r="B18" s="12" t="s">
        <v>687</v>
      </c>
      <c r="C18" s="12"/>
      <c r="D18" s="12"/>
      <c r="E18" s="12"/>
      <c r="F18" s="12"/>
      <c r="G18" s="12"/>
      <c r="H18" s="12"/>
    </row>
    <row r="19" spans="1:8" x14ac:dyDescent="0.25">
      <c r="A19" s="12">
        <v>1017</v>
      </c>
      <c r="B19" s="12" t="s">
        <v>694</v>
      </c>
      <c r="C19" s="12"/>
      <c r="D19" s="12"/>
      <c r="E19" s="12"/>
      <c r="F19" s="12"/>
      <c r="G19" s="12"/>
      <c r="H19" s="12"/>
    </row>
    <row r="20" spans="1:8" x14ac:dyDescent="0.25">
      <c r="A20" s="12">
        <v>1018</v>
      </c>
      <c r="B20" s="12" t="s">
        <v>698</v>
      </c>
      <c r="C20" s="12"/>
      <c r="D20" s="12"/>
      <c r="E20" s="12"/>
      <c r="F20" s="12"/>
      <c r="G20" s="12"/>
      <c r="H20" s="12"/>
    </row>
    <row r="21" spans="1:8" x14ac:dyDescent="0.25">
      <c r="A21" s="12">
        <v>1019</v>
      </c>
      <c r="B21" s="12" t="s">
        <v>9</v>
      </c>
      <c r="C21" s="12"/>
      <c r="D21" s="12"/>
      <c r="E21" s="12"/>
      <c r="F21" s="12"/>
      <c r="G21" s="12"/>
      <c r="H21" s="12"/>
    </row>
    <row r="22" spans="1:8" x14ac:dyDescent="0.25">
      <c r="A22" s="12">
        <v>1020</v>
      </c>
      <c r="B22" s="12" t="s">
        <v>10</v>
      </c>
      <c r="C22" s="12"/>
      <c r="D22" s="12"/>
      <c r="E22" s="12"/>
      <c r="F22" s="12"/>
      <c r="G22" s="12"/>
      <c r="H22" s="12"/>
    </row>
    <row r="23" spans="1:8" x14ac:dyDescent="0.25">
      <c r="A23" s="12">
        <v>1021</v>
      </c>
      <c r="B23" s="12" t="s">
        <v>733</v>
      </c>
      <c r="C23" s="12"/>
      <c r="D23" s="12"/>
      <c r="E23" s="12"/>
      <c r="F23" s="12"/>
      <c r="G23" s="12"/>
      <c r="H23" s="12"/>
    </row>
    <row r="24" spans="1:8" x14ac:dyDescent="0.25">
      <c r="A24" s="12">
        <v>1022</v>
      </c>
      <c r="B24" s="12" t="s">
        <v>734</v>
      </c>
      <c r="C24" s="12"/>
      <c r="D24" s="12"/>
      <c r="E24" s="12"/>
      <c r="F24" s="12"/>
      <c r="G24" s="12"/>
      <c r="H24" s="12"/>
    </row>
    <row r="25" spans="1:8" x14ac:dyDescent="0.25">
      <c r="A25" s="12">
        <v>1023</v>
      </c>
      <c r="B25" s="12" t="s">
        <v>737</v>
      </c>
      <c r="C25" s="12"/>
      <c r="D25" s="12"/>
      <c r="E25" s="12"/>
      <c r="F25" s="12"/>
      <c r="G25" s="12"/>
      <c r="H25" s="12"/>
    </row>
    <row r="26" spans="1:8" x14ac:dyDescent="0.25">
      <c r="A26" s="12">
        <v>1024</v>
      </c>
      <c r="B26" s="12" t="s">
        <v>745</v>
      </c>
      <c r="C26" s="12"/>
      <c r="D26" s="12"/>
      <c r="E26" s="12"/>
      <c r="F26" s="12"/>
      <c r="G26" s="12"/>
      <c r="H26" s="12"/>
    </row>
    <row r="27" spans="1:8" x14ac:dyDescent="0.25">
      <c r="A27" s="12">
        <v>1025</v>
      </c>
      <c r="B27" s="12" t="s">
        <v>748</v>
      </c>
      <c r="C27" s="12"/>
      <c r="D27" s="12"/>
      <c r="E27" s="12"/>
      <c r="F27" s="12"/>
      <c r="G27" s="12"/>
      <c r="H27" s="12"/>
    </row>
    <row r="28" spans="1:8" x14ac:dyDescent="0.25">
      <c r="A28" s="12">
        <v>1026</v>
      </c>
      <c r="B28" s="12" t="s">
        <v>750</v>
      </c>
      <c r="C28" s="12"/>
      <c r="D28" s="12"/>
      <c r="E28" s="12"/>
      <c r="F28" s="12"/>
      <c r="G28" s="12"/>
      <c r="H28" s="12"/>
    </row>
    <row r="29" spans="1:8" x14ac:dyDescent="0.25">
      <c r="A29" s="12">
        <v>1027</v>
      </c>
      <c r="B29" s="12" t="s">
        <v>751</v>
      </c>
      <c r="C29" s="12"/>
      <c r="D29" s="12"/>
      <c r="E29" s="12"/>
      <c r="F29" s="12"/>
      <c r="G29" s="12"/>
      <c r="H29" s="12"/>
    </row>
    <row r="30" spans="1:8" x14ac:dyDescent="0.25">
      <c r="A30" s="12">
        <v>1028</v>
      </c>
      <c r="B30" s="12" t="s">
        <v>769</v>
      </c>
      <c r="C30" s="12"/>
      <c r="D30" s="12"/>
      <c r="E30" s="12"/>
      <c r="F30" s="12"/>
      <c r="G30" s="12"/>
      <c r="H30" s="12"/>
    </row>
    <row r="31" spans="1:8" x14ac:dyDescent="0.25">
      <c r="A31" s="12">
        <v>1029</v>
      </c>
      <c r="B31" s="12" t="s">
        <v>11</v>
      </c>
      <c r="C31" s="12"/>
      <c r="D31" s="12"/>
      <c r="E31" s="12"/>
      <c r="F31" s="12"/>
      <c r="G31" s="12"/>
      <c r="H31" s="12"/>
    </row>
    <row r="32" spans="1:8" x14ac:dyDescent="0.25">
      <c r="A32" s="12">
        <v>1030</v>
      </c>
      <c r="B32" s="12" t="s">
        <v>676</v>
      </c>
      <c r="C32" s="12"/>
      <c r="D32" s="12"/>
      <c r="E32" s="12"/>
      <c r="F32" s="12"/>
      <c r="G32" s="12"/>
      <c r="H32" s="12"/>
    </row>
    <row r="33" spans="1:8" x14ac:dyDescent="0.25">
      <c r="A33" s="12">
        <v>1031</v>
      </c>
      <c r="B33" s="12" t="s">
        <v>677</v>
      </c>
      <c r="C33" s="12"/>
      <c r="D33" s="12"/>
      <c r="E33" s="12"/>
      <c r="F33" s="12"/>
      <c r="G33" s="12"/>
      <c r="H33" s="12"/>
    </row>
    <row r="34" spans="1:8" x14ac:dyDescent="0.25">
      <c r="A34" s="12">
        <v>1032</v>
      </c>
      <c r="B34" s="12" t="s">
        <v>678</v>
      </c>
      <c r="C34" s="12"/>
      <c r="D34" s="12"/>
      <c r="E34" s="12"/>
      <c r="F34" s="12"/>
      <c r="G34" s="12"/>
      <c r="H34" s="12"/>
    </row>
    <row r="35" spans="1:8" x14ac:dyDescent="0.25">
      <c r="A35" s="12">
        <v>1033</v>
      </c>
      <c r="B35" s="12" t="s">
        <v>679</v>
      </c>
      <c r="C35" s="12"/>
      <c r="D35" s="12"/>
      <c r="E35" s="12"/>
      <c r="F35" s="12"/>
      <c r="G35" s="12"/>
      <c r="H35" s="12"/>
    </row>
    <row r="36" spans="1:8" x14ac:dyDescent="0.25">
      <c r="A36" s="12">
        <v>1034</v>
      </c>
      <c r="B36" s="12" t="s">
        <v>12</v>
      </c>
      <c r="C36" s="12"/>
      <c r="D36" s="12"/>
      <c r="E36" s="12"/>
      <c r="F36" s="12"/>
      <c r="G36" s="12"/>
      <c r="H36" s="12"/>
    </row>
    <row r="37" spans="1:8" x14ac:dyDescent="0.25">
      <c r="A37" s="12">
        <v>1035</v>
      </c>
      <c r="B37" s="12" t="s">
        <v>683</v>
      </c>
      <c r="C37" s="12"/>
      <c r="D37" s="12"/>
      <c r="E37" s="12"/>
      <c r="F37" s="12"/>
      <c r="G37" s="12"/>
      <c r="H37" s="12"/>
    </row>
    <row r="38" spans="1:8" x14ac:dyDescent="0.25">
      <c r="A38" s="12">
        <v>1036</v>
      </c>
      <c r="B38" s="12" t="s">
        <v>685</v>
      </c>
      <c r="C38" s="12"/>
      <c r="D38" s="12"/>
      <c r="E38" s="12"/>
      <c r="F38" s="12"/>
      <c r="G38" s="12"/>
      <c r="H38" s="12"/>
    </row>
    <row r="39" spans="1:8" x14ac:dyDescent="0.25">
      <c r="A39" s="12">
        <v>1037</v>
      </c>
      <c r="B39" s="12" t="s">
        <v>686</v>
      </c>
      <c r="C39" s="12"/>
      <c r="D39" s="12"/>
      <c r="E39" s="12"/>
      <c r="F39" s="12"/>
      <c r="G39" s="12"/>
      <c r="H39" s="12"/>
    </row>
    <row r="40" spans="1:8" x14ac:dyDescent="0.25">
      <c r="A40" s="12">
        <v>1038</v>
      </c>
      <c r="B40" s="12" t="s">
        <v>469</v>
      </c>
      <c r="C40" s="12"/>
      <c r="D40" s="12"/>
      <c r="E40" s="12"/>
      <c r="F40" s="12"/>
      <c r="G40" s="3"/>
      <c r="H40" s="13"/>
    </row>
    <row r="41" spans="1:8" x14ac:dyDescent="0.25">
      <c r="A41" s="12">
        <v>1039</v>
      </c>
      <c r="B41" s="12" t="s">
        <v>472</v>
      </c>
      <c r="C41" s="12" t="s">
        <v>470</v>
      </c>
      <c r="D41" s="12">
        <v>0</v>
      </c>
      <c r="E41" s="12" t="s">
        <v>1778</v>
      </c>
      <c r="F41" s="12">
        <v>0</v>
      </c>
      <c r="G41" s="3" t="s">
        <v>471</v>
      </c>
      <c r="H41" s="13">
        <v>42439</v>
      </c>
    </row>
    <row r="42" spans="1:8" x14ac:dyDescent="0.25">
      <c r="A42" s="12">
        <v>1040</v>
      </c>
      <c r="B42" s="12" t="s">
        <v>473</v>
      </c>
      <c r="C42" s="12" t="s">
        <v>470</v>
      </c>
      <c r="D42" s="12">
        <v>1</v>
      </c>
      <c r="E42" s="12" t="s">
        <v>1779</v>
      </c>
      <c r="F42" s="12">
        <v>0</v>
      </c>
      <c r="G42" s="12" t="s">
        <v>474</v>
      </c>
      <c r="H42" s="13">
        <v>42439</v>
      </c>
    </row>
    <row r="43" spans="1:8" x14ac:dyDescent="0.25">
      <c r="A43" s="12">
        <v>1041</v>
      </c>
      <c r="B43" s="12" t="s">
        <v>18</v>
      </c>
      <c r="C43" s="12"/>
      <c r="D43" s="12"/>
      <c r="E43" s="12"/>
      <c r="F43" s="12"/>
      <c r="G43" s="12"/>
      <c r="H43" s="12"/>
    </row>
    <row r="44" spans="1:8" x14ac:dyDescent="0.25">
      <c r="A44" s="12">
        <v>1042</v>
      </c>
      <c r="B44" s="12" t="s">
        <v>688</v>
      </c>
      <c r="C44" s="12"/>
      <c r="D44" s="12"/>
      <c r="E44" s="12"/>
      <c r="F44" s="12"/>
      <c r="G44" s="12"/>
      <c r="H44" s="12"/>
    </row>
    <row r="45" spans="1:8" x14ac:dyDescent="0.25">
      <c r="A45" s="12">
        <v>1043</v>
      </c>
      <c r="B45" s="12" t="s">
        <v>689</v>
      </c>
      <c r="C45" s="12"/>
      <c r="D45" s="12"/>
      <c r="E45" s="12"/>
      <c r="F45" s="12"/>
      <c r="G45" s="12"/>
      <c r="H45" s="12"/>
    </row>
    <row r="46" spans="1:8" x14ac:dyDescent="0.25">
      <c r="A46" s="12">
        <v>1044</v>
      </c>
      <c r="B46" s="12" t="s">
        <v>690</v>
      </c>
      <c r="C46" s="12"/>
      <c r="D46" s="12"/>
      <c r="E46" s="12"/>
      <c r="F46" s="12"/>
      <c r="G46" s="12"/>
      <c r="H46" s="12"/>
    </row>
    <row r="47" spans="1:8" x14ac:dyDescent="0.25">
      <c r="A47" s="12">
        <v>1045</v>
      </c>
      <c r="B47" s="12" t="s">
        <v>691</v>
      </c>
      <c r="C47" s="12"/>
      <c r="D47" s="12"/>
      <c r="E47" s="12"/>
      <c r="F47" s="12"/>
      <c r="G47" s="12"/>
      <c r="H47" s="12"/>
    </row>
    <row r="48" spans="1:8" x14ac:dyDescent="0.25">
      <c r="A48" s="12">
        <v>1046</v>
      </c>
      <c r="B48" s="12" t="s">
        <v>692</v>
      </c>
      <c r="C48" s="12"/>
      <c r="D48" s="12"/>
      <c r="E48" s="12"/>
      <c r="F48" s="12"/>
      <c r="G48" s="12"/>
      <c r="H48" s="12"/>
    </row>
    <row r="49" spans="1:8" x14ac:dyDescent="0.25">
      <c r="A49" s="12">
        <v>1047</v>
      </c>
      <c r="B49" s="12" t="s">
        <v>20</v>
      </c>
      <c r="C49" s="12"/>
      <c r="D49" s="12"/>
      <c r="E49" s="12"/>
      <c r="F49" s="12"/>
      <c r="G49" s="12"/>
      <c r="H49" s="12"/>
    </row>
    <row r="50" spans="1:8" x14ac:dyDescent="0.25">
      <c r="A50" s="12">
        <v>1048</v>
      </c>
      <c r="B50" s="12" t="s">
        <v>693</v>
      </c>
      <c r="C50" s="12"/>
      <c r="D50" s="12"/>
      <c r="E50" s="12"/>
      <c r="F50" s="12"/>
      <c r="G50" s="12"/>
      <c r="H50" s="12"/>
    </row>
    <row r="51" spans="1:8" x14ac:dyDescent="0.25">
      <c r="A51" s="12">
        <v>1049</v>
      </c>
      <c r="B51" s="12" t="s">
        <v>22</v>
      </c>
      <c r="C51" s="12"/>
      <c r="D51" s="12"/>
      <c r="E51" s="12"/>
      <c r="F51" s="12"/>
      <c r="G51" s="12"/>
      <c r="H51" s="12"/>
    </row>
    <row r="52" spans="1:8" x14ac:dyDescent="0.25">
      <c r="A52" s="12">
        <v>1050</v>
      </c>
      <c r="B52" s="12" t="s">
        <v>23</v>
      </c>
      <c r="C52" s="12"/>
      <c r="D52" s="12"/>
      <c r="E52" s="12"/>
      <c r="F52" s="12"/>
      <c r="G52" s="12"/>
      <c r="H52" s="12"/>
    </row>
    <row r="53" spans="1:8" x14ac:dyDescent="0.25">
      <c r="A53" s="12">
        <v>1051</v>
      </c>
      <c r="B53" s="12" t="s">
        <v>695</v>
      </c>
      <c r="C53" s="12"/>
      <c r="D53" s="12"/>
      <c r="E53" s="12"/>
      <c r="F53" s="12"/>
      <c r="G53" s="12"/>
      <c r="H53" s="12"/>
    </row>
    <row r="54" spans="1:8" x14ac:dyDescent="0.25">
      <c r="A54" s="12">
        <v>1052</v>
      </c>
      <c r="B54" s="12" t="s">
        <v>696</v>
      </c>
      <c r="C54" s="12"/>
      <c r="D54" s="12"/>
      <c r="E54" s="12"/>
      <c r="F54" s="12"/>
      <c r="G54" s="12"/>
      <c r="H54" s="12"/>
    </row>
    <row r="55" spans="1:8" x14ac:dyDescent="0.25">
      <c r="A55" s="12">
        <v>1053</v>
      </c>
      <c r="B55" s="12" t="s">
        <v>697</v>
      </c>
      <c r="C55" s="12"/>
      <c r="D55" s="12"/>
      <c r="E55" s="12"/>
      <c r="F55" s="12"/>
      <c r="G55" s="12"/>
      <c r="H55" s="12"/>
    </row>
    <row r="56" spans="1:8" x14ac:dyDescent="0.25">
      <c r="A56" s="12">
        <v>1054</v>
      </c>
      <c r="B56" s="12" t="s">
        <v>699</v>
      </c>
      <c r="C56" s="12"/>
      <c r="D56" s="12"/>
      <c r="E56" s="12"/>
      <c r="F56" s="12"/>
      <c r="G56" s="12"/>
      <c r="H56" s="12"/>
    </row>
    <row r="57" spans="1:8" x14ac:dyDescent="0.25">
      <c r="A57" s="12">
        <v>1055</v>
      </c>
      <c r="B57" s="12" t="s">
        <v>700</v>
      </c>
      <c r="C57" s="12"/>
      <c r="D57" s="12"/>
      <c r="E57" s="12"/>
      <c r="F57" s="12"/>
      <c r="G57" s="12"/>
      <c r="H57" s="12"/>
    </row>
    <row r="58" spans="1:8" x14ac:dyDescent="0.25">
      <c r="A58" s="12">
        <v>1056</v>
      </c>
      <c r="B58" s="12" t="s">
        <v>701</v>
      </c>
      <c r="C58" s="12"/>
      <c r="D58" s="12"/>
      <c r="E58" s="12"/>
      <c r="F58" s="12"/>
      <c r="G58" s="12"/>
      <c r="H58" s="12"/>
    </row>
    <row r="59" spans="1:8" x14ac:dyDescent="0.25">
      <c r="A59" s="12">
        <v>1057</v>
      </c>
      <c r="B59" s="12" t="s">
        <v>702</v>
      </c>
      <c r="C59" s="12"/>
      <c r="D59" s="12"/>
      <c r="E59" s="12"/>
      <c r="F59" s="12"/>
      <c r="G59" s="12"/>
      <c r="H59" s="12"/>
    </row>
    <row r="60" spans="1:8" x14ac:dyDescent="0.25">
      <c r="A60" s="12">
        <v>1058</v>
      </c>
      <c r="B60" s="12" t="s">
        <v>705</v>
      </c>
      <c r="C60" s="12"/>
      <c r="D60" s="12"/>
      <c r="E60" s="12"/>
      <c r="F60" s="12"/>
      <c r="G60" s="12"/>
      <c r="H60" s="12"/>
    </row>
    <row r="61" spans="1:8" x14ac:dyDescent="0.25">
      <c r="A61" s="12">
        <v>1059</v>
      </c>
      <c r="B61" s="12" t="s">
        <v>703</v>
      </c>
      <c r="C61" s="12"/>
      <c r="D61" s="12"/>
      <c r="E61" s="12"/>
      <c r="F61" s="12"/>
      <c r="G61" s="12"/>
      <c r="H61" s="12"/>
    </row>
    <row r="62" spans="1:8" x14ac:dyDescent="0.25">
      <c r="A62" s="12">
        <v>1060</v>
      </c>
      <c r="B62" s="12" t="s">
        <v>704</v>
      </c>
      <c r="C62" s="12"/>
      <c r="D62" s="12"/>
      <c r="E62" s="12"/>
      <c r="F62" s="12"/>
      <c r="G62" s="12"/>
      <c r="H62" s="12"/>
    </row>
    <row r="63" spans="1:8" x14ac:dyDescent="0.25">
      <c r="A63" s="12">
        <v>1061</v>
      </c>
      <c r="B63" s="12" t="s">
        <v>24</v>
      </c>
      <c r="C63" s="12"/>
      <c r="D63" s="12"/>
      <c r="E63" s="12"/>
      <c r="F63" s="12"/>
      <c r="G63" s="12"/>
      <c r="H63" s="12"/>
    </row>
    <row r="64" spans="1:8" x14ac:dyDescent="0.25">
      <c r="A64" s="12">
        <v>1062</v>
      </c>
      <c r="B64" s="12" t="s">
        <v>25</v>
      </c>
      <c r="C64" s="12"/>
      <c r="D64" s="12"/>
      <c r="E64" s="12"/>
      <c r="F64" s="12"/>
      <c r="G64" s="12"/>
      <c r="H64" s="12"/>
    </row>
    <row r="65" spans="1:8" x14ac:dyDescent="0.25">
      <c r="A65" s="12">
        <v>1063</v>
      </c>
      <c r="B65" s="12" t="s">
        <v>706</v>
      </c>
      <c r="C65" s="12"/>
      <c r="D65" s="12"/>
      <c r="E65" s="12"/>
      <c r="F65" s="12"/>
      <c r="G65" s="12"/>
      <c r="H65" s="12"/>
    </row>
    <row r="66" spans="1:8" x14ac:dyDescent="0.25">
      <c r="A66" s="12">
        <v>1064</v>
      </c>
      <c r="B66" s="12" t="s">
        <v>707</v>
      </c>
      <c r="C66" s="12"/>
      <c r="D66" s="12"/>
      <c r="E66" s="12"/>
      <c r="F66" s="12"/>
      <c r="G66" s="12"/>
      <c r="H66" s="12"/>
    </row>
    <row r="67" spans="1:8" x14ac:dyDescent="0.25">
      <c r="A67" s="12">
        <v>1065</v>
      </c>
      <c r="B67" s="12" t="s">
        <v>708</v>
      </c>
      <c r="C67" s="12"/>
      <c r="D67" s="12"/>
      <c r="E67" s="12"/>
      <c r="F67" s="12"/>
      <c r="G67" s="12"/>
      <c r="H67" s="12"/>
    </row>
    <row r="68" spans="1:8" x14ac:dyDescent="0.25">
      <c r="A68" s="12">
        <v>1066</v>
      </c>
      <c r="B68" s="12" t="s">
        <v>709</v>
      </c>
      <c r="C68" s="12"/>
      <c r="D68" s="12"/>
      <c r="E68" s="12"/>
      <c r="F68" s="12"/>
      <c r="G68" s="12"/>
      <c r="H68" s="12"/>
    </row>
    <row r="69" spans="1:8" x14ac:dyDescent="0.25">
      <c r="A69" s="12">
        <v>1067</v>
      </c>
      <c r="B69" s="12" t="s">
        <v>710</v>
      </c>
      <c r="C69" s="12"/>
      <c r="D69" s="12"/>
      <c r="E69" s="12"/>
      <c r="F69" s="12"/>
      <c r="G69" s="12"/>
      <c r="H69" s="12"/>
    </row>
    <row r="70" spans="1:8" x14ac:dyDescent="0.25">
      <c r="A70" s="12">
        <v>1068</v>
      </c>
      <c r="B70" s="12" t="s">
        <v>711</v>
      </c>
      <c r="C70" s="12"/>
      <c r="D70" s="12"/>
      <c r="E70" s="12"/>
      <c r="F70" s="12"/>
      <c r="G70" s="12"/>
      <c r="H70" s="12"/>
    </row>
    <row r="71" spans="1:8" x14ac:dyDescent="0.25">
      <c r="A71" s="12">
        <v>1069</v>
      </c>
      <c r="B71" s="12" t="s">
        <v>712</v>
      </c>
      <c r="C71" s="12"/>
      <c r="D71" s="12"/>
      <c r="E71" s="12"/>
      <c r="F71" s="12"/>
      <c r="G71" s="12"/>
      <c r="H71" s="12"/>
    </row>
    <row r="72" spans="1:8" x14ac:dyDescent="0.25">
      <c r="A72" s="12">
        <v>1070</v>
      </c>
      <c r="B72" s="12" t="s">
        <v>713</v>
      </c>
      <c r="C72" s="12"/>
      <c r="D72" s="12"/>
      <c r="E72" s="12"/>
      <c r="F72" s="12"/>
      <c r="G72" s="12"/>
      <c r="H72" s="12"/>
    </row>
    <row r="73" spans="1:8" x14ac:dyDescent="0.25">
      <c r="A73" s="12">
        <v>1071</v>
      </c>
      <c r="B73" s="12" t="s">
        <v>714</v>
      </c>
      <c r="C73" s="12"/>
      <c r="D73" s="12"/>
      <c r="E73" s="12"/>
      <c r="F73" s="12"/>
      <c r="G73" s="12"/>
      <c r="H73" s="12"/>
    </row>
    <row r="74" spans="1:8" x14ac:dyDescent="0.25">
      <c r="A74" s="12">
        <v>1072</v>
      </c>
      <c r="B74" s="12" t="s">
        <v>715</v>
      </c>
      <c r="C74" s="12"/>
      <c r="D74" s="12"/>
      <c r="E74" s="12"/>
      <c r="F74" s="12"/>
      <c r="G74" s="12"/>
      <c r="H74" s="12"/>
    </row>
    <row r="75" spans="1:8" x14ac:dyDescent="0.25">
      <c r="A75" s="12">
        <v>1073</v>
      </c>
      <c r="B75" s="12" t="s">
        <v>716</v>
      </c>
      <c r="C75" s="12"/>
      <c r="D75" s="12"/>
      <c r="E75" s="12"/>
      <c r="F75" s="12"/>
      <c r="G75" s="12"/>
      <c r="H75" s="12"/>
    </row>
    <row r="76" spans="1:8" x14ac:dyDescent="0.25">
      <c r="A76" s="12">
        <v>1074</v>
      </c>
      <c r="B76" s="12" t="s">
        <v>717</v>
      </c>
      <c r="C76" s="12"/>
      <c r="D76" s="12"/>
      <c r="E76" s="12"/>
      <c r="F76" s="12"/>
      <c r="G76" s="12"/>
      <c r="H76" s="12"/>
    </row>
    <row r="77" spans="1:8" x14ac:dyDescent="0.25">
      <c r="A77" s="12">
        <v>1075</v>
      </c>
      <c r="B77" s="12" t="s">
        <v>26</v>
      </c>
      <c r="C77" s="12"/>
      <c r="D77" s="12"/>
      <c r="E77" s="12"/>
      <c r="F77" s="12"/>
      <c r="G77" s="12"/>
      <c r="H77" s="12"/>
    </row>
    <row r="78" spans="1:8" x14ac:dyDescent="0.25">
      <c r="A78" s="12">
        <v>1076</v>
      </c>
      <c r="B78" s="12" t="s">
        <v>718</v>
      </c>
      <c r="C78" s="12"/>
      <c r="D78" s="12"/>
      <c r="E78" s="12"/>
      <c r="F78" s="12"/>
      <c r="G78" s="12"/>
      <c r="H78" s="12"/>
    </row>
    <row r="79" spans="1:8" x14ac:dyDescent="0.25">
      <c r="A79" s="12">
        <v>1077</v>
      </c>
      <c r="B79" s="12" t="s">
        <v>719</v>
      </c>
      <c r="C79" s="12"/>
      <c r="D79" s="12"/>
      <c r="E79" s="12"/>
      <c r="F79" s="12"/>
      <c r="G79" s="12"/>
      <c r="H79" s="12"/>
    </row>
    <row r="80" spans="1:8" x14ac:dyDescent="0.25">
      <c r="A80" s="12">
        <v>1078</v>
      </c>
      <c r="B80" s="12" t="s">
        <v>720</v>
      </c>
      <c r="C80" s="12"/>
      <c r="D80" s="12"/>
      <c r="E80" s="12"/>
      <c r="F80" s="12"/>
      <c r="G80" s="12"/>
      <c r="H80" s="12"/>
    </row>
    <row r="81" spans="1:8" x14ac:dyDescent="0.25">
      <c r="A81" s="12">
        <v>1079</v>
      </c>
      <c r="B81" s="12" t="s">
        <v>721</v>
      </c>
      <c r="C81" s="12"/>
      <c r="D81" s="12"/>
      <c r="E81" s="12"/>
      <c r="F81" s="12"/>
      <c r="G81" s="12"/>
      <c r="H81" s="12"/>
    </row>
    <row r="82" spans="1:8" x14ac:dyDescent="0.25">
      <c r="A82" s="12">
        <v>1080</v>
      </c>
      <c r="B82" s="12" t="s">
        <v>722</v>
      </c>
      <c r="C82" s="12"/>
      <c r="D82" s="12"/>
      <c r="E82" s="12"/>
      <c r="F82" s="12"/>
      <c r="G82" s="12"/>
      <c r="H82" s="12"/>
    </row>
    <row r="83" spans="1:8" x14ac:dyDescent="0.25">
      <c r="A83" s="12">
        <v>1081</v>
      </c>
      <c r="B83" s="12" t="s">
        <v>723</v>
      </c>
      <c r="C83" s="12"/>
      <c r="D83" s="12"/>
      <c r="E83" s="12"/>
      <c r="F83" s="12"/>
      <c r="G83" s="12"/>
      <c r="H83" s="12"/>
    </row>
    <row r="84" spans="1:8" x14ac:dyDescent="0.25">
      <c r="A84" s="12">
        <v>1082</v>
      </c>
      <c r="B84" s="12" t="s">
        <v>27</v>
      </c>
      <c r="C84" s="12"/>
      <c r="D84" s="12"/>
      <c r="E84" s="12"/>
      <c r="F84" s="12"/>
      <c r="G84" s="12"/>
      <c r="H84" s="12"/>
    </row>
    <row r="85" spans="1:8" x14ac:dyDescent="0.25">
      <c r="A85" s="12">
        <v>1083</v>
      </c>
      <c r="B85" s="12" t="s">
        <v>724</v>
      </c>
      <c r="C85" s="12"/>
      <c r="D85" s="12"/>
      <c r="E85" s="12"/>
      <c r="F85" s="12"/>
      <c r="G85" s="12"/>
      <c r="H85" s="12"/>
    </row>
    <row r="86" spans="1:8" x14ac:dyDescent="0.25">
      <c r="A86" s="12">
        <v>1084</v>
      </c>
      <c r="B86" s="12" t="s">
        <v>725</v>
      </c>
      <c r="C86" s="12"/>
      <c r="D86" s="12"/>
      <c r="E86" s="12"/>
      <c r="F86" s="12"/>
      <c r="G86" s="12"/>
      <c r="H86" s="12"/>
    </row>
    <row r="87" spans="1:8" x14ac:dyDescent="0.25">
      <c r="A87" s="12">
        <v>1085</v>
      </c>
      <c r="B87" s="12" t="s">
        <v>726</v>
      </c>
      <c r="C87" s="12"/>
      <c r="D87" s="12"/>
      <c r="E87" s="12"/>
      <c r="F87" s="12"/>
      <c r="G87" s="12"/>
      <c r="H87" s="12"/>
    </row>
    <row r="88" spans="1:8" x14ac:dyDescent="0.25">
      <c r="A88" s="12">
        <v>1086</v>
      </c>
      <c r="B88" s="12" t="s">
        <v>727</v>
      </c>
      <c r="C88" s="12"/>
      <c r="D88" s="12"/>
      <c r="E88" s="12"/>
      <c r="F88" s="12"/>
      <c r="G88" s="12"/>
      <c r="H88" s="12"/>
    </row>
    <row r="89" spans="1:8" x14ac:dyDescent="0.25">
      <c r="A89" s="12">
        <v>1087</v>
      </c>
      <c r="B89" s="12" t="s">
        <v>28</v>
      </c>
      <c r="C89" s="12"/>
      <c r="D89" s="12"/>
      <c r="E89" s="12"/>
      <c r="F89" s="12"/>
      <c r="G89" s="12"/>
      <c r="H89" s="12"/>
    </row>
    <row r="90" spans="1:8" x14ac:dyDescent="0.25">
      <c r="A90" s="12">
        <v>1088</v>
      </c>
      <c r="B90" s="12" t="s">
        <v>29</v>
      </c>
      <c r="C90" s="12"/>
      <c r="D90" s="12"/>
      <c r="E90" s="12"/>
      <c r="F90" s="12"/>
      <c r="G90" s="12"/>
      <c r="H90" s="12"/>
    </row>
    <row r="91" spans="1:8" x14ac:dyDescent="0.25">
      <c r="A91" s="12">
        <v>1089</v>
      </c>
      <c r="B91" s="12" t="s">
        <v>728</v>
      </c>
      <c r="C91" s="12"/>
      <c r="D91" s="12"/>
      <c r="E91" s="12"/>
      <c r="F91" s="12"/>
      <c r="G91" s="12"/>
      <c r="H91" s="12"/>
    </row>
    <row r="92" spans="1:8" x14ac:dyDescent="0.25">
      <c r="A92" s="12">
        <v>1090</v>
      </c>
      <c r="B92" s="12" t="s">
        <v>729</v>
      </c>
      <c r="C92" s="12"/>
      <c r="D92" s="12"/>
      <c r="E92" s="12"/>
      <c r="F92" s="12"/>
      <c r="G92" s="12"/>
      <c r="H92" s="12"/>
    </row>
    <row r="93" spans="1:8" x14ac:dyDescent="0.25">
      <c r="A93" s="12">
        <v>1091</v>
      </c>
      <c r="B93" s="12" t="s">
        <v>730</v>
      </c>
      <c r="C93" s="12"/>
      <c r="D93" s="12"/>
      <c r="E93" s="12"/>
      <c r="F93" s="12"/>
      <c r="G93" s="12"/>
      <c r="H93" s="12"/>
    </row>
    <row r="94" spans="1:8" x14ac:dyDescent="0.25">
      <c r="A94" s="12">
        <v>1092</v>
      </c>
      <c r="B94" s="12" t="s">
        <v>731</v>
      </c>
      <c r="C94" s="12"/>
      <c r="D94" s="12"/>
      <c r="E94" s="12"/>
      <c r="F94" s="12"/>
      <c r="G94" s="12"/>
      <c r="H94" s="12"/>
    </row>
    <row r="95" spans="1:8" x14ac:dyDescent="0.25">
      <c r="A95" s="12">
        <v>1093</v>
      </c>
      <c r="B95" s="12" t="s">
        <v>732</v>
      </c>
      <c r="C95" s="12"/>
      <c r="D95" s="12"/>
      <c r="E95" s="12"/>
      <c r="F95" s="12"/>
      <c r="G95" s="12"/>
      <c r="H95" s="12"/>
    </row>
    <row r="96" spans="1:8" x14ac:dyDescent="0.25">
      <c r="A96" s="12">
        <v>1094</v>
      </c>
      <c r="B96" s="12" t="s">
        <v>30</v>
      </c>
      <c r="C96" s="12"/>
      <c r="D96" s="12"/>
      <c r="E96" s="12"/>
      <c r="F96" s="12"/>
      <c r="G96" s="12"/>
      <c r="H96" s="12"/>
    </row>
    <row r="97" spans="1:8" x14ac:dyDescent="0.25">
      <c r="A97" s="12">
        <v>1095</v>
      </c>
      <c r="B97" s="12" t="s">
        <v>32</v>
      </c>
      <c r="C97" s="12"/>
      <c r="D97" s="12"/>
      <c r="E97" s="12"/>
      <c r="F97" s="12"/>
      <c r="G97" s="12"/>
      <c r="H97" s="12"/>
    </row>
    <row r="98" spans="1:8" x14ac:dyDescent="0.25">
      <c r="A98" s="12">
        <v>1096</v>
      </c>
      <c r="B98" s="12" t="s">
        <v>735</v>
      </c>
      <c r="C98" s="12"/>
      <c r="D98" s="12"/>
      <c r="E98" s="12"/>
      <c r="F98" s="12"/>
      <c r="G98" s="12"/>
      <c r="H98" s="12"/>
    </row>
    <row r="99" spans="1:8" x14ac:dyDescent="0.25">
      <c r="A99" s="12">
        <v>1097</v>
      </c>
      <c r="B99" s="12" t="s">
        <v>736</v>
      </c>
      <c r="C99" s="12"/>
      <c r="D99" s="12"/>
      <c r="E99" s="12"/>
      <c r="F99" s="12"/>
      <c r="G99" s="12"/>
      <c r="H99" s="12"/>
    </row>
    <row r="100" spans="1:8" x14ac:dyDescent="0.25">
      <c r="A100" s="12">
        <v>1098</v>
      </c>
      <c r="B100" s="12" t="s">
        <v>35</v>
      </c>
      <c r="C100" s="12"/>
      <c r="D100" s="12"/>
      <c r="E100" s="12"/>
      <c r="F100" s="12"/>
      <c r="G100" s="12"/>
      <c r="H100" s="12"/>
    </row>
    <row r="101" spans="1:8" x14ac:dyDescent="0.25">
      <c r="A101" s="12">
        <v>1099</v>
      </c>
      <c r="B101" s="12" t="s">
        <v>475</v>
      </c>
      <c r="C101" s="12" t="s">
        <v>470</v>
      </c>
      <c r="D101" s="12">
        <v>1</v>
      </c>
      <c r="E101" s="12" t="s">
        <v>1780</v>
      </c>
      <c r="F101" s="12">
        <v>0</v>
      </c>
      <c r="G101" s="4" t="s">
        <v>476</v>
      </c>
      <c r="H101" s="13">
        <v>42439</v>
      </c>
    </row>
    <row r="102" spans="1:8" x14ac:dyDescent="0.25">
      <c r="A102" s="12">
        <v>1100</v>
      </c>
      <c r="B102" s="12" t="s">
        <v>477</v>
      </c>
      <c r="C102" s="12" t="s">
        <v>470</v>
      </c>
      <c r="D102" s="12">
        <v>1</v>
      </c>
      <c r="E102" s="12" t="s">
        <v>1781</v>
      </c>
      <c r="F102" s="12">
        <v>0</v>
      </c>
      <c r="G102" s="4" t="s">
        <v>476</v>
      </c>
      <c r="H102" s="13">
        <v>42439</v>
      </c>
    </row>
    <row r="103" spans="1:8" x14ac:dyDescent="0.25">
      <c r="A103" s="12">
        <v>1101</v>
      </c>
      <c r="B103" s="12" t="s">
        <v>738</v>
      </c>
      <c r="C103" s="12"/>
      <c r="D103" s="12"/>
      <c r="E103" s="12"/>
      <c r="F103" s="12"/>
      <c r="G103" s="12"/>
      <c r="H103" s="12"/>
    </row>
    <row r="104" spans="1:8" x14ac:dyDescent="0.25">
      <c r="A104" s="12">
        <v>1102</v>
      </c>
      <c r="B104" s="12" t="s">
        <v>741</v>
      </c>
      <c r="C104" s="12"/>
      <c r="D104" s="12"/>
      <c r="E104" s="12"/>
      <c r="F104" s="12"/>
      <c r="G104" s="12"/>
      <c r="H104" s="12"/>
    </row>
    <row r="105" spans="1:8" x14ac:dyDescent="0.25">
      <c r="A105" s="12">
        <v>1103</v>
      </c>
      <c r="B105" s="12" t="s">
        <v>739</v>
      </c>
      <c r="C105" s="12"/>
      <c r="D105" s="12"/>
      <c r="E105" s="12"/>
      <c r="F105" s="12"/>
      <c r="G105" s="12"/>
      <c r="H105" s="12"/>
    </row>
    <row r="106" spans="1:8" x14ac:dyDescent="0.25">
      <c r="A106" s="12">
        <v>1104</v>
      </c>
      <c r="B106" s="12" t="s">
        <v>740</v>
      </c>
      <c r="C106" s="12"/>
      <c r="D106" s="12"/>
      <c r="E106" s="12"/>
      <c r="F106" s="12"/>
      <c r="G106" s="12"/>
      <c r="H106" s="12"/>
    </row>
    <row r="107" spans="1:8" x14ac:dyDescent="0.25">
      <c r="A107" s="12">
        <v>1105</v>
      </c>
      <c r="B107" s="12" t="s">
        <v>742</v>
      </c>
      <c r="C107" s="12"/>
      <c r="D107" s="12"/>
      <c r="E107" s="12"/>
      <c r="F107" s="12"/>
      <c r="G107" s="12"/>
      <c r="H107" s="12"/>
    </row>
    <row r="108" spans="1:8" x14ac:dyDescent="0.25">
      <c r="A108" s="12">
        <v>1106</v>
      </c>
      <c r="B108" s="12" t="s">
        <v>743</v>
      </c>
      <c r="C108" s="12"/>
      <c r="D108" s="12"/>
      <c r="E108" s="12"/>
      <c r="F108" s="12"/>
      <c r="G108" s="12"/>
      <c r="H108" s="12"/>
    </row>
    <row r="109" spans="1:8" x14ac:dyDescent="0.25">
      <c r="A109" s="12">
        <v>1107</v>
      </c>
      <c r="B109" s="12" t="s">
        <v>744</v>
      </c>
      <c r="C109" s="12"/>
      <c r="D109" s="12"/>
      <c r="E109" s="12"/>
      <c r="F109" s="12"/>
      <c r="G109" s="12"/>
      <c r="H109" s="12"/>
    </row>
    <row r="110" spans="1:8" x14ac:dyDescent="0.25">
      <c r="A110" s="12">
        <v>1108</v>
      </c>
      <c r="B110" s="12" t="s">
        <v>36</v>
      </c>
      <c r="C110" s="12"/>
      <c r="D110" s="12"/>
      <c r="E110" s="12"/>
      <c r="F110" s="12"/>
      <c r="G110" s="12"/>
      <c r="H110" s="12"/>
    </row>
    <row r="111" spans="1:8" x14ac:dyDescent="0.25">
      <c r="A111" s="12">
        <v>1109</v>
      </c>
      <c r="B111" s="12" t="s">
        <v>746</v>
      </c>
      <c r="C111" s="12"/>
      <c r="D111" s="12"/>
      <c r="E111" s="12"/>
      <c r="F111" s="12"/>
      <c r="G111" s="12"/>
      <c r="H111" s="12"/>
    </row>
    <row r="112" spans="1:8" x14ac:dyDescent="0.25">
      <c r="A112" s="12">
        <v>1110</v>
      </c>
      <c r="B112" s="12" t="s">
        <v>747</v>
      </c>
      <c r="C112" s="12"/>
      <c r="D112" s="12"/>
      <c r="E112" s="12"/>
      <c r="F112" s="12"/>
      <c r="G112" s="12"/>
      <c r="H112" s="12"/>
    </row>
    <row r="113" spans="1:8" x14ac:dyDescent="0.25">
      <c r="A113" s="12">
        <v>1111</v>
      </c>
      <c r="B113" s="12" t="s">
        <v>37</v>
      </c>
      <c r="C113" s="12"/>
      <c r="D113" s="12"/>
      <c r="E113" s="12"/>
      <c r="F113" s="12"/>
      <c r="G113" s="12"/>
      <c r="H113" s="12"/>
    </row>
    <row r="114" spans="1:8" x14ac:dyDescent="0.25">
      <c r="A114" s="12">
        <v>1112</v>
      </c>
      <c r="B114" s="12" t="s">
        <v>749</v>
      </c>
      <c r="C114" s="12"/>
      <c r="D114" s="12"/>
      <c r="E114" s="12"/>
      <c r="F114" s="12"/>
      <c r="G114" s="12"/>
      <c r="H114" s="12"/>
    </row>
    <row r="115" spans="1:8" x14ac:dyDescent="0.25">
      <c r="A115" s="12">
        <v>1113</v>
      </c>
      <c r="B115" s="12" t="s">
        <v>753</v>
      </c>
      <c r="C115" s="12"/>
      <c r="D115" s="12"/>
      <c r="E115" s="12"/>
      <c r="F115" s="12"/>
      <c r="G115" s="12"/>
      <c r="H115" s="12"/>
    </row>
    <row r="116" spans="1:8" x14ac:dyDescent="0.25">
      <c r="A116" s="12">
        <v>1114</v>
      </c>
      <c r="B116" s="12" t="s">
        <v>38</v>
      </c>
      <c r="C116" s="12"/>
      <c r="D116" s="12"/>
      <c r="E116" s="12"/>
      <c r="F116" s="12"/>
      <c r="G116" s="12"/>
      <c r="H116" s="12"/>
    </row>
    <row r="117" spans="1:8" x14ac:dyDescent="0.25">
      <c r="A117" s="12">
        <v>1115</v>
      </c>
      <c r="B117" s="12" t="s">
        <v>754</v>
      </c>
      <c r="C117" s="12"/>
      <c r="D117" s="12"/>
      <c r="E117" s="12"/>
      <c r="F117" s="12"/>
      <c r="G117" s="12"/>
      <c r="H117" s="12"/>
    </row>
    <row r="118" spans="1:8" x14ac:dyDescent="0.25">
      <c r="A118" s="12">
        <v>1116</v>
      </c>
      <c r="B118" s="12" t="s">
        <v>755</v>
      </c>
      <c r="C118" s="12"/>
      <c r="D118" s="12"/>
      <c r="E118" s="12"/>
      <c r="F118" s="12"/>
      <c r="G118" s="12"/>
      <c r="H118" s="12"/>
    </row>
    <row r="119" spans="1:8" x14ac:dyDescent="0.25">
      <c r="A119" s="12">
        <v>1117</v>
      </c>
      <c r="B119" s="12" t="s">
        <v>756</v>
      </c>
      <c r="C119" s="12"/>
      <c r="D119" s="12"/>
      <c r="E119" s="12"/>
      <c r="F119" s="12"/>
      <c r="G119" s="12"/>
      <c r="H119" s="12"/>
    </row>
    <row r="120" spans="1:8" x14ac:dyDescent="0.25">
      <c r="A120" s="12">
        <v>1118</v>
      </c>
      <c r="B120" s="12" t="s">
        <v>757</v>
      </c>
      <c r="C120" s="12"/>
      <c r="D120" s="12"/>
      <c r="E120" s="12"/>
      <c r="F120" s="12"/>
      <c r="G120" s="12"/>
      <c r="H120" s="12"/>
    </row>
    <row r="121" spans="1:8" x14ac:dyDescent="0.25">
      <c r="A121" s="12">
        <v>1119</v>
      </c>
      <c r="B121" s="12" t="s">
        <v>758</v>
      </c>
      <c r="C121" s="12"/>
      <c r="D121" s="12"/>
      <c r="E121" s="12"/>
      <c r="F121" s="12"/>
      <c r="G121" s="12"/>
      <c r="H121" s="12"/>
    </row>
    <row r="122" spans="1:8" x14ac:dyDescent="0.25">
      <c r="A122" s="12">
        <v>1120</v>
      </c>
      <c r="B122" s="12" t="s">
        <v>759</v>
      </c>
      <c r="C122" s="12"/>
      <c r="D122" s="12"/>
      <c r="E122" s="12"/>
      <c r="F122" s="12"/>
      <c r="G122" s="12"/>
      <c r="H122" s="12"/>
    </row>
    <row r="123" spans="1:8" x14ac:dyDescent="0.25">
      <c r="A123" s="12">
        <v>1121</v>
      </c>
      <c r="B123" s="12" t="s">
        <v>765</v>
      </c>
      <c r="C123" s="12"/>
      <c r="D123" s="12"/>
      <c r="E123" s="12"/>
      <c r="F123" s="12"/>
      <c r="G123" s="12"/>
      <c r="H123" s="12"/>
    </row>
    <row r="124" spans="1:8" x14ac:dyDescent="0.25">
      <c r="A124" s="12">
        <v>1122</v>
      </c>
      <c r="B124" s="12" t="s">
        <v>760</v>
      </c>
      <c r="C124" s="12"/>
      <c r="D124" s="12"/>
      <c r="E124" s="12"/>
      <c r="F124" s="12"/>
      <c r="G124" s="12"/>
      <c r="H124" s="12"/>
    </row>
    <row r="125" spans="1:8" x14ac:dyDescent="0.25">
      <c r="A125" s="12">
        <v>1123</v>
      </c>
      <c r="B125" s="12" t="s">
        <v>761</v>
      </c>
      <c r="C125" s="12"/>
      <c r="D125" s="12"/>
      <c r="E125" s="12"/>
      <c r="F125" s="12"/>
      <c r="G125" s="12"/>
      <c r="H125" s="12"/>
    </row>
    <row r="126" spans="1:8" x14ac:dyDescent="0.25">
      <c r="A126" s="12">
        <v>1124</v>
      </c>
      <c r="B126" s="12" t="s">
        <v>762</v>
      </c>
      <c r="C126" s="12"/>
      <c r="D126" s="12"/>
      <c r="E126" s="12"/>
      <c r="F126" s="12"/>
      <c r="G126" s="12"/>
      <c r="H126" s="12"/>
    </row>
    <row r="127" spans="1:8" x14ac:dyDescent="0.25">
      <c r="A127" s="12">
        <v>1125</v>
      </c>
      <c r="B127" s="12" t="s">
        <v>763</v>
      </c>
      <c r="C127" s="12"/>
      <c r="D127" s="12"/>
      <c r="E127" s="12"/>
      <c r="F127" s="12"/>
      <c r="G127" s="12"/>
      <c r="H127" s="12"/>
    </row>
    <row r="128" spans="1:8" x14ac:dyDescent="0.25">
      <c r="A128" s="12">
        <v>1126</v>
      </c>
      <c r="B128" s="12" t="s">
        <v>764</v>
      </c>
      <c r="C128" s="12"/>
      <c r="D128" s="12"/>
      <c r="E128" s="12"/>
      <c r="F128" s="12"/>
      <c r="G128" s="12"/>
      <c r="H128" s="12"/>
    </row>
    <row r="129" spans="1:8" x14ac:dyDescent="0.25">
      <c r="A129" s="12">
        <v>1127</v>
      </c>
      <c r="B129" s="12" t="s">
        <v>766</v>
      </c>
      <c r="C129" s="12"/>
      <c r="D129" s="12"/>
      <c r="E129" s="12"/>
      <c r="F129" s="12"/>
      <c r="G129" s="12"/>
      <c r="H129" s="12"/>
    </row>
    <row r="130" spans="1:8" x14ac:dyDescent="0.25">
      <c r="A130" s="12">
        <v>1128</v>
      </c>
      <c r="B130" s="12" t="s">
        <v>39</v>
      </c>
      <c r="C130" s="12"/>
      <c r="D130" s="12"/>
      <c r="E130" s="12"/>
      <c r="F130" s="12"/>
      <c r="G130" s="12"/>
      <c r="H130" s="12"/>
    </row>
    <row r="131" spans="1:8" x14ac:dyDescent="0.25">
      <c r="A131" s="12">
        <v>1129</v>
      </c>
      <c r="B131" s="12" t="s">
        <v>768</v>
      </c>
      <c r="C131" s="12"/>
      <c r="D131" s="12"/>
      <c r="E131" s="12"/>
      <c r="F131" s="12"/>
      <c r="G131" s="12"/>
      <c r="H131" s="12"/>
    </row>
    <row r="132" spans="1:8" x14ac:dyDescent="0.25">
      <c r="A132" s="12">
        <v>1130</v>
      </c>
      <c r="B132" s="12" t="s">
        <v>478</v>
      </c>
      <c r="C132" s="12" t="s">
        <v>470</v>
      </c>
      <c r="D132" s="12">
        <v>1</v>
      </c>
      <c r="E132" s="12" t="s">
        <v>1782</v>
      </c>
      <c r="F132" s="12">
        <v>0</v>
      </c>
      <c r="G132" s="3" t="s">
        <v>479</v>
      </c>
      <c r="H132" s="13">
        <v>42439</v>
      </c>
    </row>
    <row r="133" spans="1:8" x14ac:dyDescent="0.25">
      <c r="A133" s="12">
        <v>1131</v>
      </c>
      <c r="B133" s="12" t="s">
        <v>480</v>
      </c>
      <c r="C133" s="12" t="s">
        <v>470</v>
      </c>
      <c r="D133" s="12">
        <v>2</v>
      </c>
      <c r="E133" s="12" t="s">
        <v>1783</v>
      </c>
      <c r="F133" s="12">
        <v>0</v>
      </c>
      <c r="G133" s="12" t="s">
        <v>467</v>
      </c>
      <c r="H133" s="13">
        <v>42439</v>
      </c>
    </row>
    <row r="134" spans="1:8" x14ac:dyDescent="0.25">
      <c r="A134" s="12">
        <v>1132</v>
      </c>
      <c r="B134" s="12" t="s">
        <v>777</v>
      </c>
      <c r="C134" s="12"/>
      <c r="D134" s="12"/>
      <c r="E134" s="12"/>
      <c r="F134" s="12"/>
      <c r="G134" s="12"/>
      <c r="H134" s="12"/>
    </row>
    <row r="135" spans="1:8" x14ac:dyDescent="0.25">
      <c r="A135" s="12">
        <v>1133</v>
      </c>
      <c r="B135" s="12" t="s">
        <v>779</v>
      </c>
      <c r="C135" s="12"/>
      <c r="D135" s="12"/>
      <c r="E135" s="12"/>
      <c r="F135" s="12"/>
      <c r="G135" s="12"/>
      <c r="H135" s="12"/>
    </row>
    <row r="136" spans="1:8" x14ac:dyDescent="0.25">
      <c r="A136" s="12">
        <v>1134</v>
      </c>
      <c r="B136" s="12" t="s">
        <v>782</v>
      </c>
      <c r="C136" s="12"/>
      <c r="D136" s="12"/>
      <c r="E136" s="12"/>
      <c r="F136" s="12"/>
      <c r="G136" s="12"/>
      <c r="H136" s="12"/>
    </row>
    <row r="137" spans="1:8" x14ac:dyDescent="0.25">
      <c r="A137" s="12">
        <v>1135</v>
      </c>
      <c r="B137" s="12" t="s">
        <v>770</v>
      </c>
      <c r="C137" s="12"/>
      <c r="D137" s="12"/>
      <c r="E137" s="12"/>
      <c r="F137" s="12"/>
      <c r="G137" s="12"/>
      <c r="H137" s="12"/>
    </row>
    <row r="138" spans="1:8" x14ac:dyDescent="0.25">
      <c r="A138" s="12">
        <v>1136</v>
      </c>
      <c r="B138" s="12" t="s">
        <v>771</v>
      </c>
      <c r="C138" s="12"/>
      <c r="D138" s="12"/>
      <c r="E138" s="12"/>
      <c r="F138" s="12"/>
      <c r="G138" s="12"/>
      <c r="H138" s="12"/>
    </row>
    <row r="139" spans="1:8" x14ac:dyDescent="0.25">
      <c r="A139" s="12">
        <v>1137</v>
      </c>
      <c r="B139" s="12" t="s">
        <v>772</v>
      </c>
      <c r="C139" s="12"/>
      <c r="D139" s="12"/>
      <c r="E139" s="12"/>
      <c r="F139" s="12"/>
      <c r="G139" s="12"/>
      <c r="H139" s="12"/>
    </row>
    <row r="140" spans="1:8" x14ac:dyDescent="0.25">
      <c r="A140" s="12">
        <v>1138</v>
      </c>
      <c r="B140" s="12" t="s">
        <v>481</v>
      </c>
      <c r="C140" s="12" t="s">
        <v>470</v>
      </c>
      <c r="D140" s="12">
        <v>1</v>
      </c>
      <c r="E140" s="12" t="s">
        <v>1784</v>
      </c>
      <c r="F140" s="12">
        <v>0</v>
      </c>
      <c r="G140" s="12" t="s">
        <v>1785</v>
      </c>
      <c r="H140" s="13">
        <v>42447</v>
      </c>
    </row>
    <row r="141" spans="1:8" x14ac:dyDescent="0.25">
      <c r="A141" s="12">
        <v>1139</v>
      </c>
      <c r="B141" s="12" t="s">
        <v>773</v>
      </c>
      <c r="C141" s="12"/>
      <c r="D141" s="12"/>
      <c r="E141" s="12"/>
      <c r="F141" s="12"/>
      <c r="G141" s="12"/>
      <c r="H141" s="12"/>
    </row>
    <row r="142" spans="1:8" x14ac:dyDescent="0.25">
      <c r="A142" s="12">
        <v>1140</v>
      </c>
      <c r="B142" s="12" t="s">
        <v>774</v>
      </c>
      <c r="C142" s="12"/>
      <c r="D142" s="12"/>
      <c r="E142" s="12"/>
      <c r="F142" s="12"/>
      <c r="G142" s="12"/>
      <c r="H142" s="12"/>
    </row>
    <row r="143" spans="1:8" x14ac:dyDescent="0.25">
      <c r="A143" s="12">
        <v>1141</v>
      </c>
      <c r="B143" s="12" t="s">
        <v>775</v>
      </c>
      <c r="C143" s="12"/>
      <c r="D143" s="12"/>
      <c r="E143" s="12"/>
      <c r="F143" s="12"/>
      <c r="G143" s="12"/>
      <c r="H143" s="12"/>
    </row>
    <row r="144" spans="1:8" x14ac:dyDescent="0.25">
      <c r="A144" s="12">
        <v>1142</v>
      </c>
      <c r="B144" s="12" t="s">
        <v>776</v>
      </c>
      <c r="C144" s="12"/>
      <c r="D144" s="12"/>
      <c r="E144" s="12"/>
      <c r="F144" s="12"/>
      <c r="G144" s="12"/>
      <c r="H144" s="12"/>
    </row>
    <row r="145" spans="1:8" x14ac:dyDescent="0.25">
      <c r="A145" s="12">
        <v>1143</v>
      </c>
      <c r="B145" s="12" t="s">
        <v>482</v>
      </c>
      <c r="C145" s="12" t="s">
        <v>470</v>
      </c>
      <c r="D145" s="12">
        <v>1</v>
      </c>
      <c r="E145" s="12" t="s">
        <v>1786</v>
      </c>
      <c r="F145" s="12">
        <v>0</v>
      </c>
      <c r="G145" s="12" t="s">
        <v>483</v>
      </c>
      <c r="H145" s="13">
        <v>42439</v>
      </c>
    </row>
    <row r="146" spans="1:8" x14ac:dyDescent="0.25">
      <c r="A146" s="12">
        <v>1144</v>
      </c>
      <c r="B146" s="12" t="s">
        <v>778</v>
      </c>
      <c r="C146" s="12"/>
      <c r="D146" s="12"/>
      <c r="E146" s="12"/>
      <c r="F146" s="12"/>
      <c r="G146" s="12"/>
      <c r="H146" s="12"/>
    </row>
    <row r="147" spans="1:8" x14ac:dyDescent="0.25">
      <c r="A147" s="12">
        <v>1145</v>
      </c>
      <c r="B147" s="12" t="s">
        <v>780</v>
      </c>
      <c r="C147" s="12"/>
      <c r="D147" s="12"/>
      <c r="E147" s="12"/>
      <c r="F147" s="12"/>
      <c r="G147" s="12"/>
      <c r="H147" s="12"/>
    </row>
    <row r="148" spans="1:8" x14ac:dyDescent="0.25">
      <c r="A148" s="12">
        <v>1146</v>
      </c>
      <c r="B148" s="12" t="s">
        <v>781</v>
      </c>
      <c r="C148" s="12"/>
      <c r="D148" s="12"/>
      <c r="E148" s="12"/>
      <c r="F148" s="12"/>
      <c r="G148" s="12"/>
      <c r="H148" s="12"/>
    </row>
    <row r="149" spans="1:8" x14ac:dyDescent="0.25">
      <c r="A149" s="12">
        <v>1147</v>
      </c>
      <c r="B149" s="12" t="s">
        <v>783</v>
      </c>
      <c r="C149" s="12"/>
      <c r="D149" s="12"/>
      <c r="E149" s="12"/>
      <c r="F149" s="12"/>
      <c r="G149" s="12"/>
      <c r="H149" s="12"/>
    </row>
    <row r="150" spans="1:8" x14ac:dyDescent="0.25">
      <c r="A150" s="12">
        <v>1148</v>
      </c>
      <c r="B150" s="12" t="s">
        <v>784</v>
      </c>
      <c r="C150" s="12"/>
      <c r="D150" s="12"/>
      <c r="E150" s="12"/>
      <c r="F150" s="12"/>
      <c r="G150" s="12"/>
      <c r="H150" s="12"/>
    </row>
    <row r="151" spans="1:8" x14ac:dyDescent="0.25">
      <c r="A151" s="12">
        <v>1149</v>
      </c>
      <c r="B151" s="12" t="s">
        <v>786</v>
      </c>
      <c r="C151" s="12"/>
      <c r="D151" s="12"/>
      <c r="E151" s="12"/>
      <c r="F151" s="12"/>
      <c r="G151" s="12"/>
      <c r="H151" s="12"/>
    </row>
    <row r="152" spans="1:8" x14ac:dyDescent="0.25">
      <c r="A152" s="12">
        <v>1150</v>
      </c>
      <c r="B152" s="12" t="s">
        <v>785</v>
      </c>
      <c r="C152" s="12"/>
      <c r="D152" s="12"/>
      <c r="E152" s="12"/>
      <c r="F152" s="12"/>
      <c r="G152" s="12"/>
      <c r="H152" s="12"/>
    </row>
    <row r="153" spans="1:8" x14ac:dyDescent="0.25">
      <c r="A153" s="12">
        <v>1151</v>
      </c>
      <c r="B153" s="12" t="s">
        <v>40</v>
      </c>
      <c r="C153" s="12"/>
      <c r="D153" s="12"/>
      <c r="E153" s="12"/>
      <c r="F153" s="12"/>
      <c r="G153" s="12"/>
      <c r="H153" s="12"/>
    </row>
    <row r="154" spans="1:8" x14ac:dyDescent="0.25">
      <c r="A154" s="12">
        <v>1152</v>
      </c>
      <c r="B154" s="12" t="s">
        <v>484</v>
      </c>
      <c r="C154" s="12" t="s">
        <v>470</v>
      </c>
      <c r="D154" s="12">
        <v>1</v>
      </c>
      <c r="E154" s="12" t="s">
        <v>1787</v>
      </c>
      <c r="F154" s="12">
        <v>0</v>
      </c>
      <c r="G154" s="12" t="s">
        <v>485</v>
      </c>
      <c r="H154" s="13">
        <v>42439</v>
      </c>
    </row>
    <row r="155" spans="1:8" x14ac:dyDescent="0.25">
      <c r="A155" s="12">
        <v>1153</v>
      </c>
      <c r="B155" s="12" t="s">
        <v>787</v>
      </c>
      <c r="C155" s="12"/>
      <c r="D155" s="12"/>
      <c r="E155" s="12"/>
      <c r="F155" s="12"/>
      <c r="G155" s="12"/>
      <c r="H155" s="12"/>
    </row>
    <row r="156" spans="1:8" x14ac:dyDescent="0.25">
      <c r="A156" s="12">
        <v>1154</v>
      </c>
      <c r="B156" s="12" t="s">
        <v>788</v>
      </c>
      <c r="C156" s="12"/>
      <c r="D156" s="12"/>
      <c r="E156" s="12"/>
      <c r="F156" s="12"/>
      <c r="G156" s="12"/>
      <c r="H156" s="12"/>
    </row>
    <row r="157" spans="1:8" x14ac:dyDescent="0.25">
      <c r="A157" s="12">
        <v>1155</v>
      </c>
      <c r="B157" s="12" t="s">
        <v>789</v>
      </c>
      <c r="C157" s="12"/>
      <c r="D157" s="12"/>
      <c r="E157" s="12"/>
      <c r="F157" s="12"/>
      <c r="G157" s="12"/>
      <c r="H157" s="12"/>
    </row>
    <row r="158" spans="1:8" x14ac:dyDescent="0.25">
      <c r="A158" s="12">
        <v>1156</v>
      </c>
      <c r="B158" s="12" t="s">
        <v>790</v>
      </c>
      <c r="C158" s="12"/>
      <c r="D158" s="12"/>
      <c r="E158" s="12"/>
      <c r="F158" s="12"/>
      <c r="G158" s="12"/>
      <c r="H158" s="12"/>
    </row>
    <row r="159" spans="1:8" x14ac:dyDescent="0.25">
      <c r="A159" s="12">
        <v>1157</v>
      </c>
      <c r="B159" s="12" t="s">
        <v>791</v>
      </c>
      <c r="C159" s="12"/>
      <c r="D159" s="12"/>
      <c r="E159" s="12"/>
      <c r="F159" s="12"/>
      <c r="G159" s="12"/>
      <c r="H159" s="12"/>
    </row>
    <row r="160" spans="1:8" x14ac:dyDescent="0.25">
      <c r="A160" s="12">
        <v>1158</v>
      </c>
      <c r="B160" s="12" t="s">
        <v>486</v>
      </c>
      <c r="C160" s="12" t="s">
        <v>470</v>
      </c>
      <c r="D160" s="12">
        <v>1</v>
      </c>
      <c r="E160" s="12" t="s">
        <v>1788</v>
      </c>
      <c r="F160" s="12">
        <v>0</v>
      </c>
      <c r="G160" s="12" t="s">
        <v>487</v>
      </c>
      <c r="H160" s="13">
        <v>42439</v>
      </c>
    </row>
    <row r="161" spans="1:8" x14ac:dyDescent="0.25">
      <c r="A161" s="12">
        <v>1159</v>
      </c>
      <c r="B161" s="12" t="s">
        <v>792</v>
      </c>
      <c r="C161" s="12"/>
      <c r="D161" s="12"/>
      <c r="E161" s="12"/>
      <c r="F161" s="12"/>
      <c r="G161" s="12"/>
      <c r="H161" s="12"/>
    </row>
    <row r="162" spans="1:8" x14ac:dyDescent="0.25">
      <c r="A162" s="12">
        <v>1160</v>
      </c>
      <c r="B162" s="12" t="s">
        <v>793</v>
      </c>
      <c r="C162" s="12"/>
      <c r="D162" s="12"/>
      <c r="E162" s="12"/>
      <c r="F162" s="12"/>
      <c r="G162" s="12"/>
      <c r="H162" s="12"/>
    </row>
    <row r="163" spans="1:8" x14ac:dyDescent="0.25">
      <c r="A163" s="12">
        <v>1161</v>
      </c>
      <c r="B163" s="12" t="s">
        <v>794</v>
      </c>
      <c r="C163" s="12"/>
      <c r="D163" s="12"/>
      <c r="E163" s="12"/>
      <c r="F163" s="12"/>
      <c r="G163" s="12"/>
      <c r="H163" s="12"/>
    </row>
    <row r="164" spans="1:8" x14ac:dyDescent="0.25">
      <c r="A164" s="12">
        <v>1162</v>
      </c>
      <c r="B164" s="12" t="s">
        <v>795</v>
      </c>
      <c r="C164" s="12"/>
      <c r="D164" s="12"/>
      <c r="E164" s="12"/>
      <c r="F164" s="12"/>
      <c r="G164" s="12"/>
      <c r="H164" s="12"/>
    </row>
    <row r="165" spans="1:8" x14ac:dyDescent="0.25">
      <c r="A165" s="12">
        <v>1163</v>
      </c>
      <c r="B165" s="12" t="s">
        <v>796</v>
      </c>
      <c r="C165" s="12"/>
      <c r="D165" s="12"/>
      <c r="E165" s="12"/>
      <c r="F165" s="12"/>
      <c r="G165" s="12"/>
      <c r="H165" s="12"/>
    </row>
    <row r="166" spans="1:8" x14ac:dyDescent="0.25">
      <c r="A166" s="12">
        <v>1164</v>
      </c>
      <c r="B166" s="12" t="s">
        <v>797</v>
      </c>
      <c r="C166" s="12"/>
      <c r="D166" s="12"/>
      <c r="E166" s="12"/>
      <c r="F166" s="12"/>
      <c r="G166" s="12"/>
      <c r="H166" s="12"/>
    </row>
    <row r="167" spans="1:8" x14ac:dyDescent="0.25">
      <c r="A167" s="12">
        <v>1165</v>
      </c>
      <c r="B167" s="12" t="s">
        <v>798</v>
      </c>
      <c r="C167" s="12"/>
      <c r="D167" s="12"/>
      <c r="E167" s="12"/>
      <c r="F167" s="12"/>
      <c r="G167" s="12"/>
      <c r="H167" s="12"/>
    </row>
    <row r="168" spans="1:8" x14ac:dyDescent="0.25">
      <c r="A168" s="12">
        <v>1166</v>
      </c>
      <c r="B168" s="12" t="s">
        <v>41</v>
      </c>
      <c r="C168" s="12"/>
      <c r="D168" s="12"/>
      <c r="E168" s="12"/>
      <c r="F168" s="12"/>
      <c r="G168" s="12"/>
      <c r="H168" s="12"/>
    </row>
    <row r="169" spans="1:8" x14ac:dyDescent="0.25">
      <c r="A169" s="12">
        <v>1167</v>
      </c>
      <c r="B169" s="12" t="s">
        <v>818</v>
      </c>
      <c r="C169" s="12"/>
      <c r="D169" s="12"/>
      <c r="E169" s="12"/>
      <c r="F169" s="12"/>
      <c r="G169" s="12"/>
      <c r="H169" s="12"/>
    </row>
    <row r="170" spans="1:8" x14ac:dyDescent="0.25">
      <c r="A170" s="12">
        <v>1168</v>
      </c>
      <c r="B170" s="12" t="s">
        <v>819</v>
      </c>
      <c r="C170" s="12"/>
      <c r="D170" s="12"/>
      <c r="E170" s="12"/>
      <c r="F170" s="12"/>
      <c r="G170" s="12"/>
      <c r="H170" s="12"/>
    </row>
    <row r="171" spans="1:8" x14ac:dyDescent="0.25">
      <c r="A171" s="12">
        <v>1169</v>
      </c>
      <c r="B171" s="12" t="s">
        <v>832</v>
      </c>
      <c r="C171" s="12"/>
      <c r="D171" s="12"/>
      <c r="E171" s="12"/>
      <c r="F171" s="12"/>
      <c r="G171" s="12"/>
      <c r="H171" s="12"/>
    </row>
    <row r="172" spans="1:8" x14ac:dyDescent="0.25">
      <c r="A172" s="12">
        <v>1170</v>
      </c>
      <c r="B172" s="12" t="s">
        <v>839</v>
      </c>
      <c r="C172" s="12"/>
      <c r="D172" s="12"/>
      <c r="E172" s="12"/>
      <c r="F172" s="12"/>
      <c r="G172" s="12"/>
      <c r="H172" s="12"/>
    </row>
    <row r="173" spans="1:8" x14ac:dyDescent="0.25">
      <c r="A173" s="12">
        <v>1171</v>
      </c>
      <c r="B173" s="12" t="s">
        <v>850</v>
      </c>
      <c r="C173" s="12"/>
      <c r="D173" s="12"/>
      <c r="E173" s="12"/>
      <c r="F173" s="12"/>
      <c r="G173" s="12"/>
      <c r="H173" s="12"/>
    </row>
    <row r="174" spans="1:8" x14ac:dyDescent="0.25">
      <c r="A174" s="12">
        <v>1172</v>
      </c>
      <c r="B174" s="12" t="s">
        <v>43</v>
      </c>
      <c r="C174" s="12"/>
      <c r="D174" s="12"/>
      <c r="E174" s="12"/>
      <c r="F174" s="12"/>
      <c r="G174" s="12"/>
      <c r="H174" s="12"/>
    </row>
    <row r="175" spans="1:8" x14ac:dyDescent="0.25">
      <c r="A175" s="12">
        <v>1173</v>
      </c>
      <c r="B175" s="12" t="s">
        <v>869</v>
      </c>
      <c r="C175" s="12"/>
      <c r="D175" s="12"/>
      <c r="E175" s="12"/>
      <c r="F175" s="12"/>
      <c r="G175" s="12"/>
      <c r="H175" s="12"/>
    </row>
    <row r="176" spans="1:8" x14ac:dyDescent="0.25">
      <c r="A176" s="12">
        <v>1174</v>
      </c>
      <c r="B176" s="12" t="s">
        <v>870</v>
      </c>
      <c r="C176" s="12"/>
      <c r="D176" s="12"/>
      <c r="E176" s="12"/>
      <c r="F176" s="12"/>
      <c r="G176" s="12"/>
      <c r="H176" s="12"/>
    </row>
    <row r="177" spans="1:8" x14ac:dyDescent="0.25">
      <c r="A177" s="12">
        <v>1175</v>
      </c>
      <c r="B177" s="12" t="s">
        <v>875</v>
      </c>
      <c r="C177" s="12"/>
      <c r="D177" s="12"/>
      <c r="E177" s="12"/>
      <c r="F177" s="12"/>
      <c r="G177" s="12"/>
      <c r="H177" s="12"/>
    </row>
    <row r="178" spans="1:8" x14ac:dyDescent="0.25">
      <c r="A178" s="12">
        <v>1176</v>
      </c>
      <c r="B178" s="12" t="s">
        <v>876</v>
      </c>
      <c r="C178" s="12"/>
      <c r="D178" s="12"/>
      <c r="E178" s="12"/>
      <c r="F178" s="12"/>
      <c r="G178" s="12"/>
      <c r="H178" s="12"/>
    </row>
    <row r="179" spans="1:8" x14ac:dyDescent="0.25">
      <c r="A179" s="12">
        <v>1177</v>
      </c>
      <c r="B179" s="12" t="s">
        <v>877</v>
      </c>
      <c r="C179" s="12"/>
      <c r="D179" s="12"/>
      <c r="E179" s="12"/>
      <c r="F179" s="12"/>
      <c r="G179" s="12"/>
      <c r="H179" s="12"/>
    </row>
    <row r="180" spans="1:8" x14ac:dyDescent="0.25">
      <c r="A180" s="12">
        <v>1178</v>
      </c>
      <c r="B180" s="12" t="s">
        <v>799</v>
      </c>
      <c r="C180" s="12"/>
      <c r="D180" s="12"/>
      <c r="E180" s="12"/>
      <c r="F180" s="12"/>
      <c r="G180" s="12"/>
      <c r="H180" s="12"/>
    </row>
    <row r="181" spans="1:8" x14ac:dyDescent="0.25">
      <c r="A181" s="12">
        <v>1179</v>
      </c>
      <c r="B181" s="12" t="s">
        <v>800</v>
      </c>
      <c r="C181" s="12"/>
      <c r="D181" s="12"/>
      <c r="E181" s="12"/>
      <c r="F181" s="12"/>
      <c r="G181" s="12"/>
      <c r="H181" s="12"/>
    </row>
    <row r="182" spans="1:8" x14ac:dyDescent="0.25">
      <c r="A182" s="12">
        <v>1180</v>
      </c>
      <c r="B182" s="12" t="s">
        <v>801</v>
      </c>
      <c r="C182" s="12"/>
      <c r="D182" s="12"/>
      <c r="E182" s="12"/>
      <c r="F182" s="12"/>
      <c r="G182" s="12"/>
      <c r="H182" s="12"/>
    </row>
    <row r="183" spans="1:8" x14ac:dyDescent="0.25">
      <c r="A183" s="12">
        <v>1181</v>
      </c>
      <c r="B183" s="12" t="s">
        <v>488</v>
      </c>
      <c r="C183" s="12" t="s">
        <v>470</v>
      </c>
      <c r="D183" s="12"/>
      <c r="E183" s="12"/>
      <c r="F183" s="12"/>
      <c r="G183" s="12"/>
      <c r="H183" s="12"/>
    </row>
    <row r="184" spans="1:8" x14ac:dyDescent="0.25">
      <c r="A184" s="12">
        <v>1182</v>
      </c>
      <c r="B184" s="12" t="s">
        <v>802</v>
      </c>
      <c r="C184" s="12"/>
      <c r="D184" s="12"/>
      <c r="E184" s="12"/>
      <c r="F184" s="12"/>
      <c r="G184" s="12"/>
      <c r="H184" s="12"/>
    </row>
    <row r="185" spans="1:8" x14ac:dyDescent="0.25">
      <c r="A185" s="12">
        <v>1183</v>
      </c>
      <c r="B185" s="12" t="s">
        <v>44</v>
      </c>
      <c r="C185" s="12"/>
      <c r="D185" s="12"/>
      <c r="E185" s="12"/>
      <c r="F185" s="12"/>
      <c r="G185" s="12"/>
      <c r="H185" s="12"/>
    </row>
    <row r="186" spans="1:8" x14ac:dyDescent="0.25">
      <c r="A186" s="12">
        <v>1184</v>
      </c>
      <c r="B186" s="12" t="s">
        <v>803</v>
      </c>
      <c r="C186" s="12"/>
      <c r="D186" s="12"/>
      <c r="E186" s="12"/>
      <c r="F186" s="12"/>
      <c r="G186" s="12"/>
      <c r="H186" s="12"/>
    </row>
    <row r="187" spans="1:8" x14ac:dyDescent="0.25">
      <c r="A187" s="12">
        <v>1185</v>
      </c>
      <c r="B187" s="12" t="s">
        <v>804</v>
      </c>
      <c r="C187" s="12"/>
      <c r="D187" s="12"/>
      <c r="E187" s="12"/>
      <c r="F187" s="12"/>
      <c r="G187" s="12"/>
      <c r="H187" s="12"/>
    </row>
    <row r="188" spans="1:8" x14ac:dyDescent="0.25">
      <c r="A188" s="12">
        <v>1186</v>
      </c>
      <c r="B188" s="12" t="s">
        <v>805</v>
      </c>
      <c r="C188" s="12"/>
      <c r="D188" s="12"/>
      <c r="E188" s="12"/>
      <c r="F188" s="12"/>
      <c r="G188" s="12"/>
      <c r="H188" s="12"/>
    </row>
    <row r="189" spans="1:8" x14ac:dyDescent="0.25">
      <c r="A189" s="12">
        <v>1187</v>
      </c>
      <c r="B189" s="12" t="s">
        <v>806</v>
      </c>
      <c r="C189" s="12"/>
      <c r="D189" s="12"/>
      <c r="E189" s="12"/>
      <c r="F189" s="12"/>
      <c r="G189" s="12"/>
      <c r="H189" s="12"/>
    </row>
    <row r="190" spans="1:8" x14ac:dyDescent="0.25">
      <c r="A190" s="12">
        <v>1188</v>
      </c>
      <c r="B190" s="12" t="s">
        <v>45</v>
      </c>
      <c r="C190" s="12"/>
      <c r="D190" s="12"/>
      <c r="E190" s="12"/>
      <c r="F190" s="12"/>
      <c r="G190" s="12"/>
      <c r="H190" s="12"/>
    </row>
    <row r="191" spans="1:8" x14ac:dyDescent="0.25">
      <c r="A191" s="12">
        <v>1189</v>
      </c>
      <c r="B191" s="12" t="s">
        <v>46</v>
      </c>
      <c r="C191" s="12"/>
      <c r="D191" s="12"/>
      <c r="E191" s="12"/>
      <c r="F191" s="12"/>
      <c r="G191" s="12"/>
      <c r="H191" s="12"/>
    </row>
    <row r="192" spans="1:8" x14ac:dyDescent="0.25">
      <c r="A192" s="12">
        <v>1190</v>
      </c>
      <c r="B192" s="12" t="s">
        <v>47</v>
      </c>
      <c r="C192" s="12"/>
      <c r="D192" s="12"/>
      <c r="E192" s="12"/>
      <c r="F192" s="12"/>
      <c r="G192" s="12"/>
      <c r="H192" s="12"/>
    </row>
    <row r="193" spans="1:8" x14ac:dyDescent="0.25">
      <c r="A193" s="12">
        <v>1191</v>
      </c>
      <c r="B193" s="12" t="s">
        <v>807</v>
      </c>
      <c r="C193" s="12"/>
      <c r="D193" s="12"/>
      <c r="E193" s="12"/>
      <c r="F193" s="12"/>
      <c r="G193" s="12"/>
      <c r="H193" s="12"/>
    </row>
    <row r="194" spans="1:8" x14ac:dyDescent="0.25">
      <c r="A194" s="12">
        <v>1192</v>
      </c>
      <c r="B194" s="12" t="s">
        <v>809</v>
      </c>
      <c r="C194" s="12"/>
      <c r="D194" s="12"/>
      <c r="E194" s="12"/>
      <c r="F194" s="12"/>
      <c r="G194" s="12"/>
      <c r="H194" s="12"/>
    </row>
    <row r="195" spans="1:8" x14ac:dyDescent="0.25">
      <c r="A195" s="12">
        <v>1193</v>
      </c>
      <c r="B195" s="12" t="s">
        <v>48</v>
      </c>
      <c r="C195" s="12"/>
      <c r="D195" s="12"/>
      <c r="E195" s="12"/>
      <c r="F195" s="12"/>
      <c r="G195" s="12"/>
      <c r="H195" s="12"/>
    </row>
    <row r="196" spans="1:8" x14ac:dyDescent="0.25">
      <c r="A196" s="12">
        <v>1194</v>
      </c>
      <c r="B196" s="12" t="s">
        <v>811</v>
      </c>
      <c r="C196" s="12"/>
      <c r="D196" s="12"/>
      <c r="E196" s="12"/>
      <c r="F196" s="12"/>
      <c r="G196" s="12"/>
      <c r="H196" s="12"/>
    </row>
    <row r="197" spans="1:8" x14ac:dyDescent="0.25">
      <c r="A197" s="12">
        <v>1195</v>
      </c>
      <c r="B197" s="12" t="s">
        <v>812</v>
      </c>
      <c r="C197" s="12"/>
      <c r="D197" s="12"/>
      <c r="E197" s="12"/>
      <c r="F197" s="12"/>
      <c r="G197" s="12"/>
      <c r="H197" s="12"/>
    </row>
    <row r="198" spans="1:8" x14ac:dyDescent="0.25">
      <c r="A198" s="12">
        <v>1196</v>
      </c>
      <c r="B198" s="12" t="s">
        <v>489</v>
      </c>
      <c r="C198" s="12" t="s">
        <v>470</v>
      </c>
      <c r="D198" s="12">
        <v>1</v>
      </c>
      <c r="E198" s="12" t="s">
        <v>1789</v>
      </c>
      <c r="F198" s="12">
        <v>0</v>
      </c>
      <c r="G198" s="12" t="s">
        <v>490</v>
      </c>
      <c r="H198" s="13">
        <v>42439</v>
      </c>
    </row>
    <row r="199" spans="1:8" x14ac:dyDescent="0.25">
      <c r="A199" s="12">
        <v>1197</v>
      </c>
      <c r="B199" s="12" t="s">
        <v>808</v>
      </c>
      <c r="C199" s="12"/>
      <c r="D199" s="12"/>
      <c r="E199" s="12"/>
      <c r="F199" s="12"/>
      <c r="G199" s="12"/>
      <c r="H199" s="12"/>
    </row>
    <row r="200" spans="1:8" x14ac:dyDescent="0.25">
      <c r="A200" s="12">
        <v>1198</v>
      </c>
      <c r="B200" s="12" t="s">
        <v>49</v>
      </c>
      <c r="C200" s="12"/>
      <c r="D200" s="12"/>
      <c r="E200" s="12"/>
      <c r="F200" s="12"/>
      <c r="G200" s="12"/>
      <c r="H200" s="12"/>
    </row>
    <row r="201" spans="1:8" x14ac:dyDescent="0.25">
      <c r="A201" s="12">
        <v>1199</v>
      </c>
      <c r="B201" s="12" t="s">
        <v>50</v>
      </c>
      <c r="C201" s="12"/>
      <c r="D201" s="12"/>
      <c r="E201" s="12"/>
      <c r="F201" s="12"/>
      <c r="G201" s="12"/>
      <c r="H201" s="12"/>
    </row>
    <row r="202" spans="1:8" x14ac:dyDescent="0.25">
      <c r="A202" s="12">
        <v>1200</v>
      </c>
      <c r="B202" s="12" t="s">
        <v>810</v>
      </c>
      <c r="C202" s="12"/>
      <c r="D202" s="12"/>
      <c r="E202" s="12"/>
      <c r="F202" s="12"/>
      <c r="G202" s="12"/>
      <c r="H202" s="12"/>
    </row>
    <row r="203" spans="1:8" x14ac:dyDescent="0.25">
      <c r="A203" s="12">
        <v>1201</v>
      </c>
      <c r="B203" s="12" t="s">
        <v>813</v>
      </c>
      <c r="C203" s="12"/>
      <c r="D203" s="12"/>
      <c r="E203" s="12"/>
      <c r="F203" s="12"/>
      <c r="G203" s="12"/>
      <c r="H203" s="12"/>
    </row>
    <row r="204" spans="1:8" x14ac:dyDescent="0.25">
      <c r="A204" s="12">
        <v>1202</v>
      </c>
      <c r="B204" s="12" t="s">
        <v>814</v>
      </c>
      <c r="C204" s="12"/>
      <c r="D204" s="12"/>
      <c r="E204" s="12"/>
      <c r="F204" s="12"/>
      <c r="G204" s="12"/>
      <c r="H204" s="12"/>
    </row>
    <row r="205" spans="1:8" x14ac:dyDescent="0.25">
      <c r="A205" s="12">
        <v>1203</v>
      </c>
      <c r="B205" s="12" t="s">
        <v>815</v>
      </c>
      <c r="C205" s="12"/>
      <c r="D205" s="12"/>
      <c r="E205" s="12"/>
      <c r="F205" s="12"/>
      <c r="G205" s="12"/>
      <c r="H205" s="12"/>
    </row>
    <row r="206" spans="1:8" x14ac:dyDescent="0.25">
      <c r="A206" s="12">
        <v>1204</v>
      </c>
      <c r="B206" s="12" t="s">
        <v>816</v>
      </c>
      <c r="C206" s="12"/>
      <c r="D206" s="12"/>
      <c r="E206" s="12"/>
      <c r="F206" s="12"/>
      <c r="G206" s="12"/>
      <c r="H206" s="12"/>
    </row>
    <row r="207" spans="1:8" x14ac:dyDescent="0.25">
      <c r="A207" s="12">
        <v>1205</v>
      </c>
      <c r="B207" s="12" t="s">
        <v>817</v>
      </c>
      <c r="C207" s="12"/>
      <c r="D207" s="12"/>
      <c r="E207" s="12"/>
      <c r="F207" s="12"/>
      <c r="G207" s="12"/>
      <c r="H207" s="12"/>
    </row>
    <row r="208" spans="1:8" x14ac:dyDescent="0.25">
      <c r="A208" s="12">
        <v>1206</v>
      </c>
      <c r="B208" s="12" t="s">
        <v>51</v>
      </c>
      <c r="C208" s="12"/>
      <c r="D208" s="12"/>
      <c r="E208" s="12"/>
      <c r="F208" s="12"/>
      <c r="G208" s="12"/>
      <c r="H208" s="12"/>
    </row>
    <row r="209" spans="1:8" x14ac:dyDescent="0.25">
      <c r="A209" s="12">
        <v>1207</v>
      </c>
      <c r="B209" s="12" t="s">
        <v>52</v>
      </c>
      <c r="C209" s="12"/>
      <c r="D209" s="12"/>
      <c r="E209" s="12"/>
      <c r="F209" s="12"/>
      <c r="G209" s="12"/>
      <c r="H209" s="12"/>
    </row>
    <row r="210" spans="1:8" x14ac:dyDescent="0.25">
      <c r="A210" s="12">
        <v>1208</v>
      </c>
      <c r="B210" s="12" t="s">
        <v>820</v>
      </c>
      <c r="C210" s="12"/>
      <c r="D210" s="12"/>
      <c r="E210" s="12"/>
      <c r="F210" s="12"/>
      <c r="G210" s="12"/>
      <c r="H210" s="12"/>
    </row>
    <row r="211" spans="1:8" x14ac:dyDescent="0.25">
      <c r="A211" s="12">
        <v>1209</v>
      </c>
      <c r="B211" s="12" t="s">
        <v>53</v>
      </c>
      <c r="C211" s="12"/>
      <c r="D211" s="12"/>
      <c r="E211" s="12"/>
      <c r="F211" s="12"/>
      <c r="G211" s="12"/>
      <c r="H211" s="12"/>
    </row>
    <row r="212" spans="1:8" x14ac:dyDescent="0.25">
      <c r="A212" s="12">
        <v>1210</v>
      </c>
      <c r="B212" s="12" t="s">
        <v>821</v>
      </c>
      <c r="C212" s="12"/>
      <c r="D212" s="12"/>
      <c r="E212" s="12"/>
      <c r="F212" s="12"/>
      <c r="G212" s="12"/>
      <c r="H212" s="12"/>
    </row>
    <row r="213" spans="1:8" x14ac:dyDescent="0.25">
      <c r="A213" s="12">
        <v>1211</v>
      </c>
      <c r="B213" s="12" t="s">
        <v>822</v>
      </c>
      <c r="C213" s="12"/>
      <c r="D213" s="12"/>
      <c r="E213" s="12"/>
      <c r="F213" s="12"/>
      <c r="G213" s="12"/>
      <c r="H213" s="12"/>
    </row>
    <row r="214" spans="1:8" x14ac:dyDescent="0.25">
      <c r="A214" s="12">
        <v>1212</v>
      </c>
      <c r="B214" s="12" t="s">
        <v>823</v>
      </c>
      <c r="C214" s="12"/>
      <c r="D214" s="12"/>
      <c r="E214" s="12"/>
      <c r="F214" s="12"/>
      <c r="G214" s="12"/>
      <c r="H214" s="12"/>
    </row>
    <row r="215" spans="1:8" x14ac:dyDescent="0.25">
      <c r="A215" s="12">
        <v>1213</v>
      </c>
      <c r="B215" s="12" t="s">
        <v>54</v>
      </c>
      <c r="C215" s="12"/>
      <c r="D215" s="12"/>
      <c r="E215" s="12"/>
      <c r="F215" s="12"/>
      <c r="G215" s="12"/>
      <c r="H215" s="12"/>
    </row>
    <row r="216" spans="1:8" x14ac:dyDescent="0.25">
      <c r="A216" s="12">
        <v>1214</v>
      </c>
      <c r="B216" s="12" t="s">
        <v>824</v>
      </c>
      <c r="C216" s="12"/>
      <c r="D216" s="12"/>
      <c r="E216" s="12"/>
      <c r="F216" s="12"/>
      <c r="G216" s="12"/>
      <c r="H216" s="12"/>
    </row>
    <row r="217" spans="1:8" x14ac:dyDescent="0.25">
      <c r="A217" s="12">
        <v>1215</v>
      </c>
      <c r="B217" s="12" t="s">
        <v>825</v>
      </c>
      <c r="C217" s="12"/>
      <c r="D217" s="12"/>
      <c r="E217" s="12"/>
      <c r="F217" s="12"/>
      <c r="G217" s="12"/>
      <c r="H217" s="12"/>
    </row>
    <row r="218" spans="1:8" x14ac:dyDescent="0.25">
      <c r="A218" s="12">
        <v>1216</v>
      </c>
      <c r="B218" s="12" t="s">
        <v>826</v>
      </c>
      <c r="C218" s="12"/>
      <c r="D218" s="12"/>
      <c r="E218" s="12"/>
      <c r="F218" s="12"/>
      <c r="G218" s="12"/>
      <c r="H218" s="12"/>
    </row>
    <row r="219" spans="1:8" x14ac:dyDescent="0.25">
      <c r="A219" s="12">
        <v>1217</v>
      </c>
      <c r="B219" s="12" t="s">
        <v>827</v>
      </c>
      <c r="C219" s="12"/>
      <c r="D219" s="12"/>
      <c r="E219" s="12"/>
      <c r="F219" s="12"/>
      <c r="G219" s="12"/>
      <c r="H219" s="12"/>
    </row>
    <row r="220" spans="1:8" x14ac:dyDescent="0.25">
      <c r="A220" s="12">
        <v>1218</v>
      </c>
      <c r="B220" s="12" t="s">
        <v>828</v>
      </c>
      <c r="C220" s="12"/>
      <c r="D220" s="12"/>
      <c r="E220" s="12"/>
      <c r="F220" s="12"/>
      <c r="G220" s="12"/>
      <c r="H220" s="12"/>
    </row>
    <row r="221" spans="1:8" x14ac:dyDescent="0.25">
      <c r="A221" s="12">
        <v>1219</v>
      </c>
      <c r="B221" s="12" t="s">
        <v>829</v>
      </c>
      <c r="C221" s="12"/>
      <c r="D221" s="12"/>
      <c r="E221" s="12"/>
      <c r="F221" s="12"/>
      <c r="G221" s="12"/>
      <c r="H221" s="12"/>
    </row>
    <row r="222" spans="1:8" x14ac:dyDescent="0.25">
      <c r="A222" s="12">
        <v>1220</v>
      </c>
      <c r="B222" s="12" t="s">
        <v>830</v>
      </c>
      <c r="C222" s="12"/>
      <c r="D222" s="12"/>
      <c r="E222" s="12"/>
      <c r="F222" s="12"/>
      <c r="G222" s="12"/>
      <c r="H222" s="12"/>
    </row>
    <row r="223" spans="1:8" x14ac:dyDescent="0.25">
      <c r="A223" s="12">
        <v>1221</v>
      </c>
      <c r="B223" s="12" t="s">
        <v>831</v>
      </c>
      <c r="C223" s="12"/>
      <c r="D223" s="12"/>
      <c r="E223" s="12"/>
      <c r="F223" s="12"/>
      <c r="G223" s="12"/>
      <c r="H223" s="12"/>
    </row>
    <row r="224" spans="1:8" x14ac:dyDescent="0.25">
      <c r="A224" s="12">
        <v>1222</v>
      </c>
      <c r="B224" s="12" t="s">
        <v>55</v>
      </c>
      <c r="C224" s="12"/>
      <c r="D224" s="12"/>
      <c r="E224" s="12"/>
      <c r="F224" s="12"/>
      <c r="G224" s="12"/>
      <c r="H224" s="12"/>
    </row>
    <row r="225" spans="1:8" x14ac:dyDescent="0.25">
      <c r="A225" s="12">
        <v>1223</v>
      </c>
      <c r="B225" s="12" t="s">
        <v>62</v>
      </c>
      <c r="C225" s="12"/>
      <c r="D225" s="12"/>
      <c r="E225" s="12"/>
      <c r="F225" s="12"/>
      <c r="G225" s="12"/>
      <c r="H225" s="12"/>
    </row>
    <row r="226" spans="1:8" x14ac:dyDescent="0.25">
      <c r="A226" s="12">
        <v>1224</v>
      </c>
      <c r="B226" s="12" t="s">
        <v>833</v>
      </c>
      <c r="C226" s="12"/>
      <c r="D226" s="12"/>
      <c r="E226" s="12"/>
      <c r="F226" s="12"/>
      <c r="G226" s="12"/>
      <c r="H226" s="12"/>
    </row>
    <row r="227" spans="1:8" x14ac:dyDescent="0.25">
      <c r="A227" s="12">
        <v>1225</v>
      </c>
      <c r="B227" s="12" t="s">
        <v>63</v>
      </c>
      <c r="C227" s="12"/>
      <c r="D227" s="12"/>
      <c r="E227" s="12"/>
      <c r="F227" s="12"/>
      <c r="G227" s="12"/>
      <c r="H227" s="12"/>
    </row>
    <row r="228" spans="1:8" x14ac:dyDescent="0.25">
      <c r="A228" s="12">
        <v>1226</v>
      </c>
      <c r="B228" s="12" t="s">
        <v>64</v>
      </c>
      <c r="C228" s="12"/>
      <c r="D228" s="12"/>
      <c r="E228" s="12"/>
      <c r="F228" s="12"/>
      <c r="G228" s="12"/>
      <c r="H228" s="12"/>
    </row>
    <row r="229" spans="1:8" x14ac:dyDescent="0.25">
      <c r="A229" s="12">
        <v>1227</v>
      </c>
      <c r="B229" s="12" t="s">
        <v>834</v>
      </c>
      <c r="C229" s="12"/>
      <c r="D229" s="12"/>
      <c r="E229" s="12"/>
      <c r="F229" s="12"/>
      <c r="G229" s="12"/>
      <c r="H229" s="12"/>
    </row>
    <row r="230" spans="1:8" x14ac:dyDescent="0.25">
      <c r="A230" s="12">
        <v>1228</v>
      </c>
      <c r="B230" s="12" t="s">
        <v>835</v>
      </c>
      <c r="C230" s="12"/>
      <c r="D230" s="12"/>
      <c r="E230" s="12"/>
      <c r="F230" s="12"/>
      <c r="G230" s="12"/>
      <c r="H230" s="12"/>
    </row>
    <row r="231" spans="1:8" x14ac:dyDescent="0.25">
      <c r="A231" s="12">
        <v>1229</v>
      </c>
      <c r="B231" s="12" t="s">
        <v>836</v>
      </c>
      <c r="C231" s="12"/>
      <c r="D231" s="12"/>
      <c r="E231" s="12"/>
      <c r="F231" s="12"/>
      <c r="G231" s="12"/>
      <c r="H231" s="12"/>
    </row>
    <row r="232" spans="1:8" x14ac:dyDescent="0.25">
      <c r="A232" s="12">
        <v>1230</v>
      </c>
      <c r="B232" s="12" t="s">
        <v>837</v>
      </c>
      <c r="C232" s="12"/>
      <c r="D232" s="12"/>
      <c r="E232" s="12"/>
      <c r="F232" s="12"/>
      <c r="G232" s="12"/>
      <c r="H232" s="12"/>
    </row>
    <row r="233" spans="1:8" x14ac:dyDescent="0.25">
      <c r="A233" s="12">
        <v>1231</v>
      </c>
      <c r="B233" s="12" t="s">
        <v>838</v>
      </c>
      <c r="C233" s="12"/>
      <c r="D233" s="12"/>
      <c r="E233" s="12"/>
      <c r="F233" s="12"/>
      <c r="G233" s="12"/>
      <c r="H233" s="12"/>
    </row>
    <row r="234" spans="1:8" x14ac:dyDescent="0.25">
      <c r="A234" s="12">
        <v>1232</v>
      </c>
      <c r="B234" s="12" t="s">
        <v>845</v>
      </c>
      <c r="C234" s="12"/>
      <c r="D234" s="12"/>
      <c r="E234" s="12"/>
      <c r="F234" s="12"/>
      <c r="G234" s="12"/>
      <c r="H234" s="12"/>
    </row>
    <row r="235" spans="1:8" x14ac:dyDescent="0.25">
      <c r="A235" s="12">
        <v>1233</v>
      </c>
      <c r="B235" s="12" t="s">
        <v>846</v>
      </c>
      <c r="C235" s="12"/>
      <c r="D235" s="12"/>
      <c r="E235" s="12"/>
      <c r="F235" s="12"/>
      <c r="G235" s="12"/>
      <c r="H235" s="12"/>
    </row>
    <row r="236" spans="1:8" x14ac:dyDescent="0.25">
      <c r="A236" s="12">
        <v>1234</v>
      </c>
      <c r="B236" s="12" t="s">
        <v>840</v>
      </c>
      <c r="C236" s="12"/>
      <c r="D236" s="12"/>
      <c r="E236" s="12"/>
      <c r="F236" s="12"/>
      <c r="G236" s="12"/>
      <c r="H236" s="12"/>
    </row>
    <row r="237" spans="1:8" x14ac:dyDescent="0.25">
      <c r="A237" s="12">
        <v>1235</v>
      </c>
      <c r="B237" s="12" t="s">
        <v>841</v>
      </c>
      <c r="C237" s="12"/>
      <c r="D237" s="12"/>
      <c r="E237" s="12"/>
      <c r="F237" s="12"/>
      <c r="G237" s="12"/>
      <c r="H237" s="12"/>
    </row>
    <row r="238" spans="1:8" x14ac:dyDescent="0.25">
      <c r="A238" s="12">
        <v>1236</v>
      </c>
      <c r="B238" s="12" t="s">
        <v>65</v>
      </c>
      <c r="C238" s="12"/>
      <c r="D238" s="12"/>
      <c r="E238" s="12"/>
      <c r="F238" s="12"/>
      <c r="G238" s="12"/>
      <c r="H238" s="12"/>
    </row>
    <row r="239" spans="1:8" x14ac:dyDescent="0.25">
      <c r="A239" s="12">
        <v>1237</v>
      </c>
      <c r="B239" s="12" t="s">
        <v>842</v>
      </c>
      <c r="C239" s="12"/>
      <c r="D239" s="12"/>
      <c r="E239" s="12"/>
      <c r="F239" s="12"/>
      <c r="G239" s="12"/>
      <c r="H239" s="12"/>
    </row>
    <row r="240" spans="1:8" x14ac:dyDescent="0.25">
      <c r="A240" s="12">
        <v>1238</v>
      </c>
      <c r="B240" s="12" t="s">
        <v>843</v>
      </c>
      <c r="C240" s="12"/>
      <c r="D240" s="12"/>
      <c r="E240" s="12"/>
      <c r="F240" s="12"/>
      <c r="G240" s="12"/>
      <c r="H240" s="12"/>
    </row>
    <row r="241" spans="1:8" x14ac:dyDescent="0.25">
      <c r="A241" s="12">
        <v>1239</v>
      </c>
      <c r="B241" s="12" t="s">
        <v>844</v>
      </c>
      <c r="C241" s="12"/>
      <c r="D241" s="12"/>
      <c r="E241" s="12"/>
      <c r="F241" s="12"/>
      <c r="G241" s="12"/>
      <c r="H241" s="12"/>
    </row>
    <row r="242" spans="1:8" x14ac:dyDescent="0.25">
      <c r="A242" s="12">
        <v>1240</v>
      </c>
      <c r="B242" s="12" t="s">
        <v>66</v>
      </c>
      <c r="C242" s="12"/>
      <c r="D242" s="12"/>
      <c r="E242" s="12"/>
      <c r="F242" s="12"/>
      <c r="G242" s="12"/>
      <c r="H242" s="12"/>
    </row>
    <row r="243" spans="1:8" x14ac:dyDescent="0.25">
      <c r="A243" s="12">
        <v>1241</v>
      </c>
      <c r="B243" s="12" t="s">
        <v>67</v>
      </c>
      <c r="C243" s="12"/>
      <c r="D243" s="12"/>
      <c r="E243" s="12"/>
      <c r="F243" s="12"/>
      <c r="G243" s="12"/>
      <c r="H243" s="12"/>
    </row>
    <row r="244" spans="1:8" x14ac:dyDescent="0.25">
      <c r="A244" s="12">
        <v>1242</v>
      </c>
      <c r="B244" s="12" t="s">
        <v>847</v>
      </c>
      <c r="C244" s="12"/>
      <c r="D244" s="12"/>
      <c r="E244" s="12"/>
      <c r="F244" s="12"/>
      <c r="G244" s="12"/>
      <c r="H244" s="12"/>
    </row>
    <row r="245" spans="1:8" x14ac:dyDescent="0.25">
      <c r="A245" s="12">
        <v>1243</v>
      </c>
      <c r="B245" s="12" t="s">
        <v>848</v>
      </c>
      <c r="C245" s="12"/>
      <c r="D245" s="12"/>
      <c r="E245" s="12"/>
      <c r="F245" s="12"/>
      <c r="G245" s="12"/>
      <c r="H245" s="12"/>
    </row>
    <row r="246" spans="1:8" x14ac:dyDescent="0.25">
      <c r="A246" s="12">
        <v>1244</v>
      </c>
      <c r="B246" s="12" t="s">
        <v>68</v>
      </c>
      <c r="C246" s="12"/>
      <c r="D246" s="12"/>
      <c r="E246" s="12"/>
      <c r="F246" s="12"/>
      <c r="G246" s="12"/>
      <c r="H246" s="12"/>
    </row>
    <row r="247" spans="1:8" x14ac:dyDescent="0.25">
      <c r="A247" s="12">
        <v>1245</v>
      </c>
      <c r="B247" s="12" t="s">
        <v>849</v>
      </c>
      <c r="C247" s="12"/>
      <c r="D247" s="12"/>
      <c r="E247" s="12"/>
      <c r="F247" s="12"/>
      <c r="G247" s="12"/>
      <c r="H247" s="12"/>
    </row>
    <row r="248" spans="1:8" x14ac:dyDescent="0.25">
      <c r="A248" s="12">
        <v>1246</v>
      </c>
      <c r="B248" s="12" t="s">
        <v>851</v>
      </c>
      <c r="C248" s="12"/>
      <c r="D248" s="12"/>
      <c r="E248" s="12"/>
      <c r="F248" s="12"/>
      <c r="G248" s="12"/>
      <c r="H248" s="12"/>
    </row>
    <row r="249" spans="1:8" x14ac:dyDescent="0.25">
      <c r="A249" s="12">
        <v>1247</v>
      </c>
      <c r="B249" s="12" t="s">
        <v>69</v>
      </c>
      <c r="C249" s="12"/>
      <c r="D249" s="12"/>
      <c r="E249" s="12"/>
      <c r="F249" s="12"/>
      <c r="G249" s="12"/>
      <c r="H249" s="12"/>
    </row>
    <row r="250" spans="1:8" x14ac:dyDescent="0.25">
      <c r="A250" s="12">
        <v>1248</v>
      </c>
      <c r="B250" s="12" t="s">
        <v>70</v>
      </c>
      <c r="C250" s="12"/>
      <c r="D250" s="12"/>
      <c r="E250" s="12"/>
      <c r="F250" s="12"/>
      <c r="G250" s="12"/>
      <c r="H250" s="12"/>
    </row>
    <row r="251" spans="1:8" x14ac:dyDescent="0.25">
      <c r="A251" s="12">
        <v>1249</v>
      </c>
      <c r="B251" s="12" t="s">
        <v>71</v>
      </c>
      <c r="C251" s="12"/>
      <c r="D251" s="12"/>
      <c r="E251" s="12"/>
      <c r="F251" s="12"/>
      <c r="G251" s="12"/>
      <c r="H251" s="12"/>
    </row>
    <row r="252" spans="1:8" x14ac:dyDescent="0.25">
      <c r="A252" s="12">
        <v>1250</v>
      </c>
      <c r="B252" s="12" t="s">
        <v>852</v>
      </c>
      <c r="C252" s="12"/>
      <c r="D252" s="12"/>
      <c r="E252" s="12"/>
      <c r="F252" s="12"/>
      <c r="G252" s="12"/>
      <c r="H252" s="12"/>
    </row>
    <row r="253" spans="1:8" x14ac:dyDescent="0.25">
      <c r="A253" s="12">
        <v>1251</v>
      </c>
      <c r="B253" s="12" t="s">
        <v>853</v>
      </c>
      <c r="C253" s="12"/>
      <c r="D253" s="12"/>
      <c r="E253" s="12"/>
      <c r="F253" s="12"/>
      <c r="G253" s="12"/>
      <c r="H253" s="12"/>
    </row>
    <row r="254" spans="1:8" x14ac:dyDescent="0.25">
      <c r="A254" s="12">
        <v>1252</v>
      </c>
      <c r="B254" s="12" t="s">
        <v>854</v>
      </c>
      <c r="C254" s="12"/>
      <c r="D254" s="12"/>
      <c r="E254" s="12"/>
      <c r="F254" s="12"/>
      <c r="G254" s="12"/>
      <c r="H254" s="12"/>
    </row>
    <row r="255" spans="1:8" x14ac:dyDescent="0.25">
      <c r="A255" s="12">
        <v>1253</v>
      </c>
      <c r="B255" s="12" t="s">
        <v>72</v>
      </c>
      <c r="C255" s="12"/>
      <c r="D255" s="12"/>
      <c r="E255" s="12"/>
      <c r="F255" s="12"/>
      <c r="G255" s="12"/>
      <c r="H255" s="12"/>
    </row>
    <row r="256" spans="1:8" x14ac:dyDescent="0.25">
      <c r="A256" s="12">
        <v>1254</v>
      </c>
      <c r="B256" s="12" t="s">
        <v>855</v>
      </c>
      <c r="C256" s="12"/>
      <c r="D256" s="12"/>
      <c r="E256" s="12"/>
      <c r="F256" s="12"/>
      <c r="G256" s="12"/>
      <c r="H256" s="12"/>
    </row>
    <row r="257" spans="1:8" x14ac:dyDescent="0.25">
      <c r="A257" s="12">
        <v>1255</v>
      </c>
      <c r="B257" s="12" t="s">
        <v>856</v>
      </c>
      <c r="C257" s="12"/>
      <c r="D257" s="12"/>
      <c r="E257" s="12"/>
      <c r="F257" s="12"/>
      <c r="G257" s="12"/>
      <c r="H257" s="12"/>
    </row>
    <row r="258" spans="1:8" x14ac:dyDescent="0.25">
      <c r="A258" s="12">
        <v>1256</v>
      </c>
      <c r="B258" s="12" t="s">
        <v>857</v>
      </c>
      <c r="C258" s="12"/>
      <c r="D258" s="12"/>
      <c r="E258" s="12"/>
      <c r="F258" s="12"/>
      <c r="G258" s="12"/>
      <c r="H258" s="12"/>
    </row>
    <row r="259" spans="1:8" x14ac:dyDescent="0.25">
      <c r="A259" s="12">
        <v>1257</v>
      </c>
      <c r="B259" s="12" t="s">
        <v>858</v>
      </c>
      <c r="C259" s="12"/>
      <c r="D259" s="12"/>
      <c r="E259" s="12"/>
      <c r="F259" s="12"/>
      <c r="G259" s="12"/>
      <c r="H259" s="12"/>
    </row>
    <row r="260" spans="1:8" x14ac:dyDescent="0.25">
      <c r="A260" s="12">
        <v>1258</v>
      </c>
      <c r="B260" s="12" t="s">
        <v>73</v>
      </c>
      <c r="C260" s="12"/>
      <c r="D260" s="12"/>
      <c r="E260" s="12"/>
      <c r="F260" s="12"/>
      <c r="G260" s="12"/>
      <c r="H260" s="12"/>
    </row>
    <row r="261" spans="1:8" x14ac:dyDescent="0.25">
      <c r="A261" s="12">
        <v>1259</v>
      </c>
      <c r="B261" s="12" t="s">
        <v>491</v>
      </c>
      <c r="C261" s="12" t="s">
        <v>470</v>
      </c>
      <c r="D261" s="12">
        <v>1</v>
      </c>
      <c r="E261" s="12" t="s">
        <v>1790</v>
      </c>
      <c r="F261" s="12">
        <v>0</v>
      </c>
      <c r="G261" s="12" t="s">
        <v>492</v>
      </c>
      <c r="H261" s="13">
        <v>42439</v>
      </c>
    </row>
    <row r="262" spans="1:8" x14ac:dyDescent="0.25">
      <c r="A262" s="12">
        <v>1260</v>
      </c>
      <c r="B262" s="12" t="s">
        <v>859</v>
      </c>
      <c r="C262" s="12"/>
      <c r="D262" s="12"/>
      <c r="E262" s="14"/>
      <c r="F262" s="12"/>
      <c r="G262" s="14"/>
      <c r="H262" s="12"/>
    </row>
    <row r="263" spans="1:8" x14ac:dyDescent="0.25">
      <c r="A263" s="12">
        <v>1260</v>
      </c>
      <c r="B263" s="12" t="s">
        <v>859</v>
      </c>
      <c r="C263" s="12"/>
      <c r="D263" s="12"/>
      <c r="E263" s="14"/>
      <c r="F263" s="12"/>
      <c r="G263" s="14"/>
      <c r="H263" s="12"/>
    </row>
    <row r="264" spans="1:8" x14ac:dyDescent="0.25">
      <c r="A264" s="12">
        <v>1261</v>
      </c>
      <c r="B264" s="12" t="s">
        <v>493</v>
      </c>
      <c r="C264" s="12" t="s">
        <v>470</v>
      </c>
      <c r="D264" s="14">
        <v>1</v>
      </c>
      <c r="E264" s="14" t="s">
        <v>1791</v>
      </c>
      <c r="F264" s="12">
        <v>1</v>
      </c>
      <c r="G264" s="15" t="s">
        <v>1792</v>
      </c>
      <c r="H264" s="13">
        <v>42447</v>
      </c>
    </row>
    <row r="265" spans="1:8" x14ac:dyDescent="0.25">
      <c r="A265" s="12">
        <v>1261</v>
      </c>
      <c r="B265" s="12" t="s">
        <v>493</v>
      </c>
      <c r="C265" s="12" t="s">
        <v>470</v>
      </c>
      <c r="D265" s="14">
        <v>1</v>
      </c>
      <c r="E265" s="14" t="s">
        <v>1793</v>
      </c>
      <c r="F265" s="12">
        <v>1</v>
      </c>
      <c r="G265" s="14" t="s">
        <v>1794</v>
      </c>
      <c r="H265" s="13">
        <v>42447</v>
      </c>
    </row>
    <row r="266" spans="1:8" x14ac:dyDescent="0.25">
      <c r="A266" s="12">
        <v>1261</v>
      </c>
      <c r="B266" s="12" t="s">
        <v>493</v>
      </c>
      <c r="C266" s="12" t="s">
        <v>470</v>
      </c>
      <c r="D266" s="14">
        <v>1</v>
      </c>
      <c r="E266" s="14" t="s">
        <v>1795</v>
      </c>
      <c r="F266" s="12">
        <v>1</v>
      </c>
      <c r="G266" s="14" t="s">
        <v>1796</v>
      </c>
      <c r="H266" s="13">
        <v>42447</v>
      </c>
    </row>
    <row r="267" spans="1:8" x14ac:dyDescent="0.25">
      <c r="A267" s="12">
        <v>1262</v>
      </c>
      <c r="B267" s="12" t="s">
        <v>74</v>
      </c>
      <c r="C267" s="12"/>
      <c r="D267" s="12"/>
      <c r="E267" s="12"/>
      <c r="F267" s="12"/>
      <c r="G267" s="12"/>
      <c r="H267" s="12"/>
    </row>
    <row r="268" spans="1:8" x14ac:dyDescent="0.25">
      <c r="A268" s="12">
        <v>1263</v>
      </c>
      <c r="B268" s="12" t="s">
        <v>75</v>
      </c>
      <c r="C268" s="12"/>
      <c r="D268" s="12"/>
      <c r="E268" s="12"/>
      <c r="F268" s="12"/>
      <c r="G268" s="12"/>
      <c r="H268" s="12"/>
    </row>
    <row r="269" spans="1:8" x14ac:dyDescent="0.25">
      <c r="A269" s="12">
        <v>1264</v>
      </c>
      <c r="B269" s="12" t="s">
        <v>860</v>
      </c>
      <c r="C269" s="12"/>
      <c r="D269" s="12"/>
      <c r="E269" s="12"/>
      <c r="F269" s="12"/>
      <c r="G269" s="12"/>
      <c r="H269" s="12"/>
    </row>
    <row r="270" spans="1:8" x14ac:dyDescent="0.25">
      <c r="A270" s="12">
        <v>1265</v>
      </c>
      <c r="B270" s="12" t="s">
        <v>861</v>
      </c>
      <c r="C270" s="12"/>
      <c r="D270" s="12"/>
      <c r="E270" s="12"/>
      <c r="F270" s="12"/>
      <c r="G270" s="12"/>
      <c r="H270" s="12"/>
    </row>
    <row r="271" spans="1:8" x14ac:dyDescent="0.25">
      <c r="A271" s="12">
        <v>1266</v>
      </c>
      <c r="B271" s="12" t="s">
        <v>862</v>
      </c>
      <c r="C271" s="12"/>
      <c r="D271" s="12"/>
      <c r="E271" s="12"/>
      <c r="F271" s="12"/>
      <c r="G271" s="12"/>
      <c r="H271" s="12"/>
    </row>
    <row r="272" spans="1:8" x14ac:dyDescent="0.25">
      <c r="A272" s="12">
        <v>1267</v>
      </c>
      <c r="B272" s="12" t="s">
        <v>863</v>
      </c>
      <c r="C272" s="12"/>
      <c r="D272" s="12"/>
      <c r="E272" s="12"/>
      <c r="F272" s="12"/>
      <c r="G272" s="12"/>
      <c r="H272" s="12"/>
    </row>
    <row r="273" spans="1:8" x14ac:dyDescent="0.25">
      <c r="A273" s="12">
        <v>1268</v>
      </c>
      <c r="B273" s="12" t="s">
        <v>494</v>
      </c>
      <c r="C273" s="12" t="s">
        <v>470</v>
      </c>
      <c r="D273" s="12">
        <v>1</v>
      </c>
      <c r="E273" s="12" t="s">
        <v>1797</v>
      </c>
      <c r="F273" s="12">
        <v>0</v>
      </c>
      <c r="G273" s="12" t="s">
        <v>495</v>
      </c>
      <c r="H273" s="13">
        <v>42439</v>
      </c>
    </row>
    <row r="274" spans="1:8" x14ac:dyDescent="0.25">
      <c r="A274" s="12">
        <v>1269</v>
      </c>
      <c r="B274" s="12" t="s">
        <v>864</v>
      </c>
      <c r="C274" s="12"/>
      <c r="D274" s="12"/>
      <c r="E274" s="12"/>
      <c r="F274" s="12"/>
      <c r="G274" s="12"/>
      <c r="H274" s="12"/>
    </row>
    <row r="275" spans="1:8" x14ac:dyDescent="0.25">
      <c r="A275" s="12">
        <v>1270</v>
      </c>
      <c r="B275" s="12" t="s">
        <v>496</v>
      </c>
      <c r="C275" s="12" t="s">
        <v>470</v>
      </c>
      <c r="D275" s="12">
        <v>1</v>
      </c>
      <c r="E275" s="12" t="s">
        <v>1798</v>
      </c>
      <c r="F275" s="12">
        <v>0</v>
      </c>
      <c r="G275" s="12" t="s">
        <v>497</v>
      </c>
      <c r="H275" s="13">
        <v>42439</v>
      </c>
    </row>
    <row r="276" spans="1:8" x14ac:dyDescent="0.25">
      <c r="A276" s="12">
        <v>1271</v>
      </c>
      <c r="B276" s="12" t="s">
        <v>498</v>
      </c>
      <c r="C276" s="12"/>
      <c r="D276" s="12"/>
      <c r="E276" s="12"/>
      <c r="F276" s="12"/>
      <c r="G276" s="12"/>
      <c r="H276" s="13"/>
    </row>
    <row r="277" spans="1:8" x14ac:dyDescent="0.25">
      <c r="A277" s="12">
        <v>1272</v>
      </c>
      <c r="B277" s="12" t="s">
        <v>865</v>
      </c>
      <c r="C277" s="12"/>
      <c r="D277" s="12"/>
      <c r="E277" s="12"/>
      <c r="F277" s="12"/>
      <c r="G277" s="12"/>
      <c r="H277" s="12"/>
    </row>
    <row r="278" spans="1:8" x14ac:dyDescent="0.25">
      <c r="A278" s="12">
        <v>1273</v>
      </c>
      <c r="B278" s="12" t="s">
        <v>76</v>
      </c>
      <c r="C278" s="12"/>
      <c r="D278" s="12"/>
      <c r="E278" s="12"/>
      <c r="F278" s="12"/>
      <c r="G278" s="12"/>
      <c r="H278" s="12"/>
    </row>
    <row r="279" spans="1:8" x14ac:dyDescent="0.25">
      <c r="A279" s="12">
        <v>1274</v>
      </c>
      <c r="B279" s="12" t="s">
        <v>866</v>
      </c>
      <c r="C279" s="12"/>
      <c r="D279" s="12"/>
      <c r="E279" s="12"/>
      <c r="F279" s="12"/>
      <c r="G279" s="12"/>
      <c r="H279" s="12"/>
    </row>
    <row r="280" spans="1:8" x14ac:dyDescent="0.25">
      <c r="A280" s="12">
        <v>1275</v>
      </c>
      <c r="B280" s="12" t="s">
        <v>77</v>
      </c>
      <c r="C280" s="12"/>
      <c r="D280" s="12"/>
      <c r="E280" s="12"/>
      <c r="F280" s="12"/>
      <c r="G280" s="12"/>
      <c r="H280" s="12"/>
    </row>
    <row r="281" spans="1:8" x14ac:dyDescent="0.25">
      <c r="A281" s="12">
        <v>1276</v>
      </c>
      <c r="B281" s="12" t="s">
        <v>78</v>
      </c>
      <c r="C281" s="12"/>
      <c r="D281" s="12"/>
      <c r="E281" s="12"/>
      <c r="F281" s="12"/>
      <c r="G281" s="12"/>
      <c r="H281" s="12"/>
    </row>
    <row r="282" spans="1:8" x14ac:dyDescent="0.25">
      <c r="A282" s="12">
        <v>1277</v>
      </c>
      <c r="B282" s="12" t="s">
        <v>79</v>
      </c>
      <c r="C282" s="12"/>
      <c r="D282" s="12"/>
      <c r="E282" s="12"/>
      <c r="F282" s="12"/>
      <c r="G282" s="12"/>
      <c r="H282" s="12"/>
    </row>
    <row r="283" spans="1:8" x14ac:dyDescent="0.25">
      <c r="A283" s="12">
        <v>1278</v>
      </c>
      <c r="B283" s="12" t="s">
        <v>867</v>
      </c>
      <c r="C283" s="12"/>
      <c r="D283" s="12"/>
      <c r="E283" s="12"/>
      <c r="F283" s="12"/>
      <c r="G283" s="12"/>
      <c r="H283" s="12"/>
    </row>
    <row r="284" spans="1:8" x14ac:dyDescent="0.25">
      <c r="A284" s="12">
        <v>1279</v>
      </c>
      <c r="B284" s="12" t="s">
        <v>80</v>
      </c>
      <c r="C284" s="12"/>
      <c r="D284" s="12"/>
      <c r="E284" s="12"/>
      <c r="F284" s="12"/>
      <c r="G284" s="12"/>
      <c r="H284" s="12"/>
    </row>
    <row r="285" spans="1:8" x14ac:dyDescent="0.25">
      <c r="A285" s="12">
        <v>1280</v>
      </c>
      <c r="B285" s="12" t="s">
        <v>868</v>
      </c>
      <c r="C285" s="12"/>
      <c r="D285" s="12"/>
      <c r="E285" s="12"/>
      <c r="F285" s="12"/>
      <c r="G285" s="12"/>
      <c r="H285" s="12"/>
    </row>
    <row r="286" spans="1:8" x14ac:dyDescent="0.25">
      <c r="A286" s="12">
        <v>1281</v>
      </c>
      <c r="B286" s="12" t="s">
        <v>871</v>
      </c>
      <c r="C286" s="12"/>
      <c r="D286" s="12"/>
      <c r="E286" s="12"/>
      <c r="F286" s="12"/>
      <c r="G286" s="12"/>
      <c r="H286" s="12"/>
    </row>
    <row r="287" spans="1:8" x14ac:dyDescent="0.25">
      <c r="A287" s="12">
        <v>1282</v>
      </c>
      <c r="B287" s="12" t="s">
        <v>872</v>
      </c>
      <c r="C287" s="12"/>
      <c r="D287" s="12"/>
      <c r="E287" s="12"/>
      <c r="F287" s="12"/>
      <c r="G287" s="12"/>
      <c r="H287" s="12"/>
    </row>
    <row r="288" spans="1:8" x14ac:dyDescent="0.25">
      <c r="A288" s="12">
        <v>1283</v>
      </c>
      <c r="B288" s="12" t="s">
        <v>81</v>
      </c>
      <c r="C288" s="12"/>
      <c r="D288" s="12"/>
      <c r="E288" s="12"/>
      <c r="F288" s="12"/>
      <c r="G288" s="12"/>
      <c r="H288" s="12"/>
    </row>
    <row r="289" spans="1:8" x14ac:dyDescent="0.25">
      <c r="A289" s="12">
        <v>1284</v>
      </c>
      <c r="B289" s="12" t="s">
        <v>82</v>
      </c>
      <c r="C289" s="12"/>
      <c r="D289" s="12"/>
      <c r="E289" s="12"/>
      <c r="F289" s="12"/>
      <c r="G289" s="12"/>
      <c r="H289" s="12"/>
    </row>
    <row r="290" spans="1:8" x14ac:dyDescent="0.25">
      <c r="A290" s="12">
        <v>1285</v>
      </c>
      <c r="B290" s="12" t="s">
        <v>873</v>
      </c>
      <c r="C290" s="12"/>
      <c r="D290" s="12"/>
      <c r="E290" s="12"/>
      <c r="F290" s="12"/>
      <c r="G290" s="12"/>
      <c r="H290" s="12"/>
    </row>
    <row r="291" spans="1:8" x14ac:dyDescent="0.25">
      <c r="A291" s="12">
        <v>1286</v>
      </c>
      <c r="B291" s="12" t="s">
        <v>874</v>
      </c>
      <c r="C291" s="12"/>
      <c r="D291" s="12"/>
      <c r="E291" s="12"/>
      <c r="F291" s="12"/>
      <c r="G291" s="12"/>
      <c r="H291" s="12"/>
    </row>
    <row r="292" spans="1:8" x14ac:dyDescent="0.25">
      <c r="A292" s="12">
        <v>1287</v>
      </c>
      <c r="B292" s="12" t="s">
        <v>83</v>
      </c>
      <c r="C292" s="12"/>
      <c r="D292" s="12"/>
      <c r="E292" s="12"/>
      <c r="F292" s="12"/>
      <c r="G292" s="12"/>
      <c r="H292" s="12"/>
    </row>
    <row r="293" spans="1:8" x14ac:dyDescent="0.25">
      <c r="A293" s="12">
        <v>1288</v>
      </c>
      <c r="B293" s="12" t="s">
        <v>878</v>
      </c>
      <c r="C293" s="12"/>
      <c r="D293" s="12"/>
      <c r="E293" s="12"/>
      <c r="F293" s="12"/>
      <c r="G293" s="12"/>
      <c r="H293" s="12"/>
    </row>
    <row r="294" spans="1:8" x14ac:dyDescent="0.25">
      <c r="A294" s="12">
        <v>1289</v>
      </c>
      <c r="B294" s="12" t="s">
        <v>879</v>
      </c>
      <c r="C294" s="12"/>
      <c r="D294" s="12"/>
      <c r="E294" s="12"/>
      <c r="F294" s="12"/>
      <c r="G294" s="12"/>
      <c r="H294" s="12"/>
    </row>
    <row r="295" spans="1:8" x14ac:dyDescent="0.25">
      <c r="A295" s="12">
        <v>1290</v>
      </c>
      <c r="B295" s="12" t="s">
        <v>880</v>
      </c>
      <c r="C295" s="12"/>
      <c r="D295" s="12"/>
      <c r="E295" s="12"/>
      <c r="F295" s="12"/>
      <c r="G295" s="12"/>
      <c r="H295" s="12"/>
    </row>
    <row r="296" spans="1:8" x14ac:dyDescent="0.25">
      <c r="A296" s="12">
        <v>1291</v>
      </c>
      <c r="B296" s="12" t="s">
        <v>499</v>
      </c>
      <c r="C296" s="12" t="s">
        <v>470</v>
      </c>
      <c r="D296" s="12">
        <v>1</v>
      </c>
      <c r="E296" s="12" t="s">
        <v>1799</v>
      </c>
      <c r="F296" s="12">
        <v>0</v>
      </c>
      <c r="G296" s="12" t="s">
        <v>500</v>
      </c>
      <c r="H296" s="13">
        <v>42439</v>
      </c>
    </row>
    <row r="297" spans="1:8" x14ac:dyDescent="0.25">
      <c r="A297" s="12">
        <v>1292</v>
      </c>
      <c r="B297" s="12" t="s">
        <v>881</v>
      </c>
      <c r="C297" s="12"/>
      <c r="D297" s="12"/>
      <c r="E297" s="12"/>
      <c r="F297" s="12"/>
      <c r="G297" s="12"/>
      <c r="H297" s="12"/>
    </row>
    <row r="298" spans="1:8" x14ac:dyDescent="0.25">
      <c r="A298" s="12">
        <v>1293</v>
      </c>
      <c r="B298" s="12" t="s">
        <v>882</v>
      </c>
      <c r="C298" s="12"/>
      <c r="D298" s="12"/>
      <c r="E298" s="12"/>
      <c r="F298" s="12"/>
      <c r="G298" s="12"/>
      <c r="H298" s="12"/>
    </row>
    <row r="299" spans="1:8" x14ac:dyDescent="0.25">
      <c r="A299" s="12">
        <v>1294</v>
      </c>
      <c r="B299" s="12" t="s">
        <v>883</v>
      </c>
      <c r="C299" s="12"/>
      <c r="D299" s="12"/>
      <c r="E299" s="12"/>
      <c r="F299" s="12"/>
      <c r="G299" s="12"/>
      <c r="H299" s="12"/>
    </row>
    <row r="300" spans="1:8" x14ac:dyDescent="0.25">
      <c r="A300" s="12">
        <v>1295</v>
      </c>
      <c r="B300" s="12" t="s">
        <v>884</v>
      </c>
      <c r="C300" s="12"/>
      <c r="D300" s="12"/>
      <c r="E300" s="12"/>
      <c r="F300" s="12"/>
      <c r="G300" s="12"/>
      <c r="H300" s="12"/>
    </row>
    <row r="301" spans="1:8" x14ac:dyDescent="0.25">
      <c r="A301" s="12">
        <v>1296</v>
      </c>
      <c r="B301" s="12" t="s">
        <v>84</v>
      </c>
      <c r="C301" s="12"/>
      <c r="D301" s="12"/>
      <c r="E301" s="12"/>
      <c r="F301" s="12"/>
      <c r="G301" s="12"/>
      <c r="H301" s="12"/>
    </row>
    <row r="302" spans="1:8" x14ac:dyDescent="0.25">
      <c r="A302" s="12">
        <v>1297</v>
      </c>
      <c r="B302" s="12" t="s">
        <v>85</v>
      </c>
      <c r="C302" s="12"/>
      <c r="D302" s="12"/>
      <c r="E302" s="12"/>
      <c r="F302" s="12"/>
      <c r="G302" s="12"/>
      <c r="H302" s="12"/>
    </row>
    <row r="303" spans="1:8" x14ac:dyDescent="0.25">
      <c r="A303" s="12">
        <v>1298</v>
      </c>
      <c r="B303" s="12" t="s">
        <v>86</v>
      </c>
      <c r="C303" s="12"/>
      <c r="D303" s="12"/>
      <c r="E303" s="12"/>
      <c r="F303" s="12"/>
      <c r="G303" s="12"/>
      <c r="H303" s="12"/>
    </row>
    <row r="304" spans="1:8" x14ac:dyDescent="0.25">
      <c r="A304" s="12">
        <v>1299</v>
      </c>
      <c r="B304" s="12" t="s">
        <v>903</v>
      </c>
      <c r="C304" s="12"/>
      <c r="D304" s="12"/>
      <c r="E304" s="12"/>
      <c r="F304" s="12"/>
      <c r="G304" s="12"/>
      <c r="H304" s="12"/>
    </row>
    <row r="305" spans="1:8" x14ac:dyDescent="0.25">
      <c r="A305" s="12">
        <v>1300</v>
      </c>
      <c r="B305" s="12" t="s">
        <v>909</v>
      </c>
      <c r="C305" s="12"/>
      <c r="D305" s="12"/>
      <c r="E305" s="12"/>
      <c r="F305" s="12"/>
      <c r="G305" s="12"/>
      <c r="H305" s="12"/>
    </row>
    <row r="306" spans="1:8" x14ac:dyDescent="0.25">
      <c r="A306" s="12">
        <v>1301</v>
      </c>
      <c r="B306" s="12" t="s">
        <v>922</v>
      </c>
      <c r="C306" s="12"/>
      <c r="D306" s="12"/>
      <c r="E306" s="12"/>
      <c r="F306" s="12"/>
      <c r="G306" s="12"/>
      <c r="H306" s="12"/>
    </row>
    <row r="307" spans="1:8" x14ac:dyDescent="0.25">
      <c r="A307" s="12">
        <v>1302</v>
      </c>
      <c r="B307" s="12" t="s">
        <v>512</v>
      </c>
      <c r="C307" s="12" t="s">
        <v>470</v>
      </c>
      <c r="D307" s="12">
        <v>1</v>
      </c>
      <c r="E307" s="12" t="s">
        <v>1800</v>
      </c>
      <c r="F307" s="12">
        <v>0</v>
      </c>
      <c r="G307" s="12" t="s">
        <v>513</v>
      </c>
      <c r="H307" s="13">
        <v>42439</v>
      </c>
    </row>
    <row r="308" spans="1:8" x14ac:dyDescent="0.25">
      <c r="A308" s="12">
        <v>1303</v>
      </c>
      <c r="B308" s="12" t="s">
        <v>87</v>
      </c>
      <c r="C308" s="12"/>
      <c r="D308" s="12"/>
      <c r="E308" s="12"/>
      <c r="F308" s="12"/>
      <c r="G308" s="12"/>
      <c r="H308" s="12"/>
    </row>
    <row r="309" spans="1:8" x14ac:dyDescent="0.25">
      <c r="A309" s="12">
        <v>1304</v>
      </c>
      <c r="B309" s="12" t="s">
        <v>88</v>
      </c>
      <c r="C309" s="12"/>
      <c r="D309" s="12"/>
      <c r="E309" s="12"/>
      <c r="F309" s="12"/>
      <c r="G309" s="12"/>
      <c r="H309" s="12"/>
    </row>
    <row r="310" spans="1:8" x14ac:dyDescent="0.25">
      <c r="A310" s="12">
        <v>1305</v>
      </c>
      <c r="B310" s="12" t="s">
        <v>885</v>
      </c>
      <c r="C310" s="12"/>
      <c r="D310" s="12"/>
      <c r="E310" s="12"/>
      <c r="F310" s="12"/>
      <c r="G310" s="12"/>
      <c r="H310" s="12"/>
    </row>
    <row r="311" spans="1:8" x14ac:dyDescent="0.25">
      <c r="A311" s="12">
        <v>1306</v>
      </c>
      <c r="B311" s="12" t="s">
        <v>89</v>
      </c>
      <c r="C311" s="12"/>
      <c r="D311" s="12"/>
      <c r="E311" s="12"/>
      <c r="F311" s="12"/>
      <c r="G311" s="12"/>
      <c r="H311" s="12"/>
    </row>
    <row r="312" spans="1:8" x14ac:dyDescent="0.25">
      <c r="A312" s="12">
        <v>1307</v>
      </c>
      <c r="B312" s="12" t="s">
        <v>501</v>
      </c>
      <c r="C312" s="12" t="s">
        <v>470</v>
      </c>
      <c r="D312" s="12">
        <v>1</v>
      </c>
      <c r="E312" s="12" t="s">
        <v>1801</v>
      </c>
      <c r="F312" s="12">
        <v>0</v>
      </c>
      <c r="G312" s="12" t="s">
        <v>502</v>
      </c>
      <c r="H312" s="13">
        <v>42439</v>
      </c>
    </row>
    <row r="313" spans="1:8" x14ac:dyDescent="0.25">
      <c r="A313" s="12">
        <v>1308</v>
      </c>
      <c r="B313" s="12" t="s">
        <v>886</v>
      </c>
      <c r="C313" s="12"/>
      <c r="D313" s="12"/>
      <c r="E313" s="12"/>
      <c r="F313" s="12"/>
      <c r="G313" s="12"/>
      <c r="H313" s="12"/>
    </row>
    <row r="314" spans="1:8" x14ac:dyDescent="0.25">
      <c r="A314" s="12">
        <v>1309</v>
      </c>
      <c r="B314" s="12" t="s">
        <v>90</v>
      </c>
      <c r="C314" s="12"/>
      <c r="D314" s="12"/>
      <c r="E314" s="12"/>
      <c r="F314" s="12"/>
      <c r="G314" s="12"/>
      <c r="H314" s="12"/>
    </row>
    <row r="315" spans="1:8" x14ac:dyDescent="0.25">
      <c r="A315" s="12">
        <v>1310</v>
      </c>
      <c r="B315" s="12" t="s">
        <v>888</v>
      </c>
      <c r="C315" s="12"/>
      <c r="D315" s="12"/>
      <c r="E315" s="12"/>
      <c r="F315" s="12"/>
      <c r="G315" s="12"/>
      <c r="H315" s="12"/>
    </row>
    <row r="316" spans="1:8" x14ac:dyDescent="0.25">
      <c r="A316" s="12">
        <v>1311</v>
      </c>
      <c r="B316" s="12" t="s">
        <v>503</v>
      </c>
      <c r="C316" s="12" t="s">
        <v>470</v>
      </c>
      <c r="D316" s="12">
        <v>1</v>
      </c>
      <c r="E316" s="12" t="s">
        <v>1802</v>
      </c>
      <c r="F316" s="12">
        <v>0</v>
      </c>
      <c r="G316" s="12" t="s">
        <v>504</v>
      </c>
      <c r="H316" s="13">
        <v>42439</v>
      </c>
    </row>
    <row r="317" spans="1:8" x14ac:dyDescent="0.25">
      <c r="A317" s="12">
        <v>1312</v>
      </c>
      <c r="B317" s="12" t="s">
        <v>887</v>
      </c>
      <c r="C317" s="12"/>
      <c r="D317" s="12"/>
      <c r="E317" s="12"/>
      <c r="F317" s="12"/>
      <c r="G317" s="12"/>
      <c r="H317" s="12"/>
    </row>
    <row r="318" spans="1:8" x14ac:dyDescent="0.25">
      <c r="A318" s="12">
        <v>1313</v>
      </c>
      <c r="B318" s="12" t="s">
        <v>889</v>
      </c>
      <c r="C318" s="12"/>
      <c r="D318" s="12"/>
      <c r="E318" s="12"/>
      <c r="F318" s="12"/>
      <c r="G318" s="12"/>
      <c r="H318" s="12"/>
    </row>
    <row r="319" spans="1:8" x14ac:dyDescent="0.25">
      <c r="A319" s="12">
        <v>1314</v>
      </c>
      <c r="B319" s="12" t="s">
        <v>890</v>
      </c>
      <c r="C319" s="12"/>
      <c r="D319" s="12"/>
      <c r="E319" s="12"/>
      <c r="F319" s="12"/>
      <c r="G319" s="12"/>
      <c r="H319" s="12"/>
    </row>
    <row r="320" spans="1:8" x14ac:dyDescent="0.25">
      <c r="A320" s="12">
        <v>1315</v>
      </c>
      <c r="B320" s="12" t="s">
        <v>91</v>
      </c>
      <c r="C320" s="12"/>
      <c r="D320" s="12"/>
      <c r="E320" s="12"/>
      <c r="F320" s="12"/>
      <c r="G320" s="12"/>
      <c r="H320" s="12"/>
    </row>
    <row r="321" spans="1:8" x14ac:dyDescent="0.25">
      <c r="A321" s="12">
        <v>1316</v>
      </c>
      <c r="B321" s="12" t="s">
        <v>891</v>
      </c>
      <c r="C321" s="12"/>
      <c r="D321" s="12"/>
      <c r="E321" s="12"/>
      <c r="F321" s="12"/>
      <c r="G321" s="12"/>
      <c r="H321" s="12"/>
    </row>
    <row r="322" spans="1:8" x14ac:dyDescent="0.25">
      <c r="A322" s="12">
        <v>1317</v>
      </c>
      <c r="B322" s="12" t="s">
        <v>894</v>
      </c>
      <c r="C322" s="12"/>
      <c r="D322" s="12"/>
      <c r="E322" s="12"/>
      <c r="F322" s="12"/>
      <c r="G322" s="12"/>
      <c r="H322" s="12"/>
    </row>
    <row r="323" spans="1:8" x14ac:dyDescent="0.25">
      <c r="A323" s="12">
        <v>1318</v>
      </c>
      <c r="B323" s="12" t="s">
        <v>895</v>
      </c>
      <c r="C323" s="12"/>
      <c r="D323" s="12"/>
      <c r="E323" s="12"/>
      <c r="F323" s="12"/>
      <c r="G323" s="12"/>
      <c r="H323" s="12"/>
    </row>
    <row r="324" spans="1:8" x14ac:dyDescent="0.25">
      <c r="A324" s="12">
        <v>1319</v>
      </c>
      <c r="B324" s="12" t="s">
        <v>896</v>
      </c>
      <c r="C324" s="12"/>
      <c r="D324" s="12"/>
      <c r="E324" s="12"/>
      <c r="F324" s="12"/>
      <c r="G324" s="12"/>
      <c r="H324" s="12"/>
    </row>
    <row r="325" spans="1:8" x14ac:dyDescent="0.25">
      <c r="A325" s="12">
        <v>1320</v>
      </c>
      <c r="B325" s="12" t="s">
        <v>897</v>
      </c>
      <c r="C325" s="12"/>
      <c r="D325" s="12"/>
      <c r="E325" s="12"/>
      <c r="F325" s="12"/>
      <c r="G325" s="12"/>
      <c r="H325" s="12"/>
    </row>
    <row r="326" spans="1:8" x14ac:dyDescent="0.25">
      <c r="A326" s="12">
        <v>1321</v>
      </c>
      <c r="B326" s="12" t="s">
        <v>898</v>
      </c>
      <c r="C326" s="12"/>
      <c r="D326" s="12"/>
      <c r="E326" s="12"/>
      <c r="F326" s="12"/>
      <c r="G326" s="12"/>
      <c r="H326" s="12"/>
    </row>
    <row r="327" spans="1:8" x14ac:dyDescent="0.25">
      <c r="A327" s="12">
        <v>1322</v>
      </c>
      <c r="B327" s="12" t="s">
        <v>899</v>
      </c>
      <c r="C327" s="12"/>
      <c r="D327" s="12"/>
      <c r="E327" s="12"/>
      <c r="F327" s="12"/>
      <c r="G327" s="12"/>
      <c r="H327" s="12"/>
    </row>
    <row r="328" spans="1:8" x14ac:dyDescent="0.25">
      <c r="A328" s="12">
        <v>1323</v>
      </c>
      <c r="B328" s="12" t="s">
        <v>900</v>
      </c>
      <c r="C328" s="12"/>
      <c r="D328" s="12"/>
      <c r="E328" s="12"/>
      <c r="F328" s="12"/>
      <c r="G328" s="12"/>
      <c r="H328" s="12"/>
    </row>
    <row r="329" spans="1:8" x14ac:dyDescent="0.25">
      <c r="A329" s="12">
        <v>1324</v>
      </c>
      <c r="B329" s="12" t="s">
        <v>901</v>
      </c>
      <c r="C329" s="12"/>
      <c r="D329" s="12"/>
      <c r="E329" s="12"/>
      <c r="F329" s="12"/>
      <c r="G329" s="12"/>
      <c r="H329" s="12"/>
    </row>
    <row r="330" spans="1:8" x14ac:dyDescent="0.25">
      <c r="A330" s="12">
        <v>1325</v>
      </c>
      <c r="B330" s="12" t="s">
        <v>902</v>
      </c>
      <c r="C330" s="12"/>
      <c r="D330" s="12"/>
      <c r="E330" s="12"/>
      <c r="F330" s="12"/>
      <c r="G330" s="12"/>
      <c r="H330" s="12"/>
    </row>
    <row r="331" spans="1:8" x14ac:dyDescent="0.25">
      <c r="A331" s="12">
        <v>1326</v>
      </c>
      <c r="B331" s="12" t="s">
        <v>505</v>
      </c>
      <c r="C331" s="12" t="s">
        <v>470</v>
      </c>
      <c r="D331" s="12">
        <v>1</v>
      </c>
      <c r="E331" s="12" t="s">
        <v>1803</v>
      </c>
      <c r="F331" s="12">
        <v>0</v>
      </c>
      <c r="G331" s="12" t="s">
        <v>506</v>
      </c>
      <c r="H331" s="13">
        <v>42439</v>
      </c>
    </row>
    <row r="332" spans="1:8" x14ac:dyDescent="0.25">
      <c r="A332" s="12">
        <v>1327</v>
      </c>
      <c r="B332" s="12" t="s">
        <v>507</v>
      </c>
      <c r="C332" s="12"/>
      <c r="D332" s="12"/>
      <c r="E332" s="12"/>
      <c r="F332" s="12"/>
      <c r="G332" s="12"/>
      <c r="H332" s="13"/>
    </row>
    <row r="333" spans="1:8" x14ac:dyDescent="0.25">
      <c r="A333" s="12">
        <v>1328</v>
      </c>
      <c r="B333" s="12" t="s">
        <v>904</v>
      </c>
      <c r="C333" s="12"/>
      <c r="D333" s="12"/>
      <c r="E333" s="12"/>
      <c r="F333" s="12"/>
      <c r="G333" s="12"/>
      <c r="H333" s="12"/>
    </row>
    <row r="334" spans="1:8" x14ac:dyDescent="0.25">
      <c r="A334" s="12">
        <v>1329</v>
      </c>
      <c r="B334" s="12" t="s">
        <v>92</v>
      </c>
      <c r="C334" s="12"/>
      <c r="D334" s="12"/>
      <c r="E334" s="12"/>
      <c r="F334" s="12"/>
      <c r="G334" s="12"/>
      <c r="H334" s="12"/>
    </row>
    <row r="335" spans="1:8" x14ac:dyDescent="0.25">
      <c r="A335" s="12">
        <v>1330</v>
      </c>
      <c r="B335" s="12" t="s">
        <v>93</v>
      </c>
      <c r="C335" s="12"/>
      <c r="D335" s="12"/>
      <c r="E335" s="12"/>
      <c r="F335" s="12"/>
      <c r="G335" s="12"/>
      <c r="H335" s="12"/>
    </row>
    <row r="336" spans="1:8" x14ac:dyDescent="0.25">
      <c r="A336" s="12">
        <v>1331</v>
      </c>
      <c r="B336" s="12" t="s">
        <v>905</v>
      </c>
      <c r="C336" s="12"/>
      <c r="D336" s="12"/>
      <c r="E336" s="12"/>
      <c r="F336" s="12"/>
      <c r="G336" s="12"/>
      <c r="H336" s="12"/>
    </row>
    <row r="337" spans="1:8" x14ac:dyDescent="0.25">
      <c r="A337" s="12">
        <v>1332</v>
      </c>
      <c r="B337" s="12" t="s">
        <v>508</v>
      </c>
      <c r="C337" s="12"/>
      <c r="D337" s="12"/>
      <c r="E337" s="12"/>
      <c r="F337" s="12"/>
      <c r="G337" s="12"/>
      <c r="H337" s="13"/>
    </row>
    <row r="338" spans="1:8" x14ac:dyDescent="0.25">
      <c r="A338" s="12">
        <v>1333</v>
      </c>
      <c r="B338" s="12" t="s">
        <v>510</v>
      </c>
      <c r="C338" s="12" t="s">
        <v>470</v>
      </c>
      <c r="D338" s="12">
        <v>1</v>
      </c>
      <c r="E338" s="12" t="s">
        <v>1804</v>
      </c>
      <c r="F338" s="12">
        <v>0</v>
      </c>
      <c r="G338" s="12" t="s">
        <v>509</v>
      </c>
      <c r="H338" s="13">
        <v>42439</v>
      </c>
    </row>
    <row r="339" spans="1:8" x14ac:dyDescent="0.25">
      <c r="A339" s="12">
        <v>1334</v>
      </c>
      <c r="B339" s="12" t="s">
        <v>906</v>
      </c>
      <c r="C339" s="12"/>
      <c r="D339" s="12"/>
      <c r="E339" s="12"/>
      <c r="F339" s="12"/>
      <c r="G339" s="12"/>
      <c r="H339" s="12"/>
    </row>
    <row r="340" spans="1:8" x14ac:dyDescent="0.25">
      <c r="A340" s="12">
        <v>1335</v>
      </c>
      <c r="B340" s="12" t="s">
        <v>907</v>
      </c>
      <c r="C340" s="12"/>
      <c r="D340" s="12"/>
      <c r="E340" s="12"/>
      <c r="F340" s="12"/>
      <c r="G340" s="12"/>
      <c r="H340" s="12"/>
    </row>
    <row r="341" spans="1:8" x14ac:dyDescent="0.25">
      <c r="A341" s="12">
        <v>1336</v>
      </c>
      <c r="B341" s="12" t="s">
        <v>908</v>
      </c>
      <c r="C341" s="12"/>
      <c r="D341" s="12"/>
      <c r="E341" s="12"/>
      <c r="F341" s="12"/>
      <c r="G341" s="12"/>
      <c r="H341" s="12"/>
    </row>
    <row r="342" spans="1:8" x14ac:dyDescent="0.25">
      <c r="A342" s="12">
        <v>1337</v>
      </c>
      <c r="B342" s="12" t="s">
        <v>914</v>
      </c>
      <c r="C342" s="12"/>
      <c r="D342" s="12"/>
      <c r="E342" s="12"/>
      <c r="F342" s="12"/>
      <c r="G342" s="12"/>
      <c r="H342" s="12"/>
    </row>
    <row r="343" spans="1:8" x14ac:dyDescent="0.25">
      <c r="A343" s="12">
        <v>1338</v>
      </c>
      <c r="B343" s="12" t="s">
        <v>915</v>
      </c>
      <c r="C343" s="12"/>
      <c r="D343" s="12"/>
      <c r="E343" s="12"/>
      <c r="F343" s="12"/>
      <c r="G343" s="12"/>
      <c r="H343" s="12"/>
    </row>
    <row r="344" spans="1:8" x14ac:dyDescent="0.25">
      <c r="A344" s="12">
        <v>1339</v>
      </c>
      <c r="B344" s="12" t="s">
        <v>511</v>
      </c>
      <c r="C344" s="12" t="s">
        <v>470</v>
      </c>
      <c r="D344" s="12"/>
      <c r="E344" s="12"/>
      <c r="F344" s="12"/>
      <c r="G344" s="12"/>
      <c r="H344" s="12"/>
    </row>
    <row r="345" spans="1:8" x14ac:dyDescent="0.25">
      <c r="A345" s="12">
        <v>1340</v>
      </c>
      <c r="B345" s="12" t="s">
        <v>911</v>
      </c>
      <c r="C345" s="12"/>
      <c r="D345" s="12"/>
      <c r="E345" s="12"/>
      <c r="F345" s="12"/>
      <c r="G345" s="12"/>
      <c r="H345" s="12"/>
    </row>
    <row r="346" spans="1:8" x14ac:dyDescent="0.25">
      <c r="A346" s="12">
        <v>1341</v>
      </c>
      <c r="B346" s="12" t="s">
        <v>912</v>
      </c>
      <c r="C346" s="12"/>
      <c r="D346" s="12"/>
      <c r="E346" s="12"/>
      <c r="F346" s="12"/>
      <c r="G346" s="12"/>
      <c r="H346" s="12"/>
    </row>
    <row r="347" spans="1:8" x14ac:dyDescent="0.25">
      <c r="A347" s="12">
        <v>1342</v>
      </c>
      <c r="B347" s="12" t="s">
        <v>913</v>
      </c>
      <c r="C347" s="12"/>
      <c r="D347" s="12"/>
      <c r="E347" s="12"/>
      <c r="F347" s="12"/>
      <c r="G347" s="12"/>
      <c r="H347" s="12"/>
    </row>
    <row r="348" spans="1:8" x14ac:dyDescent="0.25">
      <c r="A348" s="12">
        <v>1343</v>
      </c>
      <c r="B348" s="12" t="s">
        <v>94</v>
      </c>
      <c r="C348" s="12"/>
      <c r="D348" s="12"/>
      <c r="E348" s="12"/>
      <c r="F348" s="12"/>
      <c r="G348" s="12"/>
      <c r="H348" s="12"/>
    </row>
    <row r="349" spans="1:8" x14ac:dyDescent="0.25">
      <c r="A349" s="12">
        <v>1344</v>
      </c>
      <c r="B349" s="12" t="s">
        <v>95</v>
      </c>
      <c r="C349" s="12"/>
      <c r="D349" s="12"/>
      <c r="E349" s="12"/>
      <c r="F349" s="12"/>
      <c r="G349" s="12"/>
      <c r="H349" s="12"/>
    </row>
    <row r="350" spans="1:8" x14ac:dyDescent="0.25">
      <c r="A350" s="12">
        <v>1345</v>
      </c>
      <c r="B350" s="12" t="s">
        <v>96</v>
      </c>
      <c r="C350" s="12"/>
      <c r="D350" s="12"/>
      <c r="E350" s="12"/>
      <c r="F350" s="12"/>
      <c r="G350" s="12"/>
      <c r="H350" s="12"/>
    </row>
    <row r="351" spans="1:8" x14ac:dyDescent="0.25">
      <c r="A351" s="12">
        <v>1346</v>
      </c>
      <c r="B351" s="12" t="s">
        <v>916</v>
      </c>
      <c r="C351" s="12"/>
      <c r="D351" s="12"/>
      <c r="E351" s="12"/>
      <c r="F351" s="12"/>
      <c r="G351" s="12"/>
      <c r="H351" s="12"/>
    </row>
    <row r="352" spans="1:8" x14ac:dyDescent="0.25">
      <c r="A352" s="12">
        <v>1347</v>
      </c>
      <c r="B352" s="12" t="s">
        <v>918</v>
      </c>
      <c r="C352" s="12"/>
      <c r="D352" s="12"/>
      <c r="E352" s="12"/>
      <c r="F352" s="12"/>
      <c r="G352" s="12"/>
      <c r="H352" s="12"/>
    </row>
    <row r="353" spans="1:8" x14ac:dyDescent="0.25">
      <c r="A353" s="12">
        <v>1348</v>
      </c>
      <c r="B353" s="12" t="s">
        <v>920</v>
      </c>
      <c r="C353" s="12"/>
      <c r="D353" s="12"/>
      <c r="E353" s="12"/>
      <c r="F353" s="12"/>
      <c r="G353" s="12"/>
      <c r="H353" s="12"/>
    </row>
    <row r="354" spans="1:8" x14ac:dyDescent="0.25">
      <c r="A354" s="12">
        <v>1349</v>
      </c>
      <c r="B354" s="12" t="s">
        <v>97</v>
      </c>
      <c r="C354" s="12"/>
      <c r="D354" s="12"/>
      <c r="E354" s="12"/>
      <c r="F354" s="12"/>
      <c r="G354" s="12"/>
      <c r="H354" s="12"/>
    </row>
    <row r="355" spans="1:8" x14ac:dyDescent="0.25">
      <c r="A355" s="12">
        <v>1350</v>
      </c>
      <c r="B355" s="12" t="s">
        <v>917</v>
      </c>
      <c r="C355" s="12"/>
      <c r="D355" s="12"/>
      <c r="E355" s="12"/>
      <c r="F355" s="12"/>
      <c r="G355" s="12"/>
      <c r="H355" s="12"/>
    </row>
    <row r="356" spans="1:8" x14ac:dyDescent="0.25">
      <c r="A356" s="12">
        <v>1351</v>
      </c>
      <c r="B356" s="12" t="s">
        <v>919</v>
      </c>
      <c r="C356" s="12"/>
      <c r="D356" s="12"/>
      <c r="E356" s="12"/>
      <c r="F356" s="12"/>
      <c r="G356" s="12"/>
      <c r="H356" s="12"/>
    </row>
    <row r="357" spans="1:8" x14ac:dyDescent="0.25">
      <c r="A357" s="12">
        <v>1352</v>
      </c>
      <c r="B357" s="12" t="s">
        <v>921</v>
      </c>
      <c r="C357" s="12"/>
      <c r="D357" s="12"/>
      <c r="E357" s="12"/>
      <c r="F357" s="12"/>
      <c r="G357" s="12"/>
      <c r="H357" s="12"/>
    </row>
    <row r="358" spans="1:8" x14ac:dyDescent="0.25">
      <c r="A358" s="12">
        <v>1353</v>
      </c>
      <c r="B358" s="12" t="s">
        <v>923</v>
      </c>
      <c r="C358" s="12"/>
      <c r="D358" s="12"/>
      <c r="E358" s="12"/>
      <c r="F358" s="12"/>
      <c r="G358" s="12"/>
      <c r="H358" s="12"/>
    </row>
    <row r="359" spans="1:8" x14ac:dyDescent="0.25">
      <c r="A359" s="12">
        <v>1354</v>
      </c>
      <c r="B359" s="12" t="s">
        <v>520</v>
      </c>
      <c r="C359" s="12"/>
      <c r="D359" s="12"/>
      <c r="E359" s="12"/>
      <c r="F359" s="12"/>
      <c r="G359" s="12"/>
      <c r="H359" s="12"/>
    </row>
    <row r="360" spans="1:8" x14ac:dyDescent="0.25">
      <c r="A360" s="12">
        <v>1355</v>
      </c>
      <c r="B360" s="12" t="s">
        <v>924</v>
      </c>
      <c r="C360" s="12"/>
      <c r="D360" s="12"/>
      <c r="E360" s="12"/>
      <c r="F360" s="12"/>
      <c r="G360" s="12"/>
      <c r="H360" s="12"/>
    </row>
    <row r="361" spans="1:8" x14ac:dyDescent="0.25">
      <c r="A361" s="12">
        <v>1356</v>
      </c>
      <c r="B361" s="12" t="s">
        <v>925</v>
      </c>
      <c r="C361" s="12"/>
      <c r="D361" s="12"/>
      <c r="E361" s="12"/>
      <c r="F361" s="12"/>
      <c r="G361" s="12"/>
      <c r="H361" s="12"/>
    </row>
    <row r="362" spans="1:8" x14ac:dyDescent="0.25">
      <c r="A362" s="12">
        <v>1357</v>
      </c>
      <c r="B362" s="12" t="s">
        <v>521</v>
      </c>
      <c r="C362" s="12" t="s">
        <v>470</v>
      </c>
      <c r="D362" s="12">
        <v>1</v>
      </c>
      <c r="E362" s="12" t="s">
        <v>1805</v>
      </c>
      <c r="F362" s="12">
        <v>0</v>
      </c>
      <c r="G362" s="12" t="s">
        <v>522</v>
      </c>
      <c r="H362" s="13">
        <v>42439</v>
      </c>
    </row>
    <row r="363" spans="1:8" x14ac:dyDescent="0.25">
      <c r="A363" s="12">
        <v>1358</v>
      </c>
      <c r="B363" s="12" t="s">
        <v>514</v>
      </c>
      <c r="C363" s="12" t="s">
        <v>470</v>
      </c>
      <c r="D363" s="12">
        <v>1</v>
      </c>
      <c r="E363" s="12" t="s">
        <v>1806</v>
      </c>
      <c r="F363" s="12">
        <v>0</v>
      </c>
      <c r="G363" s="12" t="s">
        <v>515</v>
      </c>
      <c r="H363" s="13">
        <v>42439</v>
      </c>
    </row>
    <row r="364" spans="1:8" x14ac:dyDescent="0.25">
      <c r="A364" s="12">
        <v>1359</v>
      </c>
      <c r="B364" s="12" t="s">
        <v>516</v>
      </c>
      <c r="C364" s="12"/>
      <c r="D364" s="12"/>
      <c r="E364" s="12"/>
      <c r="F364" s="12"/>
      <c r="G364" s="12"/>
      <c r="H364" s="13"/>
    </row>
    <row r="365" spans="1:8" x14ac:dyDescent="0.25">
      <c r="A365" s="12">
        <v>1360</v>
      </c>
      <c r="B365" s="12" t="s">
        <v>517</v>
      </c>
      <c r="C365" s="12"/>
      <c r="D365" s="12"/>
      <c r="E365" s="12"/>
      <c r="F365" s="12"/>
      <c r="G365" s="12"/>
      <c r="H365" s="13"/>
    </row>
    <row r="366" spans="1:8" x14ac:dyDescent="0.25">
      <c r="A366" s="12">
        <v>1361</v>
      </c>
      <c r="B366" s="12" t="s">
        <v>926</v>
      </c>
      <c r="C366" s="12"/>
      <c r="D366" s="12"/>
      <c r="E366" s="12"/>
      <c r="F366" s="12"/>
      <c r="G366" s="12"/>
      <c r="H366" s="12"/>
    </row>
    <row r="367" spans="1:8" x14ac:dyDescent="0.25">
      <c r="A367" s="12">
        <v>1362</v>
      </c>
      <c r="B367" s="12" t="s">
        <v>927</v>
      </c>
      <c r="C367" s="12"/>
      <c r="D367" s="12"/>
      <c r="E367" s="12"/>
      <c r="F367" s="12"/>
      <c r="G367" s="12"/>
      <c r="H367" s="12"/>
    </row>
    <row r="368" spans="1:8" x14ac:dyDescent="0.25">
      <c r="A368" s="12">
        <v>1363</v>
      </c>
      <c r="B368" s="12" t="s">
        <v>928</v>
      </c>
      <c r="C368" s="12"/>
      <c r="D368" s="12"/>
      <c r="E368" s="12"/>
      <c r="F368" s="12"/>
      <c r="G368" s="12"/>
      <c r="H368" s="12"/>
    </row>
    <row r="369" spans="1:8" x14ac:dyDescent="0.25">
      <c r="A369" s="12">
        <v>1364</v>
      </c>
      <c r="B369" s="12" t="s">
        <v>929</v>
      </c>
      <c r="C369" s="12"/>
      <c r="D369" s="12"/>
      <c r="E369" s="12"/>
      <c r="F369" s="12"/>
      <c r="G369" s="12"/>
      <c r="H369" s="12"/>
    </row>
    <row r="370" spans="1:8" x14ac:dyDescent="0.25">
      <c r="A370" s="12">
        <v>1365</v>
      </c>
      <c r="B370" s="12" t="s">
        <v>98</v>
      </c>
      <c r="C370" s="12"/>
      <c r="D370" s="12"/>
      <c r="E370" s="12"/>
      <c r="F370" s="12"/>
      <c r="G370" s="12"/>
      <c r="H370" s="12"/>
    </row>
    <row r="371" spans="1:8" x14ac:dyDescent="0.25">
      <c r="A371" s="12">
        <v>1366</v>
      </c>
      <c r="B371" s="12" t="s">
        <v>99</v>
      </c>
      <c r="C371" s="12"/>
      <c r="D371" s="12"/>
      <c r="E371" s="12"/>
      <c r="F371" s="12"/>
      <c r="G371" s="12"/>
      <c r="H371" s="12"/>
    </row>
    <row r="372" spans="1:8" x14ac:dyDescent="0.25">
      <c r="A372" s="12">
        <v>1367</v>
      </c>
      <c r="B372" s="12" t="s">
        <v>100</v>
      </c>
      <c r="C372" s="12"/>
      <c r="D372" s="12"/>
      <c r="E372" s="12"/>
      <c r="F372" s="12"/>
      <c r="G372" s="12"/>
      <c r="H372" s="12"/>
    </row>
    <row r="373" spans="1:8" x14ac:dyDescent="0.25">
      <c r="A373" s="12">
        <v>1368</v>
      </c>
      <c r="B373" s="12" t="s">
        <v>930</v>
      </c>
      <c r="C373" s="12"/>
      <c r="D373" s="12"/>
      <c r="E373" s="12"/>
      <c r="F373" s="12"/>
      <c r="G373" s="12"/>
      <c r="H373" s="12"/>
    </row>
    <row r="374" spans="1:8" x14ac:dyDescent="0.25">
      <c r="A374" s="12">
        <v>1369</v>
      </c>
      <c r="B374" s="12" t="s">
        <v>931</v>
      </c>
      <c r="C374" s="12"/>
      <c r="D374" s="12"/>
      <c r="E374" s="12"/>
      <c r="F374" s="12"/>
      <c r="G374" s="12"/>
      <c r="H374" s="12"/>
    </row>
    <row r="375" spans="1:8" x14ac:dyDescent="0.25">
      <c r="A375" s="12">
        <v>1370</v>
      </c>
      <c r="B375" s="12" t="s">
        <v>940</v>
      </c>
      <c r="C375" s="12"/>
      <c r="D375" s="12"/>
      <c r="E375" s="12"/>
      <c r="F375" s="12"/>
      <c r="G375" s="12"/>
      <c r="H375" s="12"/>
    </row>
    <row r="376" spans="1:8" x14ac:dyDescent="0.25">
      <c r="A376" s="12">
        <v>1371</v>
      </c>
      <c r="B376" s="12" t="s">
        <v>939</v>
      </c>
      <c r="C376" s="12"/>
      <c r="D376" s="12"/>
      <c r="E376" s="12"/>
      <c r="F376" s="12"/>
      <c r="G376" s="12"/>
      <c r="H376" s="12"/>
    </row>
    <row r="377" spans="1:8" x14ac:dyDescent="0.25">
      <c r="A377" s="12">
        <v>1372</v>
      </c>
      <c r="B377" s="12" t="s">
        <v>945</v>
      </c>
      <c r="C377" s="12"/>
      <c r="D377" s="12"/>
      <c r="E377" s="12"/>
      <c r="F377" s="12"/>
      <c r="G377" s="12"/>
      <c r="H377" s="12"/>
    </row>
    <row r="378" spans="1:8" x14ac:dyDescent="0.25">
      <c r="A378" s="12">
        <v>1373</v>
      </c>
      <c r="B378" s="12" t="s">
        <v>946</v>
      </c>
      <c r="C378" s="12"/>
      <c r="D378" s="12"/>
      <c r="E378" s="12"/>
      <c r="F378" s="12"/>
      <c r="G378" s="12"/>
      <c r="H378" s="12"/>
    </row>
    <row r="379" spans="1:8" x14ac:dyDescent="0.25">
      <c r="A379" s="12">
        <v>1374</v>
      </c>
      <c r="B379" s="12" t="s">
        <v>947</v>
      </c>
      <c r="C379" s="12"/>
      <c r="D379" s="12"/>
      <c r="E379" s="12"/>
      <c r="F379" s="12"/>
      <c r="G379" s="12"/>
      <c r="H379" s="12"/>
    </row>
    <row r="380" spans="1:8" x14ac:dyDescent="0.25">
      <c r="A380" s="12">
        <v>1375</v>
      </c>
      <c r="B380" s="12" t="s">
        <v>948</v>
      </c>
      <c r="C380" s="12"/>
      <c r="D380" s="12"/>
      <c r="E380" s="12"/>
      <c r="F380" s="12"/>
      <c r="G380" s="12"/>
      <c r="H380" s="12"/>
    </row>
    <row r="381" spans="1:8" x14ac:dyDescent="0.25">
      <c r="A381" s="12">
        <v>1376</v>
      </c>
      <c r="B381" s="12" t="s">
        <v>951</v>
      </c>
      <c r="C381" s="12"/>
      <c r="D381" s="12"/>
      <c r="E381" s="12"/>
      <c r="F381" s="12"/>
      <c r="G381" s="12"/>
      <c r="H381" s="12"/>
    </row>
    <row r="382" spans="1:8" x14ac:dyDescent="0.25">
      <c r="A382" s="12">
        <v>1377</v>
      </c>
      <c r="B382" s="12" t="s">
        <v>964</v>
      </c>
      <c r="C382" s="12"/>
      <c r="D382" s="12"/>
      <c r="E382" s="12"/>
      <c r="F382" s="12"/>
      <c r="G382" s="12"/>
      <c r="H382" s="12"/>
    </row>
    <row r="383" spans="1:8" x14ac:dyDescent="0.25">
      <c r="A383" s="12">
        <v>1378</v>
      </c>
      <c r="B383" s="12" t="s">
        <v>965</v>
      </c>
      <c r="C383" s="12"/>
      <c r="D383" s="12"/>
      <c r="E383" s="12"/>
      <c r="F383" s="12"/>
      <c r="G383" s="12"/>
      <c r="H383" s="12"/>
    </row>
    <row r="384" spans="1:8" x14ac:dyDescent="0.25">
      <c r="A384" s="12">
        <v>1379</v>
      </c>
      <c r="B384" s="12" t="s">
        <v>101</v>
      </c>
      <c r="C384" s="12"/>
      <c r="D384" s="12"/>
      <c r="E384" s="12"/>
      <c r="F384" s="12"/>
      <c r="G384" s="12"/>
      <c r="H384" s="12"/>
    </row>
    <row r="385" spans="1:8" x14ac:dyDescent="0.25">
      <c r="A385" s="12">
        <v>1380</v>
      </c>
      <c r="B385" s="12" t="s">
        <v>966</v>
      </c>
      <c r="C385" s="12"/>
      <c r="D385" s="12"/>
      <c r="E385" s="12"/>
      <c r="F385" s="12"/>
      <c r="G385" s="12"/>
      <c r="H385" s="12"/>
    </row>
    <row r="386" spans="1:8" x14ac:dyDescent="0.25">
      <c r="A386" s="12">
        <v>1381</v>
      </c>
      <c r="B386" s="12" t="s">
        <v>967</v>
      </c>
      <c r="C386" s="12"/>
      <c r="D386" s="12"/>
      <c r="E386" s="12"/>
      <c r="F386" s="12"/>
      <c r="G386" s="12"/>
      <c r="H386" s="12"/>
    </row>
    <row r="387" spans="1:8" x14ac:dyDescent="0.25">
      <c r="A387" s="12">
        <v>1382</v>
      </c>
      <c r="B387" s="12" t="s">
        <v>102</v>
      </c>
      <c r="C387" s="12"/>
      <c r="D387" s="12"/>
      <c r="E387" s="12"/>
      <c r="F387" s="12"/>
      <c r="G387" s="12"/>
      <c r="H387" s="12"/>
    </row>
    <row r="388" spans="1:8" x14ac:dyDescent="0.25">
      <c r="A388" s="12">
        <v>1383</v>
      </c>
      <c r="B388" s="12" t="s">
        <v>103</v>
      </c>
      <c r="C388" s="12"/>
      <c r="D388" s="12"/>
      <c r="E388" s="12"/>
      <c r="F388" s="12"/>
      <c r="G388" s="12"/>
      <c r="H388" s="12"/>
    </row>
    <row r="389" spans="1:8" x14ac:dyDescent="0.25">
      <c r="A389" s="12">
        <v>1384</v>
      </c>
      <c r="B389" s="12" t="s">
        <v>956</v>
      </c>
      <c r="C389" s="12"/>
      <c r="D389" s="12"/>
      <c r="E389" s="12"/>
      <c r="F389" s="12"/>
      <c r="G389" s="12"/>
      <c r="H389" s="12"/>
    </row>
    <row r="390" spans="1:8" x14ac:dyDescent="0.25">
      <c r="A390" s="12">
        <v>1385</v>
      </c>
      <c r="B390" s="12" t="s">
        <v>536</v>
      </c>
      <c r="C390" s="12" t="s">
        <v>470</v>
      </c>
      <c r="D390" s="12"/>
      <c r="E390" s="12"/>
      <c r="F390" s="12"/>
      <c r="G390" s="12"/>
      <c r="H390" s="12"/>
    </row>
    <row r="391" spans="1:8" x14ac:dyDescent="0.25">
      <c r="A391" s="12">
        <v>1386</v>
      </c>
      <c r="B391" s="12" t="s">
        <v>104</v>
      </c>
      <c r="C391" s="12"/>
      <c r="D391" s="12"/>
      <c r="E391" s="12"/>
      <c r="F391" s="12"/>
      <c r="G391" s="12"/>
      <c r="H391" s="12"/>
    </row>
    <row r="392" spans="1:8" x14ac:dyDescent="0.25">
      <c r="A392" s="12">
        <v>1387</v>
      </c>
      <c r="B392" s="12" t="s">
        <v>105</v>
      </c>
      <c r="C392" s="12"/>
      <c r="D392" s="12"/>
      <c r="E392" s="12"/>
      <c r="F392" s="12"/>
      <c r="G392" s="12"/>
      <c r="H392" s="12"/>
    </row>
    <row r="393" spans="1:8" x14ac:dyDescent="0.25">
      <c r="A393" s="12">
        <v>1388</v>
      </c>
      <c r="B393" s="12" t="s">
        <v>1000</v>
      </c>
      <c r="C393" s="12"/>
      <c r="D393" s="12"/>
      <c r="E393" s="12"/>
      <c r="F393" s="12"/>
      <c r="G393" s="12"/>
      <c r="H393" s="12"/>
    </row>
    <row r="394" spans="1:8" x14ac:dyDescent="0.25">
      <c r="A394" s="12">
        <v>1389</v>
      </c>
      <c r="B394" s="12" t="s">
        <v>1001</v>
      </c>
      <c r="C394" s="12"/>
      <c r="D394" s="12"/>
      <c r="E394" s="12"/>
      <c r="F394" s="12"/>
      <c r="G394" s="12"/>
      <c r="H394" s="12"/>
    </row>
    <row r="395" spans="1:8" x14ac:dyDescent="0.25">
      <c r="A395" s="12">
        <v>1390</v>
      </c>
      <c r="B395" s="12" t="s">
        <v>106</v>
      </c>
      <c r="C395" s="12"/>
      <c r="D395" s="12"/>
      <c r="E395" s="12"/>
      <c r="F395" s="12"/>
      <c r="G395" s="12"/>
      <c r="H395" s="12"/>
    </row>
    <row r="396" spans="1:8" x14ac:dyDescent="0.25">
      <c r="A396" s="12">
        <v>1391</v>
      </c>
      <c r="B396" s="12" t="s">
        <v>107</v>
      </c>
      <c r="C396" s="12"/>
      <c r="D396" s="12"/>
      <c r="E396" s="12"/>
      <c r="F396" s="12"/>
      <c r="G396" s="12"/>
      <c r="H396" s="12"/>
    </row>
    <row r="397" spans="1:8" x14ac:dyDescent="0.25">
      <c r="A397" s="12">
        <v>1392</v>
      </c>
      <c r="B397" s="12" t="s">
        <v>108</v>
      </c>
      <c r="C397" s="12"/>
      <c r="D397" s="12"/>
      <c r="E397" s="12"/>
      <c r="F397" s="12"/>
      <c r="G397" s="12"/>
      <c r="H397" s="12"/>
    </row>
    <row r="398" spans="1:8" x14ac:dyDescent="0.25">
      <c r="A398" s="12">
        <v>1393</v>
      </c>
      <c r="B398" s="12" t="s">
        <v>935</v>
      </c>
      <c r="C398" s="12"/>
      <c r="D398" s="12"/>
      <c r="E398" s="12"/>
      <c r="F398" s="12"/>
      <c r="G398" s="12"/>
      <c r="H398" s="12"/>
    </row>
    <row r="399" spans="1:8" x14ac:dyDescent="0.25">
      <c r="A399" s="12">
        <v>1394</v>
      </c>
      <c r="B399" s="12" t="s">
        <v>938</v>
      </c>
      <c r="C399" s="12"/>
      <c r="D399" s="12"/>
      <c r="E399" s="12"/>
      <c r="F399" s="12"/>
      <c r="G399" s="12"/>
      <c r="H399" s="12"/>
    </row>
    <row r="400" spans="1:8" x14ac:dyDescent="0.25">
      <c r="A400" s="12">
        <v>1395</v>
      </c>
      <c r="B400" s="12" t="s">
        <v>109</v>
      </c>
      <c r="C400" s="12"/>
      <c r="D400" s="12"/>
      <c r="E400" s="12"/>
      <c r="F400" s="12"/>
      <c r="G400" s="12"/>
      <c r="H400" s="12"/>
    </row>
    <row r="401" spans="1:8" x14ac:dyDescent="0.25">
      <c r="A401" s="12">
        <v>1396</v>
      </c>
      <c r="B401" s="12" t="s">
        <v>110</v>
      </c>
      <c r="C401" s="12"/>
      <c r="D401" s="12"/>
      <c r="E401" s="12"/>
      <c r="F401" s="12"/>
      <c r="G401" s="12"/>
      <c r="H401" s="12"/>
    </row>
    <row r="402" spans="1:8" x14ac:dyDescent="0.25">
      <c r="A402" s="12">
        <v>1397</v>
      </c>
      <c r="B402" s="12" t="s">
        <v>949</v>
      </c>
      <c r="C402" s="12"/>
      <c r="D402" s="12"/>
      <c r="E402" s="12"/>
      <c r="F402" s="12"/>
      <c r="G402" s="12"/>
      <c r="H402" s="12"/>
    </row>
    <row r="403" spans="1:8" x14ac:dyDescent="0.25">
      <c r="A403" s="12">
        <v>1398</v>
      </c>
      <c r="B403" s="12" t="s">
        <v>111</v>
      </c>
      <c r="C403" s="12"/>
      <c r="D403" s="12"/>
      <c r="E403" s="12"/>
      <c r="F403" s="12"/>
      <c r="G403" s="12"/>
      <c r="H403" s="12"/>
    </row>
    <row r="404" spans="1:8" x14ac:dyDescent="0.25">
      <c r="A404" s="12">
        <v>1399</v>
      </c>
      <c r="B404" s="12" t="s">
        <v>950</v>
      </c>
      <c r="C404" s="12"/>
      <c r="D404" s="12"/>
      <c r="E404" s="12"/>
      <c r="F404" s="12"/>
      <c r="G404" s="12"/>
      <c r="H404" s="12"/>
    </row>
    <row r="405" spans="1:8" x14ac:dyDescent="0.25">
      <c r="A405" s="12">
        <v>1400</v>
      </c>
      <c r="B405" s="12" t="s">
        <v>952</v>
      </c>
      <c r="C405" s="12"/>
      <c r="D405" s="12"/>
      <c r="E405" s="12"/>
      <c r="F405" s="12"/>
      <c r="G405" s="12"/>
      <c r="H405" s="12"/>
    </row>
    <row r="406" spans="1:8" x14ac:dyDescent="0.25">
      <c r="A406" s="12">
        <v>1401</v>
      </c>
      <c r="B406" s="12" t="s">
        <v>112</v>
      </c>
      <c r="C406" s="12"/>
      <c r="D406" s="12"/>
      <c r="E406" s="12"/>
      <c r="F406" s="12"/>
      <c r="G406" s="12"/>
      <c r="H406" s="12"/>
    </row>
    <row r="407" spans="1:8" x14ac:dyDescent="0.25">
      <c r="A407" s="12">
        <v>1402</v>
      </c>
      <c r="B407" s="12" t="s">
        <v>113</v>
      </c>
      <c r="C407" s="12"/>
      <c r="D407" s="12"/>
      <c r="E407" s="12"/>
      <c r="F407" s="12"/>
      <c r="G407" s="12"/>
      <c r="H407" s="12"/>
    </row>
    <row r="408" spans="1:8" x14ac:dyDescent="0.25">
      <c r="A408" s="12">
        <v>1403</v>
      </c>
      <c r="B408" s="12" t="s">
        <v>525</v>
      </c>
      <c r="C408" s="12"/>
      <c r="D408" s="12"/>
      <c r="E408" s="12"/>
      <c r="F408" s="12"/>
      <c r="G408" s="12"/>
      <c r="H408" s="13"/>
    </row>
    <row r="409" spans="1:8" x14ac:dyDescent="0.25">
      <c r="A409" s="12">
        <v>1404</v>
      </c>
      <c r="B409" s="12" t="s">
        <v>528</v>
      </c>
      <c r="C409" s="12" t="s">
        <v>470</v>
      </c>
      <c r="D409" s="12">
        <v>1</v>
      </c>
      <c r="E409" s="12" t="s">
        <v>1807</v>
      </c>
      <c r="F409" s="12">
        <v>0</v>
      </c>
      <c r="G409" s="12" t="s">
        <v>529</v>
      </c>
      <c r="H409" s="13">
        <v>42439</v>
      </c>
    </row>
    <row r="410" spans="1:8" x14ac:dyDescent="0.25">
      <c r="A410" s="12">
        <v>1405</v>
      </c>
      <c r="B410" s="12" t="s">
        <v>957</v>
      </c>
      <c r="C410" s="12"/>
      <c r="D410" s="12"/>
      <c r="E410" s="12"/>
      <c r="F410" s="12"/>
      <c r="G410" s="12"/>
      <c r="H410" s="12"/>
    </row>
    <row r="411" spans="1:8" x14ac:dyDescent="0.25">
      <c r="A411" s="12">
        <v>1406</v>
      </c>
      <c r="B411" s="12" t="s">
        <v>958</v>
      </c>
      <c r="C411" s="12"/>
      <c r="D411" s="12"/>
      <c r="E411" s="12"/>
      <c r="F411" s="12"/>
      <c r="G411" s="12"/>
      <c r="H411" s="12"/>
    </row>
    <row r="412" spans="1:8" x14ac:dyDescent="0.25">
      <c r="A412" s="12">
        <v>1407</v>
      </c>
      <c r="B412" s="12" t="s">
        <v>959</v>
      </c>
      <c r="C412" s="12"/>
      <c r="D412" s="12"/>
      <c r="E412" s="12"/>
      <c r="F412" s="12"/>
      <c r="G412" s="12"/>
      <c r="H412" s="12"/>
    </row>
    <row r="413" spans="1:8" x14ac:dyDescent="0.25">
      <c r="A413" s="12">
        <v>1408</v>
      </c>
      <c r="B413" s="12" t="s">
        <v>960</v>
      </c>
      <c r="C413" s="12"/>
      <c r="D413" s="12"/>
      <c r="E413" s="12"/>
      <c r="F413" s="12"/>
      <c r="G413" s="12"/>
      <c r="H413" s="12"/>
    </row>
    <row r="414" spans="1:8" x14ac:dyDescent="0.25">
      <c r="A414" s="12">
        <v>1409</v>
      </c>
      <c r="B414" s="12" t="s">
        <v>961</v>
      </c>
      <c r="C414" s="12"/>
      <c r="D414" s="12"/>
      <c r="E414" s="12"/>
      <c r="F414" s="12"/>
      <c r="G414" s="12"/>
      <c r="H414" s="12"/>
    </row>
    <row r="415" spans="1:8" x14ac:dyDescent="0.25">
      <c r="A415" s="12">
        <v>1410</v>
      </c>
      <c r="B415" s="12" t="s">
        <v>962</v>
      </c>
      <c r="C415" s="12"/>
      <c r="D415" s="12"/>
      <c r="E415" s="12"/>
      <c r="F415" s="12"/>
      <c r="G415" s="12"/>
      <c r="H415" s="12"/>
    </row>
    <row r="416" spans="1:8" x14ac:dyDescent="0.25">
      <c r="A416" s="12">
        <v>1411</v>
      </c>
      <c r="B416" s="12" t="s">
        <v>534</v>
      </c>
      <c r="C416" s="12" t="s">
        <v>470</v>
      </c>
      <c r="D416" s="12">
        <v>1</v>
      </c>
      <c r="E416" s="12" t="s">
        <v>1808</v>
      </c>
      <c r="F416" s="12">
        <v>0</v>
      </c>
      <c r="G416" s="12" t="s">
        <v>535</v>
      </c>
      <c r="H416" s="13">
        <v>42439</v>
      </c>
    </row>
    <row r="417" spans="1:8" x14ac:dyDescent="0.25">
      <c r="A417" s="12">
        <v>1412</v>
      </c>
      <c r="B417" s="12" t="s">
        <v>968</v>
      </c>
      <c r="C417" s="12"/>
      <c r="D417" s="12"/>
      <c r="E417" s="12"/>
      <c r="F417" s="12"/>
      <c r="G417" s="12"/>
      <c r="H417" s="12"/>
    </row>
    <row r="418" spans="1:8" x14ac:dyDescent="0.25">
      <c r="A418" s="12">
        <v>1413</v>
      </c>
      <c r="B418" s="12" t="s">
        <v>969</v>
      </c>
      <c r="C418" s="12"/>
      <c r="D418" s="12"/>
      <c r="E418" s="12"/>
      <c r="F418" s="12"/>
      <c r="G418" s="12"/>
      <c r="H418" s="12"/>
    </row>
    <row r="419" spans="1:8" x14ac:dyDescent="0.25">
      <c r="A419" s="12">
        <v>1414</v>
      </c>
      <c r="B419" s="12" t="s">
        <v>970</v>
      </c>
      <c r="C419" s="12"/>
      <c r="D419" s="12"/>
      <c r="E419" s="12"/>
      <c r="F419" s="12"/>
      <c r="G419" s="12"/>
      <c r="H419" s="12"/>
    </row>
    <row r="420" spans="1:8" x14ac:dyDescent="0.25">
      <c r="A420" s="12">
        <v>1415</v>
      </c>
      <c r="B420" s="12" t="s">
        <v>971</v>
      </c>
      <c r="C420" s="12"/>
      <c r="D420" s="12"/>
      <c r="E420" s="12"/>
      <c r="F420" s="12"/>
      <c r="G420" s="12"/>
      <c r="H420" s="12"/>
    </row>
    <row r="421" spans="1:8" x14ac:dyDescent="0.25">
      <c r="A421" s="12">
        <v>1416</v>
      </c>
      <c r="B421" s="12" t="s">
        <v>530</v>
      </c>
      <c r="C421" s="12" t="s">
        <v>470</v>
      </c>
      <c r="D421" s="12"/>
      <c r="E421" s="12"/>
      <c r="F421" s="12"/>
      <c r="G421" s="12"/>
      <c r="H421" s="12"/>
    </row>
    <row r="422" spans="1:8" x14ac:dyDescent="0.25">
      <c r="A422" s="12">
        <v>1417</v>
      </c>
      <c r="B422" s="12" t="s">
        <v>114</v>
      </c>
      <c r="C422" s="12"/>
      <c r="D422" s="12"/>
      <c r="E422" s="12"/>
      <c r="F422" s="12"/>
      <c r="G422" s="12"/>
      <c r="H422" s="12"/>
    </row>
    <row r="423" spans="1:8" x14ac:dyDescent="0.25">
      <c r="A423" s="12">
        <v>1418</v>
      </c>
      <c r="B423" s="12" t="s">
        <v>972</v>
      </c>
      <c r="C423" s="12"/>
      <c r="D423" s="12"/>
      <c r="E423" s="12"/>
      <c r="F423" s="12"/>
      <c r="G423" s="12"/>
      <c r="H423" s="12"/>
    </row>
    <row r="424" spans="1:8" x14ac:dyDescent="0.25">
      <c r="A424" s="12">
        <v>1419</v>
      </c>
      <c r="B424" s="12" t="s">
        <v>973</v>
      </c>
      <c r="C424" s="12"/>
      <c r="D424" s="12"/>
      <c r="E424" s="12"/>
      <c r="F424" s="12"/>
      <c r="G424" s="12"/>
      <c r="H424" s="12"/>
    </row>
    <row r="425" spans="1:8" x14ac:dyDescent="0.25">
      <c r="A425" s="12">
        <v>1420</v>
      </c>
      <c r="B425" s="14" t="s">
        <v>531</v>
      </c>
      <c r="C425" s="12" t="s">
        <v>470</v>
      </c>
      <c r="D425" s="12">
        <v>1</v>
      </c>
      <c r="E425" s="12" t="s">
        <v>1809</v>
      </c>
      <c r="F425" s="12">
        <v>0</v>
      </c>
      <c r="G425" s="12" t="s">
        <v>532</v>
      </c>
      <c r="H425" s="13">
        <v>42439</v>
      </c>
    </row>
    <row r="426" spans="1:8" x14ac:dyDescent="0.25">
      <c r="A426" s="12">
        <v>1421</v>
      </c>
      <c r="B426" s="14" t="s">
        <v>533</v>
      </c>
      <c r="C426" s="12"/>
      <c r="D426" s="12"/>
      <c r="E426" s="12"/>
      <c r="F426" s="12"/>
      <c r="G426" s="12"/>
      <c r="H426" s="13"/>
    </row>
    <row r="427" spans="1:8" x14ac:dyDescent="0.25">
      <c r="A427" s="12">
        <v>1422</v>
      </c>
      <c r="B427" s="12" t="s">
        <v>974</v>
      </c>
      <c r="C427" s="12"/>
      <c r="D427" s="12"/>
      <c r="E427" s="12"/>
      <c r="F427" s="12"/>
      <c r="G427" s="12"/>
      <c r="H427" s="12"/>
    </row>
    <row r="428" spans="1:8" x14ac:dyDescent="0.25">
      <c r="A428" s="12">
        <v>1423</v>
      </c>
      <c r="B428" s="12" t="s">
        <v>975</v>
      </c>
      <c r="C428" s="12"/>
      <c r="D428" s="12"/>
      <c r="E428" s="12"/>
      <c r="F428" s="12"/>
      <c r="G428" s="12"/>
      <c r="H428" s="12"/>
    </row>
    <row r="429" spans="1:8" x14ac:dyDescent="0.25">
      <c r="A429" s="12">
        <v>1424</v>
      </c>
      <c r="B429" s="12" t="s">
        <v>976</v>
      </c>
      <c r="C429" s="12"/>
      <c r="D429" s="12"/>
      <c r="E429" s="12"/>
      <c r="F429" s="12"/>
      <c r="G429" s="12"/>
      <c r="H429" s="12"/>
    </row>
    <row r="430" spans="1:8" x14ac:dyDescent="0.25">
      <c r="A430" s="12">
        <v>1425</v>
      </c>
      <c r="B430" s="12" t="s">
        <v>977</v>
      </c>
      <c r="C430" s="12"/>
      <c r="D430" s="12"/>
      <c r="E430" s="12"/>
      <c r="F430" s="12"/>
      <c r="G430" s="12"/>
      <c r="H430" s="12"/>
    </row>
    <row r="431" spans="1:8" x14ac:dyDescent="0.25">
      <c r="A431" s="12">
        <v>1426</v>
      </c>
      <c r="B431" s="12" t="s">
        <v>978</v>
      </c>
      <c r="C431" s="12"/>
      <c r="D431" s="12"/>
      <c r="E431" s="12"/>
      <c r="F431" s="12"/>
      <c r="G431" s="12"/>
      <c r="H431" s="12"/>
    </row>
    <row r="432" spans="1:8" x14ac:dyDescent="0.25">
      <c r="A432" s="12">
        <v>1427</v>
      </c>
      <c r="B432" s="12" t="s">
        <v>115</v>
      </c>
      <c r="C432" s="12"/>
      <c r="D432" s="12"/>
      <c r="E432" s="12"/>
      <c r="F432" s="12"/>
      <c r="G432" s="12"/>
      <c r="H432" s="12"/>
    </row>
    <row r="433" spans="1:8" x14ac:dyDescent="0.25">
      <c r="A433" s="12">
        <v>1428</v>
      </c>
      <c r="B433" s="12" t="s">
        <v>982</v>
      </c>
      <c r="C433" s="12"/>
      <c r="D433" s="12"/>
      <c r="E433" s="12"/>
      <c r="F433" s="12"/>
      <c r="G433" s="12"/>
      <c r="H433" s="12"/>
    </row>
    <row r="434" spans="1:8" x14ac:dyDescent="0.25">
      <c r="A434" s="12">
        <v>1429</v>
      </c>
      <c r="B434" s="12" t="s">
        <v>116</v>
      </c>
      <c r="C434" s="12"/>
      <c r="D434" s="12"/>
      <c r="E434" s="12"/>
      <c r="F434" s="12"/>
      <c r="G434" s="12"/>
      <c r="H434" s="12"/>
    </row>
    <row r="435" spans="1:8" x14ac:dyDescent="0.25">
      <c r="A435" s="12">
        <v>1430</v>
      </c>
      <c r="B435" s="12" t="s">
        <v>117</v>
      </c>
      <c r="C435" s="12"/>
      <c r="D435" s="12"/>
      <c r="E435" s="12"/>
      <c r="F435" s="12"/>
      <c r="G435" s="12"/>
      <c r="H435" s="12"/>
    </row>
    <row r="436" spans="1:8" x14ac:dyDescent="0.25">
      <c r="A436" s="12">
        <v>1431</v>
      </c>
      <c r="B436" s="12" t="s">
        <v>984</v>
      </c>
      <c r="C436" s="12"/>
      <c r="D436" s="12"/>
      <c r="E436" s="12"/>
      <c r="F436" s="12"/>
      <c r="G436" s="12"/>
      <c r="H436" s="12"/>
    </row>
    <row r="437" spans="1:8" x14ac:dyDescent="0.25">
      <c r="A437" s="12">
        <v>1432</v>
      </c>
      <c r="B437" s="12" t="s">
        <v>985</v>
      </c>
      <c r="C437" s="12"/>
      <c r="D437" s="12"/>
      <c r="E437" s="12"/>
      <c r="F437" s="12"/>
      <c r="G437" s="12"/>
      <c r="H437" s="12"/>
    </row>
    <row r="438" spans="1:8" x14ac:dyDescent="0.25">
      <c r="A438" s="12">
        <v>1433</v>
      </c>
      <c r="B438" s="12" t="s">
        <v>986</v>
      </c>
      <c r="C438" s="12"/>
      <c r="D438" s="12"/>
      <c r="E438" s="12"/>
      <c r="F438" s="12"/>
      <c r="G438" s="12"/>
      <c r="H438" s="12"/>
    </row>
    <row r="439" spans="1:8" x14ac:dyDescent="0.25">
      <c r="A439" s="12">
        <v>1434</v>
      </c>
      <c r="B439" s="12" t="s">
        <v>987</v>
      </c>
      <c r="C439" s="12"/>
      <c r="D439" s="12"/>
      <c r="E439" s="12"/>
      <c r="F439" s="12"/>
      <c r="G439" s="12"/>
      <c r="H439" s="12"/>
    </row>
    <row r="440" spans="1:8" x14ac:dyDescent="0.25">
      <c r="A440" s="12">
        <v>1435</v>
      </c>
      <c r="B440" s="12" t="s">
        <v>988</v>
      </c>
      <c r="C440" s="12"/>
      <c r="D440" s="12"/>
      <c r="E440" s="12"/>
      <c r="F440" s="12"/>
      <c r="G440" s="12"/>
      <c r="H440" s="12"/>
    </row>
    <row r="441" spans="1:8" x14ac:dyDescent="0.25">
      <c r="A441" s="12">
        <v>1436</v>
      </c>
      <c r="B441" s="12" t="s">
        <v>118</v>
      </c>
      <c r="C441" s="12"/>
      <c r="D441" s="12"/>
      <c r="E441" s="12"/>
      <c r="F441" s="12"/>
      <c r="G441" s="12"/>
      <c r="H441" s="12"/>
    </row>
    <row r="442" spans="1:8" x14ac:dyDescent="0.25">
      <c r="A442" s="12">
        <v>1437</v>
      </c>
      <c r="B442" s="12" t="s">
        <v>119</v>
      </c>
      <c r="C442" s="12"/>
      <c r="D442" s="12"/>
      <c r="E442" s="12"/>
      <c r="F442" s="12"/>
      <c r="G442" s="12"/>
      <c r="H442" s="12"/>
    </row>
    <row r="443" spans="1:8" x14ac:dyDescent="0.25">
      <c r="A443" s="12">
        <v>1438</v>
      </c>
      <c r="B443" s="12" t="s">
        <v>991</v>
      </c>
      <c r="C443" s="12"/>
      <c r="D443" s="12"/>
      <c r="E443" s="12"/>
      <c r="F443" s="12"/>
      <c r="G443" s="12"/>
      <c r="H443" s="12"/>
    </row>
    <row r="444" spans="1:8" x14ac:dyDescent="0.25">
      <c r="A444" s="12">
        <v>1439</v>
      </c>
      <c r="B444" s="12" t="s">
        <v>992</v>
      </c>
      <c r="C444" s="12"/>
      <c r="D444" s="12"/>
      <c r="E444" s="12"/>
      <c r="F444" s="12"/>
      <c r="G444" s="12"/>
      <c r="H444" s="12"/>
    </row>
    <row r="445" spans="1:8" x14ac:dyDescent="0.25">
      <c r="A445" s="12">
        <v>1440</v>
      </c>
      <c r="B445" s="12" t="s">
        <v>993</v>
      </c>
      <c r="C445" s="12"/>
      <c r="D445" s="12"/>
      <c r="E445" s="12"/>
      <c r="F445" s="12"/>
      <c r="G445" s="12"/>
      <c r="H445" s="12"/>
    </row>
    <row r="446" spans="1:8" x14ac:dyDescent="0.25">
      <c r="A446" s="12">
        <v>1441</v>
      </c>
      <c r="B446" s="12" t="s">
        <v>120</v>
      </c>
      <c r="C446" s="12"/>
      <c r="D446" s="12"/>
      <c r="E446" s="12"/>
      <c r="F446" s="12"/>
      <c r="G446" s="12"/>
      <c r="H446" s="12"/>
    </row>
    <row r="447" spans="1:8" x14ac:dyDescent="0.25">
      <c r="A447" s="12">
        <v>1442</v>
      </c>
      <c r="B447" s="12" t="s">
        <v>994</v>
      </c>
      <c r="C447" s="12"/>
      <c r="D447" s="12"/>
      <c r="E447" s="12"/>
      <c r="F447" s="12"/>
      <c r="G447" s="12"/>
      <c r="H447" s="12"/>
    </row>
    <row r="448" spans="1:8" x14ac:dyDescent="0.25">
      <c r="A448" s="12">
        <v>1443</v>
      </c>
      <c r="B448" s="12" t="s">
        <v>537</v>
      </c>
      <c r="C448" s="12" t="s">
        <v>470</v>
      </c>
      <c r="D448" s="12"/>
      <c r="E448" s="12"/>
      <c r="F448" s="12"/>
      <c r="G448" s="12"/>
      <c r="H448" s="12"/>
    </row>
    <row r="449" spans="1:8" x14ac:dyDescent="0.25">
      <c r="A449" s="12">
        <v>1444</v>
      </c>
      <c r="B449" s="12" t="s">
        <v>121</v>
      </c>
      <c r="C449" s="12"/>
      <c r="D449" s="12"/>
      <c r="E449" s="12"/>
      <c r="F449" s="12"/>
      <c r="G449" s="12"/>
      <c r="H449" s="12"/>
    </row>
    <row r="450" spans="1:8" x14ac:dyDescent="0.25">
      <c r="A450" s="12">
        <v>1445</v>
      </c>
      <c r="B450" s="12" t="s">
        <v>122</v>
      </c>
      <c r="C450" s="12"/>
      <c r="D450" s="12"/>
      <c r="E450" s="12"/>
      <c r="F450" s="12"/>
      <c r="G450" s="12"/>
      <c r="H450" s="12"/>
    </row>
    <row r="451" spans="1:8" x14ac:dyDescent="0.25">
      <c r="A451" s="12">
        <v>1446</v>
      </c>
      <c r="B451" s="12" t="s">
        <v>123</v>
      </c>
      <c r="C451" s="12"/>
      <c r="D451" s="12"/>
      <c r="E451" s="12"/>
      <c r="F451" s="12"/>
      <c r="G451" s="12"/>
      <c r="H451" s="12"/>
    </row>
    <row r="452" spans="1:8" x14ac:dyDescent="0.25">
      <c r="A452" s="12">
        <v>1447</v>
      </c>
      <c r="B452" s="12" t="s">
        <v>995</v>
      </c>
      <c r="C452" s="12"/>
      <c r="D452" s="12"/>
      <c r="E452" s="12"/>
      <c r="F452" s="12"/>
      <c r="G452" s="12"/>
      <c r="H452" s="12"/>
    </row>
    <row r="453" spans="1:8" x14ac:dyDescent="0.25">
      <c r="A453" s="12">
        <v>1448</v>
      </c>
      <c r="B453" s="12" t="s">
        <v>996</v>
      </c>
      <c r="C453" s="12"/>
      <c r="D453" s="12"/>
      <c r="E453" s="12"/>
      <c r="F453" s="12"/>
      <c r="G453" s="12"/>
      <c r="H453" s="12"/>
    </row>
    <row r="454" spans="1:8" x14ac:dyDescent="0.25">
      <c r="A454" s="12">
        <v>1449</v>
      </c>
      <c r="B454" s="12" t="s">
        <v>997</v>
      </c>
      <c r="C454" s="12"/>
      <c r="D454" s="12"/>
      <c r="E454" s="12"/>
      <c r="F454" s="12"/>
      <c r="G454" s="12"/>
      <c r="H454" s="12"/>
    </row>
    <row r="455" spans="1:8" x14ac:dyDescent="0.25">
      <c r="A455" s="12">
        <v>1450</v>
      </c>
      <c r="B455" s="12" t="s">
        <v>998</v>
      </c>
      <c r="C455" s="12"/>
      <c r="D455" s="12"/>
      <c r="E455" s="12"/>
      <c r="F455" s="12"/>
      <c r="G455" s="12"/>
      <c r="H455" s="12"/>
    </row>
    <row r="456" spans="1:8" x14ac:dyDescent="0.25">
      <c r="A456" s="12">
        <v>1451</v>
      </c>
      <c r="B456" s="12" t="s">
        <v>999</v>
      </c>
      <c r="C456" s="12"/>
      <c r="D456" s="12"/>
      <c r="E456" s="12"/>
      <c r="F456" s="12"/>
      <c r="G456" s="12"/>
      <c r="H456" s="12"/>
    </row>
    <row r="457" spans="1:8" x14ac:dyDescent="0.25">
      <c r="A457" s="12">
        <v>1452</v>
      </c>
      <c r="B457" s="12" t="s">
        <v>1006</v>
      </c>
      <c r="C457" s="12"/>
      <c r="D457" s="12"/>
      <c r="E457" s="12"/>
      <c r="F457" s="12"/>
      <c r="G457" s="12"/>
      <c r="H457" s="12"/>
    </row>
    <row r="458" spans="1:8" x14ac:dyDescent="0.25">
      <c r="A458" s="12">
        <v>1453</v>
      </c>
      <c r="B458" s="12" t="s">
        <v>1007</v>
      </c>
      <c r="C458" s="12"/>
      <c r="D458" s="12"/>
      <c r="E458" s="12"/>
      <c r="F458" s="12"/>
      <c r="G458" s="12"/>
      <c r="H458" s="12"/>
    </row>
    <row r="459" spans="1:8" x14ac:dyDescent="0.25">
      <c r="A459" s="12">
        <v>1454</v>
      </c>
      <c r="B459" s="12" t="s">
        <v>124</v>
      </c>
      <c r="C459" s="12"/>
      <c r="D459" s="12"/>
      <c r="E459" s="12"/>
      <c r="F459" s="12"/>
      <c r="G459" s="12"/>
      <c r="H459" s="12"/>
    </row>
    <row r="460" spans="1:8" x14ac:dyDescent="0.25">
      <c r="A460" s="12">
        <v>1455</v>
      </c>
      <c r="B460" s="12" t="s">
        <v>543</v>
      </c>
      <c r="C460" s="12" t="s">
        <v>470</v>
      </c>
      <c r="D460" s="12">
        <v>1</v>
      </c>
      <c r="E460" s="12" t="s">
        <v>1810</v>
      </c>
      <c r="F460" s="12">
        <v>0</v>
      </c>
      <c r="G460" s="12" t="s">
        <v>544</v>
      </c>
      <c r="H460" s="13">
        <v>42439</v>
      </c>
    </row>
    <row r="461" spans="1:8" x14ac:dyDescent="0.25">
      <c r="A461" s="12">
        <v>1456</v>
      </c>
      <c r="B461" s="12" t="s">
        <v>1015</v>
      </c>
      <c r="C461" s="12"/>
      <c r="D461" s="12"/>
      <c r="E461" s="12"/>
      <c r="F461" s="12"/>
      <c r="G461" s="12"/>
      <c r="H461" s="12"/>
    </row>
    <row r="462" spans="1:8" x14ac:dyDescent="0.25">
      <c r="A462" s="12">
        <v>1457</v>
      </c>
      <c r="B462" s="12" t="s">
        <v>1016</v>
      </c>
      <c r="C462" s="12"/>
      <c r="D462" s="12"/>
      <c r="E462" s="12"/>
      <c r="F462" s="12"/>
      <c r="G462" s="12"/>
      <c r="H462" s="12"/>
    </row>
    <row r="463" spans="1:8" x14ac:dyDescent="0.25">
      <c r="A463" s="12">
        <v>1458</v>
      </c>
      <c r="B463" s="14" t="s">
        <v>541</v>
      </c>
      <c r="C463" s="12" t="s">
        <v>470</v>
      </c>
      <c r="D463" s="12">
        <v>1</v>
      </c>
      <c r="E463" s="12" t="s">
        <v>1811</v>
      </c>
      <c r="F463" s="12">
        <v>0</v>
      </c>
      <c r="G463" s="12" t="s">
        <v>542</v>
      </c>
      <c r="H463" s="13">
        <v>42439</v>
      </c>
    </row>
    <row r="464" spans="1:8" x14ac:dyDescent="0.25">
      <c r="A464" s="12">
        <v>1459</v>
      </c>
      <c r="B464" s="12" t="s">
        <v>125</v>
      </c>
      <c r="C464" s="12"/>
      <c r="D464" s="12"/>
      <c r="E464" s="12"/>
      <c r="F464" s="12"/>
      <c r="G464" s="12"/>
      <c r="H464" s="12"/>
    </row>
    <row r="465" spans="1:8" x14ac:dyDescent="0.25">
      <c r="A465" s="12">
        <v>1460</v>
      </c>
      <c r="B465" s="12" t="s">
        <v>1002</v>
      </c>
      <c r="C465" s="12"/>
      <c r="D465" s="12"/>
      <c r="E465" s="12"/>
      <c r="F465" s="12"/>
      <c r="G465" s="12"/>
      <c r="H465" s="12"/>
    </row>
    <row r="466" spans="1:8" x14ac:dyDescent="0.25">
      <c r="A466" s="12">
        <v>1461</v>
      </c>
      <c r="B466" s="12" t="s">
        <v>1003</v>
      </c>
      <c r="C466" s="12"/>
      <c r="D466" s="12"/>
      <c r="E466" s="12"/>
      <c r="F466" s="12"/>
      <c r="G466" s="12"/>
      <c r="H466" s="12"/>
    </row>
    <row r="467" spans="1:8" x14ac:dyDescent="0.25">
      <c r="A467" s="12">
        <v>1462</v>
      </c>
      <c r="B467" s="12" t="s">
        <v>1004</v>
      </c>
      <c r="C467" s="12"/>
      <c r="D467" s="12"/>
      <c r="E467" s="12"/>
      <c r="F467" s="12"/>
      <c r="G467" s="12"/>
      <c r="H467" s="12"/>
    </row>
    <row r="468" spans="1:8" x14ac:dyDescent="0.25">
      <c r="A468" s="12">
        <v>1463</v>
      </c>
      <c r="B468" s="12" t="s">
        <v>1005</v>
      </c>
      <c r="C468" s="12"/>
      <c r="D468" s="12"/>
      <c r="E468" s="12"/>
      <c r="F468" s="12"/>
      <c r="G468" s="12"/>
      <c r="H468" s="12"/>
    </row>
    <row r="469" spans="1:8" x14ac:dyDescent="0.25">
      <c r="A469" s="12">
        <v>1464</v>
      </c>
      <c r="B469" s="12" t="s">
        <v>1008</v>
      </c>
      <c r="C469" s="12"/>
      <c r="D469" s="12"/>
      <c r="E469" s="12"/>
      <c r="F469" s="12"/>
      <c r="G469" s="12"/>
      <c r="H469" s="12"/>
    </row>
    <row r="470" spans="1:8" x14ac:dyDescent="0.25">
      <c r="A470" s="12">
        <v>1465</v>
      </c>
      <c r="B470" s="12" t="s">
        <v>1009</v>
      </c>
      <c r="C470" s="12"/>
      <c r="D470" s="12"/>
      <c r="E470" s="12"/>
      <c r="F470" s="12"/>
      <c r="G470" s="12"/>
      <c r="H470" s="12"/>
    </row>
    <row r="471" spans="1:8" x14ac:dyDescent="0.25">
      <c r="A471" s="12">
        <v>1466</v>
      </c>
      <c r="B471" s="12" t="s">
        <v>126</v>
      </c>
      <c r="C471" s="12"/>
      <c r="D471" s="12"/>
      <c r="E471" s="12"/>
      <c r="F471" s="12"/>
      <c r="G471" s="12"/>
      <c r="H471" s="12"/>
    </row>
    <row r="472" spans="1:8" x14ac:dyDescent="0.25">
      <c r="A472" s="12">
        <v>1467</v>
      </c>
      <c r="B472" s="12" t="s">
        <v>127</v>
      </c>
      <c r="C472" s="12"/>
      <c r="D472" s="12"/>
      <c r="E472" s="12"/>
      <c r="F472" s="12"/>
      <c r="G472" s="12"/>
      <c r="H472" s="12"/>
    </row>
    <row r="473" spans="1:8" x14ac:dyDescent="0.25">
      <c r="A473" s="12">
        <v>1468</v>
      </c>
      <c r="B473" s="12" t="s">
        <v>1010</v>
      </c>
      <c r="C473" s="12"/>
      <c r="D473" s="12"/>
      <c r="E473" s="12"/>
      <c r="F473" s="12"/>
      <c r="G473" s="12"/>
      <c r="H473" s="12"/>
    </row>
    <row r="474" spans="1:8" x14ac:dyDescent="0.25">
      <c r="A474" s="12">
        <v>1469</v>
      </c>
      <c r="B474" s="12" t="s">
        <v>1011</v>
      </c>
      <c r="C474" s="12"/>
      <c r="D474" s="12"/>
      <c r="E474" s="12"/>
      <c r="F474" s="12"/>
      <c r="G474" s="12"/>
      <c r="H474" s="12"/>
    </row>
    <row r="475" spans="1:8" x14ac:dyDescent="0.25">
      <c r="A475" s="12">
        <v>1470</v>
      </c>
      <c r="B475" s="12" t="s">
        <v>128</v>
      </c>
      <c r="C475" s="12"/>
      <c r="D475" s="12"/>
      <c r="E475" s="12"/>
      <c r="F475" s="12"/>
      <c r="G475" s="12"/>
      <c r="H475" s="12"/>
    </row>
    <row r="476" spans="1:8" x14ac:dyDescent="0.25">
      <c r="A476" s="12">
        <v>1471</v>
      </c>
      <c r="B476" s="12" t="s">
        <v>129</v>
      </c>
      <c r="C476" s="12"/>
      <c r="D476" s="12"/>
      <c r="E476" s="12"/>
      <c r="F476" s="12"/>
      <c r="G476" s="12"/>
      <c r="H476" s="12"/>
    </row>
    <row r="477" spans="1:8" x14ac:dyDescent="0.25">
      <c r="A477" s="12">
        <v>1472</v>
      </c>
      <c r="B477" s="12" t="s">
        <v>130</v>
      </c>
      <c r="C477" s="12"/>
      <c r="D477" s="12"/>
      <c r="E477" s="12"/>
      <c r="F477" s="12"/>
      <c r="G477" s="12"/>
      <c r="H477" s="12"/>
    </row>
    <row r="478" spans="1:8" x14ac:dyDescent="0.25">
      <c r="A478" s="12">
        <v>1473</v>
      </c>
      <c r="B478" s="12" t="s">
        <v>1012</v>
      </c>
      <c r="C478" s="12"/>
      <c r="D478" s="12"/>
      <c r="E478" s="12"/>
      <c r="F478" s="12"/>
      <c r="G478" s="12"/>
      <c r="H478" s="12"/>
    </row>
    <row r="479" spans="1:8" x14ac:dyDescent="0.25">
      <c r="A479" s="12">
        <v>1474</v>
      </c>
      <c r="B479" s="12" t="s">
        <v>1013</v>
      </c>
      <c r="C479" s="12"/>
      <c r="D479" s="12"/>
      <c r="E479" s="12"/>
      <c r="F479" s="12"/>
      <c r="G479" s="12"/>
      <c r="H479" s="12"/>
    </row>
    <row r="480" spans="1:8" x14ac:dyDescent="0.25">
      <c r="A480" s="12">
        <v>1475</v>
      </c>
      <c r="B480" s="12" t="s">
        <v>131</v>
      </c>
      <c r="C480" s="12"/>
      <c r="D480" s="12"/>
      <c r="E480" s="12"/>
      <c r="F480" s="12"/>
      <c r="G480" s="12"/>
      <c r="H480" s="12"/>
    </row>
    <row r="481" spans="1:8" x14ac:dyDescent="0.25">
      <c r="A481" s="12">
        <v>1476</v>
      </c>
      <c r="B481" s="12" t="s">
        <v>132</v>
      </c>
      <c r="C481" s="12"/>
      <c r="D481" s="12"/>
      <c r="E481" s="12"/>
      <c r="F481" s="12"/>
      <c r="G481" s="12"/>
      <c r="H481" s="12"/>
    </row>
    <row r="482" spans="1:8" x14ac:dyDescent="0.25">
      <c r="A482" s="12">
        <v>1477</v>
      </c>
      <c r="B482" s="12" t="s">
        <v>133</v>
      </c>
      <c r="C482" s="12"/>
      <c r="D482" s="12"/>
      <c r="E482" s="12"/>
      <c r="F482" s="12"/>
      <c r="G482" s="12"/>
      <c r="H482" s="12"/>
    </row>
    <row r="483" spans="1:8" x14ac:dyDescent="0.25">
      <c r="A483" s="12">
        <v>1478</v>
      </c>
      <c r="B483" s="12" t="s">
        <v>134</v>
      </c>
      <c r="C483" s="12"/>
      <c r="D483" s="12"/>
      <c r="E483" s="12"/>
      <c r="F483" s="12"/>
      <c r="G483" s="12"/>
      <c r="H483" s="12"/>
    </row>
    <row r="484" spans="1:8" x14ac:dyDescent="0.25">
      <c r="A484" s="12">
        <v>1479</v>
      </c>
      <c r="B484" s="12" t="s">
        <v>1014</v>
      </c>
      <c r="C484" s="12"/>
      <c r="D484" s="12"/>
      <c r="E484" s="12"/>
      <c r="F484" s="12"/>
      <c r="G484" s="12"/>
      <c r="H484" s="12"/>
    </row>
    <row r="485" spans="1:8" x14ac:dyDescent="0.25">
      <c r="A485" s="12">
        <v>1480</v>
      </c>
      <c r="B485" s="12" t="s">
        <v>135</v>
      </c>
      <c r="C485" s="12"/>
      <c r="D485" s="12"/>
      <c r="E485" s="12"/>
      <c r="F485" s="12"/>
      <c r="G485" s="12"/>
      <c r="H485" s="12"/>
    </row>
    <row r="486" spans="1:8" x14ac:dyDescent="0.25">
      <c r="A486" s="12">
        <v>1481</v>
      </c>
      <c r="B486" s="12" t="s">
        <v>1017</v>
      </c>
      <c r="C486" s="12"/>
      <c r="D486" s="12"/>
      <c r="E486" s="12"/>
      <c r="F486" s="12"/>
      <c r="G486" s="12"/>
      <c r="H486" s="12"/>
    </row>
    <row r="487" spans="1:8" x14ac:dyDescent="0.25">
      <c r="A487" s="12">
        <v>1482</v>
      </c>
      <c r="B487" s="12" t="s">
        <v>1018</v>
      </c>
      <c r="C487" s="12"/>
      <c r="D487" s="12"/>
      <c r="E487" s="12"/>
      <c r="F487" s="12"/>
      <c r="G487" s="12"/>
      <c r="H487" s="12"/>
    </row>
    <row r="488" spans="1:8" x14ac:dyDescent="0.25">
      <c r="A488" s="12">
        <v>1483</v>
      </c>
      <c r="B488" s="12" t="s">
        <v>136</v>
      </c>
      <c r="C488" s="12" t="s">
        <v>470</v>
      </c>
      <c r="D488" s="12">
        <v>1</v>
      </c>
      <c r="E488" s="12" t="s">
        <v>1812</v>
      </c>
      <c r="F488" s="12">
        <v>0</v>
      </c>
      <c r="G488" s="12" t="s">
        <v>545</v>
      </c>
      <c r="H488" s="13">
        <v>42439</v>
      </c>
    </row>
    <row r="489" spans="1:8" x14ac:dyDescent="0.25">
      <c r="A489" s="12">
        <v>1484</v>
      </c>
      <c r="B489" s="12" t="s">
        <v>144</v>
      </c>
      <c r="C489" s="12"/>
      <c r="D489" s="12"/>
      <c r="E489" s="12"/>
      <c r="F489" s="12"/>
      <c r="G489" s="12"/>
      <c r="H489" s="13"/>
    </row>
    <row r="490" spans="1:8" x14ac:dyDescent="0.25">
      <c r="A490" s="12">
        <v>1485</v>
      </c>
      <c r="B490" s="12" t="s">
        <v>145</v>
      </c>
      <c r="C490" s="12"/>
      <c r="D490" s="12"/>
      <c r="E490" s="12"/>
      <c r="F490" s="12"/>
      <c r="G490" s="12"/>
      <c r="H490" s="12"/>
    </row>
    <row r="491" spans="1:8" x14ac:dyDescent="0.25">
      <c r="A491" s="12">
        <v>1486</v>
      </c>
      <c r="B491" s="12" t="s">
        <v>146</v>
      </c>
      <c r="C491" s="12"/>
      <c r="D491" s="12"/>
      <c r="E491" s="12"/>
      <c r="F491" s="12"/>
      <c r="G491" s="12"/>
      <c r="H491" s="12"/>
    </row>
    <row r="492" spans="1:8" x14ac:dyDescent="0.25">
      <c r="A492" s="12">
        <v>1487</v>
      </c>
      <c r="B492" s="12" t="s">
        <v>1038</v>
      </c>
      <c r="C492" s="12"/>
      <c r="D492" s="12"/>
      <c r="E492" s="12"/>
      <c r="F492" s="12"/>
      <c r="G492" s="12"/>
      <c r="H492" s="12"/>
    </row>
    <row r="493" spans="1:8" x14ac:dyDescent="0.25">
      <c r="A493" s="12">
        <v>1488</v>
      </c>
      <c r="B493" s="12" t="s">
        <v>1039</v>
      </c>
      <c r="C493" s="12"/>
      <c r="D493" s="12"/>
      <c r="E493" s="12"/>
      <c r="F493" s="12"/>
      <c r="G493" s="12"/>
      <c r="H493" s="12"/>
    </row>
    <row r="494" spans="1:8" x14ac:dyDescent="0.25">
      <c r="A494" s="12">
        <v>1489</v>
      </c>
      <c r="B494" s="12" t="s">
        <v>1019</v>
      </c>
      <c r="C494" s="12"/>
      <c r="D494" s="12"/>
      <c r="E494" s="12"/>
      <c r="F494" s="12"/>
      <c r="G494" s="12"/>
      <c r="H494" s="12"/>
    </row>
    <row r="495" spans="1:8" x14ac:dyDescent="0.25">
      <c r="A495" s="12">
        <v>1490</v>
      </c>
      <c r="B495" s="12" t="s">
        <v>1020</v>
      </c>
      <c r="C495" s="12"/>
      <c r="D495" s="12"/>
      <c r="E495" s="12"/>
      <c r="F495" s="12"/>
      <c r="G495" s="12"/>
      <c r="H495" s="12"/>
    </row>
    <row r="496" spans="1:8" x14ac:dyDescent="0.25">
      <c r="A496" s="12">
        <v>1491</v>
      </c>
      <c r="B496" s="12" t="s">
        <v>1021</v>
      </c>
      <c r="C496" s="12"/>
      <c r="D496" s="12"/>
      <c r="E496" s="12"/>
      <c r="F496" s="12"/>
      <c r="G496" s="12"/>
      <c r="H496" s="12"/>
    </row>
    <row r="497" spans="1:8" x14ac:dyDescent="0.25">
      <c r="A497" s="12">
        <v>1492</v>
      </c>
      <c r="B497" s="12" t="s">
        <v>1022</v>
      </c>
      <c r="C497" s="12"/>
      <c r="D497" s="12"/>
      <c r="E497" s="12"/>
      <c r="F497" s="12"/>
      <c r="G497" s="12"/>
      <c r="H497" s="12"/>
    </row>
    <row r="498" spans="1:8" x14ac:dyDescent="0.25">
      <c r="A498" s="12">
        <v>1493</v>
      </c>
      <c r="B498" s="12" t="s">
        <v>1023</v>
      </c>
      <c r="C498" s="12"/>
      <c r="D498" s="12"/>
      <c r="E498" s="12"/>
      <c r="F498" s="12"/>
      <c r="G498" s="12"/>
      <c r="H498" s="12"/>
    </row>
    <row r="499" spans="1:8" x14ac:dyDescent="0.25">
      <c r="A499" s="12">
        <v>1494</v>
      </c>
      <c r="B499" s="12" t="s">
        <v>1024</v>
      </c>
      <c r="C499" s="12"/>
      <c r="D499" s="12"/>
      <c r="E499" s="12"/>
      <c r="F499" s="12"/>
      <c r="G499" s="12"/>
      <c r="H499" s="12"/>
    </row>
    <row r="500" spans="1:8" x14ac:dyDescent="0.25">
      <c r="A500" s="12">
        <v>1495</v>
      </c>
      <c r="B500" s="12" t="s">
        <v>1025</v>
      </c>
      <c r="C500" s="12"/>
      <c r="D500" s="12"/>
      <c r="E500" s="12"/>
      <c r="F500" s="12"/>
      <c r="G500" s="12"/>
      <c r="H500" s="12"/>
    </row>
    <row r="501" spans="1:8" x14ac:dyDescent="0.25">
      <c r="A501" s="12">
        <v>1496</v>
      </c>
      <c r="B501" s="12" t="s">
        <v>1026</v>
      </c>
      <c r="C501" s="12"/>
      <c r="D501" s="12"/>
      <c r="E501" s="12"/>
      <c r="F501" s="12"/>
      <c r="G501" s="12"/>
      <c r="H501" s="12"/>
    </row>
    <row r="502" spans="1:8" x14ac:dyDescent="0.25">
      <c r="A502" s="12">
        <v>1497</v>
      </c>
      <c r="B502" s="12" t="s">
        <v>1027</v>
      </c>
      <c r="C502" s="12"/>
      <c r="D502" s="12"/>
      <c r="E502" s="12"/>
      <c r="F502" s="12"/>
      <c r="G502" s="12"/>
      <c r="H502" s="12"/>
    </row>
    <row r="503" spans="1:8" x14ac:dyDescent="0.25">
      <c r="A503" s="12">
        <v>1498</v>
      </c>
      <c r="B503" s="12" t="s">
        <v>1028</v>
      </c>
      <c r="C503" s="12"/>
      <c r="D503" s="12"/>
      <c r="E503" s="12"/>
      <c r="F503" s="12"/>
      <c r="G503" s="12"/>
      <c r="H503" s="12"/>
    </row>
    <row r="504" spans="1:8" x14ac:dyDescent="0.25">
      <c r="A504" s="12">
        <v>1499</v>
      </c>
      <c r="B504" s="12" t="s">
        <v>546</v>
      </c>
      <c r="C504" s="12" t="s">
        <v>470</v>
      </c>
      <c r="D504" s="12">
        <v>1</v>
      </c>
      <c r="E504" s="12" t="s">
        <v>1813</v>
      </c>
      <c r="F504" s="12">
        <v>0</v>
      </c>
      <c r="G504" s="12" t="s">
        <v>547</v>
      </c>
      <c r="H504" s="13">
        <v>42439</v>
      </c>
    </row>
    <row r="505" spans="1:8" x14ac:dyDescent="0.25">
      <c r="A505" s="12">
        <v>1500</v>
      </c>
      <c r="B505" s="12" t="s">
        <v>1029</v>
      </c>
      <c r="C505" s="12"/>
      <c r="D505" s="12"/>
      <c r="E505" s="12"/>
      <c r="F505" s="12"/>
      <c r="G505" s="12"/>
      <c r="H505" s="12"/>
    </row>
    <row r="506" spans="1:8" x14ac:dyDescent="0.25">
      <c r="A506" s="12">
        <v>1501</v>
      </c>
      <c r="B506" s="12" t="s">
        <v>1030</v>
      </c>
      <c r="C506" s="12"/>
      <c r="D506" s="12"/>
      <c r="E506" s="12"/>
      <c r="F506" s="12"/>
      <c r="G506" s="12"/>
      <c r="H506" s="12"/>
    </row>
    <row r="507" spans="1:8" x14ac:dyDescent="0.25">
      <c r="A507" s="12">
        <v>1502</v>
      </c>
      <c r="B507" s="12" t="s">
        <v>147</v>
      </c>
      <c r="C507" s="12"/>
      <c r="D507" s="12"/>
      <c r="E507" s="12"/>
      <c r="F507" s="12"/>
      <c r="G507" s="12"/>
      <c r="H507" s="12"/>
    </row>
    <row r="508" spans="1:8" x14ac:dyDescent="0.25">
      <c r="A508" s="12">
        <v>1503</v>
      </c>
      <c r="B508" s="12" t="s">
        <v>1031</v>
      </c>
      <c r="C508" s="12"/>
      <c r="D508" s="12"/>
      <c r="E508" s="12"/>
      <c r="F508" s="12"/>
      <c r="G508" s="12"/>
      <c r="H508" s="12"/>
    </row>
    <row r="509" spans="1:8" x14ac:dyDescent="0.25">
      <c r="A509" s="12">
        <v>1504</v>
      </c>
      <c r="B509" s="12" t="s">
        <v>148</v>
      </c>
      <c r="C509" s="12"/>
      <c r="D509" s="12"/>
      <c r="E509" s="12"/>
      <c r="F509" s="12"/>
      <c r="G509" s="12"/>
      <c r="H509" s="12"/>
    </row>
    <row r="510" spans="1:8" x14ac:dyDescent="0.25">
      <c r="A510" s="12">
        <v>1505</v>
      </c>
      <c r="B510" s="12" t="s">
        <v>1032</v>
      </c>
      <c r="C510" s="12"/>
      <c r="D510" s="12"/>
      <c r="E510" s="12"/>
      <c r="F510" s="12"/>
      <c r="G510" s="12"/>
      <c r="H510" s="12"/>
    </row>
    <row r="511" spans="1:8" x14ac:dyDescent="0.25">
      <c r="A511" s="12">
        <v>1506</v>
      </c>
      <c r="B511" s="12" t="s">
        <v>1033</v>
      </c>
      <c r="C511" s="12"/>
      <c r="D511" s="12"/>
      <c r="E511" s="12"/>
      <c r="F511" s="12"/>
      <c r="G511" s="12"/>
      <c r="H511" s="12"/>
    </row>
    <row r="512" spans="1:8" x14ac:dyDescent="0.25">
      <c r="A512" s="12">
        <v>1507</v>
      </c>
      <c r="B512" s="12" t="s">
        <v>1034</v>
      </c>
      <c r="C512" s="12"/>
      <c r="D512" s="12"/>
      <c r="E512" s="12"/>
      <c r="F512" s="12"/>
      <c r="G512" s="12"/>
      <c r="H512" s="12"/>
    </row>
    <row r="513" spans="1:8" x14ac:dyDescent="0.25">
      <c r="A513" s="12">
        <v>1508</v>
      </c>
      <c r="B513" s="12" t="s">
        <v>1035</v>
      </c>
      <c r="C513" s="12"/>
      <c r="D513" s="12"/>
      <c r="E513" s="12"/>
      <c r="F513" s="12"/>
      <c r="G513" s="12"/>
      <c r="H513" s="12"/>
    </row>
    <row r="514" spans="1:8" x14ac:dyDescent="0.25">
      <c r="A514" s="12">
        <v>1509</v>
      </c>
      <c r="B514" s="12" t="s">
        <v>548</v>
      </c>
      <c r="C514" s="12" t="s">
        <v>470</v>
      </c>
      <c r="D514" s="12">
        <v>1</v>
      </c>
      <c r="E514" s="12" t="s">
        <v>1814</v>
      </c>
      <c r="F514" s="12">
        <v>0</v>
      </c>
      <c r="G514" s="12" t="s">
        <v>549</v>
      </c>
      <c r="H514" s="13">
        <v>42439</v>
      </c>
    </row>
    <row r="515" spans="1:8" x14ac:dyDescent="0.25">
      <c r="A515" s="12">
        <v>1510</v>
      </c>
      <c r="B515" s="12" t="s">
        <v>1040</v>
      </c>
      <c r="C515" s="12"/>
      <c r="D515" s="12"/>
      <c r="E515" s="12"/>
      <c r="F515" s="12"/>
      <c r="G515" s="12"/>
      <c r="H515" s="12"/>
    </row>
    <row r="516" spans="1:8" x14ac:dyDescent="0.25">
      <c r="A516" s="12">
        <v>1511</v>
      </c>
      <c r="B516" s="12" t="s">
        <v>1041</v>
      </c>
      <c r="C516" s="12"/>
      <c r="D516" s="12"/>
      <c r="E516" s="12"/>
      <c r="F516" s="12"/>
      <c r="G516" s="12"/>
      <c r="H516" s="12"/>
    </row>
    <row r="517" spans="1:8" x14ac:dyDescent="0.25">
      <c r="A517" s="12">
        <v>1512</v>
      </c>
      <c r="B517" s="12" t="s">
        <v>1042</v>
      </c>
      <c r="C517" s="12"/>
      <c r="D517" s="12"/>
      <c r="E517" s="12"/>
      <c r="F517" s="12"/>
      <c r="G517" s="12"/>
      <c r="H517" s="12"/>
    </row>
    <row r="518" spans="1:8" x14ac:dyDescent="0.25">
      <c r="A518" s="12">
        <v>1513</v>
      </c>
      <c r="B518" s="12" t="s">
        <v>550</v>
      </c>
      <c r="C518" s="12" t="s">
        <v>470</v>
      </c>
      <c r="D518" s="12">
        <v>1</v>
      </c>
      <c r="E518" s="12" t="s">
        <v>1815</v>
      </c>
      <c r="F518" s="12">
        <v>0</v>
      </c>
      <c r="G518" s="12" t="s">
        <v>1816</v>
      </c>
      <c r="H518" s="13">
        <v>42447</v>
      </c>
    </row>
    <row r="519" spans="1:8" x14ac:dyDescent="0.25">
      <c r="A519" s="12">
        <v>1514</v>
      </c>
      <c r="B519" s="12" t="s">
        <v>150</v>
      </c>
      <c r="C519" s="12"/>
      <c r="D519" s="12"/>
      <c r="E519" s="12"/>
      <c r="F519" s="12"/>
      <c r="G519" s="12"/>
      <c r="H519" s="12"/>
    </row>
    <row r="520" spans="1:8" x14ac:dyDescent="0.25">
      <c r="A520" s="12">
        <v>1515</v>
      </c>
      <c r="B520" s="12" t="s">
        <v>151</v>
      </c>
      <c r="C520" s="12"/>
      <c r="D520" s="12"/>
      <c r="E520" s="12"/>
      <c r="F520" s="12"/>
      <c r="G520" s="12"/>
      <c r="H520" s="12"/>
    </row>
    <row r="521" spans="1:8" x14ac:dyDescent="0.25">
      <c r="A521" s="12">
        <v>1516</v>
      </c>
      <c r="B521" s="12" t="s">
        <v>1043</v>
      </c>
      <c r="C521" s="12"/>
      <c r="D521" s="12"/>
      <c r="E521" s="12"/>
      <c r="F521" s="12"/>
      <c r="G521" s="12"/>
      <c r="H521" s="12"/>
    </row>
    <row r="522" spans="1:8" x14ac:dyDescent="0.25">
      <c r="A522" s="12">
        <v>1517</v>
      </c>
      <c r="B522" s="12" t="s">
        <v>1044</v>
      </c>
      <c r="C522" s="12"/>
      <c r="D522" s="12"/>
      <c r="E522" s="12"/>
      <c r="F522" s="12"/>
      <c r="G522" s="12"/>
      <c r="H522" s="12"/>
    </row>
    <row r="523" spans="1:8" x14ac:dyDescent="0.25">
      <c r="A523" s="12">
        <v>1518</v>
      </c>
      <c r="B523" s="12" t="s">
        <v>1051</v>
      </c>
      <c r="C523" s="12"/>
      <c r="D523" s="12"/>
      <c r="E523" s="12"/>
      <c r="F523" s="12"/>
      <c r="G523" s="12"/>
      <c r="H523" s="12"/>
    </row>
    <row r="524" spans="1:8" x14ac:dyDescent="0.25">
      <c r="A524" s="12">
        <v>1519</v>
      </c>
      <c r="B524" s="12" t="s">
        <v>1045</v>
      </c>
      <c r="C524" s="12"/>
      <c r="D524" s="12"/>
      <c r="E524" s="12"/>
      <c r="F524" s="12"/>
      <c r="G524" s="12"/>
      <c r="H524" s="12"/>
    </row>
    <row r="525" spans="1:8" x14ac:dyDescent="0.25">
      <c r="A525" s="12">
        <v>1520</v>
      </c>
      <c r="B525" s="12" t="s">
        <v>183</v>
      </c>
      <c r="C525" s="12"/>
      <c r="D525" s="12"/>
      <c r="E525" s="12"/>
      <c r="F525" s="12"/>
      <c r="G525" s="12"/>
      <c r="H525" s="12"/>
    </row>
    <row r="526" spans="1:8" x14ac:dyDescent="0.25">
      <c r="A526" s="12">
        <v>1521</v>
      </c>
      <c r="B526" s="12" t="s">
        <v>184</v>
      </c>
      <c r="C526" s="12"/>
      <c r="D526" s="12"/>
      <c r="E526" s="12"/>
      <c r="F526" s="12"/>
      <c r="G526" s="12"/>
      <c r="H526" s="12"/>
    </row>
    <row r="527" spans="1:8" x14ac:dyDescent="0.25">
      <c r="A527" s="12">
        <v>1522</v>
      </c>
      <c r="B527" s="12" t="s">
        <v>185</v>
      </c>
      <c r="C527" s="12"/>
      <c r="D527" s="12"/>
      <c r="E527" s="12"/>
      <c r="F527" s="12"/>
      <c r="G527" s="12"/>
      <c r="H527" s="12"/>
    </row>
    <row r="528" spans="1:8" x14ac:dyDescent="0.25">
      <c r="A528" s="12">
        <v>1523</v>
      </c>
      <c r="B528" s="12" t="s">
        <v>186</v>
      </c>
      <c r="C528" s="12"/>
      <c r="D528" s="12"/>
      <c r="E528" s="12"/>
      <c r="F528" s="12"/>
      <c r="G528" s="12"/>
      <c r="H528" s="12"/>
    </row>
    <row r="529" spans="1:8" x14ac:dyDescent="0.25">
      <c r="A529" s="12">
        <v>1524</v>
      </c>
      <c r="B529" s="12" t="s">
        <v>1050</v>
      </c>
      <c r="C529" s="12"/>
      <c r="D529" s="12"/>
      <c r="E529" s="12"/>
      <c r="F529" s="12"/>
      <c r="G529" s="12"/>
      <c r="H529" s="12"/>
    </row>
    <row r="530" spans="1:8" x14ac:dyDescent="0.25">
      <c r="A530" s="12">
        <v>1525</v>
      </c>
      <c r="B530" s="12" t="s">
        <v>1052</v>
      </c>
      <c r="C530" s="12"/>
      <c r="D530" s="12"/>
      <c r="E530" s="12"/>
      <c r="F530" s="12"/>
      <c r="G530" s="12"/>
      <c r="H530" s="12"/>
    </row>
    <row r="531" spans="1:8" x14ac:dyDescent="0.25">
      <c r="A531" s="12">
        <v>1526</v>
      </c>
      <c r="B531" s="12" t="s">
        <v>187</v>
      </c>
      <c r="C531" s="12"/>
      <c r="D531" s="12"/>
      <c r="E531" s="12"/>
      <c r="F531" s="12"/>
      <c r="G531" s="12"/>
      <c r="H531" s="12"/>
    </row>
    <row r="532" spans="1:8" x14ac:dyDescent="0.25">
      <c r="A532" s="12">
        <v>1527</v>
      </c>
      <c r="B532" s="12" t="s">
        <v>188</v>
      </c>
      <c r="C532" s="12"/>
      <c r="D532" s="12"/>
      <c r="E532" s="12"/>
      <c r="F532" s="12"/>
      <c r="G532" s="12"/>
      <c r="H532" s="12"/>
    </row>
    <row r="533" spans="1:8" x14ac:dyDescent="0.25">
      <c r="A533" s="12">
        <v>1528</v>
      </c>
      <c r="B533" s="12" t="s">
        <v>1073</v>
      </c>
      <c r="C533" s="12"/>
      <c r="D533" s="12"/>
      <c r="E533" s="12"/>
      <c r="F533" s="12"/>
      <c r="G533" s="12"/>
      <c r="H533" s="12"/>
    </row>
    <row r="534" spans="1:8" x14ac:dyDescent="0.25">
      <c r="A534" s="12">
        <v>1529</v>
      </c>
      <c r="B534" s="12" t="s">
        <v>1094</v>
      </c>
      <c r="C534" s="12"/>
      <c r="D534" s="12"/>
      <c r="E534" s="12"/>
      <c r="F534" s="12"/>
      <c r="G534" s="12"/>
      <c r="H534" s="12"/>
    </row>
    <row r="535" spans="1:8" x14ac:dyDescent="0.25">
      <c r="A535" s="12">
        <v>1530</v>
      </c>
      <c r="B535" s="12" t="s">
        <v>1095</v>
      </c>
      <c r="C535" s="12"/>
      <c r="D535" s="12"/>
      <c r="E535" s="12"/>
      <c r="F535" s="12"/>
      <c r="G535" s="12"/>
      <c r="H535" s="12"/>
    </row>
    <row r="536" spans="1:8" x14ac:dyDescent="0.25">
      <c r="A536" s="12">
        <v>1531</v>
      </c>
      <c r="B536" s="12" t="s">
        <v>1097</v>
      </c>
      <c r="C536" s="12"/>
      <c r="D536" s="12"/>
      <c r="E536" s="12"/>
      <c r="F536" s="12"/>
      <c r="G536" s="12"/>
      <c r="H536" s="12"/>
    </row>
    <row r="537" spans="1:8" x14ac:dyDescent="0.25">
      <c r="A537" s="12">
        <v>1532</v>
      </c>
      <c r="B537" s="12" t="s">
        <v>1098</v>
      </c>
      <c r="C537" s="12"/>
      <c r="D537" s="12"/>
      <c r="E537" s="12"/>
      <c r="F537" s="12"/>
      <c r="G537" s="12"/>
      <c r="H537" s="12"/>
    </row>
    <row r="538" spans="1:8" x14ac:dyDescent="0.25">
      <c r="A538" s="12">
        <v>1533</v>
      </c>
      <c r="B538" s="12" t="s">
        <v>1046</v>
      </c>
      <c r="C538" s="12"/>
      <c r="D538" s="12"/>
      <c r="E538" s="12"/>
      <c r="F538" s="12"/>
      <c r="G538" s="12"/>
      <c r="H538" s="12"/>
    </row>
    <row r="539" spans="1:8" x14ac:dyDescent="0.25">
      <c r="A539" s="12">
        <v>1534</v>
      </c>
      <c r="B539" s="12" t="s">
        <v>1047</v>
      </c>
      <c r="C539" s="12"/>
      <c r="D539" s="12"/>
      <c r="E539" s="12"/>
      <c r="F539" s="12"/>
      <c r="G539" s="12"/>
      <c r="H539" s="12"/>
    </row>
    <row r="540" spans="1:8" x14ac:dyDescent="0.25">
      <c r="A540" s="12">
        <v>1535</v>
      </c>
      <c r="B540" s="12" t="s">
        <v>1048</v>
      </c>
      <c r="C540" s="12"/>
      <c r="D540" s="12"/>
      <c r="E540" s="12"/>
      <c r="F540" s="12"/>
      <c r="G540" s="12"/>
      <c r="H540" s="12"/>
    </row>
    <row r="541" spans="1:8" x14ac:dyDescent="0.25">
      <c r="A541" s="12">
        <v>1536</v>
      </c>
      <c r="B541" s="12" t="s">
        <v>1049</v>
      </c>
      <c r="C541" s="12"/>
      <c r="D541" s="12"/>
      <c r="E541" s="12"/>
      <c r="F541" s="12"/>
      <c r="G541" s="12"/>
      <c r="H541" s="12"/>
    </row>
    <row r="542" spans="1:8" x14ac:dyDescent="0.25">
      <c r="A542" s="12">
        <v>1537</v>
      </c>
      <c r="B542" s="12" t="s">
        <v>190</v>
      </c>
      <c r="C542" s="12"/>
      <c r="D542" s="12"/>
      <c r="E542" s="12"/>
      <c r="F542" s="12"/>
      <c r="G542" s="12"/>
      <c r="H542" s="12"/>
    </row>
    <row r="543" spans="1:8" x14ac:dyDescent="0.25">
      <c r="A543" s="12">
        <v>1538</v>
      </c>
      <c r="B543" s="12" t="s">
        <v>191</v>
      </c>
      <c r="C543" s="12"/>
      <c r="D543" s="12"/>
      <c r="E543" s="12"/>
      <c r="F543" s="12"/>
      <c r="G543" s="12"/>
      <c r="H543" s="12"/>
    </row>
    <row r="544" spans="1:8" x14ac:dyDescent="0.25">
      <c r="A544" s="12">
        <v>1539</v>
      </c>
      <c r="B544" s="12" t="s">
        <v>192</v>
      </c>
      <c r="C544" s="12"/>
      <c r="D544" s="12"/>
      <c r="E544" s="12"/>
      <c r="F544" s="12"/>
      <c r="G544" s="12"/>
      <c r="H544" s="12"/>
    </row>
    <row r="545" spans="1:8" x14ac:dyDescent="0.25">
      <c r="A545" s="12">
        <v>1540</v>
      </c>
      <c r="B545" s="12" t="s">
        <v>193</v>
      </c>
      <c r="C545" s="12"/>
      <c r="D545" s="12"/>
      <c r="E545" s="12"/>
      <c r="F545" s="12"/>
      <c r="G545" s="12"/>
      <c r="H545" s="12"/>
    </row>
    <row r="546" spans="1:8" x14ac:dyDescent="0.25">
      <c r="A546" s="12">
        <v>1541</v>
      </c>
      <c r="B546" s="12" t="s">
        <v>1053</v>
      </c>
      <c r="C546" s="12"/>
      <c r="D546" s="12"/>
      <c r="E546" s="12"/>
      <c r="F546" s="12"/>
      <c r="G546" s="12"/>
      <c r="H546" s="12"/>
    </row>
    <row r="547" spans="1:8" x14ac:dyDescent="0.25">
      <c r="A547" s="12">
        <v>1542</v>
      </c>
      <c r="B547" s="12" t="s">
        <v>1054</v>
      </c>
      <c r="C547" s="12"/>
      <c r="D547" s="12"/>
      <c r="E547" s="12"/>
      <c r="F547" s="12"/>
      <c r="G547" s="12"/>
      <c r="H547" s="12"/>
    </row>
    <row r="548" spans="1:8" x14ac:dyDescent="0.25">
      <c r="A548" s="12">
        <v>1543</v>
      </c>
      <c r="B548" s="12" t="s">
        <v>1055</v>
      </c>
      <c r="C548" s="12"/>
      <c r="D548" s="12"/>
      <c r="E548" s="12"/>
      <c r="F548" s="12"/>
      <c r="G548" s="12"/>
      <c r="H548" s="12"/>
    </row>
    <row r="549" spans="1:8" x14ac:dyDescent="0.25">
      <c r="A549" s="12">
        <v>1544</v>
      </c>
      <c r="B549" s="12" t="s">
        <v>1056</v>
      </c>
      <c r="C549" s="12"/>
      <c r="D549" s="12"/>
      <c r="E549" s="12"/>
      <c r="F549" s="12"/>
      <c r="G549" s="12"/>
      <c r="H549" s="12"/>
    </row>
    <row r="550" spans="1:8" x14ac:dyDescent="0.25">
      <c r="A550" s="12">
        <v>1545</v>
      </c>
      <c r="B550" s="12" t="s">
        <v>1057</v>
      </c>
      <c r="C550" s="12"/>
      <c r="D550" s="12"/>
      <c r="E550" s="12"/>
      <c r="F550" s="12"/>
      <c r="G550" s="12"/>
      <c r="H550" s="12"/>
    </row>
    <row r="551" spans="1:8" x14ac:dyDescent="0.25">
      <c r="A551" s="12">
        <v>1546</v>
      </c>
      <c r="B551" s="12" t="s">
        <v>1058</v>
      </c>
      <c r="C551" s="12"/>
      <c r="D551" s="12"/>
      <c r="E551" s="12"/>
      <c r="F551" s="12"/>
      <c r="G551" s="12"/>
      <c r="H551" s="12"/>
    </row>
    <row r="552" spans="1:8" x14ac:dyDescent="0.25">
      <c r="A552" s="12">
        <v>1547</v>
      </c>
      <c r="B552" s="12" t="s">
        <v>1059</v>
      </c>
      <c r="C552" s="12"/>
      <c r="D552" s="12"/>
      <c r="E552" s="12"/>
      <c r="F552" s="12"/>
      <c r="G552" s="12"/>
      <c r="H552" s="12"/>
    </row>
    <row r="553" spans="1:8" x14ac:dyDescent="0.25">
      <c r="A553" s="12">
        <v>1548</v>
      </c>
      <c r="B553" s="12" t="s">
        <v>551</v>
      </c>
      <c r="C553" s="12" t="s">
        <v>470</v>
      </c>
      <c r="D553" s="12">
        <v>1</v>
      </c>
      <c r="E553" s="12" t="s">
        <v>1817</v>
      </c>
      <c r="F553" s="12">
        <v>0</v>
      </c>
      <c r="G553" s="12" t="s">
        <v>552</v>
      </c>
      <c r="H553" s="13">
        <v>42439</v>
      </c>
    </row>
    <row r="554" spans="1:8" x14ac:dyDescent="0.25">
      <c r="A554" s="12">
        <v>1549</v>
      </c>
      <c r="B554" s="12" t="s">
        <v>1060</v>
      </c>
      <c r="C554" s="12"/>
      <c r="D554" s="12"/>
      <c r="E554" s="12"/>
      <c r="F554" s="12"/>
      <c r="G554" s="12"/>
      <c r="H554" s="12"/>
    </row>
    <row r="555" spans="1:8" x14ac:dyDescent="0.25">
      <c r="A555" s="12">
        <v>1550</v>
      </c>
      <c r="B555" s="12" t="s">
        <v>194</v>
      </c>
      <c r="C555" s="12"/>
      <c r="D555" s="12"/>
      <c r="E555" s="12"/>
      <c r="F555" s="12"/>
      <c r="G555" s="12"/>
      <c r="H555" s="12"/>
    </row>
    <row r="556" spans="1:8" x14ac:dyDescent="0.25">
      <c r="A556" s="12">
        <v>1551</v>
      </c>
      <c r="B556" s="12" t="s">
        <v>553</v>
      </c>
      <c r="C556" s="12" t="s">
        <v>470</v>
      </c>
      <c r="D556" s="12"/>
      <c r="E556" s="12"/>
      <c r="F556" s="12"/>
      <c r="G556" s="12"/>
      <c r="H556" s="12"/>
    </row>
    <row r="557" spans="1:8" x14ac:dyDescent="0.25">
      <c r="A557" s="12">
        <v>1552</v>
      </c>
      <c r="B557" s="12" t="s">
        <v>1063</v>
      </c>
      <c r="C557" s="12"/>
      <c r="D557" s="12"/>
      <c r="E557" s="12"/>
      <c r="F557" s="12"/>
      <c r="G557" s="12"/>
      <c r="H557" s="12"/>
    </row>
    <row r="558" spans="1:8" x14ac:dyDescent="0.25">
      <c r="A558" s="12">
        <v>1553</v>
      </c>
      <c r="B558" s="12" t="s">
        <v>1061</v>
      </c>
      <c r="C558" s="12"/>
      <c r="D558" s="12"/>
      <c r="E558" s="12"/>
      <c r="F558" s="12"/>
      <c r="G558" s="12"/>
      <c r="H558" s="12"/>
    </row>
    <row r="559" spans="1:8" x14ac:dyDescent="0.25">
      <c r="A559" s="12">
        <v>1554</v>
      </c>
      <c r="B559" s="12" t="s">
        <v>1062</v>
      </c>
      <c r="C559" s="12"/>
      <c r="D559" s="12"/>
      <c r="E559" s="12"/>
      <c r="F559" s="12"/>
      <c r="G559" s="12"/>
      <c r="H559" s="12"/>
    </row>
    <row r="560" spans="1:8" x14ac:dyDescent="0.25">
      <c r="A560" s="12">
        <v>1555</v>
      </c>
      <c r="B560" s="12" t="s">
        <v>1064</v>
      </c>
      <c r="C560" s="12"/>
      <c r="D560" s="12"/>
      <c r="E560" s="12"/>
      <c r="F560" s="12"/>
      <c r="G560" s="12"/>
      <c r="H560" s="12"/>
    </row>
    <row r="561" spans="1:8" x14ac:dyDescent="0.25">
      <c r="A561" s="12">
        <v>1556</v>
      </c>
      <c r="B561" s="12" t="s">
        <v>1065</v>
      </c>
      <c r="C561" s="12"/>
      <c r="D561" s="12"/>
      <c r="E561" s="12"/>
      <c r="F561" s="12"/>
      <c r="G561" s="12"/>
      <c r="H561" s="12"/>
    </row>
    <row r="562" spans="1:8" x14ac:dyDescent="0.25">
      <c r="A562" s="12">
        <v>1557</v>
      </c>
      <c r="B562" s="12" t="s">
        <v>1066</v>
      </c>
      <c r="C562" s="12"/>
      <c r="D562" s="12"/>
      <c r="E562" s="12"/>
      <c r="F562" s="12"/>
      <c r="G562" s="12"/>
      <c r="H562" s="12"/>
    </row>
    <row r="563" spans="1:8" x14ac:dyDescent="0.25">
      <c r="A563" s="12">
        <v>1558</v>
      </c>
      <c r="B563" s="12" t="s">
        <v>1067</v>
      </c>
      <c r="C563" s="12"/>
      <c r="D563" s="12"/>
      <c r="E563" s="12"/>
      <c r="F563" s="12"/>
      <c r="G563" s="12"/>
      <c r="H563" s="12"/>
    </row>
    <row r="564" spans="1:8" x14ac:dyDescent="0.25">
      <c r="A564" s="12">
        <v>1559</v>
      </c>
      <c r="B564" s="12" t="s">
        <v>1068</v>
      </c>
      <c r="C564" s="12"/>
      <c r="D564" s="12"/>
      <c r="E564" s="12"/>
      <c r="F564" s="12"/>
      <c r="G564" s="12"/>
      <c r="H564" s="12"/>
    </row>
    <row r="565" spans="1:8" x14ac:dyDescent="0.25">
      <c r="A565" s="12">
        <v>1560</v>
      </c>
      <c r="B565" s="12" t="s">
        <v>1069</v>
      </c>
      <c r="C565" s="12"/>
      <c r="D565" s="12"/>
      <c r="E565" s="12"/>
      <c r="F565" s="12"/>
      <c r="G565" s="12"/>
      <c r="H565" s="12"/>
    </row>
    <row r="566" spans="1:8" x14ac:dyDescent="0.25">
      <c r="A566" s="12">
        <v>1561</v>
      </c>
      <c r="B566" s="12" t="s">
        <v>195</v>
      </c>
      <c r="C566" s="12"/>
      <c r="D566" s="12"/>
      <c r="E566" s="12"/>
      <c r="F566" s="12"/>
      <c r="G566" s="12"/>
      <c r="H566" s="12"/>
    </row>
    <row r="567" spans="1:8" x14ac:dyDescent="0.25">
      <c r="A567" s="12">
        <v>1562</v>
      </c>
      <c r="B567" s="12" t="s">
        <v>196</v>
      </c>
      <c r="C567" s="12"/>
      <c r="D567" s="12"/>
      <c r="E567" s="12"/>
      <c r="F567" s="12"/>
      <c r="G567" s="12"/>
      <c r="H567" s="12"/>
    </row>
    <row r="568" spans="1:8" x14ac:dyDescent="0.25">
      <c r="A568" s="12">
        <v>1563</v>
      </c>
      <c r="B568" s="12" t="s">
        <v>1074</v>
      </c>
      <c r="C568" s="12"/>
      <c r="D568" s="12"/>
      <c r="E568" s="12"/>
      <c r="F568" s="12"/>
      <c r="G568" s="12"/>
      <c r="H568" s="12"/>
    </row>
    <row r="569" spans="1:8" x14ac:dyDescent="0.25">
      <c r="A569" s="12">
        <v>1564</v>
      </c>
      <c r="B569" s="12" t="s">
        <v>1078</v>
      </c>
      <c r="C569" s="12"/>
      <c r="D569" s="12"/>
      <c r="E569" s="12"/>
      <c r="F569" s="12"/>
      <c r="G569" s="12"/>
      <c r="H569" s="12"/>
    </row>
    <row r="570" spans="1:8" x14ac:dyDescent="0.25">
      <c r="A570" s="12">
        <v>1565</v>
      </c>
      <c r="B570" s="12" t="s">
        <v>1079</v>
      </c>
      <c r="C570" s="12"/>
      <c r="D570" s="12"/>
      <c r="E570" s="12"/>
      <c r="F570" s="12"/>
      <c r="G570" s="12"/>
      <c r="H570" s="12"/>
    </row>
    <row r="571" spans="1:8" x14ac:dyDescent="0.25">
      <c r="A571" s="12">
        <v>1566</v>
      </c>
      <c r="B571" s="12" t="s">
        <v>1080</v>
      </c>
      <c r="C571" s="12"/>
      <c r="D571" s="12"/>
      <c r="E571" s="12"/>
      <c r="F571" s="12"/>
      <c r="G571" s="12"/>
      <c r="H571" s="12"/>
    </row>
    <row r="572" spans="1:8" x14ac:dyDescent="0.25">
      <c r="A572" s="12">
        <v>1567</v>
      </c>
      <c r="B572" s="12" t="s">
        <v>1081</v>
      </c>
      <c r="C572" s="12"/>
      <c r="D572" s="12"/>
      <c r="E572" s="12"/>
      <c r="F572" s="12"/>
      <c r="G572" s="12"/>
      <c r="H572" s="12"/>
    </row>
    <row r="573" spans="1:8" x14ac:dyDescent="0.25">
      <c r="A573" s="12">
        <v>1568</v>
      </c>
      <c r="B573" s="12" t="s">
        <v>1082</v>
      </c>
      <c r="C573" s="12"/>
      <c r="D573" s="12"/>
      <c r="E573" s="12"/>
      <c r="F573" s="12"/>
      <c r="G573" s="12"/>
      <c r="H573" s="12"/>
    </row>
    <row r="574" spans="1:8" x14ac:dyDescent="0.25">
      <c r="A574" s="12">
        <v>1569</v>
      </c>
      <c r="B574" s="12" t="s">
        <v>1083</v>
      </c>
      <c r="C574" s="12"/>
      <c r="D574" s="12"/>
      <c r="E574" s="12"/>
      <c r="F574" s="12"/>
      <c r="G574" s="12"/>
      <c r="H574" s="12"/>
    </row>
    <row r="575" spans="1:8" x14ac:dyDescent="0.25">
      <c r="A575" s="12">
        <v>1570</v>
      </c>
      <c r="B575" s="12" t="s">
        <v>1084</v>
      </c>
      <c r="C575" s="12"/>
      <c r="D575" s="12"/>
      <c r="E575" s="12"/>
      <c r="F575" s="12"/>
      <c r="G575" s="12"/>
      <c r="H575" s="12"/>
    </row>
    <row r="576" spans="1:8" x14ac:dyDescent="0.25">
      <c r="A576" s="12">
        <v>1571</v>
      </c>
      <c r="B576" s="12" t="s">
        <v>1085</v>
      </c>
      <c r="C576" s="12"/>
      <c r="D576" s="12"/>
      <c r="E576" s="12"/>
      <c r="F576" s="12"/>
      <c r="G576" s="12"/>
      <c r="H576" s="12"/>
    </row>
    <row r="577" spans="1:8" x14ac:dyDescent="0.25">
      <c r="A577" s="12">
        <v>1572</v>
      </c>
      <c r="B577" s="12" t="s">
        <v>1086</v>
      </c>
      <c r="C577" s="12"/>
      <c r="D577" s="12"/>
      <c r="E577" s="12"/>
      <c r="F577" s="12"/>
      <c r="G577" s="12"/>
      <c r="H577" s="12"/>
    </row>
    <row r="578" spans="1:8" x14ac:dyDescent="0.25">
      <c r="A578" s="12">
        <v>1573</v>
      </c>
      <c r="B578" s="12" t="s">
        <v>1087</v>
      </c>
      <c r="C578" s="12"/>
      <c r="D578" s="12"/>
      <c r="E578" s="12"/>
      <c r="F578" s="12"/>
      <c r="G578" s="12"/>
      <c r="H578" s="12"/>
    </row>
    <row r="579" spans="1:8" x14ac:dyDescent="0.25">
      <c r="A579" s="12">
        <v>1574</v>
      </c>
      <c r="B579" s="12" t="s">
        <v>1070</v>
      </c>
      <c r="C579" s="12"/>
      <c r="D579" s="12"/>
      <c r="E579" s="12"/>
      <c r="F579" s="12"/>
      <c r="G579" s="12"/>
      <c r="H579" s="12"/>
    </row>
    <row r="580" spans="1:8" x14ac:dyDescent="0.25">
      <c r="A580" s="12">
        <v>1575</v>
      </c>
      <c r="B580" s="12" t="s">
        <v>1071</v>
      </c>
      <c r="C580" s="12"/>
      <c r="D580" s="12"/>
      <c r="E580" s="12"/>
      <c r="F580" s="12"/>
      <c r="G580" s="12"/>
      <c r="H580" s="12"/>
    </row>
    <row r="581" spans="1:8" x14ac:dyDescent="0.25">
      <c r="A581" s="12">
        <v>1576</v>
      </c>
      <c r="B581" s="12" t="s">
        <v>1072</v>
      </c>
      <c r="C581" s="12"/>
      <c r="D581" s="12"/>
      <c r="E581" s="12"/>
      <c r="F581" s="12"/>
      <c r="G581" s="12"/>
      <c r="H581" s="12"/>
    </row>
    <row r="582" spans="1:8" x14ac:dyDescent="0.25">
      <c r="A582" s="12">
        <v>1577</v>
      </c>
      <c r="B582" s="12" t="s">
        <v>1075</v>
      </c>
      <c r="C582" s="12"/>
      <c r="D582" s="12"/>
      <c r="E582" s="12"/>
      <c r="F582" s="12"/>
      <c r="G582" s="12"/>
      <c r="H582" s="12"/>
    </row>
    <row r="583" spans="1:8" x14ac:dyDescent="0.25">
      <c r="A583" s="12">
        <v>1578</v>
      </c>
      <c r="B583" s="12" t="s">
        <v>1076</v>
      </c>
      <c r="C583" s="12"/>
      <c r="D583" s="12"/>
      <c r="E583" s="12"/>
      <c r="F583" s="12"/>
      <c r="G583" s="12"/>
      <c r="H583" s="12"/>
    </row>
    <row r="584" spans="1:8" x14ac:dyDescent="0.25">
      <c r="A584" s="12">
        <v>1579</v>
      </c>
      <c r="B584" s="12" t="s">
        <v>1077</v>
      </c>
      <c r="C584" s="12"/>
      <c r="D584" s="12"/>
      <c r="E584" s="12"/>
      <c r="F584" s="12"/>
      <c r="G584" s="12"/>
      <c r="H584" s="12"/>
    </row>
    <row r="585" spans="1:8" x14ac:dyDescent="0.25">
      <c r="A585" s="12">
        <v>1580</v>
      </c>
      <c r="B585" s="12" t="s">
        <v>1088</v>
      </c>
      <c r="C585" s="12"/>
      <c r="D585" s="12"/>
      <c r="E585" s="12"/>
      <c r="F585" s="12"/>
      <c r="G585" s="12"/>
      <c r="H585" s="12"/>
    </row>
    <row r="586" spans="1:8" x14ac:dyDescent="0.25">
      <c r="A586" s="12">
        <v>1581</v>
      </c>
      <c r="B586" s="12" t="s">
        <v>198</v>
      </c>
      <c r="C586" s="12"/>
      <c r="D586" s="12"/>
      <c r="E586" s="12"/>
      <c r="F586" s="12"/>
      <c r="G586" s="12"/>
      <c r="H586" s="12"/>
    </row>
    <row r="587" spans="1:8" x14ac:dyDescent="0.25">
      <c r="A587" s="12">
        <v>1582</v>
      </c>
      <c r="B587" s="12" t="s">
        <v>199</v>
      </c>
      <c r="C587" s="12"/>
      <c r="D587" s="12"/>
      <c r="E587" s="12"/>
      <c r="F587" s="12"/>
      <c r="G587" s="12"/>
      <c r="H587" s="12"/>
    </row>
    <row r="588" spans="1:8" x14ac:dyDescent="0.25">
      <c r="A588" s="12">
        <v>1583</v>
      </c>
      <c r="B588" s="12" t="s">
        <v>1090</v>
      </c>
      <c r="C588" s="12"/>
      <c r="D588" s="12"/>
      <c r="E588" s="12"/>
      <c r="F588" s="12"/>
      <c r="G588" s="12"/>
      <c r="H588" s="12"/>
    </row>
    <row r="589" spans="1:8" x14ac:dyDescent="0.25">
      <c r="A589" s="12">
        <v>1584</v>
      </c>
      <c r="B589" s="12" t="s">
        <v>1091</v>
      </c>
      <c r="C589" s="12"/>
      <c r="D589" s="12"/>
      <c r="E589" s="12"/>
      <c r="F589" s="12"/>
      <c r="G589" s="12"/>
      <c r="H589" s="12"/>
    </row>
    <row r="590" spans="1:8" x14ac:dyDescent="0.25">
      <c r="A590" s="12">
        <v>1585</v>
      </c>
      <c r="B590" s="12" t="s">
        <v>1092</v>
      </c>
      <c r="C590" s="12"/>
      <c r="D590" s="12"/>
      <c r="E590" s="12"/>
      <c r="F590" s="12"/>
      <c r="G590" s="12"/>
      <c r="H590" s="12"/>
    </row>
    <row r="591" spans="1:8" x14ac:dyDescent="0.25">
      <c r="A591" s="12">
        <v>1586</v>
      </c>
      <c r="B591" s="12" t="s">
        <v>1093</v>
      </c>
      <c r="C591" s="12"/>
      <c r="D591" s="12"/>
      <c r="E591" s="12"/>
      <c r="F591" s="12"/>
      <c r="G591" s="12"/>
      <c r="H591" s="12"/>
    </row>
    <row r="592" spans="1:8" x14ac:dyDescent="0.25">
      <c r="A592" s="12">
        <v>1587</v>
      </c>
      <c r="B592" s="12" t="s">
        <v>200</v>
      </c>
      <c r="C592" s="12"/>
      <c r="D592" s="12"/>
      <c r="E592" s="12"/>
      <c r="F592" s="12"/>
      <c r="G592" s="12"/>
      <c r="H592" s="12"/>
    </row>
    <row r="593" spans="1:8" x14ac:dyDescent="0.25">
      <c r="A593" s="12">
        <v>1588</v>
      </c>
      <c r="B593" s="12" t="s">
        <v>1096</v>
      </c>
      <c r="C593" s="12"/>
      <c r="D593" s="12"/>
      <c r="E593" s="12"/>
      <c r="F593" s="12"/>
      <c r="G593" s="12"/>
      <c r="H593" s="12"/>
    </row>
    <row r="594" spans="1:8" x14ac:dyDescent="0.25">
      <c r="A594" s="12">
        <v>1589</v>
      </c>
      <c r="B594" s="12" t="s">
        <v>554</v>
      </c>
      <c r="C594" s="12" t="s">
        <v>470</v>
      </c>
      <c r="D594" s="12">
        <v>1</v>
      </c>
      <c r="E594" s="12" t="s">
        <v>1818</v>
      </c>
      <c r="F594" s="12">
        <v>0</v>
      </c>
      <c r="G594" s="12" t="s">
        <v>555</v>
      </c>
      <c r="H594" s="13">
        <v>42439</v>
      </c>
    </row>
    <row r="595" spans="1:8" x14ac:dyDescent="0.25">
      <c r="A595" s="12">
        <v>1590</v>
      </c>
      <c r="B595" s="12" t="s">
        <v>202</v>
      </c>
      <c r="C595" s="12"/>
      <c r="D595" s="12"/>
      <c r="E595" s="12"/>
      <c r="F595" s="12"/>
      <c r="G595" s="12"/>
      <c r="H595" s="12"/>
    </row>
    <row r="596" spans="1:8" x14ac:dyDescent="0.25">
      <c r="A596" s="12">
        <v>1591</v>
      </c>
      <c r="B596" s="12" t="s">
        <v>1099</v>
      </c>
      <c r="C596" s="12"/>
      <c r="D596" s="12"/>
      <c r="E596" s="12"/>
      <c r="F596" s="12"/>
      <c r="G596" s="12"/>
      <c r="H596" s="12"/>
    </row>
    <row r="597" spans="1:8" x14ac:dyDescent="0.25">
      <c r="A597" s="12">
        <v>1592</v>
      </c>
      <c r="B597" s="12" t="s">
        <v>1100</v>
      </c>
      <c r="C597" s="12"/>
      <c r="D597" s="12"/>
      <c r="E597" s="12"/>
      <c r="F597" s="12"/>
      <c r="G597" s="12"/>
      <c r="H597" s="12"/>
    </row>
    <row r="598" spans="1:8" x14ac:dyDescent="0.25">
      <c r="A598" s="12">
        <v>1593</v>
      </c>
      <c r="B598" s="12" t="s">
        <v>1101</v>
      </c>
      <c r="C598" s="12"/>
      <c r="D598" s="12"/>
      <c r="E598" s="12"/>
      <c r="F598" s="12"/>
      <c r="G598" s="12"/>
      <c r="H598" s="12"/>
    </row>
    <row r="599" spans="1:8" x14ac:dyDescent="0.25">
      <c r="A599" s="12">
        <v>1594</v>
      </c>
      <c r="B599" s="12" t="s">
        <v>1102</v>
      </c>
      <c r="C599" s="12"/>
      <c r="D599" s="12"/>
      <c r="E599" s="12"/>
      <c r="F599" s="12"/>
      <c r="G599" s="12"/>
      <c r="H599" s="12"/>
    </row>
    <row r="600" spans="1:8" x14ac:dyDescent="0.25">
      <c r="A600" s="12">
        <v>1595</v>
      </c>
      <c r="B600" s="12" t="s">
        <v>1103</v>
      </c>
      <c r="C600" s="12"/>
      <c r="D600" s="12"/>
      <c r="E600" s="12"/>
      <c r="F600" s="12"/>
      <c r="G600" s="12"/>
      <c r="H600" s="12"/>
    </row>
    <row r="601" spans="1:8" x14ac:dyDescent="0.25">
      <c r="A601" s="12">
        <v>1596</v>
      </c>
      <c r="B601" s="12" t="s">
        <v>1104</v>
      </c>
      <c r="C601" s="12"/>
      <c r="D601" s="12"/>
      <c r="E601" s="12"/>
      <c r="F601" s="12"/>
      <c r="G601" s="12"/>
      <c r="H601" s="12"/>
    </row>
    <row r="602" spans="1:8" x14ac:dyDescent="0.25">
      <c r="A602" s="12">
        <v>1597</v>
      </c>
      <c r="B602" s="12" t="s">
        <v>1107</v>
      </c>
      <c r="C602" s="12"/>
      <c r="D602" s="12"/>
      <c r="E602" s="12"/>
      <c r="F602" s="12"/>
      <c r="G602" s="12"/>
      <c r="H602" s="12"/>
    </row>
    <row r="603" spans="1:8" x14ac:dyDescent="0.25">
      <c r="A603" s="12">
        <v>1598</v>
      </c>
      <c r="B603" s="12" t="s">
        <v>203</v>
      </c>
      <c r="C603" s="12"/>
      <c r="D603" s="12"/>
      <c r="E603" s="12"/>
      <c r="F603" s="12"/>
      <c r="G603" s="12"/>
      <c r="H603" s="12"/>
    </row>
    <row r="604" spans="1:8" x14ac:dyDescent="0.25">
      <c r="A604" s="12">
        <v>1599</v>
      </c>
      <c r="B604" s="12" t="s">
        <v>204</v>
      </c>
      <c r="C604" s="12"/>
      <c r="D604" s="12"/>
      <c r="E604" s="12"/>
      <c r="F604" s="12"/>
      <c r="G604" s="12"/>
      <c r="H604" s="12"/>
    </row>
    <row r="605" spans="1:8" x14ac:dyDescent="0.25">
      <c r="A605" s="12">
        <v>1600</v>
      </c>
      <c r="B605" s="12" t="s">
        <v>1111</v>
      </c>
      <c r="C605" s="12"/>
      <c r="D605" s="12"/>
      <c r="E605" s="12"/>
      <c r="F605" s="12"/>
      <c r="G605" s="12"/>
      <c r="H605" s="12"/>
    </row>
    <row r="606" spans="1:8" x14ac:dyDescent="0.25">
      <c r="A606" s="12">
        <v>1601</v>
      </c>
      <c r="B606" s="12" t="s">
        <v>206</v>
      </c>
      <c r="C606" s="12"/>
      <c r="D606" s="12"/>
      <c r="E606" s="12"/>
      <c r="F606" s="12"/>
      <c r="G606" s="12"/>
      <c r="H606" s="12"/>
    </row>
    <row r="607" spans="1:8" x14ac:dyDescent="0.25">
      <c r="A607" s="12">
        <v>1602</v>
      </c>
      <c r="B607" s="12" t="s">
        <v>1112</v>
      </c>
      <c r="C607" s="12"/>
      <c r="D607" s="12"/>
      <c r="E607" s="12"/>
      <c r="F607" s="12"/>
      <c r="G607" s="12"/>
      <c r="H607" s="12"/>
    </row>
    <row r="608" spans="1:8" x14ac:dyDescent="0.25">
      <c r="A608" s="12">
        <v>1603</v>
      </c>
      <c r="B608" s="12" t="s">
        <v>1113</v>
      </c>
      <c r="C608" s="12"/>
      <c r="D608" s="12"/>
      <c r="E608" s="12"/>
      <c r="F608" s="12"/>
      <c r="G608" s="12"/>
      <c r="H608" s="12"/>
    </row>
    <row r="609" spans="1:8" x14ac:dyDescent="0.25">
      <c r="A609" s="12">
        <v>1604</v>
      </c>
      <c r="B609" s="12" t="s">
        <v>1114</v>
      </c>
      <c r="C609" s="12"/>
      <c r="D609" s="12"/>
      <c r="E609" s="12"/>
      <c r="F609" s="12"/>
      <c r="G609" s="12"/>
      <c r="H609" s="12"/>
    </row>
    <row r="610" spans="1:8" x14ac:dyDescent="0.25">
      <c r="A610" s="12">
        <v>1605</v>
      </c>
      <c r="B610" s="12" t="s">
        <v>1115</v>
      </c>
      <c r="C610" s="12"/>
      <c r="D610" s="12"/>
      <c r="E610" s="12"/>
      <c r="F610" s="12"/>
      <c r="G610" s="12"/>
      <c r="H610" s="12"/>
    </row>
    <row r="611" spans="1:8" x14ac:dyDescent="0.25">
      <c r="A611" s="12">
        <v>1606</v>
      </c>
      <c r="B611" s="12" t="s">
        <v>1118</v>
      </c>
      <c r="C611" s="12"/>
      <c r="D611" s="12"/>
      <c r="E611" s="12"/>
      <c r="F611" s="12"/>
      <c r="G611" s="12"/>
      <c r="H611" s="12"/>
    </row>
    <row r="612" spans="1:8" x14ac:dyDescent="0.25">
      <c r="A612" s="12">
        <v>1607</v>
      </c>
      <c r="B612" s="12" t="s">
        <v>1130</v>
      </c>
      <c r="C612" s="12"/>
      <c r="D612" s="12"/>
      <c r="E612" s="12"/>
      <c r="F612" s="12"/>
      <c r="G612" s="12"/>
      <c r="H612" s="12"/>
    </row>
    <row r="613" spans="1:8" x14ac:dyDescent="0.25">
      <c r="A613" s="12">
        <v>1608</v>
      </c>
      <c r="B613" s="12" t="s">
        <v>1156</v>
      </c>
      <c r="C613" s="12"/>
      <c r="D613" s="12"/>
      <c r="E613" s="12"/>
      <c r="F613" s="12"/>
      <c r="G613" s="12"/>
      <c r="H613" s="12"/>
    </row>
    <row r="614" spans="1:8" x14ac:dyDescent="0.25">
      <c r="A614" s="12">
        <v>1609</v>
      </c>
      <c r="B614" s="12" t="s">
        <v>208</v>
      </c>
      <c r="C614" s="12"/>
      <c r="D614" s="12"/>
      <c r="E614" s="12"/>
      <c r="F614" s="12"/>
      <c r="G614" s="12"/>
      <c r="H614" s="12"/>
    </row>
    <row r="615" spans="1:8" x14ac:dyDescent="0.25">
      <c r="A615" s="12">
        <v>1610</v>
      </c>
      <c r="B615" s="12" t="s">
        <v>209</v>
      </c>
      <c r="C615" s="12"/>
      <c r="D615" s="12"/>
      <c r="E615" s="12"/>
      <c r="F615" s="12"/>
      <c r="G615" s="12"/>
      <c r="H615" s="12"/>
    </row>
    <row r="616" spans="1:8" x14ac:dyDescent="0.25">
      <c r="A616" s="12">
        <v>1611</v>
      </c>
      <c r="B616" s="12" t="s">
        <v>210</v>
      </c>
      <c r="C616" s="12"/>
      <c r="D616" s="12"/>
      <c r="E616" s="12"/>
      <c r="F616" s="12"/>
      <c r="G616" s="12"/>
      <c r="H616" s="12"/>
    </row>
    <row r="617" spans="1:8" x14ac:dyDescent="0.25">
      <c r="A617" s="12">
        <v>1612</v>
      </c>
      <c r="B617" s="12" t="s">
        <v>1174</v>
      </c>
      <c r="C617" s="12"/>
      <c r="D617" s="12"/>
      <c r="E617" s="12"/>
      <c r="F617" s="12"/>
      <c r="G617" s="12"/>
      <c r="H617" s="12"/>
    </row>
    <row r="618" spans="1:8" x14ac:dyDescent="0.25">
      <c r="A618" s="12">
        <v>1613</v>
      </c>
      <c r="B618" s="12" t="s">
        <v>1175</v>
      </c>
      <c r="C618" s="12"/>
      <c r="D618" s="12"/>
      <c r="E618" s="12"/>
      <c r="F618" s="12"/>
      <c r="G618" s="12"/>
      <c r="H618" s="12"/>
    </row>
    <row r="619" spans="1:8" x14ac:dyDescent="0.25">
      <c r="A619" s="12">
        <v>1614</v>
      </c>
      <c r="B619" s="12" t="s">
        <v>1176</v>
      </c>
      <c r="C619" s="12"/>
      <c r="D619" s="12"/>
      <c r="E619" s="12"/>
      <c r="F619" s="12"/>
      <c r="G619" s="12"/>
      <c r="H619" s="12"/>
    </row>
    <row r="620" spans="1:8" x14ac:dyDescent="0.25">
      <c r="A620" s="12">
        <v>1615</v>
      </c>
      <c r="B620" s="12" t="s">
        <v>1179</v>
      </c>
      <c r="C620" s="12"/>
      <c r="D620" s="12"/>
      <c r="E620" s="12"/>
      <c r="F620" s="12"/>
      <c r="G620" s="12"/>
      <c r="H620" s="12"/>
    </row>
    <row r="621" spans="1:8" x14ac:dyDescent="0.25">
      <c r="A621" s="12">
        <v>1616</v>
      </c>
      <c r="B621" s="12" t="s">
        <v>1180</v>
      </c>
      <c r="C621" s="12"/>
      <c r="D621" s="12"/>
      <c r="E621" s="12"/>
      <c r="F621" s="12"/>
      <c r="G621" s="12"/>
      <c r="H621" s="12"/>
    </row>
    <row r="622" spans="1:8" x14ac:dyDescent="0.25">
      <c r="A622" s="12">
        <v>1617</v>
      </c>
      <c r="B622" s="12" t="s">
        <v>211</v>
      </c>
      <c r="C622" s="12"/>
      <c r="D622" s="12"/>
      <c r="E622" s="12"/>
      <c r="F622" s="12"/>
      <c r="G622" s="12"/>
      <c r="H622" s="12"/>
    </row>
    <row r="623" spans="1:8" x14ac:dyDescent="0.25">
      <c r="A623" s="12">
        <v>1618</v>
      </c>
      <c r="B623" s="12" t="s">
        <v>212</v>
      </c>
      <c r="C623" s="12"/>
      <c r="D623" s="12"/>
      <c r="E623" s="12"/>
      <c r="F623" s="12"/>
      <c r="G623" s="12"/>
      <c r="H623" s="12"/>
    </row>
    <row r="624" spans="1:8" x14ac:dyDescent="0.25">
      <c r="A624" s="12">
        <v>1619</v>
      </c>
      <c r="B624" s="12" t="s">
        <v>1182</v>
      </c>
      <c r="C624" s="12"/>
      <c r="D624" s="12"/>
      <c r="E624" s="12"/>
      <c r="F624" s="12"/>
      <c r="G624" s="12"/>
      <c r="H624" s="12"/>
    </row>
    <row r="625" spans="1:8" x14ac:dyDescent="0.25">
      <c r="A625" s="12">
        <v>1620</v>
      </c>
      <c r="B625" s="12" t="s">
        <v>1105</v>
      </c>
      <c r="C625" s="12"/>
      <c r="D625" s="12"/>
      <c r="E625" s="12"/>
      <c r="F625" s="12"/>
      <c r="G625" s="12"/>
      <c r="H625" s="12"/>
    </row>
    <row r="626" spans="1:8" x14ac:dyDescent="0.25">
      <c r="A626" s="12">
        <v>1621</v>
      </c>
      <c r="B626" s="12" t="s">
        <v>1106</v>
      </c>
      <c r="C626" s="12"/>
      <c r="D626" s="12"/>
      <c r="E626" s="12"/>
      <c r="F626" s="12"/>
      <c r="G626" s="12"/>
      <c r="H626" s="12"/>
    </row>
    <row r="627" spans="1:8" x14ac:dyDescent="0.25">
      <c r="A627" s="12">
        <v>1622</v>
      </c>
      <c r="B627" s="12" t="s">
        <v>213</v>
      </c>
      <c r="C627" s="12"/>
      <c r="D627" s="12"/>
      <c r="E627" s="12"/>
      <c r="F627" s="12"/>
      <c r="G627" s="12"/>
      <c r="H627" s="12"/>
    </row>
    <row r="628" spans="1:8" x14ac:dyDescent="0.25">
      <c r="A628" s="12">
        <v>1623</v>
      </c>
      <c r="B628" s="12" t="s">
        <v>1116</v>
      </c>
      <c r="C628" s="12"/>
      <c r="D628" s="12"/>
      <c r="E628" s="12"/>
      <c r="F628" s="12"/>
      <c r="G628" s="12"/>
      <c r="H628" s="12"/>
    </row>
    <row r="629" spans="1:8" x14ac:dyDescent="0.25">
      <c r="A629" s="12">
        <v>1624</v>
      </c>
      <c r="B629" s="12" t="s">
        <v>1117</v>
      </c>
      <c r="C629" s="12"/>
      <c r="D629" s="12"/>
      <c r="E629" s="12"/>
      <c r="F629" s="12"/>
      <c r="G629" s="12"/>
      <c r="H629" s="12"/>
    </row>
    <row r="630" spans="1:8" x14ac:dyDescent="0.25">
      <c r="A630" s="12">
        <v>1625</v>
      </c>
      <c r="B630" s="12" t="s">
        <v>1119</v>
      </c>
      <c r="C630" s="12"/>
      <c r="D630" s="12"/>
      <c r="E630" s="12"/>
      <c r="F630" s="12"/>
      <c r="G630" s="12"/>
      <c r="H630" s="12"/>
    </row>
    <row r="631" spans="1:8" x14ac:dyDescent="0.25">
      <c r="A631" s="12">
        <v>1626</v>
      </c>
      <c r="B631" s="12" t="s">
        <v>1120</v>
      </c>
      <c r="C631" s="12"/>
      <c r="D631" s="12"/>
      <c r="E631" s="12"/>
      <c r="F631" s="12"/>
      <c r="G631" s="12"/>
      <c r="H631" s="12"/>
    </row>
    <row r="632" spans="1:8" x14ac:dyDescent="0.25">
      <c r="A632" s="12">
        <v>1627</v>
      </c>
      <c r="B632" s="12" t="s">
        <v>1127</v>
      </c>
      <c r="C632" s="12"/>
      <c r="D632" s="12"/>
      <c r="E632" s="12"/>
      <c r="F632" s="12"/>
      <c r="G632" s="12"/>
      <c r="H632" s="12"/>
    </row>
    <row r="633" spans="1:8" x14ac:dyDescent="0.25">
      <c r="A633" s="12">
        <v>1628</v>
      </c>
      <c r="B633" s="12" t="s">
        <v>215</v>
      </c>
      <c r="C633" s="12"/>
      <c r="D633" s="12"/>
      <c r="E633" s="12"/>
      <c r="F633" s="12"/>
      <c r="G633" s="12"/>
      <c r="H633" s="12"/>
    </row>
    <row r="634" spans="1:8" x14ac:dyDescent="0.25">
      <c r="A634" s="12">
        <v>1629</v>
      </c>
      <c r="B634" s="12" t="s">
        <v>216</v>
      </c>
      <c r="C634" s="12"/>
      <c r="D634" s="12"/>
      <c r="E634" s="12"/>
      <c r="F634" s="12"/>
      <c r="G634" s="12"/>
      <c r="H634" s="12"/>
    </row>
    <row r="635" spans="1:8" x14ac:dyDescent="0.25">
      <c r="A635" s="12">
        <v>1630</v>
      </c>
      <c r="B635" s="12" t="s">
        <v>1173</v>
      </c>
      <c r="C635" s="12"/>
      <c r="D635" s="12"/>
      <c r="E635" s="12"/>
      <c r="F635" s="12"/>
      <c r="G635" s="12"/>
      <c r="H635" s="12"/>
    </row>
    <row r="636" spans="1:8" x14ac:dyDescent="0.25">
      <c r="A636" s="12">
        <v>1631</v>
      </c>
      <c r="B636" s="12" t="s">
        <v>1128</v>
      </c>
      <c r="C636" s="12"/>
      <c r="D636" s="12"/>
      <c r="E636" s="12"/>
      <c r="F636" s="12"/>
      <c r="G636" s="12"/>
      <c r="H636" s="12"/>
    </row>
    <row r="637" spans="1:8" x14ac:dyDescent="0.25">
      <c r="A637" s="12">
        <v>1632</v>
      </c>
      <c r="B637" s="12" t="s">
        <v>558</v>
      </c>
      <c r="C637" s="12" t="s">
        <v>470</v>
      </c>
      <c r="D637" s="12">
        <v>1</v>
      </c>
      <c r="E637" s="12" t="s">
        <v>1819</v>
      </c>
      <c r="F637" s="12">
        <v>0</v>
      </c>
      <c r="G637" s="12" t="s">
        <v>559</v>
      </c>
      <c r="H637" s="13">
        <v>42439</v>
      </c>
    </row>
    <row r="638" spans="1:8" x14ac:dyDescent="0.25">
      <c r="A638" s="12">
        <v>1633</v>
      </c>
      <c r="B638" s="12" t="s">
        <v>1129</v>
      </c>
      <c r="C638" s="12"/>
      <c r="D638" s="12"/>
      <c r="E638" s="12"/>
      <c r="F638" s="12"/>
      <c r="G638" s="12"/>
      <c r="H638" s="12"/>
    </row>
    <row r="639" spans="1:8" x14ac:dyDescent="0.25">
      <c r="A639" s="12">
        <v>1634</v>
      </c>
      <c r="B639" s="12" t="s">
        <v>1131</v>
      </c>
      <c r="C639" s="12"/>
      <c r="D639" s="12"/>
      <c r="E639" s="12"/>
      <c r="F639" s="12"/>
      <c r="G639" s="12"/>
      <c r="H639" s="12"/>
    </row>
    <row r="640" spans="1:8" x14ac:dyDescent="0.25">
      <c r="A640" s="12">
        <v>1635</v>
      </c>
      <c r="B640" s="12" t="s">
        <v>560</v>
      </c>
      <c r="C640" s="12" t="s">
        <v>470</v>
      </c>
      <c r="D640" s="12">
        <v>1</v>
      </c>
      <c r="E640" s="12" t="s">
        <v>1820</v>
      </c>
      <c r="F640" s="12">
        <v>0</v>
      </c>
      <c r="G640" s="12" t="s">
        <v>561</v>
      </c>
      <c r="H640" s="13">
        <v>42439</v>
      </c>
    </row>
    <row r="641" spans="1:8" x14ac:dyDescent="0.25">
      <c r="A641" s="12">
        <v>1636</v>
      </c>
      <c r="B641" s="12" t="s">
        <v>562</v>
      </c>
      <c r="C641" s="12"/>
      <c r="D641" s="12"/>
      <c r="E641" s="12"/>
      <c r="F641" s="12"/>
      <c r="G641" s="12"/>
      <c r="H641" s="13"/>
    </row>
    <row r="642" spans="1:8" x14ac:dyDescent="0.25">
      <c r="A642" s="12">
        <v>1637</v>
      </c>
      <c r="B642" s="12" t="s">
        <v>563</v>
      </c>
      <c r="C642" s="12" t="s">
        <v>470</v>
      </c>
      <c r="D642" s="12">
        <v>1</v>
      </c>
      <c r="E642" s="12" t="s">
        <v>1821</v>
      </c>
      <c r="F642" s="12">
        <v>0</v>
      </c>
      <c r="G642" s="12" t="s">
        <v>564</v>
      </c>
      <c r="H642" s="13">
        <v>42439</v>
      </c>
    </row>
    <row r="643" spans="1:8" x14ac:dyDescent="0.25">
      <c r="A643" s="12">
        <v>1638</v>
      </c>
      <c r="B643" s="12" t="s">
        <v>565</v>
      </c>
      <c r="C643" s="12"/>
      <c r="D643" s="12"/>
      <c r="E643" s="12"/>
      <c r="F643" s="12"/>
      <c r="G643" s="12"/>
      <c r="H643" s="13"/>
    </row>
    <row r="644" spans="1:8" x14ac:dyDescent="0.25">
      <c r="A644" s="12">
        <v>1639</v>
      </c>
      <c r="B644" s="12" t="s">
        <v>1132</v>
      </c>
      <c r="C644" s="12"/>
      <c r="D644" s="12"/>
      <c r="E644" s="12"/>
      <c r="F644" s="12"/>
      <c r="G644" s="12"/>
      <c r="H644" s="12"/>
    </row>
    <row r="645" spans="1:8" x14ac:dyDescent="0.25">
      <c r="A645" s="12">
        <v>1640</v>
      </c>
      <c r="B645" s="12" t="s">
        <v>1133</v>
      </c>
      <c r="C645" s="12"/>
      <c r="D645" s="12"/>
      <c r="E645" s="12"/>
      <c r="F645" s="12"/>
      <c r="G645" s="12"/>
      <c r="H645" s="12"/>
    </row>
    <row r="646" spans="1:8" x14ac:dyDescent="0.25">
      <c r="A646" s="12">
        <v>1641</v>
      </c>
      <c r="B646" s="12" t="s">
        <v>1135</v>
      </c>
      <c r="C646" s="12"/>
      <c r="D646" s="12"/>
      <c r="E646" s="12"/>
      <c r="F646" s="12"/>
      <c r="G646" s="12"/>
      <c r="H646" s="12"/>
    </row>
    <row r="647" spans="1:8" x14ac:dyDescent="0.25">
      <c r="A647" s="12">
        <v>1642</v>
      </c>
      <c r="B647" s="12" t="s">
        <v>1134</v>
      </c>
      <c r="C647" s="12"/>
      <c r="D647" s="12"/>
      <c r="E647" s="12"/>
      <c r="F647" s="12"/>
      <c r="G647" s="12"/>
      <c r="H647" s="12"/>
    </row>
    <row r="648" spans="1:8" x14ac:dyDescent="0.25">
      <c r="A648" s="12">
        <v>1643</v>
      </c>
      <c r="B648" s="12" t="s">
        <v>217</v>
      </c>
      <c r="C648" s="12"/>
      <c r="D648" s="12"/>
      <c r="E648" s="12"/>
      <c r="F648" s="12"/>
      <c r="G648" s="12"/>
      <c r="H648" s="12"/>
    </row>
    <row r="649" spans="1:8" x14ac:dyDescent="0.25">
      <c r="A649" s="12">
        <v>1644</v>
      </c>
      <c r="B649" s="12" t="s">
        <v>218</v>
      </c>
      <c r="C649" s="12"/>
      <c r="D649" s="12"/>
      <c r="E649" s="12"/>
      <c r="F649" s="12"/>
      <c r="G649" s="12"/>
      <c r="H649" s="12"/>
    </row>
    <row r="650" spans="1:8" x14ac:dyDescent="0.25">
      <c r="A650" s="12">
        <v>1645</v>
      </c>
      <c r="B650" s="12" t="s">
        <v>1138</v>
      </c>
      <c r="C650" s="12"/>
      <c r="D650" s="12"/>
      <c r="E650" s="12"/>
      <c r="F650" s="12"/>
      <c r="G650" s="12"/>
      <c r="H650" s="12"/>
    </row>
    <row r="651" spans="1:8" x14ac:dyDescent="0.25">
      <c r="A651" s="12">
        <v>1646</v>
      </c>
      <c r="B651" s="12" t="s">
        <v>1139</v>
      </c>
      <c r="C651" s="12"/>
      <c r="D651" s="12"/>
      <c r="E651" s="12"/>
      <c r="F651" s="12"/>
      <c r="G651" s="12"/>
      <c r="H651" s="12"/>
    </row>
    <row r="652" spans="1:8" x14ac:dyDescent="0.25">
      <c r="A652" s="12">
        <v>1647</v>
      </c>
      <c r="B652" s="12" t="s">
        <v>219</v>
      </c>
      <c r="C652" s="12"/>
      <c r="D652" s="12"/>
      <c r="E652" s="12"/>
      <c r="F652" s="12"/>
      <c r="G652" s="12"/>
      <c r="H652" s="12"/>
    </row>
    <row r="653" spans="1:8" x14ac:dyDescent="0.25">
      <c r="A653" s="12">
        <v>1648</v>
      </c>
      <c r="B653" s="12" t="s">
        <v>220</v>
      </c>
      <c r="C653" s="12"/>
      <c r="D653" s="12"/>
      <c r="E653" s="12"/>
      <c r="F653" s="12"/>
      <c r="G653" s="12"/>
      <c r="H653" s="12"/>
    </row>
    <row r="654" spans="1:8" x14ac:dyDescent="0.25">
      <c r="A654" s="12">
        <v>1649</v>
      </c>
      <c r="B654" s="12" t="s">
        <v>1136</v>
      </c>
      <c r="C654" s="12"/>
      <c r="D654" s="12"/>
      <c r="E654" s="12"/>
      <c r="F654" s="12"/>
      <c r="G654" s="12"/>
      <c r="H654" s="12"/>
    </row>
    <row r="655" spans="1:8" x14ac:dyDescent="0.25">
      <c r="A655" s="12">
        <v>1650</v>
      </c>
      <c r="B655" s="12" t="s">
        <v>1137</v>
      </c>
      <c r="C655" s="12"/>
      <c r="D655" s="12"/>
      <c r="E655" s="12"/>
      <c r="F655" s="12"/>
      <c r="G655" s="12"/>
      <c r="H655" s="12"/>
    </row>
    <row r="656" spans="1:8" x14ac:dyDescent="0.25">
      <c r="A656" s="12">
        <v>1651</v>
      </c>
      <c r="B656" s="12" t="s">
        <v>1140</v>
      </c>
      <c r="C656" s="12"/>
      <c r="D656" s="12"/>
      <c r="E656" s="12"/>
      <c r="F656" s="12"/>
      <c r="G656" s="12"/>
      <c r="H656" s="12"/>
    </row>
    <row r="657" spans="1:8" x14ac:dyDescent="0.25">
      <c r="A657" s="12">
        <v>1652</v>
      </c>
      <c r="B657" s="12" t="s">
        <v>221</v>
      </c>
      <c r="C657" s="12"/>
      <c r="D657" s="12"/>
      <c r="E657" s="12"/>
      <c r="F657" s="12"/>
      <c r="G657" s="12"/>
      <c r="H657" s="12"/>
    </row>
    <row r="658" spans="1:8" x14ac:dyDescent="0.25">
      <c r="A658" s="12">
        <v>1653</v>
      </c>
      <c r="B658" s="12" t="s">
        <v>1141</v>
      </c>
      <c r="C658" s="12"/>
      <c r="D658" s="12"/>
      <c r="E658" s="12"/>
      <c r="F658" s="12"/>
      <c r="G658" s="12"/>
      <c r="H658" s="12"/>
    </row>
    <row r="659" spans="1:8" x14ac:dyDescent="0.25">
      <c r="A659" s="12">
        <v>1654</v>
      </c>
      <c r="B659" s="12" t="s">
        <v>1142</v>
      </c>
      <c r="C659" s="12"/>
      <c r="D659" s="12"/>
      <c r="E659" s="12"/>
      <c r="F659" s="12"/>
      <c r="G659" s="12"/>
      <c r="H659" s="12"/>
    </row>
    <row r="660" spans="1:8" x14ac:dyDescent="0.25">
      <c r="A660" s="12">
        <v>1655</v>
      </c>
      <c r="B660" s="12" t="s">
        <v>1143</v>
      </c>
      <c r="C660" s="12"/>
      <c r="D660" s="12"/>
      <c r="E660" s="12"/>
      <c r="F660" s="12"/>
      <c r="G660" s="12"/>
      <c r="H660" s="12"/>
    </row>
    <row r="661" spans="1:8" x14ac:dyDescent="0.25">
      <c r="A661" s="12">
        <v>1656</v>
      </c>
      <c r="B661" s="12" t="s">
        <v>1144</v>
      </c>
      <c r="C661" s="12"/>
      <c r="D661" s="12"/>
      <c r="E661" s="12"/>
      <c r="F661" s="12"/>
      <c r="G661" s="12"/>
      <c r="H661" s="12"/>
    </row>
    <row r="662" spans="1:8" x14ac:dyDescent="0.25">
      <c r="A662" s="12">
        <v>1657</v>
      </c>
      <c r="B662" s="12" t="s">
        <v>1145</v>
      </c>
      <c r="C662" s="12"/>
      <c r="D662" s="12"/>
      <c r="E662" s="12"/>
      <c r="F662" s="12"/>
      <c r="G662" s="12"/>
      <c r="H662" s="12"/>
    </row>
    <row r="663" spans="1:8" x14ac:dyDescent="0.25">
      <c r="A663" s="12">
        <v>1658</v>
      </c>
      <c r="B663" s="12" t="s">
        <v>1146</v>
      </c>
      <c r="C663" s="12"/>
      <c r="D663" s="12"/>
      <c r="E663" s="12"/>
      <c r="F663" s="12"/>
      <c r="G663" s="12"/>
      <c r="H663" s="12"/>
    </row>
    <row r="664" spans="1:8" x14ac:dyDescent="0.25">
      <c r="A664" s="12">
        <v>1659</v>
      </c>
      <c r="B664" s="12" t="s">
        <v>222</v>
      </c>
      <c r="C664" s="12"/>
      <c r="D664" s="12"/>
      <c r="E664" s="12"/>
      <c r="F664" s="12"/>
      <c r="G664" s="12"/>
      <c r="H664" s="12"/>
    </row>
    <row r="665" spans="1:8" x14ac:dyDescent="0.25">
      <c r="A665" s="12">
        <v>1660</v>
      </c>
      <c r="B665" s="12" t="s">
        <v>1147</v>
      </c>
      <c r="C665" s="12"/>
      <c r="D665" s="12"/>
      <c r="E665" s="12"/>
      <c r="F665" s="12"/>
      <c r="G665" s="12"/>
      <c r="H665" s="12"/>
    </row>
    <row r="666" spans="1:8" x14ac:dyDescent="0.25">
      <c r="A666" s="12">
        <v>1661</v>
      </c>
      <c r="B666" s="12" t="s">
        <v>566</v>
      </c>
      <c r="C666" s="12" t="s">
        <v>470</v>
      </c>
      <c r="D666" s="12">
        <v>1</v>
      </c>
      <c r="E666" s="12" t="s">
        <v>1822</v>
      </c>
      <c r="F666" s="12">
        <v>0</v>
      </c>
      <c r="G666" s="12" t="s">
        <v>567</v>
      </c>
      <c r="H666" s="13">
        <v>42439</v>
      </c>
    </row>
    <row r="667" spans="1:8" x14ac:dyDescent="0.25">
      <c r="A667" s="12">
        <v>1662</v>
      </c>
      <c r="B667" s="12" t="s">
        <v>1148</v>
      </c>
      <c r="C667" s="12"/>
      <c r="D667" s="12"/>
      <c r="E667" s="12"/>
      <c r="F667" s="12"/>
      <c r="G667" s="12"/>
      <c r="H667" s="12"/>
    </row>
    <row r="668" spans="1:8" x14ac:dyDescent="0.25">
      <c r="A668" s="12">
        <v>1663</v>
      </c>
      <c r="B668" s="12" t="s">
        <v>1149</v>
      </c>
      <c r="C668" s="12"/>
      <c r="D668" s="12"/>
      <c r="E668" s="12"/>
      <c r="F668" s="12"/>
      <c r="G668" s="12"/>
      <c r="H668" s="12"/>
    </row>
    <row r="669" spans="1:8" x14ac:dyDescent="0.25">
      <c r="A669" s="12">
        <v>1664</v>
      </c>
      <c r="B669" s="12" t="s">
        <v>568</v>
      </c>
      <c r="C669" s="12" t="s">
        <v>470</v>
      </c>
      <c r="D669" s="12">
        <v>1</v>
      </c>
      <c r="E669" s="12" t="s">
        <v>1823</v>
      </c>
      <c r="F669" s="12">
        <v>0</v>
      </c>
      <c r="G669" s="12" t="s">
        <v>569</v>
      </c>
      <c r="H669" s="13">
        <v>42439</v>
      </c>
    </row>
    <row r="670" spans="1:8" x14ac:dyDescent="0.25">
      <c r="A670" s="12">
        <v>1665</v>
      </c>
      <c r="B670" s="12" t="s">
        <v>1150</v>
      </c>
      <c r="C670" s="12"/>
      <c r="D670" s="12"/>
      <c r="E670" s="12"/>
      <c r="F670" s="12"/>
      <c r="G670" s="12"/>
      <c r="H670" s="12"/>
    </row>
    <row r="671" spans="1:8" x14ac:dyDescent="0.25">
      <c r="A671" s="12">
        <v>1666</v>
      </c>
      <c r="B671" s="12" t="s">
        <v>570</v>
      </c>
      <c r="C671" s="12" t="s">
        <v>470</v>
      </c>
      <c r="D671" s="12">
        <v>1</v>
      </c>
      <c r="E671" s="12" t="s">
        <v>1824</v>
      </c>
      <c r="F671" s="12">
        <v>0</v>
      </c>
      <c r="G671" s="12" t="s">
        <v>571</v>
      </c>
      <c r="H671" s="13">
        <v>42439</v>
      </c>
    </row>
    <row r="672" spans="1:8" x14ac:dyDescent="0.25">
      <c r="A672" s="12">
        <v>1667</v>
      </c>
      <c r="B672" s="12" t="s">
        <v>1158</v>
      </c>
      <c r="C672" s="12"/>
      <c r="D672" s="12"/>
      <c r="E672" s="12"/>
      <c r="F672" s="12"/>
      <c r="G672" s="12"/>
      <c r="H672" s="12"/>
    </row>
    <row r="673" spans="1:8" x14ac:dyDescent="0.25">
      <c r="A673" s="12">
        <v>1668</v>
      </c>
      <c r="B673" s="12" t="s">
        <v>223</v>
      </c>
      <c r="C673" s="12"/>
      <c r="D673" s="12"/>
      <c r="E673" s="12"/>
      <c r="F673" s="12"/>
      <c r="G673" s="12"/>
      <c r="H673" s="12"/>
    </row>
    <row r="674" spans="1:8" x14ac:dyDescent="0.25">
      <c r="A674" s="12">
        <v>1669</v>
      </c>
      <c r="B674" s="12" t="s">
        <v>224</v>
      </c>
      <c r="C674" s="12"/>
      <c r="D674" s="12"/>
      <c r="E674" s="12"/>
      <c r="F674" s="12"/>
      <c r="G674" s="12"/>
      <c r="H674" s="12"/>
    </row>
    <row r="675" spans="1:8" x14ac:dyDescent="0.25">
      <c r="A675" s="12">
        <v>1670</v>
      </c>
      <c r="B675" s="12" t="s">
        <v>225</v>
      </c>
      <c r="C675" s="12"/>
      <c r="D675" s="12"/>
      <c r="E675" s="12"/>
      <c r="F675" s="12"/>
      <c r="G675" s="12"/>
      <c r="H675" s="12"/>
    </row>
    <row r="676" spans="1:8" x14ac:dyDescent="0.25">
      <c r="A676" s="12">
        <v>1671</v>
      </c>
      <c r="B676" s="12" t="s">
        <v>1151</v>
      </c>
      <c r="C676" s="12"/>
      <c r="D676" s="12"/>
      <c r="E676" s="12"/>
      <c r="F676" s="12"/>
      <c r="G676" s="12"/>
      <c r="H676" s="12"/>
    </row>
    <row r="677" spans="1:8" x14ac:dyDescent="0.25">
      <c r="A677" s="12">
        <v>1672</v>
      </c>
      <c r="B677" s="12" t="s">
        <v>1152</v>
      </c>
      <c r="C677" s="12"/>
      <c r="D677" s="12"/>
      <c r="E677" s="12"/>
      <c r="F677" s="12"/>
      <c r="G677" s="12"/>
      <c r="H677" s="12"/>
    </row>
    <row r="678" spans="1:8" x14ac:dyDescent="0.25">
      <c r="A678" s="12">
        <v>1673</v>
      </c>
      <c r="B678" s="12" t="s">
        <v>1153</v>
      </c>
      <c r="C678" s="12"/>
      <c r="D678" s="12"/>
      <c r="E678" s="12"/>
      <c r="F678" s="12"/>
      <c r="G678" s="12"/>
      <c r="H678" s="12"/>
    </row>
    <row r="679" spans="1:8" x14ac:dyDescent="0.25">
      <c r="A679" s="12">
        <v>1674</v>
      </c>
      <c r="B679" s="12" t="s">
        <v>1154</v>
      </c>
      <c r="C679" s="12"/>
      <c r="D679" s="12"/>
      <c r="E679" s="12"/>
      <c r="F679" s="12"/>
      <c r="G679" s="12"/>
      <c r="H679" s="12"/>
    </row>
    <row r="680" spans="1:8" x14ac:dyDescent="0.25">
      <c r="A680" s="12">
        <v>1675</v>
      </c>
      <c r="B680" s="12" t="s">
        <v>1155</v>
      </c>
      <c r="C680" s="12"/>
      <c r="D680" s="12"/>
      <c r="E680" s="12"/>
      <c r="F680" s="12"/>
      <c r="G680" s="12"/>
      <c r="H680" s="12"/>
    </row>
    <row r="681" spans="1:8" x14ac:dyDescent="0.25">
      <c r="A681" s="12">
        <v>1676</v>
      </c>
      <c r="B681" s="12" t="s">
        <v>1157</v>
      </c>
      <c r="C681" s="12"/>
      <c r="D681" s="12"/>
      <c r="E681" s="12"/>
      <c r="F681" s="12"/>
      <c r="G681" s="12"/>
      <c r="H681" s="12"/>
    </row>
    <row r="682" spans="1:8" x14ac:dyDescent="0.25">
      <c r="A682" s="12">
        <v>1677</v>
      </c>
      <c r="B682" s="12" t="s">
        <v>226</v>
      </c>
      <c r="C682" s="12"/>
      <c r="D682" s="12"/>
      <c r="E682" s="12"/>
      <c r="F682" s="12"/>
      <c r="G682" s="12"/>
      <c r="H682" s="12"/>
    </row>
    <row r="683" spans="1:8" x14ac:dyDescent="0.25">
      <c r="A683" s="12">
        <v>1678</v>
      </c>
      <c r="B683" s="12" t="s">
        <v>227</v>
      </c>
      <c r="C683" s="12"/>
      <c r="D683" s="12"/>
      <c r="E683" s="12"/>
      <c r="F683" s="12"/>
      <c r="G683" s="12"/>
      <c r="H683" s="12"/>
    </row>
    <row r="684" spans="1:8" x14ac:dyDescent="0.25">
      <c r="A684" s="12">
        <v>1679</v>
      </c>
      <c r="B684" s="12" t="s">
        <v>1159</v>
      </c>
      <c r="C684" s="12"/>
      <c r="D684" s="12"/>
      <c r="E684" s="12"/>
      <c r="F684" s="12"/>
      <c r="G684" s="12"/>
      <c r="H684" s="12"/>
    </row>
    <row r="685" spans="1:8" x14ac:dyDescent="0.25">
      <c r="A685" s="12">
        <v>1680</v>
      </c>
      <c r="B685" s="12" t="s">
        <v>1160</v>
      </c>
      <c r="C685" s="12"/>
      <c r="D685" s="12"/>
      <c r="E685" s="12"/>
      <c r="F685" s="12"/>
      <c r="G685" s="12"/>
      <c r="H685" s="12"/>
    </row>
    <row r="686" spans="1:8" x14ac:dyDescent="0.25">
      <c r="A686" s="12">
        <v>1681</v>
      </c>
      <c r="B686" s="12" t="s">
        <v>228</v>
      </c>
      <c r="C686" s="12"/>
      <c r="D686" s="12"/>
      <c r="E686" s="12"/>
      <c r="F686" s="12"/>
      <c r="G686" s="12"/>
      <c r="H686" s="12"/>
    </row>
    <row r="687" spans="1:8" x14ac:dyDescent="0.25">
      <c r="A687" s="12">
        <v>1682</v>
      </c>
      <c r="B687" s="12" t="s">
        <v>1161</v>
      </c>
      <c r="C687" s="12"/>
      <c r="D687" s="12"/>
      <c r="E687" s="12"/>
      <c r="F687" s="12"/>
      <c r="G687" s="12"/>
      <c r="H687" s="12"/>
    </row>
    <row r="688" spans="1:8" x14ac:dyDescent="0.25">
      <c r="A688" s="12">
        <v>1683</v>
      </c>
      <c r="B688" s="12" t="s">
        <v>1167</v>
      </c>
      <c r="C688" s="12"/>
      <c r="D688" s="12"/>
      <c r="E688" s="12"/>
      <c r="F688" s="12"/>
      <c r="G688" s="12"/>
      <c r="H688" s="12"/>
    </row>
    <row r="689" spans="1:8" x14ac:dyDescent="0.25">
      <c r="A689" s="12">
        <v>1684</v>
      </c>
      <c r="B689" s="12" t="s">
        <v>230</v>
      </c>
      <c r="C689" s="12"/>
      <c r="D689" s="12"/>
      <c r="E689" s="12"/>
      <c r="F689" s="12"/>
      <c r="G689" s="12"/>
      <c r="H689" s="12"/>
    </row>
    <row r="690" spans="1:8" x14ac:dyDescent="0.25">
      <c r="A690" s="12">
        <v>1685</v>
      </c>
      <c r="B690" s="12" t="s">
        <v>1162</v>
      </c>
      <c r="C690" s="12"/>
      <c r="D690" s="12"/>
      <c r="E690" s="12"/>
      <c r="F690" s="12"/>
      <c r="G690" s="12"/>
      <c r="H690" s="12"/>
    </row>
    <row r="691" spans="1:8" x14ac:dyDescent="0.25">
      <c r="A691" s="12">
        <v>1686</v>
      </c>
      <c r="B691" s="12" t="s">
        <v>1163</v>
      </c>
      <c r="C691" s="12"/>
      <c r="D691" s="12"/>
      <c r="E691" s="12"/>
      <c r="F691" s="12"/>
      <c r="G691" s="12"/>
      <c r="H691" s="12"/>
    </row>
    <row r="692" spans="1:8" x14ac:dyDescent="0.25">
      <c r="A692" s="12">
        <v>1687</v>
      </c>
      <c r="B692" s="12" t="s">
        <v>1164</v>
      </c>
      <c r="C692" s="12"/>
      <c r="D692" s="12"/>
      <c r="E692" s="12"/>
      <c r="F692" s="12"/>
      <c r="G692" s="12"/>
      <c r="H692" s="12"/>
    </row>
    <row r="693" spans="1:8" x14ac:dyDescent="0.25">
      <c r="A693" s="12">
        <v>1688</v>
      </c>
      <c r="B693" s="12" t="s">
        <v>231</v>
      </c>
      <c r="C693" s="12"/>
      <c r="D693" s="12"/>
      <c r="E693" s="12"/>
      <c r="F693" s="12"/>
      <c r="G693" s="12"/>
      <c r="H693" s="12"/>
    </row>
    <row r="694" spans="1:8" x14ac:dyDescent="0.25">
      <c r="A694" s="12">
        <v>1689</v>
      </c>
      <c r="B694" s="12" t="s">
        <v>232</v>
      </c>
      <c r="C694" s="12"/>
      <c r="D694" s="12"/>
      <c r="E694" s="12"/>
      <c r="F694" s="12"/>
      <c r="G694" s="12"/>
      <c r="H694" s="12"/>
    </row>
    <row r="695" spans="1:8" x14ac:dyDescent="0.25">
      <c r="A695" s="12">
        <v>1690</v>
      </c>
      <c r="B695" s="12" t="s">
        <v>1165</v>
      </c>
      <c r="C695" s="12"/>
      <c r="D695" s="12"/>
      <c r="E695" s="12"/>
      <c r="F695" s="12"/>
      <c r="G695" s="12"/>
      <c r="H695" s="12"/>
    </row>
    <row r="696" spans="1:8" x14ac:dyDescent="0.25">
      <c r="A696" s="12">
        <v>1691</v>
      </c>
      <c r="B696" s="12" t="s">
        <v>1166</v>
      </c>
      <c r="C696" s="12"/>
      <c r="D696" s="12"/>
      <c r="E696" s="12"/>
      <c r="F696" s="12"/>
      <c r="G696" s="12"/>
      <c r="H696" s="12"/>
    </row>
    <row r="697" spans="1:8" x14ac:dyDescent="0.25">
      <c r="A697" s="12">
        <v>1692</v>
      </c>
      <c r="B697" s="12" t="s">
        <v>1168</v>
      </c>
      <c r="C697" s="12"/>
      <c r="D697" s="12"/>
      <c r="E697" s="12"/>
      <c r="F697" s="12"/>
      <c r="G697" s="12"/>
      <c r="H697" s="12"/>
    </row>
    <row r="698" spans="1:8" x14ac:dyDescent="0.25">
      <c r="A698" s="12">
        <v>1693</v>
      </c>
      <c r="B698" s="12" t="s">
        <v>1169</v>
      </c>
      <c r="C698" s="12"/>
      <c r="D698" s="12"/>
      <c r="E698" s="12"/>
      <c r="F698" s="12"/>
      <c r="G698" s="12"/>
      <c r="H698" s="12"/>
    </row>
    <row r="699" spans="1:8" x14ac:dyDescent="0.25">
      <c r="A699" s="12">
        <v>1694</v>
      </c>
      <c r="B699" s="12" t="s">
        <v>1170</v>
      </c>
      <c r="C699" s="12"/>
      <c r="D699" s="12"/>
      <c r="E699" s="12"/>
      <c r="F699" s="12"/>
      <c r="G699" s="12"/>
      <c r="H699" s="12"/>
    </row>
    <row r="700" spans="1:8" x14ac:dyDescent="0.25">
      <c r="A700" s="12">
        <v>1695</v>
      </c>
      <c r="B700" s="12" t="s">
        <v>1171</v>
      </c>
      <c r="C700" s="12"/>
      <c r="D700" s="12"/>
      <c r="E700" s="12"/>
      <c r="F700" s="12"/>
      <c r="G700" s="12"/>
      <c r="H700" s="12"/>
    </row>
    <row r="701" spans="1:8" x14ac:dyDescent="0.25">
      <c r="A701" s="12">
        <v>1696</v>
      </c>
      <c r="B701" s="12" t="s">
        <v>1172</v>
      </c>
      <c r="C701" s="12"/>
      <c r="D701" s="12"/>
      <c r="E701" s="12"/>
      <c r="F701" s="12"/>
      <c r="G701" s="12"/>
      <c r="H701" s="12"/>
    </row>
    <row r="702" spans="1:8" x14ac:dyDescent="0.25">
      <c r="A702" s="12">
        <v>1697</v>
      </c>
      <c r="B702" s="12" t="s">
        <v>1181</v>
      </c>
      <c r="C702" s="12"/>
      <c r="D702" s="12"/>
      <c r="E702" s="12"/>
      <c r="F702" s="12"/>
      <c r="G702" s="12"/>
      <c r="H702" s="12"/>
    </row>
    <row r="703" spans="1:8" x14ac:dyDescent="0.25">
      <c r="A703" s="12">
        <v>1698</v>
      </c>
      <c r="B703" s="12" t="s">
        <v>1183</v>
      </c>
      <c r="C703" s="12"/>
      <c r="D703" s="12"/>
      <c r="E703" s="12"/>
      <c r="F703" s="12"/>
      <c r="G703" s="12"/>
      <c r="H703" s="12"/>
    </row>
    <row r="704" spans="1:8" x14ac:dyDescent="0.25">
      <c r="A704" s="12">
        <v>1699</v>
      </c>
      <c r="B704" s="12" t="s">
        <v>1184</v>
      </c>
      <c r="C704" s="12"/>
      <c r="D704" s="12"/>
      <c r="E704" s="12"/>
      <c r="F704" s="12"/>
      <c r="G704" s="12"/>
      <c r="H704" s="12"/>
    </row>
    <row r="705" spans="1:8" x14ac:dyDescent="0.25">
      <c r="A705" s="12">
        <v>1700</v>
      </c>
      <c r="B705" s="12" t="s">
        <v>1185</v>
      </c>
      <c r="C705" s="12"/>
      <c r="D705" s="12"/>
      <c r="E705" s="12"/>
      <c r="F705" s="12"/>
      <c r="G705" s="12"/>
      <c r="H705" s="12"/>
    </row>
    <row r="706" spans="1:8" x14ac:dyDescent="0.25">
      <c r="A706" s="12">
        <v>1701</v>
      </c>
      <c r="B706" s="12" t="s">
        <v>1187</v>
      </c>
      <c r="C706" s="12"/>
      <c r="D706" s="12"/>
      <c r="E706" s="12"/>
      <c r="F706" s="12"/>
      <c r="G706" s="12"/>
      <c r="H706" s="12"/>
    </row>
    <row r="707" spans="1:8" x14ac:dyDescent="0.25">
      <c r="A707" s="12">
        <v>1702</v>
      </c>
      <c r="B707" s="12" t="s">
        <v>234</v>
      </c>
      <c r="C707" s="12"/>
      <c r="D707" s="12"/>
      <c r="E707" s="12"/>
      <c r="F707" s="12"/>
      <c r="G707" s="12"/>
      <c r="H707" s="12"/>
    </row>
    <row r="708" spans="1:8" x14ac:dyDescent="0.25">
      <c r="A708" s="12">
        <v>1703</v>
      </c>
      <c r="B708" s="12" t="s">
        <v>1188</v>
      </c>
      <c r="C708" s="12"/>
      <c r="D708" s="12"/>
      <c r="E708" s="12"/>
      <c r="F708" s="12"/>
      <c r="G708" s="12"/>
      <c r="H708" s="12"/>
    </row>
    <row r="709" spans="1:8" x14ac:dyDescent="0.25">
      <c r="A709" s="12">
        <v>1704</v>
      </c>
      <c r="B709" s="12" t="s">
        <v>1189</v>
      </c>
      <c r="C709" s="12"/>
      <c r="D709" s="12"/>
      <c r="E709" s="12"/>
      <c r="F709" s="12"/>
      <c r="G709" s="12"/>
      <c r="H709" s="12"/>
    </row>
    <row r="710" spans="1:8" x14ac:dyDescent="0.25">
      <c r="A710" s="12">
        <v>1705</v>
      </c>
      <c r="B710" s="12" t="s">
        <v>1190</v>
      </c>
      <c r="C710" s="12"/>
      <c r="D710" s="12"/>
      <c r="E710" s="12"/>
      <c r="F710" s="12"/>
      <c r="G710" s="12"/>
      <c r="H710" s="12"/>
    </row>
    <row r="711" spans="1:8" x14ac:dyDescent="0.25">
      <c r="A711" s="12">
        <v>1706</v>
      </c>
      <c r="B711" s="12" t="s">
        <v>235</v>
      </c>
      <c r="C711" s="12"/>
      <c r="D711" s="12"/>
      <c r="E711" s="12"/>
      <c r="F711" s="12"/>
      <c r="G711" s="12"/>
      <c r="H711" s="12"/>
    </row>
    <row r="712" spans="1:8" x14ac:dyDescent="0.25">
      <c r="A712" s="12">
        <v>1707</v>
      </c>
      <c r="B712" s="12" t="s">
        <v>236</v>
      </c>
      <c r="C712" s="12"/>
      <c r="D712" s="12"/>
      <c r="E712" s="12"/>
      <c r="F712" s="12"/>
      <c r="G712" s="12"/>
      <c r="H712" s="12"/>
    </row>
    <row r="713" spans="1:8" x14ac:dyDescent="0.25">
      <c r="A713" s="12">
        <v>1708</v>
      </c>
      <c r="B713" s="12" t="s">
        <v>1191</v>
      </c>
      <c r="C713" s="12"/>
      <c r="D713" s="12"/>
      <c r="E713" s="12"/>
      <c r="F713" s="12"/>
      <c r="G713" s="12"/>
      <c r="H713" s="12"/>
    </row>
    <row r="714" spans="1:8" x14ac:dyDescent="0.25">
      <c r="A714" s="12">
        <v>1709</v>
      </c>
      <c r="B714" s="12" t="s">
        <v>1196</v>
      </c>
      <c r="C714" s="12"/>
      <c r="D714" s="12"/>
      <c r="E714" s="12"/>
      <c r="F714" s="12"/>
      <c r="G714" s="12"/>
      <c r="H714" s="12"/>
    </row>
    <row r="715" spans="1:8" x14ac:dyDescent="0.25">
      <c r="A715" s="12">
        <v>1710</v>
      </c>
      <c r="B715" s="12" t="s">
        <v>1205</v>
      </c>
      <c r="C715" s="12"/>
      <c r="D715" s="12"/>
      <c r="E715" s="12"/>
      <c r="F715" s="12"/>
      <c r="G715" s="12"/>
      <c r="H715" s="12"/>
    </row>
    <row r="716" spans="1:8" x14ac:dyDescent="0.25">
      <c r="A716" s="12">
        <v>1711</v>
      </c>
      <c r="B716" s="12" t="s">
        <v>1206</v>
      </c>
      <c r="C716" s="12"/>
      <c r="D716" s="12"/>
      <c r="E716" s="12"/>
      <c r="F716" s="12"/>
      <c r="G716" s="12"/>
      <c r="H716" s="12"/>
    </row>
    <row r="717" spans="1:8" x14ac:dyDescent="0.25">
      <c r="A717" s="12">
        <v>1712</v>
      </c>
      <c r="B717" s="12" t="s">
        <v>237</v>
      </c>
      <c r="C717" s="12"/>
      <c r="D717" s="12"/>
      <c r="E717" s="12"/>
      <c r="F717" s="12"/>
      <c r="G717" s="12"/>
      <c r="H717" s="12"/>
    </row>
    <row r="718" spans="1:8" x14ac:dyDescent="0.25">
      <c r="A718" s="12">
        <v>1713</v>
      </c>
      <c r="B718" s="12" t="s">
        <v>1195</v>
      </c>
      <c r="C718" s="12"/>
      <c r="D718" s="12"/>
      <c r="E718" s="12"/>
      <c r="F718" s="12"/>
      <c r="G718" s="12"/>
      <c r="H718" s="12"/>
    </row>
    <row r="719" spans="1:8" x14ac:dyDescent="0.25">
      <c r="A719" s="12">
        <v>1714</v>
      </c>
      <c r="B719" s="12" t="s">
        <v>1192</v>
      </c>
      <c r="C719" s="12"/>
      <c r="D719" s="12"/>
      <c r="E719" s="12"/>
      <c r="F719" s="12"/>
      <c r="G719" s="12"/>
      <c r="H719" s="12"/>
    </row>
    <row r="720" spans="1:8" x14ac:dyDescent="0.25">
      <c r="A720" s="12">
        <v>1715</v>
      </c>
      <c r="B720" s="12" t="s">
        <v>1193</v>
      </c>
      <c r="C720" s="12"/>
      <c r="D720" s="12"/>
      <c r="E720" s="12"/>
      <c r="F720" s="12"/>
      <c r="G720" s="12"/>
      <c r="H720" s="12"/>
    </row>
    <row r="721" spans="1:8" x14ac:dyDescent="0.25">
      <c r="A721" s="12">
        <v>1716</v>
      </c>
      <c r="B721" s="12" t="s">
        <v>1194</v>
      </c>
      <c r="C721" s="12"/>
      <c r="D721" s="12"/>
      <c r="E721" s="12"/>
      <c r="F721" s="12"/>
      <c r="G721" s="12"/>
      <c r="H721" s="12"/>
    </row>
    <row r="722" spans="1:8" x14ac:dyDescent="0.25">
      <c r="A722" s="12">
        <v>1717</v>
      </c>
      <c r="B722" s="12" t="s">
        <v>238</v>
      </c>
      <c r="C722" s="12"/>
      <c r="D722" s="12"/>
      <c r="E722" s="12"/>
      <c r="F722" s="12"/>
      <c r="G722" s="12"/>
      <c r="H722" s="12"/>
    </row>
    <row r="723" spans="1:8" x14ac:dyDescent="0.25">
      <c r="A723" s="12">
        <v>1718</v>
      </c>
      <c r="B723" s="12" t="s">
        <v>239</v>
      </c>
      <c r="C723" s="12"/>
      <c r="D723" s="12"/>
      <c r="E723" s="12"/>
      <c r="F723" s="12"/>
      <c r="G723" s="12"/>
      <c r="H723" s="12"/>
    </row>
    <row r="724" spans="1:8" x14ac:dyDescent="0.25">
      <c r="A724" s="12">
        <v>1719</v>
      </c>
      <c r="B724" s="12" t="s">
        <v>1197</v>
      </c>
      <c r="C724" s="12"/>
      <c r="D724" s="12"/>
      <c r="E724" s="12"/>
      <c r="F724" s="12"/>
      <c r="G724" s="12"/>
      <c r="H724" s="12"/>
    </row>
    <row r="725" spans="1:8" x14ac:dyDescent="0.25">
      <c r="A725" s="12">
        <v>1720</v>
      </c>
      <c r="B725" s="12" t="s">
        <v>240</v>
      </c>
      <c r="C725" s="12"/>
      <c r="D725" s="12"/>
      <c r="E725" s="12"/>
      <c r="F725" s="12"/>
      <c r="G725" s="12"/>
      <c r="H725" s="12"/>
    </row>
    <row r="726" spans="1:8" x14ac:dyDescent="0.25">
      <c r="A726" s="12">
        <v>1721</v>
      </c>
      <c r="B726" s="12" t="s">
        <v>1198</v>
      </c>
      <c r="C726" s="12"/>
      <c r="D726" s="12"/>
      <c r="E726" s="12"/>
      <c r="F726" s="12"/>
      <c r="G726" s="12"/>
      <c r="H726" s="12"/>
    </row>
    <row r="727" spans="1:8" x14ac:dyDescent="0.25">
      <c r="A727" s="12">
        <v>1722</v>
      </c>
      <c r="B727" s="12" t="s">
        <v>1199</v>
      </c>
      <c r="C727" s="12"/>
      <c r="D727" s="12"/>
      <c r="E727" s="12"/>
      <c r="F727" s="12"/>
      <c r="G727" s="12"/>
      <c r="H727" s="12"/>
    </row>
    <row r="728" spans="1:8" x14ac:dyDescent="0.25">
      <c r="A728" s="12">
        <v>1723</v>
      </c>
      <c r="B728" s="12" t="s">
        <v>1200</v>
      </c>
      <c r="C728" s="12"/>
      <c r="D728" s="12"/>
      <c r="E728" s="12"/>
      <c r="F728" s="12"/>
      <c r="G728" s="12"/>
      <c r="H728" s="12"/>
    </row>
    <row r="729" spans="1:8" x14ac:dyDescent="0.25">
      <c r="A729" s="12">
        <v>1724</v>
      </c>
      <c r="B729" s="12" t="s">
        <v>241</v>
      </c>
      <c r="C729" s="12"/>
      <c r="D729" s="12"/>
      <c r="E729" s="12"/>
      <c r="F729" s="12"/>
      <c r="G729" s="12"/>
      <c r="H729" s="12"/>
    </row>
    <row r="730" spans="1:8" x14ac:dyDescent="0.25">
      <c r="A730" s="12">
        <v>1725</v>
      </c>
      <c r="B730" s="12" t="s">
        <v>1201</v>
      </c>
      <c r="C730" s="12"/>
      <c r="D730" s="12"/>
      <c r="E730" s="12"/>
      <c r="F730" s="12"/>
      <c r="G730" s="12"/>
      <c r="H730" s="12"/>
    </row>
    <row r="731" spans="1:8" x14ac:dyDescent="0.25">
      <c r="A731" s="12">
        <v>1726</v>
      </c>
      <c r="B731" s="12" t="s">
        <v>1203</v>
      </c>
      <c r="C731" s="12"/>
      <c r="D731" s="12"/>
      <c r="E731" s="12"/>
      <c r="F731" s="12"/>
      <c r="G731" s="12"/>
      <c r="H731" s="12"/>
    </row>
    <row r="732" spans="1:8" x14ac:dyDescent="0.25">
      <c r="A732" s="12">
        <v>1727</v>
      </c>
      <c r="B732" s="12" t="s">
        <v>1204</v>
      </c>
      <c r="C732" s="12"/>
      <c r="D732" s="12"/>
      <c r="E732" s="12"/>
      <c r="F732" s="12"/>
      <c r="G732" s="12"/>
      <c r="H732" s="12"/>
    </row>
    <row r="733" spans="1:8" x14ac:dyDescent="0.25">
      <c r="A733" s="12">
        <v>1728</v>
      </c>
      <c r="B733" s="12" t="s">
        <v>1207</v>
      </c>
      <c r="C733" s="12"/>
      <c r="D733" s="12"/>
      <c r="E733" s="12"/>
      <c r="F733" s="12"/>
      <c r="G733" s="12"/>
      <c r="H733" s="12"/>
    </row>
    <row r="734" spans="1:8" x14ac:dyDescent="0.25">
      <c r="A734" s="12">
        <v>1729</v>
      </c>
      <c r="B734" s="12" t="s">
        <v>1208</v>
      </c>
      <c r="C734" s="12"/>
      <c r="D734" s="12"/>
      <c r="E734" s="12"/>
      <c r="F734" s="12"/>
      <c r="G734" s="12"/>
      <c r="H734" s="12"/>
    </row>
    <row r="735" spans="1:8" x14ac:dyDescent="0.25">
      <c r="A735" s="12">
        <v>1730</v>
      </c>
      <c r="B735" s="12" t="s">
        <v>573</v>
      </c>
      <c r="C735" s="12" t="s">
        <v>470</v>
      </c>
      <c r="D735" s="12">
        <v>1</v>
      </c>
      <c r="E735" s="12" t="s">
        <v>1825</v>
      </c>
      <c r="F735" s="12">
        <v>0</v>
      </c>
      <c r="G735" s="12" t="s">
        <v>1826</v>
      </c>
      <c r="H735" s="13">
        <v>42447</v>
      </c>
    </row>
    <row r="736" spans="1:8" x14ac:dyDescent="0.25">
      <c r="A736" s="12">
        <v>1731</v>
      </c>
      <c r="B736" s="12" t="s">
        <v>1209</v>
      </c>
      <c r="C736" s="12"/>
      <c r="D736" s="12"/>
      <c r="E736" s="12"/>
      <c r="F736" s="12"/>
      <c r="G736" s="12"/>
      <c r="H736" s="12"/>
    </row>
    <row r="737" spans="1:8" x14ac:dyDescent="0.25">
      <c r="A737" s="12">
        <v>1732</v>
      </c>
      <c r="B737" s="12" t="s">
        <v>1214</v>
      </c>
      <c r="C737" s="12"/>
      <c r="D737" s="12"/>
      <c r="E737" s="12"/>
      <c r="F737" s="12"/>
      <c r="G737" s="12"/>
      <c r="H737" s="12"/>
    </row>
    <row r="738" spans="1:8" x14ac:dyDescent="0.25">
      <c r="A738" s="12">
        <v>1733</v>
      </c>
      <c r="B738" s="12" t="s">
        <v>1215</v>
      </c>
      <c r="C738" s="12"/>
      <c r="D738" s="12"/>
      <c r="E738" s="12"/>
      <c r="F738" s="12"/>
      <c r="G738" s="12"/>
      <c r="H738" s="12"/>
    </row>
    <row r="739" spans="1:8" x14ac:dyDescent="0.25">
      <c r="A739" s="12">
        <v>1734</v>
      </c>
      <c r="B739" s="12" t="s">
        <v>1216</v>
      </c>
      <c r="C739" s="12"/>
      <c r="D739" s="12"/>
      <c r="E739" s="12"/>
      <c r="F739" s="12"/>
      <c r="G739" s="12"/>
      <c r="H739" s="12"/>
    </row>
    <row r="740" spans="1:8" x14ac:dyDescent="0.25">
      <c r="A740" s="12">
        <v>1735</v>
      </c>
      <c r="B740" s="12" t="s">
        <v>242</v>
      </c>
      <c r="C740" s="12"/>
      <c r="D740" s="12"/>
      <c r="E740" s="12"/>
      <c r="F740" s="12"/>
      <c r="G740" s="12"/>
      <c r="H740" s="12"/>
    </row>
    <row r="741" spans="1:8" x14ac:dyDescent="0.25">
      <c r="A741" s="12">
        <v>1736</v>
      </c>
      <c r="B741" s="12" t="s">
        <v>1227</v>
      </c>
      <c r="C741" s="12"/>
      <c r="D741" s="12"/>
      <c r="E741" s="12"/>
      <c r="F741" s="12"/>
      <c r="G741" s="12"/>
      <c r="H741" s="12"/>
    </row>
    <row r="742" spans="1:8" x14ac:dyDescent="0.25">
      <c r="A742" s="12">
        <v>1737</v>
      </c>
      <c r="B742" s="12" t="s">
        <v>1230</v>
      </c>
      <c r="C742" s="12"/>
      <c r="D742" s="12"/>
      <c r="E742" s="12"/>
      <c r="F742" s="12"/>
      <c r="G742" s="12"/>
      <c r="H742" s="12"/>
    </row>
    <row r="743" spans="1:8" x14ac:dyDescent="0.25">
      <c r="A743" s="12">
        <v>1738</v>
      </c>
      <c r="B743" s="12" t="s">
        <v>1231</v>
      </c>
      <c r="C743" s="12"/>
      <c r="D743" s="12"/>
      <c r="E743" s="12"/>
      <c r="F743" s="12"/>
      <c r="G743" s="12"/>
      <c r="H743" s="12"/>
    </row>
    <row r="744" spans="1:8" x14ac:dyDescent="0.25">
      <c r="A744" s="12">
        <v>1739</v>
      </c>
      <c r="B744" s="12" t="s">
        <v>243</v>
      </c>
      <c r="C744" s="12"/>
      <c r="D744" s="12"/>
      <c r="E744" s="12"/>
      <c r="F744" s="12"/>
      <c r="G744" s="12"/>
      <c r="H744" s="12"/>
    </row>
    <row r="745" spans="1:8" x14ac:dyDescent="0.25">
      <c r="A745" s="12">
        <v>1740</v>
      </c>
      <c r="B745" s="12" t="s">
        <v>1210</v>
      </c>
      <c r="C745" s="12"/>
      <c r="D745" s="12"/>
      <c r="E745" s="12"/>
      <c r="F745" s="12"/>
      <c r="G745" s="12"/>
      <c r="H745" s="12"/>
    </row>
    <row r="746" spans="1:8" x14ac:dyDescent="0.25">
      <c r="A746" s="12">
        <v>1741</v>
      </c>
      <c r="B746" s="12" t="s">
        <v>1211</v>
      </c>
      <c r="C746" s="12"/>
      <c r="D746" s="12"/>
      <c r="E746" s="12"/>
      <c r="F746" s="12"/>
      <c r="G746" s="12"/>
      <c r="H746" s="12"/>
    </row>
    <row r="747" spans="1:8" x14ac:dyDescent="0.25">
      <c r="A747" s="12">
        <v>1742</v>
      </c>
      <c r="B747" s="12" t="s">
        <v>244</v>
      </c>
      <c r="C747" s="12"/>
      <c r="D747" s="12"/>
      <c r="E747" s="12"/>
      <c r="F747" s="12"/>
      <c r="G747" s="12"/>
      <c r="H747" s="12"/>
    </row>
    <row r="748" spans="1:8" x14ac:dyDescent="0.25">
      <c r="A748" s="12">
        <v>1743</v>
      </c>
      <c r="B748" s="12" t="s">
        <v>1212</v>
      </c>
      <c r="C748" s="12"/>
      <c r="D748" s="12"/>
      <c r="E748" s="12"/>
      <c r="F748" s="12"/>
      <c r="G748" s="12"/>
      <c r="H748" s="12"/>
    </row>
    <row r="749" spans="1:8" x14ac:dyDescent="0.25">
      <c r="A749" s="12">
        <v>1744</v>
      </c>
      <c r="B749" s="12" t="s">
        <v>1213</v>
      </c>
      <c r="C749" s="12"/>
      <c r="D749" s="12"/>
      <c r="E749" s="12"/>
      <c r="F749" s="12"/>
      <c r="G749" s="12"/>
      <c r="H749" s="12"/>
    </row>
    <row r="750" spans="1:8" x14ac:dyDescent="0.25">
      <c r="A750" s="12">
        <v>1745</v>
      </c>
      <c r="B750" s="12" t="s">
        <v>1217</v>
      </c>
      <c r="C750" s="12"/>
      <c r="D750" s="12"/>
      <c r="E750" s="12"/>
      <c r="F750" s="12"/>
      <c r="G750" s="12"/>
      <c r="H750" s="12"/>
    </row>
    <row r="751" spans="1:8" x14ac:dyDescent="0.25">
      <c r="A751" s="12">
        <v>1746</v>
      </c>
      <c r="B751" s="12" t="s">
        <v>1218</v>
      </c>
      <c r="C751" s="12"/>
      <c r="D751" s="12"/>
      <c r="E751" s="12"/>
      <c r="F751" s="12"/>
      <c r="G751" s="12"/>
      <c r="H751" s="12"/>
    </row>
    <row r="752" spans="1:8" x14ac:dyDescent="0.25">
      <c r="A752" s="12">
        <v>1747</v>
      </c>
      <c r="B752" s="12" t="s">
        <v>1219</v>
      </c>
      <c r="C752" s="12"/>
      <c r="D752" s="12"/>
      <c r="E752" s="12"/>
      <c r="F752" s="12"/>
      <c r="G752" s="12"/>
      <c r="H752" s="12"/>
    </row>
    <row r="753" spans="1:8" x14ac:dyDescent="0.25">
      <c r="A753" s="12">
        <v>1748</v>
      </c>
      <c r="B753" s="12" t="s">
        <v>1220</v>
      </c>
      <c r="C753" s="12"/>
      <c r="D753" s="12"/>
      <c r="E753" s="12"/>
      <c r="F753" s="12"/>
      <c r="G753" s="12"/>
      <c r="H753" s="12"/>
    </row>
    <row r="754" spans="1:8" x14ac:dyDescent="0.25">
      <c r="A754" s="12">
        <v>1749</v>
      </c>
      <c r="B754" s="12" t="s">
        <v>1221</v>
      </c>
      <c r="C754" s="12"/>
      <c r="D754" s="12"/>
      <c r="E754" s="12"/>
      <c r="F754" s="12"/>
      <c r="G754" s="12"/>
      <c r="H754" s="12"/>
    </row>
    <row r="755" spans="1:8" x14ac:dyDescent="0.25">
      <c r="A755" s="12">
        <v>1750</v>
      </c>
      <c r="B755" s="12" t="s">
        <v>1222</v>
      </c>
      <c r="C755" s="12"/>
      <c r="D755" s="12"/>
      <c r="E755" s="12"/>
      <c r="F755" s="12"/>
      <c r="G755" s="12"/>
      <c r="H755" s="12"/>
    </row>
    <row r="756" spans="1:8" x14ac:dyDescent="0.25">
      <c r="A756" s="12">
        <v>1751</v>
      </c>
      <c r="B756" s="12" t="s">
        <v>1223</v>
      </c>
      <c r="C756" s="12"/>
      <c r="D756" s="12"/>
      <c r="E756" s="12"/>
      <c r="F756" s="12"/>
      <c r="G756" s="12"/>
      <c r="H756" s="12"/>
    </row>
    <row r="757" spans="1:8" x14ac:dyDescent="0.25">
      <c r="A757" s="12">
        <v>1752</v>
      </c>
      <c r="B757" s="12" t="s">
        <v>245</v>
      </c>
      <c r="C757" s="12"/>
      <c r="D757" s="12"/>
      <c r="E757" s="12"/>
      <c r="F757" s="12"/>
      <c r="G757" s="12"/>
      <c r="H757" s="12"/>
    </row>
    <row r="758" spans="1:8" x14ac:dyDescent="0.25">
      <c r="A758" s="12">
        <v>1753</v>
      </c>
      <c r="B758" s="12" t="s">
        <v>1224</v>
      </c>
      <c r="C758" s="12"/>
      <c r="D758" s="12"/>
      <c r="E758" s="12"/>
      <c r="F758" s="12"/>
      <c r="G758" s="12"/>
      <c r="H758" s="12"/>
    </row>
    <row r="759" spans="1:8" x14ac:dyDescent="0.25">
      <c r="A759" s="12">
        <v>1754</v>
      </c>
      <c r="B759" s="12" t="s">
        <v>1225</v>
      </c>
      <c r="C759" s="12"/>
      <c r="D759" s="12"/>
      <c r="E759" s="12"/>
      <c r="F759" s="12"/>
      <c r="G759" s="12"/>
      <c r="H759" s="12"/>
    </row>
    <row r="760" spans="1:8" x14ac:dyDescent="0.25">
      <c r="A760" s="12">
        <v>1755</v>
      </c>
      <c r="B760" s="12" t="s">
        <v>1226</v>
      </c>
      <c r="C760" s="12"/>
      <c r="D760" s="12"/>
      <c r="E760" s="12"/>
      <c r="F760" s="12"/>
      <c r="G760" s="12"/>
      <c r="H760" s="12"/>
    </row>
    <row r="761" spans="1:8" x14ac:dyDescent="0.25">
      <c r="A761" s="12">
        <v>1756</v>
      </c>
      <c r="B761" s="12" t="s">
        <v>1228</v>
      </c>
      <c r="C761" s="12"/>
      <c r="D761" s="12"/>
      <c r="E761" s="12"/>
      <c r="F761" s="12"/>
      <c r="G761" s="12"/>
      <c r="H761" s="12"/>
    </row>
    <row r="762" spans="1:8" x14ac:dyDescent="0.25">
      <c r="A762" s="12">
        <v>1757</v>
      </c>
      <c r="B762" s="12" t="s">
        <v>1229</v>
      </c>
      <c r="C762" s="12"/>
      <c r="D762" s="12"/>
      <c r="E762" s="12"/>
      <c r="F762" s="12"/>
      <c r="G762" s="12"/>
      <c r="H762" s="12"/>
    </row>
    <row r="763" spans="1:8" x14ac:dyDescent="0.25">
      <c r="A763" s="12">
        <v>1758</v>
      </c>
      <c r="B763" s="12" t="s">
        <v>574</v>
      </c>
      <c r="C763" s="12" t="s">
        <v>470</v>
      </c>
      <c r="D763" s="12">
        <v>1</v>
      </c>
      <c r="E763" s="12" t="s">
        <v>1827</v>
      </c>
      <c r="F763" s="12">
        <v>0</v>
      </c>
      <c r="G763" s="12" t="s">
        <v>1828</v>
      </c>
      <c r="H763" s="13">
        <v>42447</v>
      </c>
    </row>
    <row r="764" spans="1:8" x14ac:dyDescent="0.25">
      <c r="A764" s="12">
        <v>1759</v>
      </c>
      <c r="B764" s="12" t="s">
        <v>575</v>
      </c>
      <c r="C764" s="12" t="s">
        <v>470</v>
      </c>
      <c r="D764" s="12">
        <v>1</v>
      </c>
      <c r="E764" s="12" t="s">
        <v>1829</v>
      </c>
      <c r="F764" s="12">
        <v>0</v>
      </c>
      <c r="G764" s="12" t="s">
        <v>1828</v>
      </c>
      <c r="H764" s="13">
        <v>42447</v>
      </c>
    </row>
    <row r="765" spans="1:8" x14ac:dyDescent="0.25">
      <c r="A765" s="12">
        <v>1760</v>
      </c>
      <c r="B765" s="12" t="s">
        <v>1232</v>
      </c>
      <c r="C765" s="12"/>
      <c r="D765" s="12"/>
      <c r="E765" s="12"/>
      <c r="F765" s="12"/>
      <c r="G765" s="12"/>
      <c r="H765" s="12"/>
    </row>
    <row r="766" spans="1:8" x14ac:dyDescent="0.25">
      <c r="A766" s="12">
        <v>1761</v>
      </c>
      <c r="B766" s="12" t="s">
        <v>1233</v>
      </c>
      <c r="C766" s="12"/>
      <c r="D766" s="12"/>
      <c r="E766" s="12"/>
      <c r="F766" s="12"/>
      <c r="G766" s="12"/>
      <c r="H766" s="12"/>
    </row>
    <row r="767" spans="1:8" x14ac:dyDescent="0.25">
      <c r="A767" s="12">
        <v>1762</v>
      </c>
      <c r="B767" s="12" t="s">
        <v>1234</v>
      </c>
      <c r="C767" s="12"/>
      <c r="D767" s="12"/>
      <c r="E767" s="12"/>
      <c r="F767" s="12"/>
      <c r="G767" s="12"/>
      <c r="H767" s="12"/>
    </row>
    <row r="768" spans="1:8" x14ac:dyDescent="0.25">
      <c r="A768" s="12">
        <v>1763</v>
      </c>
      <c r="B768" s="12" t="s">
        <v>1235</v>
      </c>
      <c r="C768" s="12"/>
      <c r="D768" s="12"/>
      <c r="E768" s="12"/>
      <c r="F768" s="12"/>
      <c r="G768" s="12"/>
      <c r="H768" s="12"/>
    </row>
    <row r="769" spans="1:8" x14ac:dyDescent="0.25">
      <c r="A769" s="12">
        <v>1764</v>
      </c>
      <c r="B769" s="12" t="s">
        <v>1236</v>
      </c>
      <c r="C769" s="12"/>
      <c r="D769" s="12"/>
      <c r="E769" s="12"/>
      <c r="F769" s="12"/>
      <c r="G769" s="12"/>
      <c r="H769" s="12"/>
    </row>
    <row r="770" spans="1:8" x14ac:dyDescent="0.25">
      <c r="A770" s="12">
        <v>1765</v>
      </c>
      <c r="B770" s="12" t="s">
        <v>1237</v>
      </c>
      <c r="C770" s="12"/>
      <c r="D770" s="12"/>
      <c r="E770" s="12"/>
      <c r="F770" s="12"/>
      <c r="G770" s="12"/>
      <c r="H770" s="12"/>
    </row>
    <row r="771" spans="1:8" x14ac:dyDescent="0.25">
      <c r="A771" s="12">
        <v>1766</v>
      </c>
      <c r="B771" s="12" t="s">
        <v>1238</v>
      </c>
      <c r="C771" s="12"/>
      <c r="D771" s="12"/>
      <c r="E771" s="12"/>
      <c r="F771" s="12"/>
      <c r="G771" s="12"/>
      <c r="H771" s="12"/>
    </row>
    <row r="772" spans="1:8" x14ac:dyDescent="0.25">
      <c r="A772" s="12">
        <v>1767</v>
      </c>
      <c r="B772" s="12" t="s">
        <v>1239</v>
      </c>
      <c r="C772" s="12"/>
      <c r="D772" s="12"/>
      <c r="E772" s="12"/>
      <c r="F772" s="12"/>
      <c r="G772" s="12"/>
      <c r="H772" s="12"/>
    </row>
    <row r="773" spans="1:8" x14ac:dyDescent="0.25">
      <c r="A773" s="12">
        <v>1768</v>
      </c>
      <c r="B773" s="12" t="s">
        <v>246</v>
      </c>
      <c r="C773" s="12"/>
      <c r="D773" s="12"/>
      <c r="E773" s="12"/>
      <c r="F773" s="12"/>
      <c r="G773" s="12"/>
      <c r="H773" s="12"/>
    </row>
    <row r="774" spans="1:8" x14ac:dyDescent="0.25">
      <c r="A774" s="12">
        <v>1769</v>
      </c>
      <c r="B774" s="12" t="s">
        <v>1264</v>
      </c>
      <c r="C774" s="12"/>
      <c r="D774" s="12"/>
      <c r="E774" s="12"/>
      <c r="F774" s="12"/>
      <c r="G774" s="12"/>
      <c r="H774" s="12"/>
    </row>
    <row r="775" spans="1:8" x14ac:dyDescent="0.25">
      <c r="A775" s="12">
        <v>1770</v>
      </c>
      <c r="B775" s="12" t="s">
        <v>247</v>
      </c>
      <c r="C775" s="12"/>
      <c r="D775" s="12"/>
      <c r="E775" s="12"/>
      <c r="F775" s="12"/>
      <c r="G775" s="12"/>
      <c r="H775" s="12"/>
    </row>
    <row r="776" spans="1:8" x14ac:dyDescent="0.25">
      <c r="A776" s="12">
        <v>1771</v>
      </c>
      <c r="B776" s="12" t="s">
        <v>248</v>
      </c>
      <c r="C776" s="12"/>
      <c r="D776" s="12"/>
      <c r="E776" s="12"/>
      <c r="F776" s="12"/>
      <c r="G776" s="12"/>
      <c r="H776" s="12"/>
    </row>
    <row r="777" spans="1:8" x14ac:dyDescent="0.25">
      <c r="A777" s="12">
        <v>1772</v>
      </c>
      <c r="B777" s="12" t="s">
        <v>576</v>
      </c>
      <c r="C777" s="12"/>
      <c r="D777" s="12"/>
      <c r="E777" s="12"/>
      <c r="F777" s="12"/>
      <c r="G777" s="12"/>
      <c r="H777" s="13"/>
    </row>
    <row r="778" spans="1:8" x14ac:dyDescent="0.25">
      <c r="A778" s="12">
        <v>1773</v>
      </c>
      <c r="B778" s="12" t="s">
        <v>577</v>
      </c>
      <c r="C778" s="12" t="s">
        <v>470</v>
      </c>
      <c r="D778" s="12">
        <v>1</v>
      </c>
      <c r="E778" s="12" t="s">
        <v>1830</v>
      </c>
      <c r="F778" s="12">
        <v>0</v>
      </c>
      <c r="G778" s="12" t="s">
        <v>571</v>
      </c>
      <c r="H778" s="13">
        <v>42439</v>
      </c>
    </row>
    <row r="779" spans="1:8" x14ac:dyDescent="0.25">
      <c r="A779" s="12">
        <v>1774</v>
      </c>
      <c r="B779" s="12" t="s">
        <v>1265</v>
      </c>
      <c r="C779" s="12"/>
      <c r="D779" s="12"/>
      <c r="E779" s="12"/>
      <c r="F779" s="12"/>
      <c r="G779" s="12"/>
      <c r="H779" s="12"/>
    </row>
    <row r="780" spans="1:8" x14ac:dyDescent="0.25">
      <c r="A780" s="12">
        <v>1775</v>
      </c>
      <c r="B780" s="12" t="s">
        <v>1266</v>
      </c>
      <c r="C780" s="12"/>
      <c r="D780" s="12"/>
      <c r="E780" s="12"/>
      <c r="F780" s="12"/>
      <c r="G780" s="12"/>
      <c r="H780" s="12"/>
    </row>
    <row r="781" spans="1:8" x14ac:dyDescent="0.25">
      <c r="A781" s="12">
        <v>1776</v>
      </c>
      <c r="B781" s="12" t="s">
        <v>1267</v>
      </c>
      <c r="C781" s="12"/>
      <c r="D781" s="12"/>
      <c r="E781" s="12"/>
      <c r="F781" s="12"/>
      <c r="G781" s="12"/>
      <c r="H781" s="12"/>
    </row>
    <row r="782" spans="1:8" x14ac:dyDescent="0.25">
      <c r="A782" s="12">
        <v>1777</v>
      </c>
      <c r="B782" s="12" t="s">
        <v>1270</v>
      </c>
      <c r="C782" s="12"/>
      <c r="D782" s="12"/>
      <c r="E782" s="12"/>
      <c r="F782" s="12"/>
      <c r="G782" s="12"/>
      <c r="H782" s="12"/>
    </row>
    <row r="783" spans="1:8" x14ac:dyDescent="0.25">
      <c r="A783" s="12">
        <v>1778</v>
      </c>
      <c r="B783" s="12" t="s">
        <v>1271</v>
      </c>
      <c r="C783" s="12"/>
      <c r="D783" s="12"/>
      <c r="E783" s="12"/>
      <c r="F783" s="12"/>
      <c r="G783" s="12"/>
      <c r="H783" s="12"/>
    </row>
    <row r="784" spans="1:8" x14ac:dyDescent="0.25">
      <c r="A784" s="12">
        <v>1779</v>
      </c>
      <c r="B784" s="12" t="s">
        <v>1269</v>
      </c>
      <c r="C784" s="12"/>
      <c r="D784" s="12"/>
      <c r="E784" s="12"/>
      <c r="F784" s="12"/>
      <c r="G784" s="12"/>
      <c r="H784" s="12"/>
    </row>
    <row r="785" spans="1:8" x14ac:dyDescent="0.25">
      <c r="A785" s="12">
        <v>1780</v>
      </c>
      <c r="B785" s="12" t="s">
        <v>249</v>
      </c>
      <c r="C785" s="12"/>
      <c r="D785" s="12"/>
      <c r="E785" s="12"/>
      <c r="F785" s="12"/>
      <c r="G785" s="12"/>
      <c r="H785" s="12"/>
    </row>
    <row r="786" spans="1:8" x14ac:dyDescent="0.25">
      <c r="A786" s="12">
        <v>1781</v>
      </c>
      <c r="B786" s="12" t="s">
        <v>1272</v>
      </c>
      <c r="C786" s="12"/>
      <c r="D786" s="12"/>
      <c r="E786" s="12"/>
      <c r="F786" s="12"/>
      <c r="G786" s="12"/>
      <c r="H786" s="12"/>
    </row>
    <row r="787" spans="1:8" x14ac:dyDescent="0.25">
      <c r="A787" s="12">
        <v>1782</v>
      </c>
      <c r="B787" s="12" t="s">
        <v>1273</v>
      </c>
      <c r="C787" s="12"/>
      <c r="D787" s="12"/>
      <c r="E787" s="12"/>
      <c r="F787" s="12"/>
      <c r="G787" s="12"/>
      <c r="H787" s="12"/>
    </row>
    <row r="788" spans="1:8" x14ac:dyDescent="0.25">
      <c r="A788" s="12">
        <v>1783</v>
      </c>
      <c r="B788" s="14" t="s">
        <v>1276</v>
      </c>
      <c r="C788" s="12"/>
      <c r="D788" s="12"/>
      <c r="E788" s="12"/>
      <c r="F788" s="12"/>
      <c r="G788" s="12"/>
      <c r="H788" s="12"/>
    </row>
    <row r="789" spans="1:8" x14ac:dyDescent="0.25">
      <c r="A789" s="12">
        <v>1784</v>
      </c>
      <c r="B789" s="12" t="s">
        <v>1277</v>
      </c>
      <c r="C789" s="12"/>
      <c r="D789" s="12"/>
      <c r="E789" s="12"/>
      <c r="F789" s="12"/>
      <c r="G789" s="12"/>
      <c r="H789" s="12"/>
    </row>
    <row r="790" spans="1:8" x14ac:dyDescent="0.25">
      <c r="A790" s="12">
        <v>1785</v>
      </c>
      <c r="B790" s="12" t="s">
        <v>1278</v>
      </c>
      <c r="C790" s="12"/>
      <c r="D790" s="12"/>
      <c r="E790" s="12"/>
      <c r="F790" s="12"/>
      <c r="G790" s="12"/>
      <c r="H790" s="12"/>
    </row>
    <row r="791" spans="1:8" x14ac:dyDescent="0.25">
      <c r="A791" s="12">
        <v>1786</v>
      </c>
      <c r="B791" s="12" t="s">
        <v>1268</v>
      </c>
      <c r="C791" s="12"/>
      <c r="D791" s="12"/>
      <c r="E791" s="12"/>
      <c r="F791" s="12"/>
      <c r="G791" s="12"/>
      <c r="H791" s="12"/>
    </row>
    <row r="792" spans="1:8" x14ac:dyDescent="0.25">
      <c r="A792" s="12">
        <v>1787</v>
      </c>
      <c r="B792" s="12" t="s">
        <v>1274</v>
      </c>
      <c r="C792" s="12"/>
      <c r="D792" s="12"/>
      <c r="E792" s="12"/>
      <c r="F792" s="12"/>
      <c r="G792" s="12"/>
      <c r="H792" s="12"/>
    </row>
    <row r="793" spans="1:8" x14ac:dyDescent="0.25">
      <c r="A793" s="12">
        <v>1788</v>
      </c>
      <c r="B793" s="12" t="s">
        <v>1275</v>
      </c>
      <c r="C793" s="12"/>
      <c r="D793" s="12"/>
      <c r="E793" s="12"/>
      <c r="F793" s="12"/>
      <c r="G793" s="12"/>
      <c r="H793" s="12"/>
    </row>
    <row r="794" spans="1:8" x14ac:dyDescent="0.25">
      <c r="A794" s="12">
        <v>1789</v>
      </c>
      <c r="B794" s="12" t="s">
        <v>578</v>
      </c>
      <c r="C794" s="12" t="s">
        <v>470</v>
      </c>
      <c r="D794" s="12"/>
      <c r="E794" s="12"/>
      <c r="F794" s="12"/>
      <c r="G794" s="12"/>
      <c r="H794" s="12"/>
    </row>
    <row r="795" spans="1:8" x14ac:dyDescent="0.25">
      <c r="A795" s="12">
        <v>1790</v>
      </c>
      <c r="B795" s="12" t="s">
        <v>1280</v>
      </c>
      <c r="C795" s="12"/>
      <c r="D795" s="12"/>
      <c r="E795" s="12"/>
      <c r="F795" s="12"/>
      <c r="G795" s="12"/>
      <c r="H795" s="12"/>
    </row>
    <row r="796" spans="1:8" x14ac:dyDescent="0.25">
      <c r="A796" s="12">
        <v>1791</v>
      </c>
      <c r="B796" s="12" t="s">
        <v>1282</v>
      </c>
      <c r="C796" s="12"/>
      <c r="D796" s="12"/>
      <c r="E796" s="12"/>
      <c r="F796" s="12"/>
      <c r="G796" s="12"/>
      <c r="H796" s="12"/>
    </row>
    <row r="797" spans="1:8" x14ac:dyDescent="0.25">
      <c r="A797" s="12">
        <v>1792</v>
      </c>
      <c r="B797" s="12" t="s">
        <v>1287</v>
      </c>
      <c r="C797" s="12"/>
      <c r="D797" s="12"/>
      <c r="E797" s="12"/>
      <c r="F797" s="12"/>
      <c r="G797" s="12"/>
      <c r="H797" s="12"/>
    </row>
    <row r="798" spans="1:8" x14ac:dyDescent="0.25">
      <c r="A798" s="12">
        <v>1793</v>
      </c>
      <c r="B798" s="12" t="s">
        <v>1292</v>
      </c>
      <c r="C798" s="12"/>
      <c r="D798" s="12"/>
      <c r="E798" s="12"/>
      <c r="F798" s="12"/>
      <c r="G798" s="12"/>
      <c r="H798" s="12"/>
    </row>
    <row r="799" spans="1:8" x14ac:dyDescent="0.25">
      <c r="A799" s="12">
        <v>1794</v>
      </c>
      <c r="B799" s="12" t="s">
        <v>250</v>
      </c>
      <c r="C799" s="12"/>
      <c r="D799" s="12"/>
      <c r="E799" s="12"/>
      <c r="F799" s="12"/>
      <c r="G799" s="12"/>
      <c r="H799" s="12"/>
    </row>
    <row r="800" spans="1:8" x14ac:dyDescent="0.25">
      <c r="A800" s="12">
        <v>1795</v>
      </c>
      <c r="B800" s="12" t="s">
        <v>311</v>
      </c>
      <c r="C800" s="12"/>
      <c r="D800" s="12"/>
      <c r="E800" s="12"/>
      <c r="F800" s="12"/>
      <c r="G800" s="12"/>
      <c r="H800" s="12"/>
    </row>
    <row r="801" spans="1:8" x14ac:dyDescent="0.25">
      <c r="A801" s="12">
        <v>1796</v>
      </c>
      <c r="B801" s="12" t="s">
        <v>312</v>
      </c>
      <c r="C801" s="12"/>
      <c r="D801" s="12"/>
      <c r="E801" s="12"/>
      <c r="F801" s="12"/>
      <c r="G801" s="12"/>
      <c r="H801" s="12"/>
    </row>
    <row r="802" spans="1:8" x14ac:dyDescent="0.25">
      <c r="A802" s="12">
        <v>1797</v>
      </c>
      <c r="B802" s="12" t="s">
        <v>313</v>
      </c>
      <c r="C802" s="12"/>
      <c r="D802" s="12"/>
      <c r="E802" s="12"/>
      <c r="F802" s="12"/>
      <c r="G802" s="12"/>
      <c r="H802" s="12"/>
    </row>
    <row r="803" spans="1:8" x14ac:dyDescent="0.25">
      <c r="A803" s="12">
        <v>1798</v>
      </c>
      <c r="B803" s="12" t="s">
        <v>1320</v>
      </c>
      <c r="C803" s="12"/>
      <c r="D803" s="12"/>
      <c r="E803" s="12"/>
      <c r="F803" s="12"/>
      <c r="G803" s="12"/>
      <c r="H803" s="12"/>
    </row>
    <row r="804" spans="1:8" x14ac:dyDescent="0.25">
      <c r="A804" s="12">
        <v>1799</v>
      </c>
      <c r="B804" s="12" t="s">
        <v>314</v>
      </c>
      <c r="C804" s="12"/>
      <c r="D804" s="12"/>
      <c r="E804" s="12"/>
      <c r="F804" s="12"/>
      <c r="G804" s="12"/>
      <c r="H804" s="12"/>
    </row>
    <row r="805" spans="1:8" x14ac:dyDescent="0.25">
      <c r="A805" s="12">
        <v>1800</v>
      </c>
      <c r="B805" s="12" t="s">
        <v>315</v>
      </c>
      <c r="C805" s="12"/>
      <c r="D805" s="12"/>
      <c r="E805" s="12"/>
      <c r="F805" s="12"/>
      <c r="G805" s="12"/>
      <c r="H805" s="12"/>
    </row>
    <row r="806" spans="1:8" x14ac:dyDescent="0.25">
      <c r="A806" s="12">
        <v>1801</v>
      </c>
      <c r="B806" s="12" t="s">
        <v>316</v>
      </c>
      <c r="C806" s="12"/>
      <c r="D806" s="12"/>
      <c r="E806" s="12"/>
      <c r="F806" s="12"/>
      <c r="G806" s="12"/>
      <c r="H806" s="12"/>
    </row>
    <row r="807" spans="1:8" x14ac:dyDescent="0.25">
      <c r="A807" s="12">
        <v>1802</v>
      </c>
      <c r="B807" s="12" t="s">
        <v>1332</v>
      </c>
      <c r="C807" s="12"/>
      <c r="D807" s="12"/>
      <c r="E807" s="12"/>
      <c r="F807" s="12"/>
      <c r="G807" s="12"/>
      <c r="H807" s="12"/>
    </row>
    <row r="808" spans="1:8" x14ac:dyDescent="0.25">
      <c r="A808" s="12">
        <v>1803</v>
      </c>
      <c r="B808" s="12" t="s">
        <v>1338</v>
      </c>
      <c r="C808" s="12"/>
      <c r="D808" s="12"/>
      <c r="E808" s="12"/>
      <c r="F808" s="12"/>
      <c r="G808" s="12"/>
      <c r="H808" s="12"/>
    </row>
    <row r="809" spans="1:8" x14ac:dyDescent="0.25">
      <c r="A809" s="12">
        <v>1804</v>
      </c>
      <c r="B809" s="12" t="s">
        <v>1342</v>
      </c>
      <c r="C809" s="12"/>
      <c r="D809" s="12"/>
      <c r="E809" s="12"/>
      <c r="F809" s="12"/>
      <c r="G809" s="12"/>
      <c r="H809" s="12"/>
    </row>
    <row r="810" spans="1:8" x14ac:dyDescent="0.25">
      <c r="A810" s="12">
        <v>1805</v>
      </c>
      <c r="B810" s="12" t="s">
        <v>1365</v>
      </c>
      <c r="C810" s="12"/>
      <c r="D810" s="12"/>
      <c r="E810" s="12"/>
      <c r="F810" s="12"/>
      <c r="G810" s="12"/>
      <c r="H810" s="12"/>
    </row>
    <row r="811" spans="1:8" x14ac:dyDescent="0.25">
      <c r="A811" s="12">
        <v>1806</v>
      </c>
      <c r="B811" s="12" t="s">
        <v>1375</v>
      </c>
      <c r="C811" s="12"/>
      <c r="D811" s="12"/>
      <c r="E811" s="12"/>
      <c r="F811" s="12"/>
      <c r="G811" s="12"/>
      <c r="H811" s="12"/>
    </row>
    <row r="812" spans="1:8" x14ac:dyDescent="0.25">
      <c r="A812" s="12">
        <v>1807</v>
      </c>
      <c r="B812" s="12" t="s">
        <v>1376</v>
      </c>
      <c r="C812" s="12"/>
      <c r="D812" s="12"/>
      <c r="E812" s="12"/>
      <c r="F812" s="12"/>
      <c r="G812" s="12"/>
      <c r="H812" s="12"/>
    </row>
    <row r="813" spans="1:8" x14ac:dyDescent="0.25">
      <c r="A813" s="12">
        <v>1808</v>
      </c>
      <c r="B813" s="12" t="s">
        <v>1377</v>
      </c>
      <c r="C813" s="12"/>
      <c r="D813" s="12"/>
      <c r="E813" s="12"/>
      <c r="F813" s="12"/>
      <c r="G813" s="12"/>
      <c r="H813" s="12"/>
    </row>
    <row r="814" spans="1:8" x14ac:dyDescent="0.25">
      <c r="A814" s="12">
        <v>1809</v>
      </c>
      <c r="B814" s="12" t="s">
        <v>1378</v>
      </c>
      <c r="C814" s="12"/>
      <c r="D814" s="12"/>
      <c r="E814" s="12"/>
      <c r="F814" s="12"/>
      <c r="G814" s="12"/>
      <c r="H814" s="12"/>
    </row>
    <row r="815" spans="1:8" x14ac:dyDescent="0.25">
      <c r="A815" s="12">
        <v>1810</v>
      </c>
      <c r="B815" s="12" t="s">
        <v>1379</v>
      </c>
      <c r="C815" s="12"/>
      <c r="D815" s="12"/>
      <c r="E815" s="12"/>
      <c r="F815" s="12"/>
      <c r="G815" s="12"/>
      <c r="H815" s="12"/>
    </row>
    <row r="816" spans="1:8" x14ac:dyDescent="0.25">
      <c r="A816" s="12">
        <v>1811</v>
      </c>
      <c r="B816" s="12" t="s">
        <v>1380</v>
      </c>
      <c r="C816" s="12"/>
      <c r="D816" s="12"/>
      <c r="E816" s="12"/>
      <c r="F816" s="12"/>
      <c r="G816" s="12"/>
      <c r="H816" s="12"/>
    </row>
    <row r="817" spans="1:8" x14ac:dyDescent="0.25">
      <c r="A817" s="12">
        <v>1812</v>
      </c>
      <c r="B817" s="12" t="s">
        <v>1240</v>
      </c>
      <c r="C817" s="12"/>
      <c r="D817" s="12"/>
      <c r="E817" s="12"/>
      <c r="F817" s="12"/>
      <c r="G817" s="12"/>
      <c r="H817" s="12"/>
    </row>
    <row r="818" spans="1:8" x14ac:dyDescent="0.25">
      <c r="A818" s="12">
        <v>1813</v>
      </c>
      <c r="B818" s="12" t="s">
        <v>1242</v>
      </c>
      <c r="C818" s="12"/>
      <c r="D818" s="12"/>
      <c r="E818" s="12"/>
      <c r="F818" s="12"/>
      <c r="G818" s="12"/>
      <c r="H818" s="12"/>
    </row>
    <row r="819" spans="1:8" x14ac:dyDescent="0.25">
      <c r="A819" s="12">
        <v>1814</v>
      </c>
      <c r="B819" s="12" t="s">
        <v>1241</v>
      </c>
      <c r="C819" s="12"/>
      <c r="D819" s="12"/>
      <c r="E819" s="12"/>
      <c r="F819" s="12"/>
      <c r="G819" s="12"/>
      <c r="H819" s="12"/>
    </row>
    <row r="820" spans="1:8" x14ac:dyDescent="0.25">
      <c r="A820" s="12">
        <v>1815</v>
      </c>
      <c r="B820" s="12" t="s">
        <v>1243</v>
      </c>
      <c r="C820" s="12"/>
      <c r="D820" s="12"/>
      <c r="E820" s="12"/>
      <c r="F820" s="12"/>
      <c r="G820" s="12"/>
      <c r="H820" s="12"/>
    </row>
    <row r="821" spans="1:8" x14ac:dyDescent="0.25">
      <c r="A821" s="12">
        <v>1816</v>
      </c>
      <c r="B821" s="12" t="s">
        <v>1244</v>
      </c>
      <c r="C821" s="12"/>
      <c r="D821" s="12"/>
      <c r="E821" s="12"/>
      <c r="F821" s="12"/>
      <c r="G821" s="12"/>
      <c r="H821" s="12"/>
    </row>
    <row r="822" spans="1:8" x14ac:dyDescent="0.25">
      <c r="A822" s="12">
        <v>1817</v>
      </c>
      <c r="B822" s="12" t="s">
        <v>1245</v>
      </c>
      <c r="C822" s="12"/>
      <c r="D822" s="12"/>
      <c r="E822" s="12"/>
      <c r="F822" s="12"/>
      <c r="G822" s="12"/>
      <c r="H822" s="12"/>
    </row>
    <row r="823" spans="1:8" x14ac:dyDescent="0.25">
      <c r="A823" s="12">
        <v>1818</v>
      </c>
      <c r="B823" s="12" t="s">
        <v>1246</v>
      </c>
      <c r="C823" s="12"/>
      <c r="D823" s="12"/>
      <c r="E823" s="12"/>
      <c r="F823" s="12"/>
      <c r="G823" s="12"/>
      <c r="H823" s="12"/>
    </row>
    <row r="824" spans="1:8" x14ac:dyDescent="0.25">
      <c r="A824" s="12">
        <v>1819</v>
      </c>
      <c r="B824" s="12" t="s">
        <v>1247</v>
      </c>
      <c r="C824" s="12"/>
      <c r="D824" s="12"/>
      <c r="E824" s="12"/>
      <c r="F824" s="12"/>
      <c r="G824" s="12"/>
      <c r="H824" s="12"/>
    </row>
    <row r="825" spans="1:8" x14ac:dyDescent="0.25">
      <c r="A825" s="12">
        <v>1820</v>
      </c>
      <c r="B825" s="12" t="s">
        <v>1248</v>
      </c>
      <c r="C825" s="12"/>
      <c r="D825" s="12"/>
      <c r="E825" s="12"/>
      <c r="F825" s="12"/>
      <c r="G825" s="12"/>
      <c r="H825" s="12"/>
    </row>
    <row r="826" spans="1:8" x14ac:dyDescent="0.25">
      <c r="A826" s="12">
        <v>1821</v>
      </c>
      <c r="B826" s="12" t="s">
        <v>1249</v>
      </c>
      <c r="C826" s="12"/>
      <c r="D826" s="12"/>
      <c r="E826" s="12"/>
      <c r="F826" s="12"/>
      <c r="G826" s="12"/>
      <c r="H826" s="12"/>
    </row>
    <row r="827" spans="1:8" x14ac:dyDescent="0.25">
      <c r="A827" s="12">
        <v>1822</v>
      </c>
      <c r="B827" s="12" t="s">
        <v>1250</v>
      </c>
      <c r="C827" s="12"/>
      <c r="D827" s="12"/>
      <c r="E827" s="12"/>
      <c r="F827" s="12"/>
      <c r="G827" s="12"/>
      <c r="H827" s="12"/>
    </row>
    <row r="828" spans="1:8" x14ac:dyDescent="0.25">
      <c r="A828" s="12">
        <v>1823</v>
      </c>
      <c r="B828" s="12" t="s">
        <v>1252</v>
      </c>
      <c r="C828" s="12"/>
      <c r="D828" s="12"/>
      <c r="E828" s="12"/>
      <c r="F828" s="12"/>
      <c r="G828" s="12"/>
      <c r="H828" s="12"/>
    </row>
    <row r="829" spans="1:8" x14ac:dyDescent="0.25">
      <c r="A829" s="12">
        <v>1824</v>
      </c>
      <c r="B829" s="12" t="s">
        <v>1251</v>
      </c>
      <c r="C829" s="12"/>
      <c r="D829" s="12"/>
      <c r="E829" s="12"/>
      <c r="F829" s="12"/>
      <c r="G829" s="12"/>
      <c r="H829" s="12"/>
    </row>
    <row r="830" spans="1:8" x14ac:dyDescent="0.25">
      <c r="A830" s="12">
        <v>1825</v>
      </c>
      <c r="B830" s="12" t="s">
        <v>1253</v>
      </c>
      <c r="C830" s="12"/>
      <c r="D830" s="12"/>
      <c r="E830" s="12"/>
      <c r="F830" s="12"/>
      <c r="G830" s="12"/>
      <c r="H830" s="12"/>
    </row>
    <row r="831" spans="1:8" x14ac:dyDescent="0.25">
      <c r="A831" s="12">
        <v>1826</v>
      </c>
      <c r="B831" s="12" t="s">
        <v>1254</v>
      </c>
      <c r="C831" s="12"/>
      <c r="D831" s="12"/>
      <c r="E831" s="12"/>
      <c r="F831" s="12"/>
      <c r="G831" s="12"/>
      <c r="H831" s="12"/>
    </row>
    <row r="832" spans="1:8" x14ac:dyDescent="0.25">
      <c r="A832" s="12">
        <v>1827</v>
      </c>
      <c r="B832" s="12" t="s">
        <v>1255</v>
      </c>
      <c r="C832" s="12"/>
      <c r="D832" s="12"/>
      <c r="E832" s="12"/>
      <c r="F832" s="12"/>
      <c r="G832" s="12"/>
      <c r="H832" s="12"/>
    </row>
    <row r="833" spans="1:8" x14ac:dyDescent="0.25">
      <c r="A833" s="12">
        <v>1828</v>
      </c>
      <c r="B833" s="12" t="s">
        <v>1256</v>
      </c>
      <c r="C833" s="12"/>
      <c r="D833" s="12"/>
      <c r="E833" s="12"/>
      <c r="F833" s="12"/>
      <c r="G833" s="12"/>
      <c r="H833" s="12"/>
    </row>
    <row r="834" spans="1:8" x14ac:dyDescent="0.25">
      <c r="A834" s="12">
        <v>1829</v>
      </c>
      <c r="B834" s="12" t="s">
        <v>1257</v>
      </c>
      <c r="C834" s="12"/>
      <c r="D834" s="12"/>
      <c r="E834" s="12"/>
      <c r="F834" s="12"/>
      <c r="G834" s="12"/>
      <c r="H834" s="12"/>
    </row>
    <row r="835" spans="1:8" x14ac:dyDescent="0.25">
      <c r="A835" s="12">
        <v>1830</v>
      </c>
      <c r="B835" s="12" t="s">
        <v>1258</v>
      </c>
      <c r="C835" s="12"/>
      <c r="D835" s="12"/>
      <c r="E835" s="12"/>
      <c r="F835" s="12"/>
      <c r="G835" s="12"/>
      <c r="H835" s="12"/>
    </row>
    <row r="836" spans="1:8" x14ac:dyDescent="0.25">
      <c r="A836" s="12">
        <v>1831</v>
      </c>
      <c r="B836" s="12" t="s">
        <v>1259</v>
      </c>
      <c r="C836" s="12"/>
      <c r="D836" s="12"/>
      <c r="E836" s="12"/>
      <c r="F836" s="12"/>
      <c r="G836" s="12"/>
      <c r="H836" s="12"/>
    </row>
    <row r="837" spans="1:8" x14ac:dyDescent="0.25">
      <c r="A837" s="12">
        <v>1832</v>
      </c>
      <c r="B837" s="12" t="s">
        <v>1260</v>
      </c>
      <c r="C837" s="12"/>
      <c r="D837" s="12"/>
      <c r="E837" s="12"/>
      <c r="F837" s="12"/>
      <c r="G837" s="12"/>
      <c r="H837" s="12"/>
    </row>
    <row r="838" spans="1:8" x14ac:dyDescent="0.25">
      <c r="A838" s="12">
        <v>1833</v>
      </c>
      <c r="B838" s="12" t="s">
        <v>1261</v>
      </c>
      <c r="C838" s="12"/>
      <c r="D838" s="12"/>
      <c r="E838" s="12"/>
      <c r="F838" s="12"/>
      <c r="G838" s="12"/>
      <c r="H838" s="12"/>
    </row>
    <row r="839" spans="1:8" x14ac:dyDescent="0.25">
      <c r="A839" s="12">
        <v>1834</v>
      </c>
      <c r="B839" s="12" t="s">
        <v>1262</v>
      </c>
      <c r="C839" s="12"/>
      <c r="D839" s="12"/>
      <c r="E839" s="12"/>
      <c r="F839" s="12"/>
      <c r="G839" s="12"/>
      <c r="H839" s="12"/>
    </row>
    <row r="840" spans="1:8" x14ac:dyDescent="0.25">
      <c r="A840" s="12">
        <v>1835</v>
      </c>
      <c r="B840" s="12" t="s">
        <v>1263</v>
      </c>
      <c r="C840" s="12"/>
      <c r="D840" s="12"/>
      <c r="E840" s="12"/>
      <c r="F840" s="12"/>
      <c r="G840" s="12"/>
      <c r="H840" s="12"/>
    </row>
    <row r="841" spans="1:8" x14ac:dyDescent="0.25">
      <c r="A841" s="12">
        <v>1836</v>
      </c>
      <c r="B841" s="12" t="s">
        <v>1279</v>
      </c>
      <c r="C841" s="12"/>
      <c r="D841" s="12"/>
      <c r="E841" s="12"/>
      <c r="F841" s="12"/>
      <c r="G841" s="12"/>
      <c r="H841" s="12"/>
    </row>
    <row r="842" spans="1:8" x14ac:dyDescent="0.25">
      <c r="A842" s="12">
        <v>1837</v>
      </c>
      <c r="B842" s="12" t="s">
        <v>581</v>
      </c>
      <c r="C842" s="12" t="s">
        <v>470</v>
      </c>
      <c r="D842" s="12">
        <v>1</v>
      </c>
      <c r="E842" s="12" t="s">
        <v>1831</v>
      </c>
      <c r="F842" s="12">
        <v>0</v>
      </c>
      <c r="G842" s="12" t="s">
        <v>580</v>
      </c>
      <c r="H842" s="13">
        <v>42439</v>
      </c>
    </row>
    <row r="843" spans="1:8" x14ac:dyDescent="0.25">
      <c r="A843" s="12">
        <v>1838</v>
      </c>
      <c r="B843" s="12" t="s">
        <v>579</v>
      </c>
      <c r="C843" s="12"/>
      <c r="D843" s="12"/>
      <c r="E843" s="12"/>
      <c r="F843" s="12"/>
      <c r="G843" s="12"/>
      <c r="H843" s="13"/>
    </row>
    <row r="844" spans="1:8" x14ac:dyDescent="0.25">
      <c r="A844" s="12">
        <v>1839</v>
      </c>
      <c r="B844" s="12" t="s">
        <v>1281</v>
      </c>
      <c r="C844" s="12"/>
      <c r="D844" s="12"/>
      <c r="E844" s="12"/>
      <c r="F844" s="12"/>
      <c r="G844" s="12"/>
      <c r="H844" s="12"/>
    </row>
    <row r="845" spans="1:8" x14ac:dyDescent="0.25">
      <c r="A845" s="12">
        <v>1840</v>
      </c>
      <c r="B845" s="12" t="s">
        <v>189</v>
      </c>
      <c r="C845" s="12"/>
      <c r="D845" s="12"/>
      <c r="E845" s="12"/>
      <c r="F845" s="12"/>
      <c r="G845" s="12"/>
      <c r="H845" s="12"/>
    </row>
    <row r="846" spans="1:8" x14ac:dyDescent="0.25">
      <c r="A846" s="12">
        <v>1841</v>
      </c>
      <c r="B846" s="12" t="s">
        <v>317</v>
      </c>
      <c r="C846" s="12"/>
      <c r="D846" s="12"/>
      <c r="E846" s="12"/>
      <c r="F846" s="12"/>
      <c r="G846" s="12"/>
      <c r="H846" s="12"/>
    </row>
    <row r="847" spans="1:8" x14ac:dyDescent="0.25">
      <c r="A847" s="12">
        <v>1842</v>
      </c>
      <c r="B847" s="12" t="s">
        <v>318</v>
      </c>
      <c r="C847" s="12"/>
      <c r="D847" s="12"/>
      <c r="E847" s="12"/>
      <c r="F847" s="12"/>
      <c r="G847" s="12"/>
      <c r="H847" s="12"/>
    </row>
    <row r="848" spans="1:8" x14ac:dyDescent="0.25">
      <c r="A848" s="12">
        <v>1843</v>
      </c>
      <c r="B848" s="12" t="s">
        <v>1290</v>
      </c>
      <c r="C848" s="12"/>
      <c r="D848" s="12"/>
      <c r="E848" s="12"/>
      <c r="F848" s="12"/>
      <c r="G848" s="12"/>
      <c r="H848" s="12"/>
    </row>
    <row r="849" spans="1:8" x14ac:dyDescent="0.25">
      <c r="A849" s="12">
        <v>1844</v>
      </c>
      <c r="B849" s="12" t="s">
        <v>319</v>
      </c>
      <c r="C849" s="12"/>
      <c r="D849" s="12"/>
      <c r="E849" s="12"/>
      <c r="F849" s="12"/>
      <c r="G849" s="12"/>
      <c r="H849" s="12"/>
    </row>
    <row r="850" spans="1:8" x14ac:dyDescent="0.25">
      <c r="A850" s="12">
        <v>1845</v>
      </c>
      <c r="B850" s="12" t="s">
        <v>320</v>
      </c>
      <c r="C850" s="12"/>
      <c r="D850" s="12"/>
      <c r="E850" s="12"/>
      <c r="F850" s="12"/>
      <c r="G850" s="12"/>
      <c r="H850" s="12"/>
    </row>
    <row r="851" spans="1:8" x14ac:dyDescent="0.25">
      <c r="A851" s="12">
        <v>1846</v>
      </c>
      <c r="B851" s="12" t="s">
        <v>321</v>
      </c>
      <c r="C851" s="12"/>
      <c r="D851" s="12"/>
      <c r="E851" s="12"/>
      <c r="F851" s="12"/>
      <c r="G851" s="12"/>
      <c r="H851" s="12"/>
    </row>
    <row r="852" spans="1:8" x14ac:dyDescent="0.25">
      <c r="A852" s="12">
        <v>1847</v>
      </c>
      <c r="B852" s="12" t="s">
        <v>323</v>
      </c>
      <c r="C852" s="12"/>
      <c r="D852" s="12"/>
      <c r="E852" s="12"/>
      <c r="F852" s="12"/>
      <c r="G852" s="12"/>
      <c r="H852" s="12"/>
    </row>
    <row r="853" spans="1:8" x14ac:dyDescent="0.25">
      <c r="A853" s="12">
        <v>1848</v>
      </c>
      <c r="B853" s="12" t="s">
        <v>324</v>
      </c>
      <c r="C853" s="12"/>
      <c r="D853" s="12"/>
      <c r="E853" s="12"/>
      <c r="F853" s="12"/>
      <c r="G853" s="12"/>
      <c r="H853" s="12"/>
    </row>
    <row r="854" spans="1:8" x14ac:dyDescent="0.25">
      <c r="A854" s="12">
        <v>1849</v>
      </c>
      <c r="B854" s="12" t="s">
        <v>1330</v>
      </c>
      <c r="C854" s="12"/>
      <c r="D854" s="12"/>
      <c r="E854" s="12"/>
      <c r="F854" s="12"/>
      <c r="G854" s="12"/>
      <c r="H854" s="12"/>
    </row>
    <row r="855" spans="1:8" x14ac:dyDescent="0.25">
      <c r="A855" s="12">
        <v>1850</v>
      </c>
      <c r="B855" s="12" t="s">
        <v>1331</v>
      </c>
      <c r="C855" s="12"/>
      <c r="D855" s="12"/>
      <c r="E855" s="12"/>
      <c r="F855" s="12"/>
      <c r="G855" s="12"/>
      <c r="H855" s="12"/>
    </row>
    <row r="856" spans="1:8" x14ac:dyDescent="0.25">
      <c r="A856" s="12">
        <v>1851</v>
      </c>
      <c r="B856" s="12" t="s">
        <v>325</v>
      </c>
      <c r="C856" s="12"/>
      <c r="D856" s="12"/>
      <c r="E856" s="12"/>
      <c r="F856" s="12"/>
      <c r="G856" s="12"/>
      <c r="H856" s="12"/>
    </row>
    <row r="857" spans="1:8" x14ac:dyDescent="0.25">
      <c r="A857" s="12">
        <v>1852</v>
      </c>
      <c r="B857" s="12" t="s">
        <v>1333</v>
      </c>
      <c r="C857" s="12"/>
      <c r="D857" s="12"/>
      <c r="E857" s="12"/>
      <c r="F857" s="12"/>
      <c r="G857" s="12"/>
      <c r="H857" s="12"/>
    </row>
    <row r="858" spans="1:8" x14ac:dyDescent="0.25">
      <c r="A858" s="12">
        <v>1853</v>
      </c>
      <c r="B858" s="12" t="s">
        <v>1334</v>
      </c>
      <c r="C858" s="12"/>
      <c r="D858" s="12"/>
      <c r="E858" s="12"/>
      <c r="F858" s="12"/>
      <c r="G858" s="12"/>
      <c r="H858" s="12"/>
    </row>
    <row r="859" spans="1:8" x14ac:dyDescent="0.25">
      <c r="A859" s="12">
        <v>1854</v>
      </c>
      <c r="B859" s="12" t="s">
        <v>326</v>
      </c>
      <c r="C859" s="12"/>
      <c r="D859" s="12"/>
      <c r="E859" s="12"/>
      <c r="F859" s="12"/>
      <c r="G859" s="12"/>
      <c r="H859" s="12"/>
    </row>
    <row r="860" spans="1:8" x14ac:dyDescent="0.25">
      <c r="A860" s="12">
        <v>1855</v>
      </c>
      <c r="B860" s="12" t="s">
        <v>1335</v>
      </c>
      <c r="C860" s="12"/>
      <c r="D860" s="12"/>
      <c r="E860" s="12"/>
      <c r="F860" s="12"/>
      <c r="G860" s="12"/>
      <c r="H860" s="12"/>
    </row>
    <row r="861" spans="1:8" x14ac:dyDescent="0.25">
      <c r="A861" s="12">
        <v>1856</v>
      </c>
      <c r="B861" s="12" t="s">
        <v>1339</v>
      </c>
      <c r="C861" s="12"/>
      <c r="D861" s="12"/>
      <c r="E861" s="12"/>
      <c r="F861" s="12"/>
      <c r="G861" s="12"/>
      <c r="H861" s="12"/>
    </row>
    <row r="862" spans="1:8" x14ac:dyDescent="0.25">
      <c r="A862" s="12">
        <v>1857</v>
      </c>
      <c r="B862" s="12" t="s">
        <v>1340</v>
      </c>
      <c r="C862" s="12"/>
      <c r="D862" s="12"/>
      <c r="E862" s="12"/>
      <c r="F862" s="12"/>
      <c r="G862" s="12"/>
      <c r="H862" s="12"/>
    </row>
    <row r="863" spans="1:8" x14ac:dyDescent="0.25">
      <c r="A863" s="12">
        <v>1858</v>
      </c>
      <c r="B863" s="12" t="s">
        <v>1341</v>
      </c>
      <c r="C863" s="12"/>
      <c r="D863" s="12"/>
      <c r="E863" s="12"/>
      <c r="F863" s="12"/>
      <c r="G863" s="12"/>
      <c r="H863" s="12"/>
    </row>
    <row r="864" spans="1:8" x14ac:dyDescent="0.25">
      <c r="A864" s="12">
        <v>1859</v>
      </c>
      <c r="B864" s="12" t="s">
        <v>1344</v>
      </c>
      <c r="C864" s="12"/>
      <c r="D864" s="12"/>
      <c r="E864" s="12"/>
      <c r="F864" s="12"/>
      <c r="G864" s="12"/>
      <c r="H864" s="12"/>
    </row>
    <row r="865" spans="1:8" x14ac:dyDescent="0.25">
      <c r="A865" s="12">
        <v>1860</v>
      </c>
      <c r="B865" s="12" t="s">
        <v>1345</v>
      </c>
      <c r="C865" s="12"/>
      <c r="D865" s="12"/>
      <c r="E865" s="12"/>
      <c r="F865" s="12"/>
      <c r="G865" s="12"/>
      <c r="H865" s="12"/>
    </row>
    <row r="866" spans="1:8" x14ac:dyDescent="0.25">
      <c r="A866" s="12">
        <v>1861</v>
      </c>
      <c r="B866" s="12" t="s">
        <v>1346</v>
      </c>
      <c r="C866" s="12"/>
      <c r="D866" s="12"/>
      <c r="E866" s="12"/>
      <c r="F866" s="12"/>
      <c r="G866" s="12"/>
      <c r="H866" s="12"/>
    </row>
    <row r="867" spans="1:8" x14ac:dyDescent="0.25">
      <c r="A867" s="12">
        <v>1862</v>
      </c>
      <c r="B867" s="12" t="s">
        <v>1283</v>
      </c>
      <c r="C867" s="12"/>
      <c r="D867" s="12"/>
      <c r="E867" s="12"/>
      <c r="F867" s="12"/>
      <c r="G867" s="12"/>
      <c r="H867" s="12"/>
    </row>
    <row r="868" spans="1:8" x14ac:dyDescent="0.25">
      <c r="A868" s="12">
        <v>1863</v>
      </c>
      <c r="B868" s="12" t="s">
        <v>1284</v>
      </c>
      <c r="C868" s="12"/>
      <c r="D868" s="12"/>
      <c r="E868" s="12"/>
      <c r="F868" s="12"/>
      <c r="G868" s="12"/>
      <c r="H868" s="12"/>
    </row>
    <row r="869" spans="1:8" x14ac:dyDescent="0.25">
      <c r="A869" s="12">
        <v>1864</v>
      </c>
      <c r="B869" s="12" t="s">
        <v>1285</v>
      </c>
      <c r="C869" s="12"/>
      <c r="D869" s="12"/>
      <c r="E869" s="12"/>
      <c r="F869" s="12"/>
      <c r="G869" s="12"/>
      <c r="H869" s="12"/>
    </row>
    <row r="870" spans="1:8" x14ac:dyDescent="0.25">
      <c r="A870" s="12">
        <v>1865</v>
      </c>
      <c r="B870" s="12" t="s">
        <v>1286</v>
      </c>
      <c r="C870" s="12"/>
      <c r="D870" s="12"/>
      <c r="E870" s="12"/>
      <c r="F870" s="12"/>
      <c r="G870" s="12"/>
      <c r="H870" s="12"/>
    </row>
    <row r="871" spans="1:8" x14ac:dyDescent="0.25">
      <c r="A871" s="12">
        <v>1866</v>
      </c>
      <c r="B871" s="12" t="s">
        <v>1288</v>
      </c>
      <c r="C871" s="12"/>
      <c r="D871" s="12"/>
      <c r="E871" s="12"/>
      <c r="F871" s="12"/>
      <c r="G871" s="12"/>
      <c r="H871" s="12"/>
    </row>
    <row r="872" spans="1:8" x14ac:dyDescent="0.25">
      <c r="A872" s="12">
        <v>1867</v>
      </c>
      <c r="B872" s="12" t="s">
        <v>1289</v>
      </c>
      <c r="C872" s="12"/>
      <c r="D872" s="12"/>
      <c r="E872" s="12"/>
      <c r="F872" s="12"/>
      <c r="G872" s="12"/>
      <c r="H872" s="12"/>
    </row>
    <row r="873" spans="1:8" x14ac:dyDescent="0.25">
      <c r="A873" s="12">
        <v>1868</v>
      </c>
      <c r="B873" s="12" t="s">
        <v>1291</v>
      </c>
      <c r="C873" s="12"/>
      <c r="D873" s="12"/>
      <c r="E873" s="12"/>
      <c r="F873" s="12"/>
      <c r="G873" s="12"/>
      <c r="H873" s="12"/>
    </row>
    <row r="874" spans="1:8" x14ac:dyDescent="0.25">
      <c r="A874" s="12">
        <v>1869</v>
      </c>
      <c r="B874" s="12" t="s">
        <v>1293</v>
      </c>
      <c r="C874" s="12"/>
      <c r="D874" s="12"/>
      <c r="E874" s="12"/>
      <c r="F874" s="12"/>
      <c r="G874" s="12"/>
      <c r="H874" s="12"/>
    </row>
    <row r="875" spans="1:8" x14ac:dyDescent="0.25">
      <c r="A875" s="12">
        <v>1870</v>
      </c>
      <c r="B875" s="12" t="s">
        <v>1294</v>
      </c>
      <c r="C875" s="12"/>
      <c r="D875" s="12"/>
      <c r="E875" s="12"/>
      <c r="F875" s="12"/>
      <c r="G875" s="12"/>
      <c r="H875" s="12"/>
    </row>
    <row r="876" spans="1:8" x14ac:dyDescent="0.25">
      <c r="A876" s="12">
        <v>1871</v>
      </c>
      <c r="B876" s="12" t="s">
        <v>1295</v>
      </c>
      <c r="C876" s="12"/>
      <c r="D876" s="12"/>
      <c r="E876" s="12"/>
      <c r="F876" s="12"/>
      <c r="G876" s="12"/>
      <c r="H876" s="12"/>
    </row>
    <row r="877" spans="1:8" x14ac:dyDescent="0.25">
      <c r="A877" s="12">
        <v>1872</v>
      </c>
      <c r="B877" s="12" t="s">
        <v>1315</v>
      </c>
      <c r="C877" s="12"/>
      <c r="D877" s="12"/>
      <c r="E877" s="12"/>
      <c r="F877" s="12"/>
      <c r="G877" s="12"/>
      <c r="H877" s="12"/>
    </row>
    <row r="878" spans="1:8" x14ac:dyDescent="0.25">
      <c r="A878" s="12">
        <v>1873</v>
      </c>
      <c r="B878" s="12" t="s">
        <v>1317</v>
      </c>
      <c r="C878" s="12"/>
      <c r="D878" s="12"/>
      <c r="E878" s="12"/>
      <c r="F878" s="12"/>
      <c r="G878" s="12"/>
      <c r="H878" s="12"/>
    </row>
    <row r="879" spans="1:8" x14ac:dyDescent="0.25">
      <c r="A879" s="12">
        <v>1874</v>
      </c>
      <c r="B879" s="12" t="s">
        <v>327</v>
      </c>
      <c r="C879" s="12"/>
      <c r="D879" s="12"/>
      <c r="E879" s="12"/>
      <c r="F879" s="12"/>
      <c r="G879" s="12"/>
      <c r="H879" s="12"/>
    </row>
    <row r="880" spans="1:8" x14ac:dyDescent="0.25">
      <c r="A880" s="12">
        <v>1875</v>
      </c>
      <c r="B880" s="12" t="s">
        <v>328</v>
      </c>
      <c r="C880" s="12"/>
      <c r="D880" s="12"/>
      <c r="E880" s="12"/>
      <c r="F880" s="12"/>
      <c r="G880" s="12"/>
      <c r="H880" s="12"/>
    </row>
    <row r="881" spans="1:8" x14ac:dyDescent="0.25">
      <c r="A881" s="12">
        <v>1876</v>
      </c>
      <c r="B881" s="12" t="s">
        <v>1323</v>
      </c>
      <c r="C881" s="12"/>
      <c r="D881" s="12"/>
      <c r="E881" s="12"/>
      <c r="F881" s="12"/>
      <c r="G881" s="12"/>
      <c r="H881" s="12"/>
    </row>
    <row r="882" spans="1:8" x14ac:dyDescent="0.25">
      <c r="A882" s="12">
        <v>1877</v>
      </c>
      <c r="B882" s="12" t="s">
        <v>1318</v>
      </c>
      <c r="C882" s="12"/>
      <c r="D882" s="12"/>
      <c r="E882" s="12"/>
      <c r="F882" s="12"/>
      <c r="G882" s="12"/>
      <c r="H882" s="12"/>
    </row>
    <row r="883" spans="1:8" x14ac:dyDescent="0.25">
      <c r="A883" s="12">
        <v>1878</v>
      </c>
      <c r="B883" s="12" t="s">
        <v>1328</v>
      </c>
      <c r="C883" s="12"/>
      <c r="D883" s="12"/>
      <c r="E883" s="12"/>
      <c r="F883" s="12"/>
      <c r="G883" s="12"/>
      <c r="H883" s="12"/>
    </row>
    <row r="884" spans="1:8" x14ac:dyDescent="0.25">
      <c r="A884" s="12">
        <v>1879</v>
      </c>
      <c r="B884" s="12" t="s">
        <v>1311</v>
      </c>
      <c r="C884" s="12"/>
      <c r="D884" s="12"/>
      <c r="E884" s="12"/>
      <c r="F884" s="12"/>
      <c r="G884" s="12"/>
      <c r="H884" s="12"/>
    </row>
    <row r="885" spans="1:8" x14ac:dyDescent="0.25">
      <c r="A885" s="12">
        <v>1880</v>
      </c>
      <c r="B885" s="12" t="s">
        <v>1312</v>
      </c>
      <c r="C885" s="12"/>
      <c r="D885" s="12"/>
      <c r="E885" s="12"/>
      <c r="F885" s="12"/>
      <c r="G885" s="12"/>
      <c r="H885" s="12"/>
    </row>
    <row r="886" spans="1:8" x14ac:dyDescent="0.25">
      <c r="A886" s="12">
        <v>1881</v>
      </c>
      <c r="B886" s="12" t="s">
        <v>1309</v>
      </c>
      <c r="C886" s="12"/>
      <c r="D886" s="12"/>
      <c r="E886" s="12"/>
      <c r="F886" s="12"/>
      <c r="G886" s="12"/>
      <c r="H886" s="12"/>
    </row>
    <row r="887" spans="1:8" x14ac:dyDescent="0.25">
      <c r="A887" s="12">
        <v>1882</v>
      </c>
      <c r="B887" s="12" t="s">
        <v>1296</v>
      </c>
      <c r="C887" s="12"/>
      <c r="D887" s="12"/>
      <c r="E887" s="12"/>
      <c r="F887" s="12"/>
      <c r="G887" s="12"/>
      <c r="H887" s="12"/>
    </row>
    <row r="888" spans="1:8" x14ac:dyDescent="0.25">
      <c r="A888" s="12">
        <v>1883</v>
      </c>
      <c r="B888" s="12" t="s">
        <v>329</v>
      </c>
      <c r="C888" s="12"/>
      <c r="D888" s="12"/>
      <c r="E888" s="12"/>
      <c r="F888" s="12"/>
      <c r="G888" s="12"/>
      <c r="H888" s="12"/>
    </row>
    <row r="889" spans="1:8" x14ac:dyDescent="0.25">
      <c r="A889" s="12">
        <v>1884</v>
      </c>
      <c r="B889" s="12" t="s">
        <v>1297</v>
      </c>
      <c r="C889" s="12"/>
      <c r="D889" s="12"/>
      <c r="E889" s="12"/>
      <c r="F889" s="12"/>
      <c r="G889" s="12"/>
      <c r="H889" s="12"/>
    </row>
    <row r="890" spans="1:8" x14ac:dyDescent="0.25">
      <c r="A890" s="12">
        <v>1885</v>
      </c>
      <c r="B890" s="12" t="s">
        <v>330</v>
      </c>
      <c r="C890" s="12"/>
      <c r="D890" s="12"/>
      <c r="E890" s="12"/>
      <c r="F890" s="12"/>
      <c r="G890" s="12"/>
      <c r="H890" s="12"/>
    </row>
    <row r="891" spans="1:8" x14ac:dyDescent="0.25">
      <c r="A891" s="12">
        <v>1886</v>
      </c>
      <c r="B891" s="12" t="s">
        <v>331</v>
      </c>
      <c r="C891" s="12"/>
      <c r="D891" s="12"/>
      <c r="E891" s="12"/>
      <c r="F891" s="12"/>
      <c r="G891" s="12"/>
      <c r="H891" s="12"/>
    </row>
    <row r="892" spans="1:8" x14ac:dyDescent="0.25">
      <c r="A892" s="12">
        <v>1887</v>
      </c>
      <c r="B892" s="12" t="s">
        <v>1298</v>
      </c>
      <c r="C892" s="12"/>
      <c r="D892" s="12"/>
      <c r="E892" s="12"/>
      <c r="F892" s="12"/>
      <c r="G892" s="12"/>
      <c r="H892" s="12"/>
    </row>
    <row r="893" spans="1:8" x14ac:dyDescent="0.25">
      <c r="A893" s="12">
        <v>1888</v>
      </c>
      <c r="B893" s="12" t="s">
        <v>1299</v>
      </c>
      <c r="C893" s="12"/>
      <c r="D893" s="12"/>
      <c r="E893" s="12"/>
      <c r="F893" s="12"/>
      <c r="G893" s="12"/>
      <c r="H893" s="12"/>
    </row>
    <row r="894" spans="1:8" x14ac:dyDescent="0.25">
      <c r="A894" s="12">
        <v>1889</v>
      </c>
      <c r="B894" s="12" t="s">
        <v>322</v>
      </c>
      <c r="C894" s="12"/>
      <c r="D894" s="12"/>
      <c r="E894" s="12"/>
      <c r="F894" s="12"/>
      <c r="G894" s="12"/>
      <c r="H894" s="12"/>
    </row>
    <row r="895" spans="1:8" x14ac:dyDescent="0.25">
      <c r="A895" s="12">
        <v>1890</v>
      </c>
      <c r="B895" s="12" t="s">
        <v>1300</v>
      </c>
      <c r="C895" s="12"/>
      <c r="D895" s="12"/>
      <c r="E895" s="12"/>
      <c r="F895" s="12"/>
      <c r="G895" s="12"/>
      <c r="H895" s="12"/>
    </row>
    <row r="896" spans="1:8" x14ac:dyDescent="0.25">
      <c r="A896" s="12">
        <v>1891</v>
      </c>
      <c r="B896" s="12" t="s">
        <v>1301</v>
      </c>
      <c r="C896" s="12"/>
      <c r="D896" s="12"/>
      <c r="E896" s="12"/>
      <c r="F896" s="12"/>
      <c r="G896" s="12"/>
      <c r="H896" s="12"/>
    </row>
    <row r="897" spans="1:8" x14ac:dyDescent="0.25">
      <c r="A897" s="12">
        <v>1892</v>
      </c>
      <c r="B897" s="12" t="s">
        <v>1302</v>
      </c>
      <c r="C897" s="12"/>
      <c r="D897" s="12"/>
      <c r="E897" s="12"/>
      <c r="F897" s="12"/>
      <c r="G897" s="12"/>
      <c r="H897" s="12"/>
    </row>
    <row r="898" spans="1:8" x14ac:dyDescent="0.25">
      <c r="A898" s="12">
        <v>1893</v>
      </c>
      <c r="B898" s="12" t="s">
        <v>1303</v>
      </c>
      <c r="C898" s="12"/>
      <c r="D898" s="12"/>
      <c r="E898" s="12"/>
      <c r="F898" s="12"/>
      <c r="G898" s="12"/>
      <c r="H898" s="12"/>
    </row>
    <row r="899" spans="1:8" x14ac:dyDescent="0.25">
      <c r="A899" s="12">
        <v>1894</v>
      </c>
      <c r="B899" s="12" t="s">
        <v>1304</v>
      </c>
      <c r="C899" s="12"/>
      <c r="D899" s="12"/>
      <c r="E899" s="12"/>
      <c r="F899" s="12"/>
      <c r="G899" s="12"/>
      <c r="H899" s="12"/>
    </row>
    <row r="900" spans="1:8" x14ac:dyDescent="0.25">
      <c r="A900" s="12">
        <v>1895</v>
      </c>
      <c r="B900" s="12" t="s">
        <v>1305</v>
      </c>
      <c r="C900" s="12"/>
      <c r="D900" s="12"/>
      <c r="E900" s="12"/>
      <c r="F900" s="12"/>
      <c r="G900" s="12"/>
      <c r="H900" s="12"/>
    </row>
    <row r="901" spans="1:8" x14ac:dyDescent="0.25">
      <c r="A901" s="12">
        <v>1896</v>
      </c>
      <c r="B901" s="12" t="s">
        <v>1306</v>
      </c>
      <c r="C901" s="12"/>
      <c r="D901" s="12"/>
      <c r="E901" s="12"/>
      <c r="F901" s="12"/>
      <c r="G901" s="12"/>
      <c r="H901" s="12"/>
    </row>
    <row r="902" spans="1:8" x14ac:dyDescent="0.25">
      <c r="A902" s="12">
        <v>1897</v>
      </c>
      <c r="B902" s="12" t="s">
        <v>1307</v>
      </c>
      <c r="C902" s="12"/>
      <c r="D902" s="12"/>
      <c r="E902" s="12"/>
      <c r="F902" s="12"/>
      <c r="G902" s="12"/>
      <c r="H902" s="12"/>
    </row>
    <row r="903" spans="1:8" x14ac:dyDescent="0.25">
      <c r="A903" s="12">
        <v>1898</v>
      </c>
      <c r="B903" s="12" t="s">
        <v>1308</v>
      </c>
      <c r="C903" s="12"/>
      <c r="D903" s="12"/>
      <c r="E903" s="12"/>
      <c r="F903" s="12"/>
      <c r="G903" s="12"/>
      <c r="H903" s="12"/>
    </row>
    <row r="904" spans="1:8" x14ac:dyDescent="0.25">
      <c r="A904" s="12">
        <v>1899</v>
      </c>
      <c r="B904" s="12" t="s">
        <v>1310</v>
      </c>
      <c r="C904" s="12"/>
      <c r="D904" s="12"/>
      <c r="E904" s="12"/>
      <c r="F904" s="12"/>
      <c r="G904" s="12"/>
      <c r="H904" s="12"/>
    </row>
    <row r="905" spans="1:8" x14ac:dyDescent="0.25">
      <c r="A905" s="12">
        <v>1900</v>
      </c>
      <c r="B905" s="12" t="s">
        <v>1313</v>
      </c>
      <c r="C905" s="12"/>
      <c r="D905" s="12"/>
      <c r="E905" s="12"/>
      <c r="F905" s="12"/>
      <c r="G905" s="12"/>
      <c r="H905" s="12"/>
    </row>
    <row r="906" spans="1:8" x14ac:dyDescent="0.25">
      <c r="A906" s="12">
        <v>1901</v>
      </c>
      <c r="B906" s="12" t="s">
        <v>1314</v>
      </c>
      <c r="C906" s="12"/>
      <c r="D906" s="12"/>
      <c r="E906" s="12"/>
      <c r="F906" s="12"/>
      <c r="G906" s="12"/>
      <c r="H906" s="12"/>
    </row>
    <row r="907" spans="1:8" x14ac:dyDescent="0.25">
      <c r="A907" s="12">
        <v>1902</v>
      </c>
      <c r="B907" s="12" t="s">
        <v>1316</v>
      </c>
      <c r="C907" s="12"/>
      <c r="D907" s="12"/>
      <c r="E907" s="12"/>
      <c r="F907" s="12"/>
      <c r="G907" s="12"/>
      <c r="H907" s="12"/>
    </row>
    <row r="908" spans="1:8" x14ac:dyDescent="0.25">
      <c r="A908" s="12">
        <v>1903</v>
      </c>
      <c r="B908" s="12" t="s">
        <v>1319</v>
      </c>
      <c r="C908" s="12"/>
      <c r="D908" s="12"/>
      <c r="E908" s="12"/>
      <c r="F908" s="12"/>
      <c r="G908" s="12"/>
      <c r="H908" s="12"/>
    </row>
    <row r="909" spans="1:8" x14ac:dyDescent="0.25">
      <c r="A909" s="12">
        <v>1904</v>
      </c>
      <c r="B909" s="12" t="s">
        <v>1321</v>
      </c>
      <c r="C909" s="12"/>
      <c r="D909" s="12"/>
      <c r="E909" s="12"/>
      <c r="F909" s="12"/>
      <c r="G909" s="12"/>
      <c r="H909" s="12"/>
    </row>
    <row r="910" spans="1:8" x14ac:dyDescent="0.25">
      <c r="A910" s="12">
        <v>1905</v>
      </c>
      <c r="B910" s="12" t="s">
        <v>1322</v>
      </c>
      <c r="C910" s="12"/>
      <c r="D910" s="12"/>
      <c r="E910" s="12"/>
      <c r="F910" s="12"/>
      <c r="G910" s="12"/>
      <c r="H910" s="12"/>
    </row>
    <row r="911" spans="1:8" x14ac:dyDescent="0.25">
      <c r="A911" s="12">
        <v>1906</v>
      </c>
      <c r="B911" s="12" t="s">
        <v>1324</v>
      </c>
      <c r="C911" s="12"/>
      <c r="D911" s="12"/>
      <c r="E911" s="12"/>
      <c r="F911" s="12"/>
      <c r="G911" s="12"/>
      <c r="H911" s="12"/>
    </row>
    <row r="912" spans="1:8" x14ac:dyDescent="0.25">
      <c r="A912" s="12">
        <v>1907</v>
      </c>
      <c r="B912" s="12" t="s">
        <v>1325</v>
      </c>
      <c r="C912" s="12"/>
      <c r="D912" s="12"/>
      <c r="E912" s="12"/>
      <c r="F912" s="12"/>
      <c r="G912" s="12"/>
      <c r="H912" s="12"/>
    </row>
    <row r="913" spans="1:8" x14ac:dyDescent="0.25">
      <c r="A913" s="12">
        <v>1908</v>
      </c>
      <c r="B913" s="12" t="s">
        <v>1326</v>
      </c>
      <c r="C913" s="12"/>
      <c r="D913" s="12"/>
      <c r="E913" s="12"/>
      <c r="F913" s="12"/>
      <c r="G913" s="12"/>
      <c r="H913" s="12"/>
    </row>
    <row r="914" spans="1:8" x14ac:dyDescent="0.25">
      <c r="A914" s="12">
        <v>1909</v>
      </c>
      <c r="B914" s="12" t="s">
        <v>1327</v>
      </c>
      <c r="C914" s="12"/>
      <c r="D914" s="12"/>
      <c r="E914" s="12"/>
      <c r="F914" s="12"/>
      <c r="G914" s="12"/>
      <c r="H914" s="12"/>
    </row>
    <row r="915" spans="1:8" x14ac:dyDescent="0.25">
      <c r="A915" s="12">
        <v>1910</v>
      </c>
      <c r="B915" s="12" t="s">
        <v>333</v>
      </c>
      <c r="C915" s="12"/>
      <c r="D915" s="12"/>
      <c r="E915" s="12"/>
      <c r="F915" s="12"/>
      <c r="G915" s="12"/>
      <c r="H915" s="12"/>
    </row>
    <row r="916" spans="1:8" x14ac:dyDescent="0.25">
      <c r="A916" s="12">
        <v>1911</v>
      </c>
      <c r="B916" s="12" t="s">
        <v>1329</v>
      </c>
      <c r="C916" s="12"/>
      <c r="D916" s="12"/>
      <c r="E916" s="12"/>
      <c r="F916" s="12"/>
      <c r="G916" s="12"/>
      <c r="H916" s="12"/>
    </row>
    <row r="917" spans="1:8" x14ac:dyDescent="0.25">
      <c r="A917" s="12">
        <v>1912</v>
      </c>
      <c r="B917" s="12" t="s">
        <v>334</v>
      </c>
      <c r="C917" s="12"/>
      <c r="D917" s="12"/>
      <c r="E917" s="12"/>
      <c r="F917" s="12"/>
      <c r="G917" s="12"/>
      <c r="H917" s="12"/>
    </row>
    <row r="918" spans="1:8" x14ac:dyDescent="0.25">
      <c r="A918" s="12">
        <v>1913</v>
      </c>
      <c r="B918" s="12" t="s">
        <v>1336</v>
      </c>
      <c r="C918" s="12"/>
      <c r="D918" s="12"/>
      <c r="E918" s="12"/>
      <c r="F918" s="12"/>
      <c r="G918" s="12"/>
      <c r="H918" s="12"/>
    </row>
    <row r="919" spans="1:8" x14ac:dyDescent="0.25">
      <c r="A919" s="12">
        <v>1914</v>
      </c>
      <c r="B919" s="12" t="s">
        <v>1337</v>
      </c>
      <c r="C919" s="12"/>
      <c r="D919" s="12"/>
      <c r="E919" s="12"/>
      <c r="F919" s="12"/>
      <c r="G919" s="12"/>
      <c r="H919" s="12"/>
    </row>
    <row r="920" spans="1:8" x14ac:dyDescent="0.25">
      <c r="A920" s="12">
        <v>1915</v>
      </c>
      <c r="B920" s="12" t="s">
        <v>582</v>
      </c>
      <c r="C920" s="12"/>
      <c r="D920" s="12"/>
      <c r="E920" s="12"/>
      <c r="F920" s="12"/>
      <c r="G920" s="12"/>
      <c r="H920" s="13"/>
    </row>
    <row r="921" spans="1:8" x14ac:dyDescent="0.25">
      <c r="A921" s="12">
        <v>1916</v>
      </c>
      <c r="B921" s="12" t="s">
        <v>584</v>
      </c>
      <c r="C921" s="12" t="s">
        <v>470</v>
      </c>
      <c r="D921" s="12">
        <v>1</v>
      </c>
      <c r="E921" s="12" t="s">
        <v>1832</v>
      </c>
      <c r="F921" s="12">
        <v>0</v>
      </c>
      <c r="G921" s="12" t="s">
        <v>583</v>
      </c>
      <c r="H921" s="13">
        <v>42439</v>
      </c>
    </row>
    <row r="922" spans="1:8" x14ac:dyDescent="0.25">
      <c r="A922" s="12">
        <v>1917</v>
      </c>
      <c r="B922" s="12" t="s">
        <v>335</v>
      </c>
      <c r="C922" s="12"/>
      <c r="D922" s="12"/>
      <c r="E922" s="12"/>
      <c r="F922" s="12"/>
      <c r="G922" s="12"/>
      <c r="H922" s="12"/>
    </row>
    <row r="923" spans="1:8" x14ac:dyDescent="0.25">
      <c r="A923" s="12">
        <v>1918</v>
      </c>
      <c r="B923" s="12" t="s">
        <v>336</v>
      </c>
      <c r="C923" s="12"/>
      <c r="D923" s="12"/>
      <c r="E923" s="12"/>
      <c r="F923" s="12"/>
      <c r="G923" s="12"/>
      <c r="H923" s="12"/>
    </row>
    <row r="924" spans="1:8" x14ac:dyDescent="0.25">
      <c r="A924" s="12">
        <v>1919</v>
      </c>
      <c r="B924" s="12" t="s">
        <v>337</v>
      </c>
      <c r="C924" s="12"/>
      <c r="D924" s="12"/>
      <c r="E924" s="12"/>
      <c r="F924" s="12"/>
      <c r="G924" s="12"/>
      <c r="H924" s="12"/>
    </row>
    <row r="925" spans="1:8" x14ac:dyDescent="0.25">
      <c r="A925" s="12">
        <v>1920</v>
      </c>
      <c r="B925" s="12" t="s">
        <v>1343</v>
      </c>
      <c r="C925" s="12"/>
      <c r="D925" s="12"/>
      <c r="E925" s="12"/>
      <c r="F925" s="12"/>
      <c r="G925" s="12"/>
      <c r="H925" s="12"/>
    </row>
    <row r="926" spans="1:8" x14ac:dyDescent="0.25">
      <c r="A926" s="12">
        <v>1921</v>
      </c>
      <c r="B926" s="12" t="s">
        <v>1347</v>
      </c>
      <c r="C926" s="12"/>
      <c r="D926" s="12"/>
      <c r="E926" s="12"/>
      <c r="F926" s="12"/>
      <c r="G926" s="12"/>
      <c r="H926" s="12"/>
    </row>
    <row r="927" spans="1:8" x14ac:dyDescent="0.25">
      <c r="A927" s="12">
        <v>1922</v>
      </c>
      <c r="B927" s="12" t="s">
        <v>1348</v>
      </c>
      <c r="C927" s="12"/>
      <c r="D927" s="12"/>
      <c r="E927" s="12"/>
      <c r="F927" s="12"/>
      <c r="G927" s="12"/>
      <c r="H927" s="12"/>
    </row>
    <row r="928" spans="1:8" x14ac:dyDescent="0.25">
      <c r="A928" s="12">
        <v>1923</v>
      </c>
      <c r="B928" s="12" t="s">
        <v>1349</v>
      </c>
      <c r="C928" s="12"/>
      <c r="D928" s="12"/>
      <c r="E928" s="12"/>
      <c r="F928" s="12"/>
      <c r="G928" s="12"/>
      <c r="H928" s="12"/>
    </row>
    <row r="929" spans="1:8" x14ac:dyDescent="0.25">
      <c r="A929" s="12">
        <v>1924</v>
      </c>
      <c r="B929" s="12" t="s">
        <v>338</v>
      </c>
      <c r="C929" s="14"/>
      <c r="D929" s="12"/>
      <c r="E929" s="12"/>
      <c r="F929" s="12"/>
      <c r="G929" s="12"/>
      <c r="H929" s="12"/>
    </row>
    <row r="930" spans="1:8" x14ac:dyDescent="0.25">
      <c r="A930" s="12">
        <v>1925</v>
      </c>
      <c r="B930" s="12" t="s">
        <v>339</v>
      </c>
      <c r="C930" s="14"/>
      <c r="D930" s="12"/>
      <c r="E930" s="12"/>
      <c r="F930" s="12"/>
      <c r="G930" s="12"/>
      <c r="H930" s="12"/>
    </row>
    <row r="931" spans="1:8" x14ac:dyDescent="0.25">
      <c r="A931" s="12">
        <v>1926</v>
      </c>
      <c r="B931" s="12" t="s">
        <v>1351</v>
      </c>
      <c r="C931" s="12"/>
      <c r="D931" s="12"/>
      <c r="E931" s="12"/>
      <c r="F931" s="12"/>
      <c r="G931" s="12"/>
      <c r="H931" s="12"/>
    </row>
    <row r="932" spans="1:8" x14ac:dyDescent="0.25">
      <c r="A932" s="12">
        <v>1927</v>
      </c>
      <c r="B932" s="12" t="s">
        <v>585</v>
      </c>
      <c r="C932" s="12" t="s">
        <v>470</v>
      </c>
      <c r="D932" s="12">
        <v>1</v>
      </c>
      <c r="E932" s="12" t="s">
        <v>1833</v>
      </c>
      <c r="F932" s="12">
        <v>0</v>
      </c>
      <c r="G932" s="12" t="s">
        <v>586</v>
      </c>
      <c r="H932" s="13">
        <v>42439</v>
      </c>
    </row>
    <row r="933" spans="1:8" x14ac:dyDescent="0.25">
      <c r="A933" s="12">
        <v>1928</v>
      </c>
      <c r="B933" s="12" t="s">
        <v>340</v>
      </c>
      <c r="C933" s="12"/>
      <c r="D933" s="12"/>
      <c r="E933" s="12"/>
      <c r="F933" s="12"/>
      <c r="G933" s="12"/>
      <c r="H933" s="12"/>
    </row>
    <row r="934" spans="1:8" x14ac:dyDescent="0.25">
      <c r="A934" s="12">
        <v>1929</v>
      </c>
      <c r="B934" s="12" t="s">
        <v>1352</v>
      </c>
      <c r="C934" s="12"/>
      <c r="D934" s="12"/>
      <c r="E934" s="12"/>
      <c r="F934" s="12"/>
      <c r="G934" s="12"/>
      <c r="H934" s="12"/>
    </row>
    <row r="935" spans="1:8" x14ac:dyDescent="0.25">
      <c r="A935" s="12">
        <v>1930</v>
      </c>
      <c r="B935" s="12" t="s">
        <v>1353</v>
      </c>
      <c r="C935" s="12"/>
      <c r="D935" s="12"/>
      <c r="E935" s="12"/>
      <c r="F935" s="12"/>
      <c r="G935" s="12"/>
      <c r="H935" s="12"/>
    </row>
    <row r="936" spans="1:8" x14ac:dyDescent="0.25">
      <c r="A936" s="12">
        <v>1931</v>
      </c>
      <c r="B936" s="12" t="s">
        <v>1354</v>
      </c>
      <c r="C936" s="12"/>
      <c r="D936" s="12"/>
      <c r="E936" s="12"/>
      <c r="F936" s="12"/>
      <c r="G936" s="12"/>
      <c r="H936" s="12"/>
    </row>
    <row r="937" spans="1:8" x14ac:dyDescent="0.25">
      <c r="A937" s="12">
        <v>1932</v>
      </c>
      <c r="B937" s="12" t="s">
        <v>587</v>
      </c>
      <c r="C937" s="12" t="s">
        <v>470</v>
      </c>
      <c r="D937" s="12">
        <v>1</v>
      </c>
      <c r="E937" s="12" t="s">
        <v>1834</v>
      </c>
      <c r="F937" s="12">
        <v>0</v>
      </c>
      <c r="G937" s="12" t="s">
        <v>588</v>
      </c>
      <c r="H937" s="13">
        <v>42439</v>
      </c>
    </row>
    <row r="938" spans="1:8" x14ac:dyDescent="0.25">
      <c r="A938" s="12">
        <v>1933</v>
      </c>
      <c r="B938" s="12" t="s">
        <v>1355</v>
      </c>
      <c r="C938" s="12"/>
      <c r="D938" s="12"/>
      <c r="E938" s="12"/>
      <c r="F938" s="12"/>
      <c r="G938" s="12"/>
      <c r="H938" s="12"/>
    </row>
    <row r="939" spans="1:8" x14ac:dyDescent="0.25">
      <c r="A939" s="12">
        <v>1934</v>
      </c>
      <c r="B939" s="12" t="s">
        <v>341</v>
      </c>
      <c r="C939" s="12"/>
      <c r="D939" s="12"/>
      <c r="E939" s="12"/>
      <c r="F939" s="12"/>
      <c r="G939" s="12"/>
      <c r="H939" s="12"/>
    </row>
    <row r="940" spans="1:8" x14ac:dyDescent="0.25">
      <c r="A940" s="12">
        <v>1935</v>
      </c>
      <c r="B940" s="12" t="s">
        <v>342</v>
      </c>
      <c r="C940" s="12"/>
      <c r="D940" s="12"/>
      <c r="E940" s="12"/>
      <c r="F940" s="12"/>
      <c r="G940" s="12"/>
      <c r="H940" s="12"/>
    </row>
    <row r="941" spans="1:8" x14ac:dyDescent="0.25">
      <c r="A941" s="12">
        <v>1936</v>
      </c>
      <c r="B941" s="12" t="s">
        <v>1356</v>
      </c>
      <c r="C941" s="12"/>
      <c r="D941" s="12"/>
      <c r="E941" s="12"/>
      <c r="F941" s="12"/>
      <c r="G941" s="12"/>
      <c r="H941" s="12"/>
    </row>
    <row r="942" spans="1:8" x14ac:dyDescent="0.25">
      <c r="A942" s="12">
        <v>1937</v>
      </c>
      <c r="B942" s="12" t="s">
        <v>1357</v>
      </c>
      <c r="C942" s="12"/>
      <c r="D942" s="12"/>
      <c r="E942" s="12"/>
      <c r="F942" s="12"/>
      <c r="G942" s="12"/>
      <c r="H942" s="12"/>
    </row>
    <row r="943" spans="1:8" x14ac:dyDescent="0.25">
      <c r="A943" s="12">
        <v>1938</v>
      </c>
      <c r="B943" s="12" t="s">
        <v>1358</v>
      </c>
      <c r="C943" s="12"/>
      <c r="D943" s="12"/>
      <c r="E943" s="12"/>
      <c r="F943" s="12"/>
      <c r="G943" s="12"/>
      <c r="H943" s="12"/>
    </row>
    <row r="944" spans="1:8" x14ac:dyDescent="0.25">
      <c r="A944" s="12">
        <v>1939</v>
      </c>
      <c r="B944" s="12" t="s">
        <v>1359</v>
      </c>
      <c r="C944" s="12"/>
      <c r="D944" s="12"/>
      <c r="E944" s="12"/>
      <c r="F944" s="12"/>
      <c r="G944" s="12"/>
      <c r="H944" s="12"/>
    </row>
    <row r="945" spans="1:8" x14ac:dyDescent="0.25">
      <c r="A945" s="12">
        <v>1940</v>
      </c>
      <c r="B945" s="12" t="s">
        <v>343</v>
      </c>
      <c r="C945" s="12"/>
      <c r="D945" s="12"/>
      <c r="E945" s="12"/>
      <c r="F945" s="12"/>
      <c r="G945" s="12"/>
      <c r="H945" s="12"/>
    </row>
    <row r="946" spans="1:8" x14ac:dyDescent="0.25">
      <c r="A946" s="12">
        <v>1941</v>
      </c>
      <c r="B946" s="12" t="s">
        <v>1360</v>
      </c>
      <c r="C946" s="12"/>
      <c r="D946" s="12"/>
      <c r="E946" s="12"/>
      <c r="F946" s="12"/>
      <c r="G946" s="12"/>
      <c r="H946" s="12"/>
    </row>
    <row r="947" spans="1:8" x14ac:dyDescent="0.25">
      <c r="A947" s="12">
        <v>1942</v>
      </c>
      <c r="B947" s="12" t="s">
        <v>1361</v>
      </c>
      <c r="C947" s="12"/>
      <c r="D947" s="12"/>
      <c r="E947" s="12"/>
      <c r="F947" s="12"/>
      <c r="G947" s="12"/>
      <c r="H947" s="12"/>
    </row>
    <row r="948" spans="1:8" x14ac:dyDescent="0.25">
      <c r="A948" s="12">
        <v>1943</v>
      </c>
      <c r="B948" s="12" t="s">
        <v>344</v>
      </c>
      <c r="C948" s="12"/>
      <c r="D948" s="12"/>
      <c r="E948" s="12"/>
      <c r="F948" s="12"/>
      <c r="G948" s="12"/>
      <c r="H948" s="12"/>
    </row>
    <row r="949" spans="1:8" x14ac:dyDescent="0.25">
      <c r="A949" s="12">
        <v>1944</v>
      </c>
      <c r="B949" s="12" t="s">
        <v>1362</v>
      </c>
      <c r="C949" s="12"/>
      <c r="D949" s="12"/>
      <c r="E949" s="12"/>
      <c r="F949" s="12"/>
      <c r="G949" s="12"/>
      <c r="H949" s="12"/>
    </row>
    <row r="950" spans="1:8" x14ac:dyDescent="0.25">
      <c r="A950" s="12">
        <v>1945</v>
      </c>
      <c r="B950" s="12" t="s">
        <v>1363</v>
      </c>
      <c r="C950" s="12"/>
      <c r="D950" s="12"/>
      <c r="E950" s="12"/>
      <c r="F950" s="12"/>
      <c r="G950" s="12"/>
      <c r="H950" s="12"/>
    </row>
    <row r="951" spans="1:8" x14ac:dyDescent="0.25">
      <c r="A951" s="12">
        <v>1946</v>
      </c>
      <c r="B951" s="12" t="s">
        <v>345</v>
      </c>
      <c r="C951" s="12"/>
      <c r="D951" s="12"/>
      <c r="E951" s="12"/>
      <c r="F951" s="12"/>
      <c r="G951" s="12"/>
      <c r="H951" s="12"/>
    </row>
    <row r="952" spans="1:8" x14ac:dyDescent="0.25">
      <c r="A952" s="12">
        <v>1947</v>
      </c>
      <c r="B952" s="12" t="s">
        <v>1364</v>
      </c>
      <c r="C952" s="12"/>
      <c r="D952" s="12"/>
      <c r="E952" s="12"/>
      <c r="F952" s="12"/>
      <c r="G952" s="12"/>
      <c r="H952" s="12"/>
    </row>
    <row r="953" spans="1:8" x14ac:dyDescent="0.25">
      <c r="A953" s="12">
        <v>1948</v>
      </c>
      <c r="B953" s="12" t="s">
        <v>1366</v>
      </c>
      <c r="C953" s="12"/>
      <c r="D953" s="12"/>
      <c r="E953" s="12"/>
      <c r="F953" s="12"/>
      <c r="G953" s="12"/>
      <c r="H953" s="12"/>
    </row>
    <row r="954" spans="1:8" x14ac:dyDescent="0.25">
      <c r="A954" s="12">
        <v>1949</v>
      </c>
      <c r="B954" s="12" t="s">
        <v>1367</v>
      </c>
      <c r="C954" s="12"/>
      <c r="D954" s="12"/>
      <c r="E954" s="12"/>
      <c r="F954" s="12"/>
      <c r="G954" s="12"/>
      <c r="H954" s="12"/>
    </row>
    <row r="955" spans="1:8" x14ac:dyDescent="0.25">
      <c r="A955" s="12">
        <v>1950</v>
      </c>
      <c r="B955" s="12" t="s">
        <v>1368</v>
      </c>
      <c r="C955" s="12"/>
      <c r="D955" s="12"/>
      <c r="E955" s="12"/>
      <c r="F955" s="12"/>
      <c r="G955" s="12"/>
      <c r="H955" s="12"/>
    </row>
    <row r="956" spans="1:8" x14ac:dyDescent="0.25">
      <c r="A956" s="12">
        <v>1951</v>
      </c>
      <c r="B956" s="12" t="s">
        <v>346</v>
      </c>
      <c r="C956" s="12"/>
      <c r="D956" s="12"/>
      <c r="E956" s="12"/>
      <c r="F956" s="12"/>
      <c r="G956" s="12"/>
      <c r="H956" s="12"/>
    </row>
    <row r="957" spans="1:8" x14ac:dyDescent="0.25">
      <c r="A957" s="12">
        <v>1952</v>
      </c>
      <c r="B957" s="12" t="s">
        <v>347</v>
      </c>
      <c r="C957" s="12" t="s">
        <v>470</v>
      </c>
      <c r="D957" s="12">
        <v>1</v>
      </c>
      <c r="E957" s="12" t="s">
        <v>1835</v>
      </c>
      <c r="F957" s="12">
        <v>0</v>
      </c>
      <c r="G957" s="12" t="s">
        <v>1836</v>
      </c>
      <c r="H957" s="13">
        <v>42447</v>
      </c>
    </row>
    <row r="958" spans="1:8" x14ac:dyDescent="0.25">
      <c r="A958" s="12">
        <v>1953</v>
      </c>
      <c r="B958" s="12" t="s">
        <v>1369</v>
      </c>
      <c r="C958" s="12"/>
      <c r="D958" s="12"/>
      <c r="E958" s="12"/>
      <c r="F958" s="12"/>
      <c r="G958" s="12"/>
      <c r="H958" s="12"/>
    </row>
    <row r="959" spans="1:8" x14ac:dyDescent="0.25">
      <c r="A959" s="12">
        <v>1954</v>
      </c>
      <c r="B959" s="12" t="s">
        <v>1370</v>
      </c>
      <c r="C959" s="12"/>
      <c r="D959" s="12"/>
      <c r="E959" s="12"/>
      <c r="F959" s="12"/>
      <c r="G959" s="12"/>
      <c r="H959" s="12"/>
    </row>
    <row r="960" spans="1:8" x14ac:dyDescent="0.25">
      <c r="A960" s="12">
        <v>1955</v>
      </c>
      <c r="B960" s="12" t="s">
        <v>1371</v>
      </c>
      <c r="C960" s="12"/>
      <c r="D960" s="12"/>
      <c r="E960" s="12"/>
      <c r="F960" s="12"/>
      <c r="G960" s="12"/>
      <c r="H960" s="12"/>
    </row>
    <row r="961" spans="1:8" x14ac:dyDescent="0.25">
      <c r="A961" s="12">
        <v>1956</v>
      </c>
      <c r="B961" s="12" t="s">
        <v>1372</v>
      </c>
      <c r="C961" s="12"/>
      <c r="D961" s="12"/>
      <c r="E961" s="12"/>
      <c r="F961" s="12"/>
      <c r="G961" s="12"/>
      <c r="H961" s="12"/>
    </row>
    <row r="962" spans="1:8" x14ac:dyDescent="0.25">
      <c r="A962" s="12">
        <v>1957</v>
      </c>
      <c r="B962" s="12" t="s">
        <v>1373</v>
      </c>
      <c r="C962" s="12"/>
      <c r="D962" s="12"/>
      <c r="E962" s="12"/>
      <c r="F962" s="12"/>
      <c r="G962" s="12"/>
      <c r="H962" s="12"/>
    </row>
    <row r="963" spans="1:8" x14ac:dyDescent="0.25">
      <c r="A963" s="12">
        <v>1958</v>
      </c>
      <c r="B963" s="12" t="s">
        <v>1374</v>
      </c>
      <c r="C963" s="12"/>
      <c r="D963" s="12"/>
      <c r="E963" s="12"/>
      <c r="F963" s="12"/>
      <c r="G963" s="12"/>
      <c r="H963" s="12"/>
    </row>
    <row r="964" spans="1:8" x14ac:dyDescent="0.25">
      <c r="A964" s="12">
        <v>1959</v>
      </c>
      <c r="B964" s="12" t="s">
        <v>1381</v>
      </c>
      <c r="C964" s="12"/>
      <c r="D964" s="12"/>
      <c r="E964" s="12"/>
      <c r="F964" s="12"/>
      <c r="G964" s="12"/>
      <c r="H964" s="12"/>
    </row>
    <row r="965" spans="1:8" x14ac:dyDescent="0.25">
      <c r="A965" s="12">
        <v>1960</v>
      </c>
      <c r="B965" s="12" t="s">
        <v>1382</v>
      </c>
      <c r="C965" s="12"/>
      <c r="D965" s="12"/>
      <c r="E965" s="12"/>
      <c r="F965" s="12"/>
      <c r="G965" s="12"/>
      <c r="H965" s="12"/>
    </row>
    <row r="966" spans="1:8" x14ac:dyDescent="0.25">
      <c r="A966" s="12">
        <v>1961</v>
      </c>
      <c r="B966" s="12" t="s">
        <v>1385</v>
      </c>
      <c r="C966" s="12"/>
      <c r="D966" s="12"/>
      <c r="E966" s="12"/>
      <c r="F966" s="12"/>
      <c r="G966" s="12"/>
      <c r="H966" s="12"/>
    </row>
    <row r="967" spans="1:8" x14ac:dyDescent="0.25">
      <c r="A967" s="12">
        <v>1962</v>
      </c>
      <c r="B967" s="12" t="s">
        <v>1383</v>
      </c>
      <c r="C967" s="12"/>
      <c r="D967" s="12"/>
      <c r="E967" s="12"/>
      <c r="F967" s="12"/>
      <c r="G967" s="12"/>
      <c r="H967" s="12"/>
    </row>
    <row r="968" spans="1:8" x14ac:dyDescent="0.25">
      <c r="A968" s="12">
        <v>1963</v>
      </c>
      <c r="B968" s="12" t="s">
        <v>1394</v>
      </c>
      <c r="C968" s="12"/>
      <c r="D968" s="12"/>
      <c r="E968" s="12"/>
      <c r="F968" s="12"/>
      <c r="G968" s="12"/>
      <c r="H968" s="12"/>
    </row>
    <row r="969" spans="1:8" x14ac:dyDescent="0.25">
      <c r="A969" s="12">
        <v>1964</v>
      </c>
      <c r="B969" s="12" t="s">
        <v>1395</v>
      </c>
      <c r="C969" s="12"/>
      <c r="D969" s="12"/>
      <c r="E969" s="12"/>
      <c r="F969" s="12"/>
      <c r="G969" s="12"/>
      <c r="H969" s="12"/>
    </row>
    <row r="970" spans="1:8" x14ac:dyDescent="0.25">
      <c r="A970" s="12">
        <v>1965</v>
      </c>
      <c r="B970" s="12" t="s">
        <v>589</v>
      </c>
      <c r="C970" s="12"/>
      <c r="D970" s="12"/>
      <c r="E970" s="12"/>
      <c r="F970" s="12"/>
      <c r="G970" s="12"/>
      <c r="H970" s="13"/>
    </row>
    <row r="971" spans="1:8" x14ac:dyDescent="0.25">
      <c r="A971" s="12">
        <v>1966</v>
      </c>
      <c r="B971" s="12" t="s">
        <v>1413</v>
      </c>
      <c r="C971" s="12"/>
      <c r="D971" s="12"/>
      <c r="E971" s="12"/>
      <c r="F971" s="12"/>
      <c r="G971" s="12"/>
      <c r="H971" s="12"/>
    </row>
    <row r="972" spans="1:8" x14ac:dyDescent="0.25">
      <c r="A972" s="12">
        <v>1967</v>
      </c>
      <c r="B972" s="12" t="s">
        <v>1422</v>
      </c>
      <c r="C972" s="12"/>
      <c r="D972" s="12"/>
      <c r="E972" s="12"/>
      <c r="F972" s="12"/>
      <c r="G972" s="12"/>
      <c r="H972" s="12"/>
    </row>
    <row r="973" spans="1:8" x14ac:dyDescent="0.25">
      <c r="A973" s="12">
        <v>1968</v>
      </c>
      <c r="B973" s="12" t="s">
        <v>1427</v>
      </c>
      <c r="C973" s="12"/>
      <c r="D973" s="12"/>
      <c r="E973" s="12"/>
      <c r="F973" s="12"/>
      <c r="G973" s="12"/>
      <c r="H973" s="12"/>
    </row>
    <row r="974" spans="1:8" x14ac:dyDescent="0.25">
      <c r="A974" s="12">
        <v>1969</v>
      </c>
      <c r="B974" s="12" t="s">
        <v>349</v>
      </c>
      <c r="C974" s="12"/>
      <c r="D974" s="12"/>
      <c r="E974" s="12"/>
      <c r="F974" s="12"/>
      <c r="G974" s="12"/>
      <c r="H974" s="12"/>
    </row>
    <row r="975" spans="1:8" x14ac:dyDescent="0.25">
      <c r="A975" s="12">
        <v>1970</v>
      </c>
      <c r="B975" s="12" t="s">
        <v>350</v>
      </c>
      <c r="C975" s="12"/>
      <c r="D975" s="12"/>
      <c r="E975" s="12"/>
      <c r="F975" s="12"/>
      <c r="G975" s="12"/>
      <c r="H975" s="12"/>
    </row>
    <row r="976" spans="1:8" x14ac:dyDescent="0.25">
      <c r="A976" s="12">
        <v>1971</v>
      </c>
      <c r="B976" s="12" t="s">
        <v>1386</v>
      </c>
      <c r="C976" s="12"/>
      <c r="D976" s="12"/>
      <c r="E976" s="12"/>
      <c r="F976" s="12"/>
      <c r="G976" s="12"/>
      <c r="H976" s="12"/>
    </row>
    <row r="977" spans="1:8" x14ac:dyDescent="0.25">
      <c r="A977" s="12">
        <v>1972</v>
      </c>
      <c r="B977" s="12" t="s">
        <v>1387</v>
      </c>
      <c r="C977" s="12"/>
      <c r="D977" s="12"/>
      <c r="E977" s="12"/>
      <c r="F977" s="12"/>
      <c r="G977" s="12"/>
      <c r="H977" s="12"/>
    </row>
    <row r="978" spans="1:8" x14ac:dyDescent="0.25">
      <c r="A978" s="12">
        <v>1973</v>
      </c>
      <c r="B978" s="12" t="s">
        <v>1388</v>
      </c>
      <c r="C978" s="12"/>
      <c r="D978" s="12"/>
      <c r="E978" s="12"/>
      <c r="F978" s="12"/>
      <c r="G978" s="12"/>
      <c r="H978" s="12"/>
    </row>
    <row r="979" spans="1:8" x14ac:dyDescent="0.25">
      <c r="A979" s="12">
        <v>1974</v>
      </c>
      <c r="B979" s="12" t="s">
        <v>1389</v>
      </c>
      <c r="C979" s="12"/>
      <c r="D979" s="12"/>
      <c r="E979" s="12"/>
      <c r="F979" s="12"/>
      <c r="G979" s="12"/>
      <c r="H979" s="12"/>
    </row>
    <row r="980" spans="1:8" x14ac:dyDescent="0.25">
      <c r="A980" s="12">
        <v>1975</v>
      </c>
      <c r="B980" s="12" t="s">
        <v>1390</v>
      </c>
      <c r="C980" s="12"/>
      <c r="D980" s="12"/>
      <c r="E980" s="12"/>
      <c r="F980" s="12"/>
      <c r="G980" s="12"/>
      <c r="H980" s="12"/>
    </row>
    <row r="981" spans="1:8" x14ac:dyDescent="0.25">
      <c r="A981" s="12">
        <v>1976</v>
      </c>
      <c r="B981" s="12" t="s">
        <v>1392</v>
      </c>
      <c r="C981" s="12"/>
      <c r="D981" s="12"/>
      <c r="E981" s="12"/>
      <c r="F981" s="12"/>
      <c r="G981" s="12"/>
      <c r="H981" s="12"/>
    </row>
    <row r="982" spans="1:8" x14ac:dyDescent="0.25">
      <c r="A982" s="12">
        <v>1977</v>
      </c>
      <c r="B982" s="12" t="s">
        <v>1393</v>
      </c>
      <c r="C982" s="12"/>
      <c r="D982" s="12"/>
      <c r="E982" s="12"/>
      <c r="F982" s="12"/>
      <c r="G982" s="12"/>
      <c r="H982" s="12"/>
    </row>
    <row r="983" spans="1:8" x14ac:dyDescent="0.25">
      <c r="A983" s="12">
        <v>1978</v>
      </c>
      <c r="B983" s="12" t="s">
        <v>1391</v>
      </c>
      <c r="C983" s="12"/>
      <c r="D983" s="12"/>
      <c r="E983" s="12"/>
      <c r="F983" s="12"/>
      <c r="G983" s="12"/>
      <c r="H983" s="12"/>
    </row>
    <row r="984" spans="1:8" x14ac:dyDescent="0.25">
      <c r="A984" s="12">
        <v>1979</v>
      </c>
      <c r="B984" s="12" t="s">
        <v>351</v>
      </c>
      <c r="C984" s="12"/>
      <c r="D984" s="12"/>
      <c r="E984" s="12"/>
      <c r="F984" s="12"/>
      <c r="G984" s="12"/>
      <c r="H984" s="12"/>
    </row>
    <row r="985" spans="1:8" x14ac:dyDescent="0.25">
      <c r="A985" s="12">
        <v>1980</v>
      </c>
      <c r="B985" s="12" t="s">
        <v>1396</v>
      </c>
      <c r="C985" s="12"/>
      <c r="D985" s="12"/>
      <c r="E985" s="12"/>
      <c r="F985" s="12"/>
      <c r="G985" s="12"/>
      <c r="H985" s="12"/>
    </row>
    <row r="986" spans="1:8" x14ac:dyDescent="0.25">
      <c r="A986" s="12">
        <v>1981</v>
      </c>
      <c r="B986" s="12" t="s">
        <v>1397</v>
      </c>
      <c r="C986" s="12"/>
      <c r="D986" s="12"/>
      <c r="E986" s="12"/>
      <c r="F986" s="12"/>
      <c r="G986" s="12"/>
      <c r="H986" s="12"/>
    </row>
    <row r="987" spans="1:8" x14ac:dyDescent="0.25">
      <c r="A987" s="12">
        <v>1982</v>
      </c>
      <c r="B987" s="12" t="s">
        <v>1398</v>
      </c>
      <c r="C987" s="12"/>
      <c r="D987" s="12"/>
      <c r="E987" s="12"/>
      <c r="F987" s="12"/>
      <c r="G987" s="12"/>
      <c r="H987" s="12"/>
    </row>
    <row r="988" spans="1:8" x14ac:dyDescent="0.25">
      <c r="A988" s="12">
        <v>1983</v>
      </c>
      <c r="B988" s="12" t="s">
        <v>1399</v>
      </c>
      <c r="C988" s="12"/>
      <c r="D988" s="12"/>
      <c r="E988" s="12"/>
      <c r="F988" s="12"/>
      <c r="G988" s="12"/>
      <c r="H988" s="12"/>
    </row>
    <row r="989" spans="1:8" x14ac:dyDescent="0.25">
      <c r="A989" s="12">
        <v>1984</v>
      </c>
      <c r="B989" s="12" t="s">
        <v>352</v>
      </c>
      <c r="C989" s="12"/>
      <c r="D989" s="12"/>
      <c r="E989" s="12"/>
      <c r="F989" s="12"/>
      <c r="G989" s="12"/>
      <c r="H989" s="12"/>
    </row>
    <row r="990" spans="1:8" x14ac:dyDescent="0.25">
      <c r="A990" s="12">
        <v>1985</v>
      </c>
      <c r="B990" s="12" t="s">
        <v>353</v>
      </c>
      <c r="C990" s="12"/>
      <c r="D990" s="12"/>
      <c r="E990" s="12"/>
      <c r="F990" s="12"/>
      <c r="G990" s="12"/>
      <c r="H990" s="12"/>
    </row>
    <row r="991" spans="1:8" x14ac:dyDescent="0.25">
      <c r="A991" s="12">
        <v>1986</v>
      </c>
      <c r="B991" s="12" t="s">
        <v>1400</v>
      </c>
      <c r="C991" s="12"/>
      <c r="D991" s="12"/>
      <c r="E991" s="12"/>
      <c r="F991" s="12"/>
      <c r="G991" s="12"/>
      <c r="H991" s="12"/>
    </row>
    <row r="992" spans="1:8" x14ac:dyDescent="0.25">
      <c r="A992" s="12">
        <v>1987</v>
      </c>
      <c r="B992" s="12" t="s">
        <v>1401</v>
      </c>
      <c r="C992" s="12"/>
      <c r="D992" s="12"/>
      <c r="E992" s="12"/>
      <c r="F992" s="12"/>
      <c r="G992" s="12"/>
      <c r="H992" s="12"/>
    </row>
    <row r="993" spans="1:8" x14ac:dyDescent="0.25">
      <c r="A993" s="12">
        <v>1988</v>
      </c>
      <c r="B993" s="12" t="s">
        <v>1402</v>
      </c>
      <c r="C993" s="12"/>
      <c r="D993" s="12"/>
      <c r="E993" s="12"/>
      <c r="F993" s="12"/>
      <c r="G993" s="12"/>
      <c r="H993" s="12"/>
    </row>
    <row r="994" spans="1:8" x14ac:dyDescent="0.25">
      <c r="A994" s="12">
        <v>1989</v>
      </c>
      <c r="B994" s="12" t="s">
        <v>1403</v>
      </c>
      <c r="C994" s="12"/>
      <c r="D994" s="12"/>
      <c r="E994" s="12"/>
      <c r="F994" s="12"/>
      <c r="G994" s="12"/>
      <c r="H994" s="12"/>
    </row>
    <row r="995" spans="1:8" x14ac:dyDescent="0.25">
      <c r="A995" s="12">
        <v>1990</v>
      </c>
      <c r="B995" s="12" t="s">
        <v>1404</v>
      </c>
      <c r="C995" s="12"/>
      <c r="D995" s="12"/>
      <c r="E995" s="12"/>
      <c r="F995" s="12"/>
      <c r="G995" s="12"/>
      <c r="H995" s="12"/>
    </row>
    <row r="996" spans="1:8" x14ac:dyDescent="0.25">
      <c r="A996" s="12">
        <v>1991</v>
      </c>
      <c r="B996" s="12" t="s">
        <v>1405</v>
      </c>
      <c r="C996" s="12"/>
      <c r="D996" s="12"/>
      <c r="E996" s="12"/>
      <c r="F996" s="12"/>
      <c r="G996" s="12"/>
      <c r="H996" s="12"/>
    </row>
    <row r="997" spans="1:8" x14ac:dyDescent="0.25">
      <c r="A997" s="12">
        <v>1992</v>
      </c>
      <c r="B997" s="12" t="s">
        <v>1406</v>
      </c>
      <c r="C997" s="12"/>
      <c r="D997" s="12"/>
      <c r="E997" s="12"/>
      <c r="F997" s="12"/>
      <c r="G997" s="12"/>
      <c r="H997" s="12"/>
    </row>
    <row r="998" spans="1:8" x14ac:dyDescent="0.25">
      <c r="A998" s="12">
        <v>1993</v>
      </c>
      <c r="B998" s="12" t="s">
        <v>1407</v>
      </c>
      <c r="C998" s="12"/>
      <c r="D998" s="12"/>
      <c r="E998" s="12"/>
      <c r="F998" s="12"/>
      <c r="G998" s="12"/>
      <c r="H998" s="12"/>
    </row>
    <row r="999" spans="1:8" x14ac:dyDescent="0.25">
      <c r="A999" s="12">
        <v>1994</v>
      </c>
      <c r="B999" s="12" t="s">
        <v>1408</v>
      </c>
      <c r="C999" s="12"/>
      <c r="D999" s="12"/>
      <c r="E999" s="12"/>
      <c r="F999" s="12"/>
      <c r="G999" s="12"/>
      <c r="H999" s="12"/>
    </row>
    <row r="1000" spans="1:8" x14ac:dyDescent="0.25">
      <c r="A1000" s="12">
        <v>1995</v>
      </c>
      <c r="B1000" s="12" t="s">
        <v>1410</v>
      </c>
      <c r="C1000" s="12"/>
      <c r="D1000" s="12"/>
      <c r="E1000" s="12"/>
      <c r="F1000" s="12"/>
      <c r="G1000" s="12"/>
      <c r="H1000" s="12"/>
    </row>
    <row r="1001" spans="1:8" x14ac:dyDescent="0.25">
      <c r="A1001" s="12">
        <v>1996</v>
      </c>
      <c r="B1001" s="12" t="s">
        <v>1409</v>
      </c>
      <c r="C1001" s="12"/>
      <c r="D1001" s="12"/>
      <c r="E1001" s="12"/>
      <c r="F1001" s="12"/>
      <c r="G1001" s="12"/>
      <c r="H1001" s="12"/>
    </row>
    <row r="1002" spans="1:8" x14ac:dyDescent="0.25">
      <c r="A1002" s="12">
        <v>1997</v>
      </c>
      <c r="B1002" s="12" t="s">
        <v>1412</v>
      </c>
      <c r="C1002" s="12"/>
      <c r="D1002" s="12"/>
      <c r="E1002" s="12"/>
      <c r="F1002" s="12"/>
      <c r="G1002" s="12"/>
      <c r="H1002" s="12"/>
    </row>
    <row r="1003" spans="1:8" x14ac:dyDescent="0.25">
      <c r="A1003" s="12">
        <v>1998</v>
      </c>
      <c r="B1003" s="12" t="s">
        <v>591</v>
      </c>
      <c r="C1003" s="12"/>
      <c r="D1003" s="12"/>
      <c r="E1003" s="12"/>
      <c r="F1003" s="12"/>
      <c r="G1003" s="12"/>
      <c r="H1003" s="13"/>
    </row>
    <row r="1004" spans="1:8" x14ac:dyDescent="0.25">
      <c r="A1004" s="12">
        <v>1999</v>
      </c>
      <c r="B1004" s="12" t="s">
        <v>592</v>
      </c>
      <c r="C1004" s="12" t="s">
        <v>470</v>
      </c>
      <c r="D1004" s="12">
        <v>1</v>
      </c>
      <c r="E1004" s="12" t="s">
        <v>1837</v>
      </c>
      <c r="F1004" s="12">
        <v>0</v>
      </c>
      <c r="G1004" s="12" t="s">
        <v>590</v>
      </c>
      <c r="H1004" s="13">
        <v>42439</v>
      </c>
    </row>
    <row r="1005" spans="1:8" x14ac:dyDescent="0.25">
      <c r="A1005" s="12">
        <v>2000</v>
      </c>
      <c r="B1005" s="12" t="s">
        <v>354</v>
      </c>
      <c r="C1005" s="12"/>
      <c r="D1005" s="12"/>
      <c r="E1005" s="12"/>
      <c r="F1005" s="12"/>
      <c r="G1005" s="12"/>
      <c r="H1005" s="12"/>
    </row>
    <row r="1006" spans="1:8" x14ac:dyDescent="0.25">
      <c r="A1006" s="12">
        <v>2001</v>
      </c>
      <c r="B1006" s="12" t="s">
        <v>355</v>
      </c>
      <c r="C1006" s="12"/>
      <c r="D1006" s="12"/>
      <c r="E1006" s="12"/>
      <c r="F1006" s="12"/>
      <c r="G1006" s="12"/>
      <c r="H1006" s="12"/>
    </row>
    <row r="1007" spans="1:8" x14ac:dyDescent="0.25">
      <c r="A1007" s="12">
        <v>2002</v>
      </c>
      <c r="B1007" s="12" t="s">
        <v>356</v>
      </c>
      <c r="C1007" s="12"/>
      <c r="D1007" s="12"/>
      <c r="E1007" s="12"/>
      <c r="F1007" s="12"/>
      <c r="G1007" s="12"/>
      <c r="H1007" s="12"/>
    </row>
    <row r="1008" spans="1:8" x14ac:dyDescent="0.25">
      <c r="A1008" s="12">
        <v>2003</v>
      </c>
      <c r="B1008" s="12" t="s">
        <v>1414</v>
      </c>
      <c r="C1008" s="12"/>
      <c r="D1008" s="12"/>
      <c r="E1008" s="12"/>
      <c r="F1008" s="12"/>
      <c r="G1008" s="12"/>
      <c r="H1008" s="12"/>
    </row>
    <row r="1009" spans="1:8" x14ac:dyDescent="0.25">
      <c r="A1009" s="12">
        <v>2004</v>
      </c>
      <c r="B1009" s="12" t="s">
        <v>1415</v>
      </c>
      <c r="C1009" s="12"/>
      <c r="D1009" s="12"/>
      <c r="E1009" s="12"/>
      <c r="F1009" s="12"/>
      <c r="G1009" s="12"/>
      <c r="H1009" s="12"/>
    </row>
    <row r="1010" spans="1:8" x14ac:dyDescent="0.25">
      <c r="A1010" s="12">
        <v>2005</v>
      </c>
      <c r="B1010" s="12" t="s">
        <v>357</v>
      </c>
      <c r="C1010" s="12"/>
      <c r="D1010" s="12"/>
      <c r="E1010" s="12"/>
      <c r="F1010" s="12"/>
      <c r="G1010" s="12"/>
      <c r="H1010" s="12"/>
    </row>
    <row r="1011" spans="1:8" x14ac:dyDescent="0.25">
      <c r="A1011" s="12">
        <v>2006</v>
      </c>
      <c r="B1011" s="12" t="s">
        <v>1416</v>
      </c>
      <c r="C1011" s="12"/>
      <c r="D1011" s="12"/>
      <c r="E1011" s="12"/>
      <c r="F1011" s="12"/>
      <c r="G1011" s="12"/>
      <c r="H1011" s="12"/>
    </row>
    <row r="1012" spans="1:8" x14ac:dyDescent="0.25">
      <c r="A1012" s="12">
        <v>2007</v>
      </c>
      <c r="B1012" s="12" t="s">
        <v>1417</v>
      </c>
      <c r="C1012" s="12"/>
      <c r="D1012" s="12"/>
      <c r="E1012" s="12"/>
      <c r="F1012" s="12"/>
      <c r="G1012" s="12"/>
      <c r="H1012" s="12"/>
    </row>
    <row r="1013" spans="1:8" x14ac:dyDescent="0.25">
      <c r="A1013" s="12">
        <v>2008</v>
      </c>
      <c r="B1013" s="12" t="s">
        <v>1418</v>
      </c>
      <c r="C1013" s="12"/>
      <c r="D1013" s="12"/>
      <c r="E1013" s="12"/>
      <c r="F1013" s="12"/>
      <c r="G1013" s="12"/>
      <c r="H1013" s="12"/>
    </row>
    <row r="1014" spans="1:8" x14ac:dyDescent="0.25">
      <c r="A1014" s="12">
        <v>2009</v>
      </c>
      <c r="B1014" s="12" t="s">
        <v>1419</v>
      </c>
      <c r="C1014" s="12"/>
      <c r="D1014" s="12"/>
      <c r="E1014" s="12"/>
      <c r="F1014" s="12"/>
      <c r="G1014" s="12"/>
      <c r="H1014" s="12"/>
    </row>
    <row r="1015" spans="1:8" x14ac:dyDescent="0.25">
      <c r="A1015" s="12">
        <v>2010</v>
      </c>
      <c r="B1015" s="12" t="s">
        <v>1420</v>
      </c>
      <c r="C1015" s="12"/>
      <c r="D1015" s="12"/>
      <c r="E1015" s="12"/>
      <c r="F1015" s="12"/>
      <c r="G1015" s="12"/>
      <c r="H1015" s="12"/>
    </row>
    <row r="1016" spans="1:8" x14ac:dyDescent="0.25">
      <c r="A1016" s="12">
        <v>2011</v>
      </c>
      <c r="B1016" s="12" t="s">
        <v>1421</v>
      </c>
      <c r="C1016" s="12"/>
      <c r="D1016" s="12"/>
      <c r="E1016" s="12"/>
      <c r="F1016" s="12"/>
      <c r="G1016" s="12"/>
      <c r="H1016" s="12"/>
    </row>
    <row r="1017" spans="1:8" x14ac:dyDescent="0.25">
      <c r="A1017" s="12">
        <v>2012</v>
      </c>
      <c r="B1017" s="12" t="s">
        <v>593</v>
      </c>
      <c r="C1017" s="12" t="s">
        <v>470</v>
      </c>
      <c r="D1017" s="12">
        <v>1</v>
      </c>
      <c r="E1017" s="12" t="s">
        <v>1838</v>
      </c>
      <c r="F1017" s="12">
        <v>0</v>
      </c>
      <c r="G1017" s="12" t="s">
        <v>594</v>
      </c>
      <c r="H1017" s="13">
        <v>42439</v>
      </c>
    </row>
    <row r="1018" spans="1:8" x14ac:dyDescent="0.25">
      <c r="A1018" s="12">
        <v>2013</v>
      </c>
      <c r="B1018" s="12" t="s">
        <v>358</v>
      </c>
      <c r="C1018" s="12"/>
      <c r="D1018" s="12"/>
      <c r="E1018" s="12"/>
      <c r="F1018" s="12"/>
      <c r="G1018" s="12"/>
      <c r="H1018" s="12"/>
    </row>
    <row r="1019" spans="1:8" x14ac:dyDescent="0.25">
      <c r="A1019" s="12">
        <v>2014</v>
      </c>
      <c r="B1019" s="12" t="s">
        <v>1423</v>
      </c>
      <c r="C1019" s="12"/>
      <c r="D1019" s="12"/>
      <c r="E1019" s="12"/>
      <c r="F1019" s="12"/>
      <c r="G1019" s="12"/>
      <c r="H1019" s="12"/>
    </row>
    <row r="1020" spans="1:8" x14ac:dyDescent="0.25">
      <c r="A1020" s="12">
        <v>2015</v>
      </c>
      <c r="B1020" s="12" t="s">
        <v>1424</v>
      </c>
      <c r="C1020" s="12"/>
      <c r="D1020" s="12"/>
      <c r="E1020" s="12"/>
      <c r="F1020" s="12"/>
      <c r="G1020" s="12"/>
      <c r="H1020" s="12"/>
    </row>
    <row r="1021" spans="1:8" x14ac:dyDescent="0.25">
      <c r="A1021" s="12">
        <v>2016</v>
      </c>
      <c r="B1021" s="12" t="s">
        <v>1425</v>
      </c>
      <c r="C1021" s="12"/>
      <c r="D1021" s="12"/>
      <c r="E1021" s="12"/>
      <c r="F1021" s="12"/>
      <c r="G1021" s="12"/>
      <c r="H1021" s="12"/>
    </row>
    <row r="1022" spans="1:8" x14ac:dyDescent="0.25">
      <c r="A1022" s="12">
        <v>2017</v>
      </c>
      <c r="B1022" s="12" t="s">
        <v>1426</v>
      </c>
      <c r="C1022" s="12"/>
      <c r="D1022" s="12"/>
      <c r="E1022" s="12"/>
      <c r="F1022" s="12"/>
      <c r="G1022" s="12"/>
      <c r="H1022" s="12"/>
    </row>
    <row r="1023" spans="1:8" x14ac:dyDescent="0.25">
      <c r="A1023" s="12">
        <v>2018</v>
      </c>
      <c r="B1023" s="12" t="s">
        <v>359</v>
      </c>
      <c r="C1023" s="12"/>
      <c r="D1023" s="12"/>
      <c r="E1023" s="12"/>
      <c r="F1023" s="12"/>
      <c r="G1023" s="12"/>
      <c r="H1023" s="12"/>
    </row>
    <row r="1024" spans="1:8" x14ac:dyDescent="0.25">
      <c r="A1024" s="12">
        <v>2019</v>
      </c>
      <c r="B1024" s="12" t="s">
        <v>360</v>
      </c>
      <c r="C1024" s="12"/>
      <c r="D1024" s="12"/>
      <c r="E1024" s="12"/>
      <c r="F1024" s="12"/>
      <c r="G1024" s="12"/>
      <c r="H1024" s="12"/>
    </row>
    <row r="1025" spans="1:8" x14ac:dyDescent="0.25">
      <c r="A1025" s="12">
        <v>2020</v>
      </c>
      <c r="B1025" s="12" t="s">
        <v>361</v>
      </c>
      <c r="C1025" s="12"/>
      <c r="D1025" s="12"/>
      <c r="E1025" s="12"/>
      <c r="F1025" s="12"/>
      <c r="G1025" s="12"/>
      <c r="H1025" s="12"/>
    </row>
    <row r="1026" spans="1:8" x14ac:dyDescent="0.25">
      <c r="A1026" s="12">
        <v>2021</v>
      </c>
      <c r="B1026" s="12" t="s">
        <v>362</v>
      </c>
      <c r="C1026" s="12"/>
      <c r="D1026" s="12"/>
      <c r="E1026" s="12"/>
      <c r="F1026" s="12"/>
      <c r="G1026" s="12"/>
      <c r="H1026" s="12"/>
    </row>
    <row r="1027" spans="1:8" x14ac:dyDescent="0.25">
      <c r="A1027" s="12">
        <v>2022</v>
      </c>
      <c r="B1027" s="12" t="s">
        <v>1428</v>
      </c>
      <c r="C1027" s="12"/>
      <c r="D1027" s="12"/>
      <c r="E1027" s="12"/>
      <c r="F1027" s="12"/>
      <c r="G1027" s="12"/>
      <c r="H1027" s="12"/>
    </row>
    <row r="1028" spans="1:8" x14ac:dyDescent="0.25">
      <c r="A1028" s="12">
        <v>2023</v>
      </c>
      <c r="B1028" s="12" t="s">
        <v>595</v>
      </c>
      <c r="C1028" s="12" t="s">
        <v>470</v>
      </c>
      <c r="D1028" s="12"/>
      <c r="E1028" s="12"/>
      <c r="F1028" s="12"/>
      <c r="G1028" s="12"/>
      <c r="H1028" s="12"/>
    </row>
    <row r="1029" spans="1:8" x14ac:dyDescent="0.25">
      <c r="A1029" s="12">
        <v>2024</v>
      </c>
      <c r="B1029" s="12" t="s">
        <v>1432</v>
      </c>
      <c r="C1029" s="12"/>
      <c r="D1029" s="12"/>
      <c r="E1029" s="12"/>
      <c r="F1029" s="12"/>
      <c r="G1029" s="12"/>
      <c r="H1029" s="12"/>
    </row>
    <row r="1030" spans="1:8" x14ac:dyDescent="0.25">
      <c r="A1030" s="12">
        <v>2025</v>
      </c>
      <c r="B1030" s="12" t="s">
        <v>1437</v>
      </c>
      <c r="C1030" s="12"/>
      <c r="D1030" s="12"/>
      <c r="E1030" s="12"/>
      <c r="F1030" s="12"/>
      <c r="G1030" s="12"/>
      <c r="H1030" s="12"/>
    </row>
    <row r="1031" spans="1:8" x14ac:dyDescent="0.25">
      <c r="A1031" s="12">
        <v>2026</v>
      </c>
      <c r="B1031" s="12" t="s">
        <v>1448</v>
      </c>
      <c r="C1031" s="12"/>
      <c r="D1031" s="12"/>
      <c r="E1031" s="12"/>
      <c r="F1031" s="12"/>
      <c r="G1031" s="12"/>
      <c r="H1031" s="12"/>
    </row>
    <row r="1032" spans="1:8" x14ac:dyDescent="0.25">
      <c r="A1032" s="12">
        <v>2027</v>
      </c>
      <c r="B1032" s="12" t="s">
        <v>1449</v>
      </c>
      <c r="C1032" s="12"/>
      <c r="D1032" s="12"/>
      <c r="E1032" s="12"/>
      <c r="F1032" s="12"/>
      <c r="G1032" s="12"/>
      <c r="H1032" s="12"/>
    </row>
    <row r="1033" spans="1:8" x14ac:dyDescent="0.25">
      <c r="A1033" s="12">
        <v>2028</v>
      </c>
      <c r="B1033" s="12" t="s">
        <v>363</v>
      </c>
      <c r="C1033" s="12"/>
      <c r="D1033" s="12"/>
      <c r="E1033" s="12"/>
      <c r="F1033" s="12"/>
      <c r="G1033" s="12"/>
      <c r="H1033" s="12"/>
    </row>
    <row r="1034" spans="1:8" x14ac:dyDescent="0.25">
      <c r="A1034" s="12">
        <v>2029</v>
      </c>
      <c r="B1034" s="12" t="s">
        <v>364</v>
      </c>
      <c r="C1034" s="12"/>
      <c r="D1034" s="12"/>
      <c r="E1034" s="12"/>
      <c r="F1034" s="12"/>
      <c r="G1034" s="12"/>
      <c r="H1034" s="12"/>
    </row>
    <row r="1035" spans="1:8" x14ac:dyDescent="0.25">
      <c r="A1035" s="12">
        <v>2030</v>
      </c>
      <c r="B1035" s="12" t="s">
        <v>365</v>
      </c>
      <c r="C1035" s="12"/>
      <c r="D1035" s="12"/>
      <c r="E1035" s="12"/>
      <c r="F1035" s="12"/>
      <c r="G1035" s="12"/>
      <c r="H1035" s="12"/>
    </row>
    <row r="1036" spans="1:8" x14ac:dyDescent="0.25">
      <c r="A1036" s="12">
        <v>2031</v>
      </c>
      <c r="B1036" s="12" t="s">
        <v>366</v>
      </c>
      <c r="C1036" s="12"/>
      <c r="D1036" s="12"/>
      <c r="E1036" s="12"/>
      <c r="F1036" s="12"/>
      <c r="G1036" s="12"/>
      <c r="H1036" s="12"/>
    </row>
    <row r="1037" spans="1:8" x14ac:dyDescent="0.25">
      <c r="A1037" s="12">
        <v>2032</v>
      </c>
      <c r="B1037" s="12" t="s">
        <v>1429</v>
      </c>
      <c r="C1037" s="12"/>
      <c r="D1037" s="12"/>
      <c r="E1037" s="12"/>
      <c r="F1037" s="12"/>
      <c r="G1037" s="12"/>
      <c r="H1037" s="12"/>
    </row>
    <row r="1038" spans="1:8" x14ac:dyDescent="0.25">
      <c r="A1038" s="12">
        <v>2033</v>
      </c>
      <c r="B1038" s="12" t="s">
        <v>1431</v>
      </c>
      <c r="C1038" s="12"/>
      <c r="D1038" s="12"/>
      <c r="E1038" s="12"/>
      <c r="F1038" s="12"/>
      <c r="G1038" s="12"/>
      <c r="H1038" s="12"/>
    </row>
    <row r="1039" spans="1:8" x14ac:dyDescent="0.25">
      <c r="A1039" s="12">
        <v>2034</v>
      </c>
      <c r="B1039" s="12" t="s">
        <v>1430</v>
      </c>
      <c r="C1039" s="12"/>
      <c r="D1039" s="12"/>
      <c r="E1039" s="12"/>
      <c r="F1039" s="12"/>
      <c r="G1039" s="12"/>
      <c r="H1039" s="12"/>
    </row>
    <row r="1040" spans="1:8" x14ac:dyDescent="0.25">
      <c r="A1040" s="12">
        <v>2035</v>
      </c>
      <c r="B1040" s="12" t="s">
        <v>1433</v>
      </c>
      <c r="C1040" s="12"/>
      <c r="D1040" s="12"/>
      <c r="E1040" s="12"/>
      <c r="F1040" s="12"/>
      <c r="G1040" s="12"/>
      <c r="H1040" s="12"/>
    </row>
    <row r="1041" spans="1:8" x14ac:dyDescent="0.25">
      <c r="A1041" s="12">
        <v>2036</v>
      </c>
      <c r="B1041" s="12" t="s">
        <v>1434</v>
      </c>
      <c r="C1041" s="12"/>
      <c r="D1041" s="12"/>
      <c r="E1041" s="12"/>
      <c r="F1041" s="12"/>
      <c r="G1041" s="12"/>
      <c r="H1041" s="12"/>
    </row>
    <row r="1042" spans="1:8" x14ac:dyDescent="0.25">
      <c r="A1042" s="12">
        <v>2037</v>
      </c>
      <c r="B1042" s="12" t="s">
        <v>367</v>
      </c>
      <c r="C1042" s="12"/>
      <c r="D1042" s="12"/>
      <c r="E1042" s="12"/>
      <c r="F1042" s="12"/>
      <c r="G1042" s="12"/>
      <c r="H1042" s="12"/>
    </row>
    <row r="1043" spans="1:8" x14ac:dyDescent="0.25">
      <c r="A1043" s="12">
        <v>2038</v>
      </c>
      <c r="B1043" s="12" t="s">
        <v>368</v>
      </c>
      <c r="C1043" s="12"/>
      <c r="D1043" s="12"/>
      <c r="E1043" s="12"/>
      <c r="F1043" s="12"/>
      <c r="G1043" s="12"/>
      <c r="H1043" s="12"/>
    </row>
    <row r="1044" spans="1:8" x14ac:dyDescent="0.25">
      <c r="A1044" s="12">
        <v>2039</v>
      </c>
      <c r="B1044" s="12" t="s">
        <v>1435</v>
      </c>
      <c r="C1044" s="12"/>
      <c r="D1044" s="12"/>
      <c r="E1044" s="12"/>
      <c r="F1044" s="12"/>
      <c r="G1044" s="12"/>
      <c r="H1044" s="12"/>
    </row>
    <row r="1045" spans="1:8" x14ac:dyDescent="0.25">
      <c r="A1045" s="12">
        <v>2040</v>
      </c>
      <c r="B1045" s="12" t="s">
        <v>1436</v>
      </c>
      <c r="C1045" s="12"/>
      <c r="D1045" s="12"/>
      <c r="E1045" s="12"/>
      <c r="F1045" s="12"/>
      <c r="G1045" s="12"/>
      <c r="H1045" s="12"/>
    </row>
    <row r="1046" spans="1:8" x14ac:dyDescent="0.25">
      <c r="A1046" s="12">
        <v>2041</v>
      </c>
      <c r="B1046" s="12" t="s">
        <v>1438</v>
      </c>
      <c r="C1046" s="12"/>
      <c r="D1046" s="12"/>
      <c r="E1046" s="12"/>
      <c r="F1046" s="12"/>
      <c r="G1046" s="12"/>
      <c r="H1046" s="12"/>
    </row>
    <row r="1047" spans="1:8" x14ac:dyDescent="0.25">
      <c r="A1047" s="12">
        <v>2042</v>
      </c>
      <c r="B1047" s="12" t="s">
        <v>1439</v>
      </c>
      <c r="C1047" s="12"/>
      <c r="D1047" s="12"/>
      <c r="E1047" s="12"/>
      <c r="F1047" s="12"/>
      <c r="G1047" s="12"/>
      <c r="H1047" s="12"/>
    </row>
    <row r="1048" spans="1:8" x14ac:dyDescent="0.25">
      <c r="A1048" s="12">
        <v>2043</v>
      </c>
      <c r="B1048" s="12" t="s">
        <v>1440</v>
      </c>
      <c r="C1048" s="12"/>
      <c r="D1048" s="12"/>
      <c r="E1048" s="12"/>
      <c r="F1048" s="12"/>
      <c r="G1048" s="12"/>
      <c r="H1048" s="12"/>
    </row>
    <row r="1049" spans="1:8" x14ac:dyDescent="0.25">
      <c r="A1049" s="12">
        <v>2044</v>
      </c>
      <c r="B1049" s="12" t="s">
        <v>1441</v>
      </c>
      <c r="C1049" s="12"/>
      <c r="D1049" s="12"/>
      <c r="E1049" s="12"/>
      <c r="F1049" s="12"/>
      <c r="G1049" s="12"/>
      <c r="H1049" s="12"/>
    </row>
    <row r="1050" spans="1:8" x14ac:dyDescent="0.25">
      <c r="A1050" s="12">
        <v>2045</v>
      </c>
      <c r="B1050" s="12" t="s">
        <v>369</v>
      </c>
      <c r="C1050" s="12"/>
      <c r="D1050" s="12"/>
      <c r="E1050" s="12"/>
      <c r="F1050" s="12"/>
      <c r="G1050" s="12"/>
      <c r="H1050" s="12"/>
    </row>
    <row r="1051" spans="1:8" x14ac:dyDescent="0.25">
      <c r="A1051" s="12">
        <v>2046</v>
      </c>
      <c r="B1051" s="12" t="s">
        <v>370</v>
      </c>
      <c r="C1051" s="12"/>
      <c r="D1051" s="12"/>
      <c r="E1051" s="12"/>
      <c r="F1051" s="12"/>
      <c r="G1051" s="12"/>
      <c r="H1051" s="12"/>
    </row>
    <row r="1052" spans="1:8" x14ac:dyDescent="0.25">
      <c r="A1052" s="12">
        <v>2047</v>
      </c>
      <c r="B1052" s="12" t="s">
        <v>596</v>
      </c>
      <c r="C1052" s="12" t="s">
        <v>470</v>
      </c>
      <c r="D1052" s="12"/>
      <c r="E1052" s="12"/>
      <c r="F1052" s="12"/>
      <c r="G1052" s="12"/>
      <c r="H1052" s="12"/>
    </row>
    <row r="1053" spans="1:8" x14ac:dyDescent="0.25">
      <c r="A1053" s="12">
        <v>2048</v>
      </c>
      <c r="B1053" s="12" t="s">
        <v>597</v>
      </c>
      <c r="C1053" s="12" t="s">
        <v>470</v>
      </c>
      <c r="D1053" s="12"/>
      <c r="E1053" s="12"/>
      <c r="F1053" s="12"/>
      <c r="G1053" s="12"/>
      <c r="H1053" s="12"/>
    </row>
    <row r="1054" spans="1:8" x14ac:dyDescent="0.25">
      <c r="A1054" s="12">
        <v>2049</v>
      </c>
      <c r="B1054" s="12" t="s">
        <v>598</v>
      </c>
      <c r="C1054" s="12" t="s">
        <v>470</v>
      </c>
      <c r="D1054" s="12">
        <v>1</v>
      </c>
      <c r="E1054" s="12" t="s">
        <v>1839</v>
      </c>
      <c r="F1054" s="12">
        <v>0</v>
      </c>
      <c r="G1054" s="12" t="s">
        <v>490</v>
      </c>
      <c r="H1054" s="13">
        <v>42439</v>
      </c>
    </row>
    <row r="1055" spans="1:8" x14ac:dyDescent="0.25">
      <c r="A1055" s="12">
        <v>2050</v>
      </c>
      <c r="B1055" s="12" t="s">
        <v>1442</v>
      </c>
      <c r="C1055" s="12"/>
      <c r="D1055" s="12"/>
      <c r="E1055" s="12"/>
      <c r="F1055" s="12"/>
      <c r="G1055" s="12"/>
      <c r="H1055" s="12"/>
    </row>
    <row r="1056" spans="1:8" x14ac:dyDescent="0.25">
      <c r="A1056" s="12">
        <v>2051</v>
      </c>
      <c r="B1056" s="12" t="s">
        <v>1443</v>
      </c>
      <c r="C1056" s="12"/>
      <c r="D1056" s="12"/>
      <c r="E1056" s="12"/>
      <c r="F1056" s="12"/>
      <c r="G1056" s="12"/>
      <c r="H1056" s="12"/>
    </row>
    <row r="1057" spans="1:8" x14ac:dyDescent="0.25">
      <c r="A1057" s="12">
        <v>2052</v>
      </c>
      <c r="B1057" s="12" t="s">
        <v>1444</v>
      </c>
      <c r="C1057" s="12"/>
      <c r="D1057" s="12"/>
      <c r="E1057" s="12"/>
      <c r="F1057" s="12"/>
      <c r="G1057" s="12"/>
      <c r="H1057" s="12"/>
    </row>
    <row r="1058" spans="1:8" x14ac:dyDescent="0.25">
      <c r="A1058" s="12">
        <v>2053</v>
      </c>
      <c r="B1058" s="12" t="s">
        <v>371</v>
      </c>
      <c r="C1058" s="12"/>
      <c r="D1058" s="12"/>
      <c r="E1058" s="12"/>
      <c r="F1058" s="12"/>
      <c r="G1058" s="12"/>
      <c r="H1058" s="12"/>
    </row>
    <row r="1059" spans="1:8" x14ac:dyDescent="0.25">
      <c r="A1059" s="12">
        <v>2054</v>
      </c>
      <c r="B1059" s="12" t="s">
        <v>1445</v>
      </c>
      <c r="C1059" s="12"/>
      <c r="D1059" s="12"/>
      <c r="E1059" s="12"/>
      <c r="F1059" s="12"/>
      <c r="G1059" s="12"/>
      <c r="H1059" s="12"/>
    </row>
    <row r="1060" spans="1:8" x14ac:dyDescent="0.25">
      <c r="A1060" s="12">
        <v>2055</v>
      </c>
      <c r="B1060" s="12" t="s">
        <v>1446</v>
      </c>
      <c r="C1060" s="12"/>
      <c r="D1060" s="12"/>
      <c r="E1060" s="12"/>
      <c r="F1060" s="12"/>
      <c r="G1060" s="12"/>
      <c r="H1060" s="12"/>
    </row>
    <row r="1061" spans="1:8" x14ac:dyDescent="0.25">
      <c r="A1061" s="12">
        <v>2056</v>
      </c>
      <c r="B1061" s="12" t="s">
        <v>1447</v>
      </c>
      <c r="C1061" s="12"/>
      <c r="D1061" s="12"/>
      <c r="E1061" s="12"/>
      <c r="F1061" s="12"/>
      <c r="G1061" s="12"/>
      <c r="H1061" s="12"/>
    </row>
    <row r="1062" spans="1:8" x14ac:dyDescent="0.25">
      <c r="A1062" s="12">
        <v>2057</v>
      </c>
      <c r="B1062" s="12" t="s">
        <v>1450</v>
      </c>
      <c r="C1062" s="12"/>
      <c r="D1062" s="12"/>
      <c r="E1062" s="12"/>
      <c r="F1062" s="12"/>
      <c r="G1062" s="12"/>
      <c r="H1062" s="12"/>
    </row>
    <row r="1063" spans="1:8" x14ac:dyDescent="0.25">
      <c r="A1063" s="12">
        <v>2058</v>
      </c>
      <c r="B1063" s="12" t="s">
        <v>1451</v>
      </c>
      <c r="C1063" s="12"/>
      <c r="D1063" s="12"/>
      <c r="E1063" s="12"/>
      <c r="F1063" s="12"/>
      <c r="G1063" s="12"/>
      <c r="H1063" s="12"/>
    </row>
    <row r="1064" spans="1:8" x14ac:dyDescent="0.25">
      <c r="A1064" s="12">
        <v>2059</v>
      </c>
      <c r="B1064" s="12" t="s">
        <v>1453</v>
      </c>
      <c r="C1064" s="12"/>
      <c r="D1064" s="12"/>
      <c r="E1064" s="12"/>
      <c r="F1064" s="12"/>
      <c r="G1064" s="12"/>
      <c r="H1064" s="12"/>
    </row>
    <row r="1065" spans="1:8" x14ac:dyDescent="0.25">
      <c r="A1065" s="12">
        <v>2060</v>
      </c>
      <c r="B1065" s="12" t="s">
        <v>1470</v>
      </c>
      <c r="C1065" s="12"/>
      <c r="D1065" s="12"/>
      <c r="E1065" s="12"/>
      <c r="F1065" s="12"/>
      <c r="G1065" s="12"/>
      <c r="H1065" s="12"/>
    </row>
    <row r="1066" spans="1:8" x14ac:dyDescent="0.25">
      <c r="A1066" s="12">
        <v>2061</v>
      </c>
      <c r="B1066" s="12" t="s">
        <v>372</v>
      </c>
      <c r="C1066" s="12"/>
      <c r="D1066" s="12"/>
      <c r="E1066" s="12"/>
      <c r="F1066" s="12"/>
      <c r="G1066" s="12"/>
      <c r="H1066" s="12"/>
    </row>
    <row r="1067" spans="1:8" x14ac:dyDescent="0.25">
      <c r="A1067" s="12">
        <v>2062</v>
      </c>
      <c r="B1067" s="12" t="s">
        <v>373</v>
      </c>
      <c r="C1067" s="12"/>
      <c r="D1067" s="12"/>
      <c r="E1067" s="12"/>
      <c r="F1067" s="12"/>
      <c r="G1067" s="12"/>
      <c r="H1067" s="12"/>
    </row>
    <row r="1068" spans="1:8" x14ac:dyDescent="0.25">
      <c r="A1068" s="12">
        <v>2063</v>
      </c>
      <c r="B1068" s="12" t="s">
        <v>374</v>
      </c>
      <c r="C1068" s="12"/>
      <c r="D1068" s="12"/>
      <c r="E1068" s="12"/>
      <c r="F1068" s="12"/>
      <c r="G1068" s="12"/>
      <c r="H1068" s="12"/>
    </row>
    <row r="1069" spans="1:8" x14ac:dyDescent="0.25">
      <c r="A1069" s="12">
        <v>2064</v>
      </c>
      <c r="B1069" s="12" t="s">
        <v>1472</v>
      </c>
      <c r="C1069" s="12"/>
      <c r="D1069" s="12"/>
      <c r="E1069" s="12"/>
      <c r="F1069" s="12"/>
      <c r="G1069" s="12"/>
      <c r="H1069" s="12"/>
    </row>
    <row r="1070" spans="1:8" x14ac:dyDescent="0.25">
      <c r="A1070" s="12">
        <v>2065</v>
      </c>
      <c r="B1070" s="12" t="s">
        <v>1471</v>
      </c>
      <c r="C1070" s="12"/>
      <c r="D1070" s="12"/>
      <c r="E1070" s="12"/>
      <c r="F1070" s="12"/>
      <c r="G1070" s="12"/>
      <c r="H1070" s="12"/>
    </row>
    <row r="1071" spans="1:8" x14ac:dyDescent="0.25">
      <c r="A1071" s="12">
        <v>2066</v>
      </c>
      <c r="B1071" s="12" t="s">
        <v>1473</v>
      </c>
      <c r="C1071" s="12"/>
      <c r="D1071" s="12"/>
      <c r="E1071" s="12"/>
      <c r="F1071" s="12"/>
      <c r="G1071" s="12"/>
      <c r="H1071" s="12"/>
    </row>
    <row r="1072" spans="1:8" x14ac:dyDescent="0.25">
      <c r="A1072" s="12">
        <v>2067</v>
      </c>
      <c r="B1072" s="12" t="s">
        <v>375</v>
      </c>
      <c r="C1072" s="12"/>
      <c r="D1072" s="12"/>
      <c r="E1072" s="12"/>
      <c r="F1072" s="12"/>
      <c r="G1072" s="12"/>
      <c r="H1072" s="12"/>
    </row>
    <row r="1073" spans="1:8" x14ac:dyDescent="0.25">
      <c r="A1073" s="12">
        <v>2068</v>
      </c>
      <c r="B1073" s="12" t="s">
        <v>602</v>
      </c>
      <c r="C1073" s="12" t="s">
        <v>470</v>
      </c>
      <c r="D1073" s="12">
        <v>1</v>
      </c>
      <c r="E1073" s="12" t="s">
        <v>1840</v>
      </c>
      <c r="F1073" s="12">
        <v>0</v>
      </c>
      <c r="G1073" s="12" t="s">
        <v>603</v>
      </c>
      <c r="H1073" s="13">
        <v>42439</v>
      </c>
    </row>
    <row r="1074" spans="1:8" x14ac:dyDescent="0.25">
      <c r="A1074" s="12">
        <v>2069</v>
      </c>
      <c r="B1074" s="12" t="s">
        <v>1452</v>
      </c>
      <c r="C1074" s="12"/>
      <c r="D1074" s="12"/>
      <c r="E1074" s="12"/>
      <c r="F1074" s="12"/>
      <c r="G1074" s="12"/>
      <c r="H1074" s="12"/>
    </row>
    <row r="1075" spans="1:8" x14ac:dyDescent="0.25">
      <c r="A1075" s="12">
        <v>2070</v>
      </c>
      <c r="B1075" s="12" t="s">
        <v>1454</v>
      </c>
      <c r="C1075" s="12"/>
      <c r="D1075" s="12"/>
      <c r="E1075" s="12"/>
      <c r="F1075" s="12"/>
      <c r="G1075" s="12"/>
      <c r="H1075" s="12"/>
    </row>
    <row r="1076" spans="1:8" x14ac:dyDescent="0.25">
      <c r="A1076" s="12">
        <v>2071</v>
      </c>
      <c r="B1076" s="12" t="s">
        <v>1455</v>
      </c>
      <c r="C1076" s="12"/>
      <c r="D1076" s="12"/>
      <c r="E1076" s="12"/>
      <c r="F1076" s="12"/>
      <c r="G1076" s="12"/>
      <c r="H1076" s="12"/>
    </row>
    <row r="1077" spans="1:8" x14ac:dyDescent="0.25">
      <c r="A1077" s="12">
        <v>2072</v>
      </c>
      <c r="B1077" s="12" t="s">
        <v>1456</v>
      </c>
      <c r="C1077" s="12"/>
      <c r="D1077" s="12"/>
      <c r="E1077" s="12"/>
      <c r="F1077" s="12"/>
      <c r="G1077" s="12"/>
      <c r="H1077" s="12"/>
    </row>
    <row r="1078" spans="1:8" x14ac:dyDescent="0.25">
      <c r="A1078" s="12">
        <v>2073</v>
      </c>
      <c r="B1078" s="12" t="s">
        <v>1457</v>
      </c>
      <c r="C1078" s="12"/>
      <c r="D1078" s="12"/>
      <c r="E1078" s="12"/>
      <c r="F1078" s="12"/>
      <c r="G1078" s="12"/>
      <c r="H1078" s="12"/>
    </row>
    <row r="1079" spans="1:8" x14ac:dyDescent="0.25">
      <c r="A1079" s="12">
        <v>2074</v>
      </c>
      <c r="B1079" s="12" t="s">
        <v>1458</v>
      </c>
      <c r="C1079" s="12"/>
      <c r="D1079" s="12"/>
      <c r="E1079" s="12"/>
      <c r="F1079" s="12"/>
      <c r="G1079" s="12"/>
      <c r="H1079" s="12"/>
    </row>
    <row r="1080" spans="1:8" x14ac:dyDescent="0.25">
      <c r="A1080" s="12">
        <v>2075</v>
      </c>
      <c r="B1080" s="12" t="s">
        <v>1459</v>
      </c>
      <c r="C1080" s="12"/>
      <c r="D1080" s="12"/>
      <c r="E1080" s="12"/>
      <c r="F1080" s="12"/>
      <c r="G1080" s="12"/>
      <c r="H1080" s="12"/>
    </row>
    <row r="1081" spans="1:8" x14ac:dyDescent="0.25">
      <c r="A1081" s="12">
        <v>2076</v>
      </c>
      <c r="B1081" s="12" t="s">
        <v>1460</v>
      </c>
      <c r="C1081" s="12"/>
      <c r="D1081" s="12"/>
      <c r="E1081" s="12"/>
      <c r="F1081" s="12"/>
      <c r="G1081" s="12"/>
      <c r="H1081" s="12"/>
    </row>
    <row r="1082" spans="1:8" x14ac:dyDescent="0.25">
      <c r="A1082" s="12">
        <v>2077</v>
      </c>
      <c r="B1082" s="12" t="s">
        <v>1461</v>
      </c>
      <c r="C1082" s="12"/>
      <c r="D1082" s="12"/>
      <c r="E1082" s="12"/>
      <c r="F1082" s="12"/>
      <c r="G1082" s="12"/>
      <c r="H1082" s="12"/>
    </row>
    <row r="1083" spans="1:8" x14ac:dyDescent="0.25">
      <c r="A1083" s="12">
        <v>2078</v>
      </c>
      <c r="B1083" s="12" t="s">
        <v>377</v>
      </c>
      <c r="C1083" s="12"/>
      <c r="D1083" s="12"/>
      <c r="E1083" s="12"/>
      <c r="F1083" s="12"/>
      <c r="G1083" s="12"/>
      <c r="H1083" s="12"/>
    </row>
    <row r="1084" spans="1:8" x14ac:dyDescent="0.25">
      <c r="A1084" s="12">
        <v>2079</v>
      </c>
      <c r="B1084" s="12" t="s">
        <v>1462</v>
      </c>
      <c r="C1084" s="12"/>
      <c r="D1084" s="12"/>
      <c r="E1084" s="12"/>
      <c r="F1084" s="12"/>
      <c r="G1084" s="12"/>
      <c r="H1084" s="12"/>
    </row>
    <row r="1085" spans="1:8" x14ac:dyDescent="0.25">
      <c r="A1085" s="12">
        <v>2080</v>
      </c>
      <c r="B1085" s="12" t="s">
        <v>1463</v>
      </c>
      <c r="C1085" s="12"/>
      <c r="D1085" s="12"/>
      <c r="E1085" s="12"/>
      <c r="F1085" s="12"/>
      <c r="G1085" s="12"/>
      <c r="H1085" s="12"/>
    </row>
    <row r="1086" spans="1:8" x14ac:dyDescent="0.25">
      <c r="A1086" s="12">
        <v>2081</v>
      </c>
      <c r="B1086" s="12" t="s">
        <v>1464</v>
      </c>
      <c r="C1086" s="12"/>
      <c r="D1086" s="12"/>
      <c r="E1086" s="12"/>
      <c r="F1086" s="12"/>
      <c r="G1086" s="12"/>
      <c r="H1086" s="12"/>
    </row>
    <row r="1087" spans="1:8" x14ac:dyDescent="0.25">
      <c r="A1087" s="12">
        <v>2082</v>
      </c>
      <c r="B1087" s="12" t="s">
        <v>1465</v>
      </c>
      <c r="C1087" s="12"/>
      <c r="D1087" s="12"/>
      <c r="E1087" s="12"/>
      <c r="F1087" s="12"/>
      <c r="G1087" s="12"/>
      <c r="H1087" s="12"/>
    </row>
    <row r="1088" spans="1:8" x14ac:dyDescent="0.25">
      <c r="A1088" s="12">
        <v>2083</v>
      </c>
      <c r="B1088" s="12" t="s">
        <v>1466</v>
      </c>
      <c r="C1088" s="12"/>
      <c r="D1088" s="12"/>
      <c r="E1088" s="12"/>
      <c r="F1088" s="12"/>
      <c r="G1088" s="12"/>
      <c r="H1088" s="12"/>
    </row>
    <row r="1089" spans="1:8" x14ac:dyDescent="0.25">
      <c r="A1089" s="12">
        <v>2084</v>
      </c>
      <c r="B1089" s="12" t="s">
        <v>599</v>
      </c>
      <c r="C1089" s="12" t="s">
        <v>470</v>
      </c>
      <c r="D1089" s="12"/>
      <c r="E1089" s="12"/>
      <c r="F1089" s="12"/>
      <c r="G1089" s="12"/>
      <c r="H1089" s="12"/>
    </row>
    <row r="1090" spans="1:8" x14ac:dyDescent="0.25">
      <c r="A1090" s="12">
        <v>2085</v>
      </c>
      <c r="B1090" s="12" t="s">
        <v>1467</v>
      </c>
      <c r="C1090" s="12"/>
      <c r="D1090" s="12"/>
      <c r="E1090" s="12"/>
      <c r="F1090" s="12"/>
      <c r="G1090" s="12"/>
      <c r="H1090" s="12"/>
    </row>
    <row r="1091" spans="1:8" x14ac:dyDescent="0.25">
      <c r="A1091" s="12">
        <v>2086</v>
      </c>
      <c r="B1091" s="12" t="s">
        <v>1468</v>
      </c>
      <c r="C1091" s="12"/>
      <c r="D1091" s="12"/>
      <c r="E1091" s="12"/>
      <c r="F1091" s="12"/>
      <c r="G1091" s="12"/>
      <c r="H1091" s="12"/>
    </row>
    <row r="1092" spans="1:8" x14ac:dyDescent="0.25">
      <c r="A1092" s="12">
        <v>2087</v>
      </c>
      <c r="B1092" s="12" t="s">
        <v>1469</v>
      </c>
      <c r="C1092" s="12"/>
      <c r="D1092" s="12"/>
      <c r="E1092" s="12"/>
      <c r="F1092" s="12"/>
      <c r="G1092" s="12"/>
      <c r="H1092" s="12"/>
    </row>
    <row r="1093" spans="1:8" x14ac:dyDescent="0.25">
      <c r="A1093" s="12">
        <v>2088</v>
      </c>
      <c r="B1093" s="12" t="s">
        <v>1474</v>
      </c>
      <c r="C1093" s="12"/>
      <c r="D1093" s="12"/>
      <c r="E1093" s="12"/>
      <c r="F1093" s="12"/>
      <c r="G1093" s="12"/>
      <c r="H1093" s="12"/>
    </row>
    <row r="1094" spans="1:8" x14ac:dyDescent="0.25">
      <c r="A1094" s="12">
        <v>2089</v>
      </c>
      <c r="B1094" s="12" t="s">
        <v>600</v>
      </c>
      <c r="C1094" s="12" t="s">
        <v>470</v>
      </c>
      <c r="D1094" s="12">
        <v>1</v>
      </c>
      <c r="E1094" s="12" t="s">
        <v>1841</v>
      </c>
      <c r="F1094" s="12">
        <v>0</v>
      </c>
      <c r="G1094" s="12" t="s">
        <v>601</v>
      </c>
      <c r="H1094" s="13">
        <v>42439</v>
      </c>
    </row>
    <row r="1095" spans="1:8" x14ac:dyDescent="0.25">
      <c r="A1095" s="12">
        <v>2090</v>
      </c>
      <c r="B1095" s="12" t="s">
        <v>1475</v>
      </c>
      <c r="C1095" s="12"/>
      <c r="D1095" s="12"/>
      <c r="E1095" s="12"/>
      <c r="F1095" s="12"/>
      <c r="G1095" s="12"/>
      <c r="H1095" s="12"/>
    </row>
    <row r="1096" spans="1:8" x14ac:dyDescent="0.25">
      <c r="A1096" s="12">
        <v>2091</v>
      </c>
      <c r="B1096" s="12" t="s">
        <v>1476</v>
      </c>
      <c r="C1096" s="12"/>
      <c r="D1096" s="12"/>
      <c r="E1096" s="12"/>
      <c r="F1096" s="12"/>
      <c r="G1096" s="12"/>
      <c r="H1096" s="12"/>
    </row>
    <row r="1097" spans="1:8" x14ac:dyDescent="0.25">
      <c r="A1097" s="12">
        <v>2092</v>
      </c>
      <c r="B1097" s="12" t="s">
        <v>1477</v>
      </c>
      <c r="C1097" s="12"/>
      <c r="D1097" s="12"/>
      <c r="E1097" s="12"/>
      <c r="F1097" s="12"/>
      <c r="G1097" s="12"/>
      <c r="H1097" s="12"/>
    </row>
    <row r="1098" spans="1:8" x14ac:dyDescent="0.25">
      <c r="A1098" s="12">
        <v>2093</v>
      </c>
      <c r="B1098" s="12" t="s">
        <v>1478</v>
      </c>
      <c r="C1098" s="12"/>
      <c r="D1098" s="12"/>
      <c r="E1098" s="12"/>
      <c r="F1098" s="12"/>
      <c r="G1098" s="12"/>
      <c r="H1098" s="12"/>
    </row>
    <row r="1099" spans="1:8" x14ac:dyDescent="0.25">
      <c r="A1099" s="12">
        <v>2094</v>
      </c>
      <c r="B1099" s="12" t="s">
        <v>1479</v>
      </c>
      <c r="C1099" s="12"/>
      <c r="D1099" s="12"/>
      <c r="E1099" s="12"/>
      <c r="F1099" s="12"/>
      <c r="G1099" s="12"/>
      <c r="H1099" s="12"/>
    </row>
    <row r="1100" spans="1:8" x14ac:dyDescent="0.25">
      <c r="A1100" s="12">
        <v>2095</v>
      </c>
      <c r="B1100" s="12" t="s">
        <v>1480</v>
      </c>
      <c r="C1100" s="12"/>
      <c r="D1100" s="12"/>
      <c r="E1100" s="12"/>
      <c r="F1100" s="12"/>
      <c r="G1100" s="12"/>
      <c r="H1100" s="12"/>
    </row>
    <row r="1101" spans="1:8" x14ac:dyDescent="0.25">
      <c r="A1101" s="12">
        <v>2096</v>
      </c>
      <c r="B1101" s="12" t="s">
        <v>1481</v>
      </c>
      <c r="C1101" s="12"/>
      <c r="D1101" s="12"/>
      <c r="E1101" s="12"/>
      <c r="F1101" s="12"/>
      <c r="G1101" s="12"/>
      <c r="H1101" s="12"/>
    </row>
    <row r="1102" spans="1:8" x14ac:dyDescent="0.25">
      <c r="A1102" s="12">
        <v>2097</v>
      </c>
      <c r="B1102" s="12" t="s">
        <v>378</v>
      </c>
      <c r="C1102" s="12"/>
      <c r="D1102" s="12"/>
      <c r="E1102" s="12"/>
      <c r="F1102" s="12"/>
      <c r="G1102" s="12"/>
      <c r="H1102" s="12"/>
    </row>
    <row r="1103" spans="1:8" x14ac:dyDescent="0.25">
      <c r="A1103" s="12">
        <v>2098</v>
      </c>
      <c r="B1103" s="12" t="s">
        <v>379</v>
      </c>
      <c r="C1103" s="12"/>
      <c r="D1103" s="12"/>
      <c r="E1103" s="12"/>
      <c r="F1103" s="12"/>
      <c r="G1103" s="12"/>
      <c r="H1103" s="12"/>
    </row>
    <row r="1104" spans="1:8" x14ac:dyDescent="0.25">
      <c r="A1104" s="12">
        <v>2099</v>
      </c>
      <c r="B1104" s="12" t="s">
        <v>1482</v>
      </c>
      <c r="C1104" s="12"/>
      <c r="D1104" s="12"/>
      <c r="E1104" s="12"/>
      <c r="F1104" s="12"/>
      <c r="G1104" s="12"/>
      <c r="H1104" s="12"/>
    </row>
    <row r="1105" spans="1:8" x14ac:dyDescent="0.25">
      <c r="A1105" s="12">
        <v>2100</v>
      </c>
      <c r="B1105" s="12" t="s">
        <v>1483</v>
      </c>
      <c r="C1105" s="12"/>
      <c r="D1105" s="12"/>
      <c r="E1105" s="12"/>
      <c r="F1105" s="12"/>
      <c r="G1105" s="12"/>
      <c r="H1105" s="12"/>
    </row>
    <row r="1106" spans="1:8" x14ac:dyDescent="0.25">
      <c r="A1106" s="12">
        <v>2101</v>
      </c>
      <c r="B1106" s="12" t="s">
        <v>380</v>
      </c>
      <c r="C1106" s="12"/>
      <c r="D1106" s="12"/>
      <c r="E1106" s="12"/>
      <c r="F1106" s="12"/>
      <c r="G1106" s="12"/>
      <c r="H1106" s="12"/>
    </row>
    <row r="1107" spans="1:8" x14ac:dyDescent="0.25">
      <c r="A1107" s="12">
        <v>2102</v>
      </c>
      <c r="B1107" s="12" t="s">
        <v>1484</v>
      </c>
      <c r="C1107" s="12"/>
      <c r="D1107" s="12"/>
      <c r="E1107" s="12"/>
      <c r="F1107" s="12"/>
      <c r="G1107" s="12"/>
      <c r="H1107" s="12"/>
    </row>
    <row r="1108" spans="1:8" x14ac:dyDescent="0.25">
      <c r="A1108" s="12">
        <v>2103</v>
      </c>
      <c r="B1108" s="12" t="s">
        <v>1485</v>
      </c>
      <c r="C1108" s="12"/>
      <c r="D1108" s="12"/>
      <c r="E1108" s="12"/>
      <c r="F1108" s="12"/>
      <c r="G1108" s="12"/>
      <c r="H1108" s="12"/>
    </row>
    <row r="1109" spans="1:8" x14ac:dyDescent="0.25">
      <c r="A1109" s="12">
        <v>2104</v>
      </c>
      <c r="B1109" s="12" t="s">
        <v>604</v>
      </c>
      <c r="C1109" s="12"/>
      <c r="D1109" s="12"/>
      <c r="E1109" s="12"/>
      <c r="F1109" s="12"/>
      <c r="G1109" s="12"/>
      <c r="H1109" s="12"/>
    </row>
    <row r="1110" spans="1:8" x14ac:dyDescent="0.25">
      <c r="A1110" s="12">
        <v>2105</v>
      </c>
      <c r="B1110" s="12" t="s">
        <v>605</v>
      </c>
      <c r="C1110" s="12"/>
      <c r="D1110" s="12"/>
      <c r="E1110" s="12"/>
      <c r="F1110" s="12"/>
      <c r="G1110" s="12"/>
      <c r="H1110" s="12"/>
    </row>
    <row r="1111" spans="1:8" x14ac:dyDescent="0.25">
      <c r="A1111" s="12">
        <v>2106</v>
      </c>
      <c r="B1111" s="12" t="s">
        <v>606</v>
      </c>
      <c r="C1111" s="12" t="s">
        <v>470</v>
      </c>
      <c r="D1111" s="12">
        <v>1</v>
      </c>
      <c r="E1111" s="12" t="s">
        <v>1842</v>
      </c>
      <c r="F1111" s="12">
        <v>0</v>
      </c>
      <c r="G1111" s="12" t="s">
        <v>607</v>
      </c>
      <c r="H1111" s="13">
        <v>42439</v>
      </c>
    </row>
    <row r="1112" spans="1:8" x14ac:dyDescent="0.25">
      <c r="A1112" s="12">
        <v>2107</v>
      </c>
      <c r="B1112" s="12" t="s">
        <v>1486</v>
      </c>
      <c r="C1112" s="12"/>
      <c r="D1112" s="12"/>
      <c r="E1112" s="12"/>
      <c r="F1112" s="12"/>
      <c r="G1112" s="12"/>
      <c r="H1112" s="12"/>
    </row>
    <row r="1113" spans="1:8" x14ac:dyDescent="0.25">
      <c r="A1113" s="12">
        <v>2108</v>
      </c>
      <c r="B1113" s="12" t="s">
        <v>1487</v>
      </c>
      <c r="C1113" s="12"/>
      <c r="D1113" s="12"/>
      <c r="E1113" s="12"/>
      <c r="F1113" s="12"/>
      <c r="G1113" s="12"/>
      <c r="H1113" s="12"/>
    </row>
    <row r="1114" spans="1:8" x14ac:dyDescent="0.25">
      <c r="A1114" s="12">
        <v>2109</v>
      </c>
      <c r="B1114" s="12" t="s">
        <v>1488</v>
      </c>
      <c r="C1114" s="12"/>
      <c r="D1114" s="12"/>
      <c r="E1114" s="12"/>
      <c r="F1114" s="12"/>
      <c r="G1114" s="12"/>
      <c r="H1114" s="12"/>
    </row>
    <row r="1115" spans="1:8" x14ac:dyDescent="0.25">
      <c r="A1115" s="12">
        <v>2110</v>
      </c>
      <c r="B1115" s="12" t="s">
        <v>381</v>
      </c>
      <c r="C1115" s="12"/>
      <c r="D1115" s="12"/>
      <c r="E1115" s="12"/>
      <c r="F1115" s="12"/>
      <c r="G1115" s="12"/>
      <c r="H1115" s="12"/>
    </row>
    <row r="1116" spans="1:8" x14ac:dyDescent="0.25">
      <c r="A1116" s="12">
        <v>2111</v>
      </c>
      <c r="B1116" s="12" t="s">
        <v>382</v>
      </c>
      <c r="C1116" s="12"/>
      <c r="D1116" s="12"/>
      <c r="E1116" s="12"/>
      <c r="F1116" s="12"/>
      <c r="G1116" s="12"/>
      <c r="H1116" s="12"/>
    </row>
    <row r="1117" spans="1:8" x14ac:dyDescent="0.25">
      <c r="A1117" s="12">
        <v>2112</v>
      </c>
      <c r="B1117" s="12" t="s">
        <v>1489</v>
      </c>
      <c r="C1117" s="12"/>
      <c r="D1117" s="12"/>
      <c r="E1117" s="12"/>
      <c r="F1117" s="12"/>
      <c r="G1117" s="12"/>
      <c r="H1117" s="12"/>
    </row>
    <row r="1118" spans="1:8" x14ac:dyDescent="0.25">
      <c r="A1118" s="12">
        <v>2113</v>
      </c>
      <c r="B1118" s="12" t="s">
        <v>383</v>
      </c>
      <c r="C1118" s="12"/>
      <c r="D1118" s="12"/>
      <c r="E1118" s="12"/>
      <c r="F1118" s="12"/>
      <c r="G1118" s="12"/>
      <c r="H1118" s="12"/>
    </row>
    <row r="1119" spans="1:8" x14ac:dyDescent="0.25">
      <c r="A1119" s="12">
        <v>2114</v>
      </c>
      <c r="B1119" s="12" t="s">
        <v>608</v>
      </c>
      <c r="C1119" s="12" t="s">
        <v>470</v>
      </c>
      <c r="D1119" s="12">
        <v>1</v>
      </c>
      <c r="E1119" s="12" t="s">
        <v>1843</v>
      </c>
      <c r="F1119" s="12">
        <v>0</v>
      </c>
      <c r="G1119" s="12" t="s">
        <v>609</v>
      </c>
      <c r="H1119" s="13">
        <v>42439</v>
      </c>
    </row>
    <row r="1120" spans="1:8" x14ac:dyDescent="0.25">
      <c r="A1120" s="12">
        <v>2115</v>
      </c>
      <c r="B1120" s="12" t="s">
        <v>1490</v>
      </c>
      <c r="C1120" s="12"/>
      <c r="D1120" s="12"/>
      <c r="E1120" s="12"/>
      <c r="F1120" s="12"/>
      <c r="G1120" s="12"/>
      <c r="H1120" s="12"/>
    </row>
    <row r="1121" spans="1:8" x14ac:dyDescent="0.25">
      <c r="A1121" s="12">
        <v>2116</v>
      </c>
      <c r="B1121" s="12" t="s">
        <v>1491</v>
      </c>
      <c r="C1121" s="12"/>
      <c r="D1121" s="12"/>
      <c r="E1121" s="12"/>
      <c r="F1121" s="12"/>
      <c r="G1121" s="12"/>
      <c r="H1121" s="12"/>
    </row>
    <row r="1122" spans="1:8" x14ac:dyDescent="0.25">
      <c r="A1122" s="12">
        <v>2117</v>
      </c>
      <c r="B1122" s="12" t="s">
        <v>1492</v>
      </c>
      <c r="C1122" s="12"/>
      <c r="D1122" s="12"/>
      <c r="E1122" s="12"/>
      <c r="F1122" s="12"/>
      <c r="G1122" s="12"/>
      <c r="H1122" s="12"/>
    </row>
    <row r="1123" spans="1:8" x14ac:dyDescent="0.25">
      <c r="A1123" s="12">
        <v>2118</v>
      </c>
      <c r="B1123" s="12" t="s">
        <v>1493</v>
      </c>
      <c r="C1123" s="12"/>
      <c r="D1123" s="12"/>
      <c r="E1123" s="12"/>
      <c r="F1123" s="12"/>
      <c r="G1123" s="12"/>
      <c r="H1123" s="12"/>
    </row>
    <row r="1124" spans="1:8" x14ac:dyDescent="0.25">
      <c r="A1124" s="12">
        <v>2119</v>
      </c>
      <c r="B1124" s="12" t="s">
        <v>384</v>
      </c>
      <c r="C1124" s="12"/>
      <c r="D1124" s="12"/>
      <c r="E1124" s="12"/>
      <c r="F1124" s="12"/>
      <c r="G1124" s="12"/>
      <c r="H1124" s="12"/>
    </row>
    <row r="1125" spans="1:8" x14ac:dyDescent="0.25">
      <c r="A1125" s="12">
        <v>2120</v>
      </c>
      <c r="B1125" s="12" t="s">
        <v>1494</v>
      </c>
      <c r="C1125" s="12"/>
      <c r="D1125" s="12"/>
      <c r="E1125" s="12"/>
      <c r="F1125" s="12"/>
      <c r="G1125" s="12"/>
      <c r="H1125" s="12"/>
    </row>
    <row r="1126" spans="1:8" x14ac:dyDescent="0.25">
      <c r="A1126" s="12">
        <v>2121</v>
      </c>
      <c r="B1126" s="12" t="s">
        <v>1495</v>
      </c>
      <c r="C1126" s="12"/>
      <c r="D1126" s="12"/>
      <c r="E1126" s="12"/>
      <c r="F1126" s="12"/>
      <c r="G1126" s="12"/>
      <c r="H1126" s="12"/>
    </row>
    <row r="1127" spans="1:8" x14ac:dyDescent="0.25">
      <c r="A1127" s="12">
        <v>2122</v>
      </c>
      <c r="B1127" s="12" t="s">
        <v>1496</v>
      </c>
      <c r="C1127" s="12"/>
      <c r="D1127" s="12"/>
      <c r="E1127" s="12"/>
      <c r="F1127" s="12"/>
      <c r="G1127" s="12"/>
      <c r="H1127" s="12"/>
    </row>
    <row r="1128" spans="1:8" x14ac:dyDescent="0.25">
      <c r="A1128" s="12">
        <v>2123</v>
      </c>
      <c r="B1128" s="12" t="s">
        <v>1497</v>
      </c>
      <c r="C1128" s="12"/>
      <c r="D1128" s="12"/>
      <c r="E1128" s="12"/>
      <c r="F1128" s="12"/>
      <c r="G1128" s="12"/>
      <c r="H1128" s="12"/>
    </row>
    <row r="1129" spans="1:8" x14ac:dyDescent="0.25">
      <c r="A1129" s="12">
        <v>2124</v>
      </c>
      <c r="B1129" s="12" t="s">
        <v>385</v>
      </c>
      <c r="C1129" s="12"/>
      <c r="D1129" s="12"/>
      <c r="E1129" s="12"/>
      <c r="F1129" s="12"/>
      <c r="G1129" s="12"/>
      <c r="H1129" s="12"/>
    </row>
    <row r="1130" spans="1:8" x14ac:dyDescent="0.25">
      <c r="A1130" s="12">
        <v>2125</v>
      </c>
      <c r="B1130" s="12" t="s">
        <v>386</v>
      </c>
      <c r="C1130" s="12"/>
      <c r="D1130" s="12"/>
      <c r="E1130" s="12"/>
      <c r="F1130" s="12"/>
      <c r="G1130" s="12"/>
      <c r="H1130" s="12"/>
    </row>
    <row r="1131" spans="1:8" x14ac:dyDescent="0.25">
      <c r="A1131" s="12">
        <v>2126</v>
      </c>
      <c r="B1131" s="12" t="s">
        <v>387</v>
      </c>
      <c r="C1131" s="12"/>
      <c r="D1131" s="12"/>
      <c r="E1131" s="12"/>
      <c r="F1131" s="12"/>
      <c r="G1131" s="12"/>
      <c r="H1131" s="12"/>
    </row>
    <row r="1132" spans="1:8" x14ac:dyDescent="0.25">
      <c r="A1132" s="12">
        <v>2127</v>
      </c>
      <c r="B1132" s="12" t="s">
        <v>1498</v>
      </c>
      <c r="C1132" s="12"/>
      <c r="D1132" s="12"/>
      <c r="E1132" s="12"/>
      <c r="F1132" s="12"/>
      <c r="G1132" s="12"/>
      <c r="H1132" s="12"/>
    </row>
    <row r="1133" spans="1:8" x14ac:dyDescent="0.25">
      <c r="A1133" s="12">
        <v>2128</v>
      </c>
      <c r="B1133" s="12" t="s">
        <v>1499</v>
      </c>
      <c r="C1133" s="12"/>
      <c r="D1133" s="12"/>
      <c r="E1133" s="12"/>
      <c r="F1133" s="12"/>
      <c r="G1133" s="12"/>
      <c r="H1133" s="12"/>
    </row>
    <row r="1134" spans="1:8" x14ac:dyDescent="0.25">
      <c r="A1134" s="12">
        <v>2129</v>
      </c>
      <c r="B1134" s="12" t="s">
        <v>1500</v>
      </c>
      <c r="C1134" s="12"/>
      <c r="D1134" s="12"/>
      <c r="E1134" s="12"/>
      <c r="F1134" s="12"/>
      <c r="G1134" s="12"/>
      <c r="H1134" s="12"/>
    </row>
    <row r="1135" spans="1:8" x14ac:dyDescent="0.25">
      <c r="A1135" s="12">
        <v>2130</v>
      </c>
      <c r="B1135" s="12" t="s">
        <v>1501</v>
      </c>
      <c r="C1135" s="12"/>
      <c r="D1135" s="12"/>
      <c r="E1135" s="12"/>
      <c r="F1135" s="12"/>
      <c r="G1135" s="12"/>
      <c r="H1135" s="12"/>
    </row>
    <row r="1136" spans="1:8" x14ac:dyDescent="0.25">
      <c r="A1136" s="12">
        <v>2131</v>
      </c>
      <c r="B1136" s="12" t="s">
        <v>1503</v>
      </c>
      <c r="C1136" s="12"/>
      <c r="D1136" s="12"/>
      <c r="E1136" s="12"/>
      <c r="F1136" s="12"/>
      <c r="G1136" s="12"/>
      <c r="H1136" s="12"/>
    </row>
    <row r="1137" spans="1:8" x14ac:dyDescent="0.25">
      <c r="A1137" s="12">
        <v>2132</v>
      </c>
      <c r="B1137" s="12" t="s">
        <v>1502</v>
      </c>
      <c r="C1137" s="12"/>
      <c r="D1137" s="12"/>
      <c r="E1137" s="12"/>
      <c r="F1137" s="12"/>
      <c r="G1137" s="12"/>
      <c r="H1137" s="12"/>
    </row>
    <row r="1138" spans="1:8" x14ac:dyDescent="0.25">
      <c r="A1138" s="12">
        <v>2133</v>
      </c>
      <c r="B1138" s="12" t="s">
        <v>610</v>
      </c>
      <c r="C1138" s="12" t="s">
        <v>470</v>
      </c>
      <c r="D1138" s="12">
        <v>1</v>
      </c>
      <c r="E1138" s="12" t="s">
        <v>1844</v>
      </c>
      <c r="F1138" s="12">
        <v>0</v>
      </c>
      <c r="G1138" s="12" t="s">
        <v>611</v>
      </c>
      <c r="H1138" s="13">
        <v>42439</v>
      </c>
    </row>
    <row r="1139" spans="1:8" x14ac:dyDescent="0.25">
      <c r="A1139" s="12">
        <v>2134</v>
      </c>
      <c r="B1139" s="12" t="s">
        <v>1504</v>
      </c>
      <c r="C1139" s="12"/>
      <c r="D1139" s="12"/>
      <c r="E1139" s="12"/>
      <c r="F1139" s="12"/>
      <c r="G1139" s="12"/>
      <c r="H1139" s="12"/>
    </row>
    <row r="1140" spans="1:8" x14ac:dyDescent="0.25">
      <c r="A1140" s="12">
        <v>2135</v>
      </c>
      <c r="B1140" s="12" t="s">
        <v>388</v>
      </c>
      <c r="C1140" s="12"/>
      <c r="D1140" s="12"/>
      <c r="E1140" s="12"/>
      <c r="F1140" s="12"/>
      <c r="G1140" s="12"/>
      <c r="H1140" s="12"/>
    </row>
    <row r="1141" spans="1:8" x14ac:dyDescent="0.25">
      <c r="A1141" s="12">
        <v>2136</v>
      </c>
      <c r="B1141" s="12" t="s">
        <v>1505</v>
      </c>
      <c r="C1141" s="12"/>
      <c r="D1141" s="12"/>
      <c r="E1141" s="12"/>
      <c r="F1141" s="12"/>
      <c r="G1141" s="12"/>
      <c r="H1141" s="12"/>
    </row>
    <row r="1142" spans="1:8" x14ac:dyDescent="0.25">
      <c r="A1142" s="12">
        <v>2137</v>
      </c>
      <c r="B1142" s="12" t="s">
        <v>1506</v>
      </c>
      <c r="C1142" s="12"/>
      <c r="D1142" s="12"/>
      <c r="E1142" s="12"/>
      <c r="F1142" s="12"/>
      <c r="G1142" s="12"/>
      <c r="H1142" s="12"/>
    </row>
    <row r="1143" spans="1:8" x14ac:dyDescent="0.25">
      <c r="A1143" s="12">
        <v>2138</v>
      </c>
      <c r="B1143" s="12" t="s">
        <v>1507</v>
      </c>
      <c r="C1143" s="12"/>
      <c r="D1143" s="12"/>
      <c r="E1143" s="12"/>
      <c r="F1143" s="12"/>
      <c r="G1143" s="12"/>
      <c r="H1143" s="12"/>
    </row>
    <row r="1144" spans="1:8" x14ac:dyDescent="0.25">
      <c r="A1144" s="12">
        <v>2139</v>
      </c>
      <c r="B1144" s="12" t="s">
        <v>1508</v>
      </c>
      <c r="C1144" s="12"/>
      <c r="D1144" s="12"/>
      <c r="E1144" s="12"/>
      <c r="F1144" s="12"/>
      <c r="G1144" s="12"/>
      <c r="H1144" s="12"/>
    </row>
    <row r="1145" spans="1:8" x14ac:dyDescent="0.25">
      <c r="A1145" s="12">
        <v>2140</v>
      </c>
      <c r="B1145" s="12" t="s">
        <v>1510</v>
      </c>
      <c r="C1145" s="12"/>
      <c r="D1145" s="12"/>
      <c r="E1145" s="12"/>
      <c r="F1145" s="12"/>
      <c r="G1145" s="12"/>
      <c r="H1145" s="12"/>
    </row>
    <row r="1146" spans="1:8" x14ac:dyDescent="0.25">
      <c r="A1146" s="12">
        <v>2141</v>
      </c>
      <c r="B1146" s="12" t="s">
        <v>1509</v>
      </c>
      <c r="C1146" s="12"/>
      <c r="D1146" s="12"/>
      <c r="E1146" s="12"/>
      <c r="F1146" s="12"/>
      <c r="G1146" s="12"/>
      <c r="H1146" s="12"/>
    </row>
    <row r="1147" spans="1:8" x14ac:dyDescent="0.25">
      <c r="A1147" s="12">
        <v>2142</v>
      </c>
      <c r="B1147" s="12" t="s">
        <v>1511</v>
      </c>
      <c r="C1147" s="12"/>
      <c r="D1147" s="12"/>
      <c r="E1147" s="12"/>
      <c r="F1147" s="12"/>
      <c r="G1147" s="12"/>
      <c r="H1147" s="12"/>
    </row>
    <row r="1148" spans="1:8" x14ac:dyDescent="0.25">
      <c r="A1148" s="12">
        <v>2143</v>
      </c>
      <c r="B1148" s="12" t="s">
        <v>1512</v>
      </c>
      <c r="C1148" s="12"/>
      <c r="D1148" s="12"/>
      <c r="E1148" s="12"/>
      <c r="F1148" s="12"/>
      <c r="G1148" s="12"/>
      <c r="H1148" s="12"/>
    </row>
    <row r="1149" spans="1:8" x14ac:dyDescent="0.25">
      <c r="A1149" s="12">
        <v>2144</v>
      </c>
      <c r="B1149" s="12" t="s">
        <v>1513</v>
      </c>
      <c r="C1149" s="12"/>
      <c r="D1149" s="12"/>
      <c r="E1149" s="12"/>
      <c r="F1149" s="12"/>
      <c r="G1149" s="12"/>
      <c r="H1149" s="12"/>
    </row>
    <row r="1150" spans="1:8" x14ac:dyDescent="0.25">
      <c r="A1150" s="12">
        <v>2145</v>
      </c>
      <c r="B1150" s="12" t="s">
        <v>389</v>
      </c>
      <c r="C1150" s="12"/>
      <c r="D1150" s="12"/>
      <c r="E1150" s="12"/>
      <c r="F1150" s="12"/>
      <c r="G1150" s="12"/>
      <c r="H1150" s="12"/>
    </row>
    <row r="1151" spans="1:8" x14ac:dyDescent="0.25">
      <c r="A1151" s="12">
        <v>2146</v>
      </c>
      <c r="B1151" s="12" t="s">
        <v>1518</v>
      </c>
      <c r="C1151" s="12"/>
      <c r="D1151" s="12"/>
      <c r="E1151" s="12"/>
      <c r="F1151" s="12"/>
      <c r="G1151" s="12"/>
      <c r="H1151" s="12"/>
    </row>
    <row r="1152" spans="1:8" x14ac:dyDescent="0.25">
      <c r="A1152" s="12">
        <v>2147</v>
      </c>
      <c r="B1152" s="12" t="s">
        <v>1519</v>
      </c>
      <c r="C1152" s="12"/>
      <c r="D1152" s="12"/>
      <c r="E1152" s="12"/>
      <c r="F1152" s="12"/>
      <c r="G1152" s="12"/>
      <c r="H1152" s="12"/>
    </row>
    <row r="1153" spans="1:8" x14ac:dyDescent="0.25">
      <c r="A1153" s="12">
        <v>2148</v>
      </c>
      <c r="B1153" s="12" t="s">
        <v>1520</v>
      </c>
      <c r="C1153" s="12"/>
      <c r="D1153" s="12"/>
      <c r="E1153" s="12"/>
      <c r="F1153" s="12"/>
      <c r="G1153" s="12"/>
      <c r="H1153" s="12"/>
    </row>
    <row r="1154" spans="1:8" x14ac:dyDescent="0.25">
      <c r="A1154" s="12">
        <v>2149</v>
      </c>
      <c r="B1154" s="12" t="s">
        <v>1514</v>
      </c>
      <c r="C1154" s="12"/>
      <c r="D1154" s="12"/>
      <c r="E1154" s="12"/>
      <c r="F1154" s="12"/>
      <c r="G1154" s="12"/>
      <c r="H1154" s="12"/>
    </row>
    <row r="1155" spans="1:8" x14ac:dyDescent="0.25">
      <c r="A1155" s="12">
        <v>2150</v>
      </c>
      <c r="B1155" s="12" t="s">
        <v>612</v>
      </c>
      <c r="C1155" s="12" t="s">
        <v>470</v>
      </c>
      <c r="D1155" s="12">
        <v>1</v>
      </c>
      <c r="E1155" s="12" t="s">
        <v>1845</v>
      </c>
      <c r="F1155" s="12">
        <v>0</v>
      </c>
      <c r="G1155" s="12" t="s">
        <v>613</v>
      </c>
      <c r="H1155" s="13">
        <v>42439</v>
      </c>
    </row>
    <row r="1156" spans="1:8" x14ac:dyDescent="0.25">
      <c r="A1156" s="12">
        <v>2151</v>
      </c>
      <c r="B1156" s="12" t="s">
        <v>390</v>
      </c>
      <c r="C1156" s="12"/>
      <c r="D1156" s="12"/>
      <c r="E1156" s="12"/>
      <c r="F1156" s="12"/>
      <c r="G1156" s="12"/>
      <c r="H1156" s="12"/>
    </row>
    <row r="1157" spans="1:8" x14ac:dyDescent="0.25">
      <c r="A1157" s="12">
        <v>2152</v>
      </c>
      <c r="B1157" s="12" t="s">
        <v>1515</v>
      </c>
      <c r="C1157" s="12"/>
      <c r="D1157" s="12"/>
      <c r="E1157" s="12"/>
      <c r="F1157" s="12"/>
      <c r="G1157" s="12"/>
      <c r="H1157" s="12"/>
    </row>
    <row r="1158" spans="1:8" x14ac:dyDescent="0.25">
      <c r="A1158" s="12">
        <v>2153</v>
      </c>
      <c r="B1158" s="12" t="s">
        <v>1516</v>
      </c>
      <c r="C1158" s="12"/>
      <c r="D1158" s="12"/>
      <c r="E1158" s="12"/>
      <c r="F1158" s="12"/>
      <c r="G1158" s="12"/>
      <c r="H1158" s="12"/>
    </row>
    <row r="1159" spans="1:8" x14ac:dyDescent="0.25">
      <c r="A1159" s="12">
        <v>2154</v>
      </c>
      <c r="B1159" s="12" t="s">
        <v>1517</v>
      </c>
      <c r="C1159" s="12"/>
      <c r="D1159" s="12"/>
      <c r="E1159" s="12"/>
      <c r="F1159" s="12"/>
      <c r="G1159" s="12"/>
      <c r="H1159" s="12"/>
    </row>
    <row r="1160" spans="1:8" x14ac:dyDescent="0.25">
      <c r="A1160" s="12">
        <v>2155</v>
      </c>
      <c r="B1160" s="12" t="s">
        <v>391</v>
      </c>
      <c r="C1160" s="12"/>
      <c r="D1160" s="12"/>
      <c r="E1160" s="12"/>
      <c r="F1160" s="12"/>
      <c r="G1160" s="12"/>
      <c r="H1160" s="12"/>
    </row>
    <row r="1161" spans="1:8" x14ac:dyDescent="0.25">
      <c r="A1161" s="12">
        <v>2156</v>
      </c>
      <c r="B1161" s="12" t="s">
        <v>392</v>
      </c>
      <c r="C1161" s="12"/>
      <c r="D1161" s="12"/>
      <c r="E1161" s="12"/>
      <c r="F1161" s="12"/>
      <c r="G1161" s="12"/>
      <c r="H1161" s="12"/>
    </row>
    <row r="1162" spans="1:8" x14ac:dyDescent="0.25">
      <c r="A1162" s="12">
        <v>2157</v>
      </c>
      <c r="B1162" s="12" t="s">
        <v>393</v>
      </c>
      <c r="C1162" s="12"/>
      <c r="D1162" s="12"/>
      <c r="E1162" s="12"/>
      <c r="F1162" s="12"/>
      <c r="G1162" s="12"/>
      <c r="H1162" s="12"/>
    </row>
    <row r="1163" spans="1:8" x14ac:dyDescent="0.25">
      <c r="A1163" s="12">
        <v>2158</v>
      </c>
      <c r="B1163" s="12" t="s">
        <v>1521</v>
      </c>
      <c r="C1163" s="12"/>
      <c r="D1163" s="12"/>
      <c r="E1163" s="12"/>
      <c r="F1163" s="12"/>
      <c r="G1163" s="12"/>
      <c r="H1163" s="12"/>
    </row>
    <row r="1164" spans="1:8" x14ac:dyDescent="0.25">
      <c r="A1164" s="12">
        <v>2159</v>
      </c>
      <c r="B1164" s="12" t="s">
        <v>394</v>
      </c>
      <c r="C1164" s="12"/>
      <c r="D1164" s="12"/>
      <c r="E1164" s="12"/>
      <c r="F1164" s="12"/>
      <c r="G1164" s="12"/>
      <c r="H1164" s="12"/>
    </row>
    <row r="1165" spans="1:8" x14ac:dyDescent="0.25">
      <c r="A1165" s="12">
        <v>2160</v>
      </c>
      <c r="B1165" s="12" t="s">
        <v>1522</v>
      </c>
      <c r="C1165" s="12"/>
      <c r="D1165" s="12"/>
      <c r="E1165" s="12"/>
      <c r="F1165" s="12"/>
      <c r="G1165" s="12"/>
      <c r="H1165" s="12"/>
    </row>
    <row r="1166" spans="1:8" x14ac:dyDescent="0.25">
      <c r="A1166" s="12">
        <v>2161</v>
      </c>
      <c r="B1166" s="12" t="s">
        <v>1524</v>
      </c>
      <c r="C1166" s="12"/>
      <c r="D1166" s="12"/>
      <c r="E1166" s="12"/>
      <c r="F1166" s="12"/>
      <c r="G1166" s="12"/>
      <c r="H1166" s="12"/>
    </row>
    <row r="1167" spans="1:8" x14ac:dyDescent="0.25">
      <c r="A1167" s="12">
        <v>2162</v>
      </c>
      <c r="B1167" s="12" t="s">
        <v>1523</v>
      </c>
      <c r="C1167" s="12"/>
      <c r="D1167" s="12"/>
      <c r="E1167" s="12"/>
      <c r="F1167" s="12"/>
      <c r="G1167" s="12"/>
      <c r="H1167" s="12"/>
    </row>
    <row r="1168" spans="1:8" x14ac:dyDescent="0.25">
      <c r="A1168" s="12">
        <v>2163</v>
      </c>
      <c r="B1168" s="12" t="s">
        <v>1525</v>
      </c>
      <c r="C1168" s="12"/>
      <c r="D1168" s="12"/>
      <c r="E1168" s="12"/>
      <c r="F1168" s="12"/>
      <c r="G1168" s="12"/>
      <c r="H1168" s="12"/>
    </row>
    <row r="1169" spans="1:8" x14ac:dyDescent="0.25">
      <c r="A1169" s="12">
        <v>2164</v>
      </c>
      <c r="B1169" s="12" t="s">
        <v>1526</v>
      </c>
      <c r="C1169" s="12"/>
      <c r="D1169" s="12"/>
      <c r="E1169" s="12"/>
      <c r="F1169" s="12"/>
      <c r="G1169" s="12"/>
      <c r="H1169" s="12"/>
    </row>
    <row r="1170" spans="1:8" x14ac:dyDescent="0.25">
      <c r="A1170" s="12">
        <v>2165</v>
      </c>
      <c r="B1170" s="12" t="s">
        <v>1527</v>
      </c>
      <c r="C1170" s="12"/>
      <c r="D1170" s="12"/>
      <c r="E1170" s="12"/>
      <c r="F1170" s="12"/>
      <c r="G1170" s="12"/>
      <c r="H1170" s="12"/>
    </row>
    <row r="1171" spans="1:8" x14ac:dyDescent="0.25">
      <c r="A1171" s="12">
        <v>2166</v>
      </c>
      <c r="B1171" s="12" t="s">
        <v>395</v>
      </c>
      <c r="C1171" s="12"/>
      <c r="D1171" s="12"/>
      <c r="E1171" s="12"/>
      <c r="F1171" s="12"/>
      <c r="G1171" s="12"/>
      <c r="H1171" s="12"/>
    </row>
    <row r="1172" spans="1:8" x14ac:dyDescent="0.25">
      <c r="A1172" s="12">
        <v>2167</v>
      </c>
      <c r="B1172" s="12" t="s">
        <v>396</v>
      </c>
      <c r="C1172" s="12"/>
      <c r="D1172" s="12"/>
      <c r="E1172" s="12"/>
      <c r="F1172" s="12"/>
      <c r="G1172" s="12"/>
      <c r="H1172" s="12"/>
    </row>
    <row r="1173" spans="1:8" x14ac:dyDescent="0.25">
      <c r="A1173" s="12">
        <v>2168</v>
      </c>
      <c r="B1173" s="12" t="s">
        <v>397</v>
      </c>
      <c r="C1173" s="12"/>
      <c r="D1173" s="12"/>
      <c r="E1173" s="12"/>
      <c r="F1173" s="12"/>
      <c r="G1173" s="12"/>
      <c r="H1173" s="12"/>
    </row>
    <row r="1174" spans="1:8" x14ac:dyDescent="0.25">
      <c r="A1174" s="12">
        <v>2169</v>
      </c>
      <c r="B1174" s="12" t="s">
        <v>398</v>
      </c>
      <c r="C1174" s="12"/>
      <c r="D1174" s="12"/>
      <c r="E1174" s="12"/>
      <c r="F1174" s="12"/>
      <c r="G1174" s="12"/>
      <c r="H1174" s="12"/>
    </row>
    <row r="1175" spans="1:8" x14ac:dyDescent="0.25">
      <c r="A1175" s="12">
        <v>2170</v>
      </c>
      <c r="B1175" s="12" t="s">
        <v>399</v>
      </c>
      <c r="C1175" s="12"/>
      <c r="D1175" s="12"/>
      <c r="E1175" s="12"/>
      <c r="F1175" s="12"/>
      <c r="G1175" s="12"/>
      <c r="H1175" s="12"/>
    </row>
    <row r="1176" spans="1:8" x14ac:dyDescent="0.25">
      <c r="A1176" s="12">
        <v>2171</v>
      </c>
      <c r="B1176" s="12" t="s">
        <v>1528</v>
      </c>
      <c r="C1176" s="12"/>
      <c r="D1176" s="12"/>
      <c r="E1176" s="12"/>
      <c r="F1176" s="12"/>
      <c r="G1176" s="12"/>
      <c r="H1176" s="12"/>
    </row>
    <row r="1177" spans="1:8" x14ac:dyDescent="0.25">
      <c r="A1177" s="12">
        <v>2172</v>
      </c>
      <c r="B1177" s="12" t="s">
        <v>614</v>
      </c>
      <c r="C1177" s="12" t="s">
        <v>470</v>
      </c>
      <c r="D1177" s="12">
        <v>1</v>
      </c>
      <c r="E1177" s="12" t="s">
        <v>1846</v>
      </c>
      <c r="F1177" s="12">
        <v>0</v>
      </c>
      <c r="G1177" s="12" t="s">
        <v>615</v>
      </c>
      <c r="H1177" s="13">
        <v>42439</v>
      </c>
    </row>
    <row r="1178" spans="1:8" x14ac:dyDescent="0.25">
      <c r="A1178" s="12">
        <v>2173</v>
      </c>
      <c r="B1178" s="12" t="s">
        <v>1529</v>
      </c>
      <c r="C1178" s="12"/>
      <c r="D1178" s="12"/>
      <c r="E1178" s="12"/>
      <c r="F1178" s="12"/>
      <c r="G1178" s="12"/>
      <c r="H1178" s="12"/>
    </row>
    <row r="1179" spans="1:8" x14ac:dyDescent="0.25">
      <c r="A1179" s="12">
        <v>2174</v>
      </c>
      <c r="B1179" s="12" t="s">
        <v>1530</v>
      </c>
      <c r="C1179" s="12"/>
      <c r="D1179" s="12"/>
      <c r="E1179" s="12"/>
      <c r="F1179" s="12"/>
      <c r="G1179" s="12"/>
      <c r="H1179" s="12"/>
    </row>
    <row r="1180" spans="1:8" x14ac:dyDescent="0.25">
      <c r="A1180" s="12">
        <v>2175</v>
      </c>
      <c r="B1180" s="14" t="s">
        <v>616</v>
      </c>
      <c r="C1180" s="12" t="s">
        <v>470</v>
      </c>
      <c r="D1180" s="12">
        <v>1</v>
      </c>
      <c r="E1180" s="12" t="s">
        <v>1847</v>
      </c>
      <c r="F1180" s="12">
        <v>0</v>
      </c>
      <c r="G1180" s="12" t="s">
        <v>617</v>
      </c>
      <c r="H1180" s="13">
        <v>42439</v>
      </c>
    </row>
    <row r="1181" spans="1:8" x14ac:dyDescent="0.25">
      <c r="A1181" s="12">
        <v>2176</v>
      </c>
      <c r="B1181" s="12" t="s">
        <v>1531</v>
      </c>
      <c r="C1181" s="12"/>
      <c r="D1181" s="12"/>
      <c r="E1181" s="12"/>
      <c r="F1181" s="12"/>
      <c r="G1181" s="12"/>
      <c r="H1181" s="12"/>
    </row>
    <row r="1182" spans="1:8" x14ac:dyDescent="0.25">
      <c r="A1182" s="12">
        <v>2177</v>
      </c>
      <c r="B1182" s="12" t="s">
        <v>1532</v>
      </c>
      <c r="C1182" s="12"/>
      <c r="D1182" s="12"/>
      <c r="E1182" s="12"/>
      <c r="F1182" s="12"/>
      <c r="G1182" s="12"/>
      <c r="H1182" s="12"/>
    </row>
    <row r="1183" spans="1:8" x14ac:dyDescent="0.25">
      <c r="A1183" s="12">
        <v>2178</v>
      </c>
      <c r="B1183" s="12" t="s">
        <v>1556</v>
      </c>
      <c r="C1183" s="12"/>
      <c r="D1183" s="12"/>
      <c r="E1183" s="12"/>
      <c r="F1183" s="12"/>
      <c r="G1183" s="12"/>
      <c r="H1183" s="12"/>
    </row>
    <row r="1184" spans="1:8" x14ac:dyDescent="0.25">
      <c r="A1184" s="12">
        <v>2179</v>
      </c>
      <c r="B1184" s="12" t="s">
        <v>1557</v>
      </c>
      <c r="C1184" s="12"/>
      <c r="D1184" s="12"/>
      <c r="E1184" s="12"/>
      <c r="F1184" s="12"/>
      <c r="G1184" s="12"/>
      <c r="H1184" s="12"/>
    </row>
    <row r="1185" spans="1:8" x14ac:dyDescent="0.25">
      <c r="A1185" s="12">
        <v>2180</v>
      </c>
      <c r="B1185" s="12" t="s">
        <v>623</v>
      </c>
      <c r="C1185" s="12" t="s">
        <v>470</v>
      </c>
      <c r="D1185" s="12"/>
      <c r="E1185" s="12"/>
      <c r="F1185" s="12"/>
      <c r="G1185" s="12"/>
      <c r="H1185" s="12"/>
    </row>
    <row r="1186" spans="1:8" x14ac:dyDescent="0.25">
      <c r="A1186" s="12">
        <v>2181</v>
      </c>
      <c r="B1186" s="12" t="s">
        <v>1560</v>
      </c>
      <c r="C1186" s="12"/>
      <c r="D1186" s="12"/>
      <c r="E1186" s="12"/>
      <c r="F1186" s="12"/>
      <c r="G1186" s="12"/>
      <c r="H1186" s="12"/>
    </row>
    <row r="1187" spans="1:8" x14ac:dyDescent="0.25">
      <c r="A1187" s="12">
        <v>2182</v>
      </c>
      <c r="B1187" s="12" t="s">
        <v>1533</v>
      </c>
      <c r="C1187" s="12"/>
      <c r="D1187" s="12"/>
      <c r="E1187" s="12"/>
      <c r="F1187" s="12"/>
      <c r="G1187" s="12"/>
      <c r="H1187" s="12"/>
    </row>
    <row r="1188" spans="1:8" x14ac:dyDescent="0.25">
      <c r="A1188" s="12">
        <v>2183</v>
      </c>
      <c r="B1188" s="12" t="s">
        <v>1534</v>
      </c>
      <c r="C1188" s="12"/>
      <c r="D1188" s="12"/>
      <c r="E1188" s="12"/>
      <c r="F1188" s="12"/>
      <c r="G1188" s="12"/>
      <c r="H1188" s="12"/>
    </row>
    <row r="1189" spans="1:8" x14ac:dyDescent="0.25">
      <c r="A1189" s="12">
        <v>2184</v>
      </c>
      <c r="B1189" s="12" t="s">
        <v>400</v>
      </c>
      <c r="C1189" s="12"/>
      <c r="D1189" s="12"/>
      <c r="E1189" s="12"/>
      <c r="F1189" s="12"/>
      <c r="G1189" s="12"/>
      <c r="H1189" s="12"/>
    </row>
    <row r="1190" spans="1:8" x14ac:dyDescent="0.25">
      <c r="A1190" s="12">
        <v>2185</v>
      </c>
      <c r="B1190" s="12" t="s">
        <v>401</v>
      </c>
      <c r="C1190" s="12"/>
      <c r="D1190" s="12"/>
      <c r="E1190" s="12"/>
      <c r="F1190" s="12"/>
      <c r="G1190" s="12"/>
      <c r="H1190" s="12"/>
    </row>
    <row r="1191" spans="1:8" x14ac:dyDescent="0.25">
      <c r="A1191" s="12">
        <v>2186</v>
      </c>
      <c r="B1191" s="12" t="s">
        <v>1535</v>
      </c>
      <c r="C1191" s="12"/>
      <c r="D1191" s="12"/>
      <c r="E1191" s="12"/>
      <c r="F1191" s="12"/>
      <c r="G1191" s="12"/>
      <c r="H1191" s="12"/>
    </row>
    <row r="1192" spans="1:8" x14ac:dyDescent="0.25">
      <c r="A1192" s="12">
        <v>2187</v>
      </c>
      <c r="B1192" s="12" t="s">
        <v>1536</v>
      </c>
      <c r="C1192" s="12"/>
      <c r="D1192" s="12"/>
      <c r="E1192" s="12"/>
      <c r="F1192" s="12"/>
      <c r="G1192" s="12"/>
      <c r="H1192" s="12"/>
    </row>
    <row r="1193" spans="1:8" x14ac:dyDescent="0.25">
      <c r="A1193" s="12">
        <v>2188</v>
      </c>
      <c r="B1193" s="12" t="s">
        <v>618</v>
      </c>
      <c r="C1193" s="12"/>
      <c r="D1193" s="12"/>
      <c r="E1193" s="12"/>
      <c r="F1193" s="12"/>
      <c r="G1193" s="12"/>
      <c r="H1193" s="13"/>
    </row>
    <row r="1194" spans="1:8" x14ac:dyDescent="0.25">
      <c r="A1194" s="12">
        <v>2189</v>
      </c>
      <c r="B1194" s="12" t="s">
        <v>620</v>
      </c>
      <c r="C1194" s="12" t="s">
        <v>470</v>
      </c>
      <c r="D1194" s="12">
        <v>0</v>
      </c>
      <c r="E1194" s="12" t="s">
        <v>1848</v>
      </c>
      <c r="F1194" s="12">
        <v>0</v>
      </c>
      <c r="G1194" s="12" t="s">
        <v>619</v>
      </c>
      <c r="H1194" s="13">
        <v>42439</v>
      </c>
    </row>
    <row r="1195" spans="1:8" x14ac:dyDescent="0.25">
      <c r="A1195" s="12">
        <v>2190</v>
      </c>
      <c r="B1195" s="12" t="s">
        <v>402</v>
      </c>
      <c r="C1195" s="12"/>
      <c r="D1195" s="12"/>
      <c r="E1195" s="12"/>
      <c r="F1195" s="12"/>
      <c r="G1195" s="12"/>
      <c r="H1195" s="12"/>
    </row>
    <row r="1196" spans="1:8" x14ac:dyDescent="0.25">
      <c r="A1196" s="12">
        <v>2191</v>
      </c>
      <c r="B1196" s="12" t="s">
        <v>1537</v>
      </c>
      <c r="C1196" s="12"/>
      <c r="D1196" s="12"/>
      <c r="E1196" s="12"/>
      <c r="F1196" s="12"/>
      <c r="G1196" s="12"/>
      <c r="H1196" s="12"/>
    </row>
    <row r="1197" spans="1:8" x14ac:dyDescent="0.25">
      <c r="A1197" s="12">
        <v>2192</v>
      </c>
      <c r="B1197" s="12" t="s">
        <v>1538</v>
      </c>
      <c r="C1197" s="12"/>
      <c r="D1197" s="12"/>
      <c r="E1197" s="12"/>
      <c r="F1197" s="12"/>
      <c r="G1197" s="12"/>
      <c r="H1197" s="12"/>
    </row>
    <row r="1198" spans="1:8" x14ac:dyDescent="0.25">
      <c r="A1198" s="12">
        <v>2193</v>
      </c>
      <c r="B1198" s="12" t="s">
        <v>403</v>
      </c>
      <c r="C1198" s="12"/>
      <c r="D1198" s="12"/>
      <c r="E1198" s="12"/>
      <c r="F1198" s="12"/>
      <c r="G1198" s="12"/>
      <c r="H1198" s="12"/>
    </row>
    <row r="1199" spans="1:8" x14ac:dyDescent="0.25">
      <c r="A1199" s="12">
        <v>2194</v>
      </c>
      <c r="B1199" s="12" t="s">
        <v>1539</v>
      </c>
      <c r="C1199" s="12"/>
      <c r="D1199" s="12"/>
      <c r="E1199" s="12"/>
      <c r="F1199" s="12"/>
      <c r="G1199" s="12"/>
      <c r="H1199" s="12"/>
    </row>
    <row r="1200" spans="1:8" x14ac:dyDescent="0.25">
      <c r="A1200" s="12">
        <v>2195</v>
      </c>
      <c r="B1200" s="12" t="s">
        <v>621</v>
      </c>
      <c r="C1200" s="12" t="s">
        <v>470</v>
      </c>
      <c r="D1200" s="12"/>
      <c r="E1200" s="12"/>
      <c r="F1200" s="12"/>
      <c r="G1200" s="12"/>
      <c r="H1200" s="12"/>
    </row>
    <row r="1201" spans="1:8" x14ac:dyDescent="0.25">
      <c r="A1201" s="12">
        <v>2196</v>
      </c>
      <c r="B1201" s="12" t="s">
        <v>1542</v>
      </c>
      <c r="C1201" s="12"/>
      <c r="D1201" s="12"/>
      <c r="E1201" s="12"/>
      <c r="F1201" s="12"/>
      <c r="G1201" s="12"/>
      <c r="H1201" s="12"/>
    </row>
    <row r="1202" spans="1:8" x14ac:dyDescent="0.25">
      <c r="A1202" s="12">
        <v>2197</v>
      </c>
      <c r="B1202" s="12" t="s">
        <v>1540</v>
      </c>
      <c r="C1202" s="12"/>
      <c r="D1202" s="12"/>
      <c r="E1202" s="12"/>
      <c r="F1202" s="12"/>
      <c r="G1202" s="12"/>
      <c r="H1202" s="12"/>
    </row>
    <row r="1203" spans="1:8" x14ac:dyDescent="0.25">
      <c r="A1203" s="12">
        <v>2198</v>
      </c>
      <c r="B1203" s="12" t="s">
        <v>1541</v>
      </c>
      <c r="C1203" s="12"/>
      <c r="D1203" s="12"/>
      <c r="E1203" s="12"/>
      <c r="F1203" s="12"/>
      <c r="G1203" s="12"/>
      <c r="H1203" s="12"/>
    </row>
    <row r="1204" spans="1:8" x14ac:dyDescent="0.25">
      <c r="A1204" s="12">
        <v>2199</v>
      </c>
      <c r="B1204" s="12" t="s">
        <v>1543</v>
      </c>
      <c r="C1204" s="12"/>
      <c r="D1204" s="12"/>
      <c r="E1204" s="12"/>
      <c r="F1204" s="12"/>
      <c r="G1204" s="12"/>
      <c r="H1204" s="12"/>
    </row>
    <row r="1205" spans="1:8" x14ac:dyDescent="0.25">
      <c r="A1205" s="12">
        <v>2200</v>
      </c>
      <c r="B1205" s="12" t="s">
        <v>1544</v>
      </c>
      <c r="C1205" s="12"/>
      <c r="D1205" s="12"/>
      <c r="E1205" s="12"/>
      <c r="F1205" s="12"/>
      <c r="G1205" s="12"/>
      <c r="H1205" s="12"/>
    </row>
    <row r="1206" spans="1:8" x14ac:dyDescent="0.25">
      <c r="A1206" s="12">
        <v>2201</v>
      </c>
      <c r="B1206" s="12" t="s">
        <v>1545</v>
      </c>
      <c r="C1206" s="12"/>
      <c r="D1206" s="12"/>
      <c r="E1206" s="12"/>
      <c r="F1206" s="12"/>
      <c r="G1206" s="12"/>
      <c r="H1206" s="12"/>
    </row>
    <row r="1207" spans="1:8" x14ac:dyDescent="0.25">
      <c r="A1207" s="12">
        <v>2202</v>
      </c>
      <c r="B1207" s="12" t="s">
        <v>622</v>
      </c>
      <c r="C1207" s="12" t="s">
        <v>470</v>
      </c>
      <c r="D1207" s="12">
        <v>1</v>
      </c>
      <c r="E1207" s="12" t="s">
        <v>1849</v>
      </c>
      <c r="F1207" s="12">
        <v>0</v>
      </c>
      <c r="G1207" s="12" t="s">
        <v>1850</v>
      </c>
      <c r="H1207" s="13">
        <v>42447</v>
      </c>
    </row>
    <row r="1208" spans="1:8" x14ac:dyDescent="0.25">
      <c r="A1208" s="12">
        <v>2203</v>
      </c>
      <c r="B1208" s="12" t="s">
        <v>1546</v>
      </c>
      <c r="C1208" s="12"/>
      <c r="D1208" s="12"/>
      <c r="E1208" s="12"/>
      <c r="F1208" s="12"/>
      <c r="G1208" s="12"/>
      <c r="H1208" s="12"/>
    </row>
    <row r="1209" spans="1:8" x14ac:dyDescent="0.25">
      <c r="A1209" s="12">
        <v>2204</v>
      </c>
      <c r="B1209" s="12" t="s">
        <v>1547</v>
      </c>
      <c r="C1209" s="12"/>
      <c r="D1209" s="12"/>
      <c r="E1209" s="12"/>
      <c r="F1209" s="12"/>
      <c r="G1209" s="12"/>
      <c r="H1209" s="12"/>
    </row>
    <row r="1210" spans="1:8" x14ac:dyDescent="0.25">
      <c r="A1210" s="12">
        <v>2205</v>
      </c>
      <c r="B1210" s="12" t="s">
        <v>1548</v>
      </c>
      <c r="C1210" s="12"/>
      <c r="D1210" s="12"/>
      <c r="E1210" s="12"/>
      <c r="F1210" s="12"/>
      <c r="G1210" s="12"/>
      <c r="H1210" s="12"/>
    </row>
    <row r="1211" spans="1:8" x14ac:dyDescent="0.25">
      <c r="A1211" s="12">
        <v>2206</v>
      </c>
      <c r="B1211" s="12" t="s">
        <v>1549</v>
      </c>
      <c r="C1211" s="12"/>
      <c r="D1211" s="12"/>
      <c r="E1211" s="12"/>
      <c r="F1211" s="12"/>
      <c r="G1211" s="12"/>
      <c r="H1211" s="12"/>
    </row>
    <row r="1212" spans="1:8" x14ac:dyDescent="0.25">
      <c r="A1212" s="12">
        <v>2207</v>
      </c>
      <c r="B1212" s="12" t="s">
        <v>1550</v>
      </c>
      <c r="C1212" s="12"/>
      <c r="D1212" s="12"/>
      <c r="E1212" s="12"/>
      <c r="F1212" s="12"/>
      <c r="G1212" s="12"/>
      <c r="H1212" s="12"/>
    </row>
    <row r="1213" spans="1:8" x14ac:dyDescent="0.25">
      <c r="A1213" s="12">
        <v>2208</v>
      </c>
      <c r="B1213" s="12" t="s">
        <v>1551</v>
      </c>
      <c r="C1213" s="12"/>
      <c r="D1213" s="12"/>
      <c r="E1213" s="12"/>
      <c r="F1213" s="12"/>
      <c r="G1213" s="12"/>
      <c r="H1213" s="12"/>
    </row>
    <row r="1214" spans="1:8" x14ac:dyDescent="0.25">
      <c r="A1214" s="12">
        <v>2209</v>
      </c>
      <c r="B1214" s="12" t="s">
        <v>1552</v>
      </c>
      <c r="C1214" s="12"/>
      <c r="D1214" s="12"/>
      <c r="E1214" s="12"/>
      <c r="F1214" s="12"/>
      <c r="G1214" s="12"/>
      <c r="H1214" s="12"/>
    </row>
    <row r="1215" spans="1:8" x14ac:dyDescent="0.25">
      <c r="A1215" s="12">
        <v>2210</v>
      </c>
      <c r="B1215" s="12" t="s">
        <v>1553</v>
      </c>
      <c r="C1215" s="12"/>
      <c r="D1215" s="12"/>
      <c r="E1215" s="12"/>
      <c r="F1215" s="12"/>
      <c r="G1215" s="12"/>
      <c r="H1215" s="12"/>
    </row>
    <row r="1216" spans="1:8" x14ac:dyDescent="0.25">
      <c r="A1216" s="12">
        <v>2211</v>
      </c>
      <c r="B1216" s="12" t="s">
        <v>1554</v>
      </c>
      <c r="C1216" s="12"/>
      <c r="D1216" s="12"/>
      <c r="E1216" s="12"/>
      <c r="F1216" s="12"/>
      <c r="G1216" s="12"/>
      <c r="H1216" s="12"/>
    </row>
    <row r="1217" spans="1:8" x14ac:dyDescent="0.25">
      <c r="A1217" s="12">
        <v>2212</v>
      </c>
      <c r="B1217" s="12" t="s">
        <v>1555</v>
      </c>
      <c r="C1217" s="12"/>
      <c r="D1217" s="12"/>
      <c r="E1217" s="12"/>
      <c r="F1217" s="12"/>
      <c r="G1217" s="12"/>
      <c r="H1217" s="12"/>
    </row>
    <row r="1218" spans="1:8" x14ac:dyDescent="0.25">
      <c r="A1218" s="12">
        <v>2213</v>
      </c>
      <c r="B1218" s="12" t="s">
        <v>404</v>
      </c>
      <c r="C1218" s="12"/>
      <c r="D1218" s="12"/>
      <c r="E1218" s="12"/>
      <c r="F1218" s="12"/>
      <c r="G1218" s="12"/>
      <c r="H1218" s="12"/>
    </row>
    <row r="1219" spans="1:8" x14ac:dyDescent="0.25">
      <c r="A1219" s="12">
        <v>2214</v>
      </c>
      <c r="B1219" s="12" t="s">
        <v>1558</v>
      </c>
      <c r="C1219" s="12"/>
      <c r="D1219" s="12"/>
      <c r="E1219" s="12"/>
      <c r="F1219" s="12"/>
      <c r="G1219" s="12"/>
      <c r="H1219" s="12"/>
    </row>
    <row r="1220" spans="1:8" x14ac:dyDescent="0.25">
      <c r="A1220" s="12">
        <v>2215</v>
      </c>
      <c r="B1220" s="12" t="s">
        <v>1559</v>
      </c>
      <c r="C1220" s="12"/>
      <c r="D1220" s="12"/>
      <c r="E1220" s="12"/>
      <c r="F1220" s="12"/>
      <c r="G1220" s="12"/>
      <c r="H1220" s="12"/>
    </row>
    <row r="1221" spans="1:8" x14ac:dyDescent="0.25">
      <c r="A1221" s="12">
        <v>2216</v>
      </c>
      <c r="B1221" s="12" t="s">
        <v>1561</v>
      </c>
      <c r="C1221" s="12"/>
      <c r="D1221" s="12"/>
      <c r="E1221" s="12"/>
      <c r="F1221" s="12"/>
      <c r="G1221" s="12"/>
      <c r="H1221" s="12"/>
    </row>
    <row r="1222" spans="1:8" x14ac:dyDescent="0.25">
      <c r="A1222" s="12">
        <v>2217</v>
      </c>
      <c r="B1222" s="12" t="s">
        <v>1562</v>
      </c>
      <c r="C1222" s="12"/>
      <c r="D1222" s="12"/>
      <c r="E1222" s="12"/>
      <c r="F1222" s="12"/>
      <c r="G1222" s="12"/>
      <c r="H1222" s="12"/>
    </row>
    <row r="1223" spans="1:8" x14ac:dyDescent="0.25">
      <c r="A1223" s="12">
        <v>2218</v>
      </c>
      <c r="B1223" s="12" t="s">
        <v>1572</v>
      </c>
      <c r="C1223" s="12"/>
      <c r="D1223" s="12"/>
      <c r="E1223" s="12"/>
      <c r="F1223" s="12"/>
      <c r="G1223" s="12"/>
      <c r="H1223" s="12"/>
    </row>
    <row r="1224" spans="1:8" x14ac:dyDescent="0.25">
      <c r="A1224" s="12">
        <v>2219</v>
      </c>
      <c r="B1224" s="12" t="s">
        <v>1573</v>
      </c>
      <c r="C1224" s="12"/>
      <c r="D1224" s="12"/>
      <c r="E1224" s="12"/>
      <c r="F1224" s="12"/>
      <c r="G1224" s="12"/>
      <c r="H1224" s="12"/>
    </row>
    <row r="1225" spans="1:8" x14ac:dyDescent="0.25">
      <c r="A1225" s="12">
        <v>2220</v>
      </c>
      <c r="B1225" s="12" t="s">
        <v>1598</v>
      </c>
      <c r="C1225" s="12"/>
      <c r="D1225" s="12"/>
      <c r="E1225" s="12"/>
      <c r="F1225" s="12"/>
      <c r="G1225" s="12"/>
      <c r="H1225" s="12"/>
    </row>
    <row r="1226" spans="1:8" x14ac:dyDescent="0.25">
      <c r="A1226" s="12">
        <v>2221</v>
      </c>
      <c r="B1226" s="12" t="s">
        <v>1599</v>
      </c>
      <c r="C1226" s="12"/>
      <c r="D1226" s="12"/>
      <c r="E1226" s="12"/>
      <c r="F1226" s="12"/>
      <c r="G1226" s="12"/>
      <c r="H1226" s="12"/>
    </row>
    <row r="1227" spans="1:8" x14ac:dyDescent="0.25">
      <c r="A1227" s="12">
        <v>2222</v>
      </c>
      <c r="B1227" s="12" t="s">
        <v>1600</v>
      </c>
      <c r="C1227" s="12"/>
      <c r="D1227" s="12"/>
      <c r="E1227" s="12"/>
      <c r="F1227" s="12"/>
      <c r="G1227" s="12"/>
      <c r="H1227" s="12"/>
    </row>
    <row r="1228" spans="1:8" x14ac:dyDescent="0.25">
      <c r="A1228" s="12">
        <v>2223</v>
      </c>
      <c r="B1228" s="12" t="s">
        <v>405</v>
      </c>
      <c r="C1228" s="12"/>
      <c r="D1228" s="12"/>
      <c r="E1228" s="12"/>
      <c r="F1228" s="12"/>
      <c r="G1228" s="12"/>
      <c r="H1228" s="12"/>
    </row>
    <row r="1229" spans="1:8" x14ac:dyDescent="0.25">
      <c r="A1229" s="12">
        <v>2224</v>
      </c>
      <c r="B1229" s="12" t="s">
        <v>1614</v>
      </c>
      <c r="C1229" s="12"/>
      <c r="D1229" s="12"/>
      <c r="E1229" s="12"/>
      <c r="F1229" s="12"/>
      <c r="G1229" s="12"/>
      <c r="H1229" s="12"/>
    </row>
    <row r="1230" spans="1:8" x14ac:dyDescent="0.25">
      <c r="A1230" s="12">
        <v>2225</v>
      </c>
      <c r="B1230" s="12" t="s">
        <v>1615</v>
      </c>
      <c r="C1230" s="12"/>
      <c r="D1230" s="12"/>
      <c r="E1230" s="12"/>
      <c r="F1230" s="12"/>
      <c r="G1230" s="12"/>
      <c r="H1230" s="12"/>
    </row>
    <row r="1231" spans="1:8" x14ac:dyDescent="0.25">
      <c r="A1231" s="12">
        <v>2226</v>
      </c>
      <c r="B1231" s="12" t="s">
        <v>1616</v>
      </c>
      <c r="C1231" s="12"/>
      <c r="D1231" s="12"/>
      <c r="E1231" s="12"/>
      <c r="F1231" s="12"/>
      <c r="G1231" s="12"/>
      <c r="H1231" s="12"/>
    </row>
    <row r="1232" spans="1:8" x14ac:dyDescent="0.25">
      <c r="A1232" s="12">
        <v>2227</v>
      </c>
      <c r="B1232" s="12" t="s">
        <v>406</v>
      </c>
      <c r="C1232" s="12"/>
      <c r="D1232" s="12"/>
      <c r="E1232" s="12"/>
      <c r="F1232" s="12"/>
      <c r="G1232" s="12"/>
      <c r="H1232" s="12"/>
    </row>
    <row r="1233" spans="1:8" x14ac:dyDescent="0.25">
      <c r="A1233" s="12">
        <v>2228</v>
      </c>
      <c r="B1233" s="12" t="s">
        <v>1563</v>
      </c>
      <c r="C1233" s="12"/>
      <c r="D1233" s="12"/>
      <c r="E1233" s="12"/>
      <c r="F1233" s="12"/>
      <c r="G1233" s="12"/>
      <c r="H1233" s="12"/>
    </row>
    <row r="1234" spans="1:8" x14ac:dyDescent="0.25">
      <c r="A1234" s="12">
        <v>2229</v>
      </c>
      <c r="B1234" s="12" t="s">
        <v>1564</v>
      </c>
      <c r="C1234" s="12"/>
      <c r="D1234" s="12"/>
      <c r="E1234" s="12"/>
      <c r="F1234" s="12"/>
      <c r="G1234" s="12"/>
      <c r="H1234" s="12"/>
    </row>
    <row r="1235" spans="1:8" x14ac:dyDescent="0.25">
      <c r="A1235" s="12">
        <v>2230</v>
      </c>
      <c r="B1235" s="12" t="s">
        <v>407</v>
      </c>
      <c r="C1235" s="12"/>
      <c r="D1235" s="12"/>
      <c r="E1235" s="12"/>
      <c r="F1235" s="12"/>
      <c r="G1235" s="12"/>
      <c r="H1235" s="12"/>
    </row>
    <row r="1236" spans="1:8" x14ac:dyDescent="0.25">
      <c r="A1236" s="12">
        <v>2231</v>
      </c>
      <c r="B1236" s="12" t="s">
        <v>408</v>
      </c>
      <c r="C1236" s="12"/>
      <c r="D1236" s="12"/>
      <c r="E1236" s="12"/>
      <c r="F1236" s="12"/>
      <c r="G1236" s="12"/>
      <c r="H1236" s="12"/>
    </row>
    <row r="1237" spans="1:8" x14ac:dyDescent="0.25">
      <c r="A1237" s="12">
        <v>2232</v>
      </c>
      <c r="B1237" s="12" t="s">
        <v>1565</v>
      </c>
      <c r="C1237" s="12"/>
      <c r="D1237" s="12"/>
      <c r="E1237" s="12"/>
      <c r="F1237" s="12"/>
      <c r="G1237" s="12"/>
      <c r="H1237" s="12"/>
    </row>
    <row r="1238" spans="1:8" x14ac:dyDescent="0.25">
      <c r="A1238" s="12">
        <v>2233</v>
      </c>
      <c r="B1238" s="12" t="s">
        <v>1566</v>
      </c>
      <c r="C1238" s="12"/>
      <c r="D1238" s="12"/>
      <c r="E1238" s="12"/>
      <c r="F1238" s="12"/>
      <c r="G1238" s="12"/>
      <c r="H1238" s="12"/>
    </row>
    <row r="1239" spans="1:8" x14ac:dyDescent="0.25">
      <c r="A1239" s="12">
        <v>2234</v>
      </c>
      <c r="B1239" s="12" t="s">
        <v>1567</v>
      </c>
      <c r="C1239" s="12"/>
      <c r="D1239" s="12"/>
      <c r="E1239" s="12"/>
      <c r="F1239" s="12"/>
      <c r="G1239" s="12"/>
      <c r="H1239" s="12"/>
    </row>
    <row r="1240" spans="1:8" x14ac:dyDescent="0.25">
      <c r="A1240" s="12">
        <v>2235</v>
      </c>
      <c r="B1240" s="12" t="s">
        <v>1568</v>
      </c>
      <c r="C1240" s="12"/>
      <c r="D1240" s="12"/>
      <c r="E1240" s="12"/>
      <c r="F1240" s="12"/>
      <c r="G1240" s="12"/>
      <c r="H1240" s="12"/>
    </row>
    <row r="1241" spans="1:8" x14ac:dyDescent="0.25">
      <c r="A1241" s="12">
        <v>2236</v>
      </c>
      <c r="B1241" s="12" t="s">
        <v>1569</v>
      </c>
      <c r="C1241" s="12"/>
      <c r="D1241" s="12"/>
      <c r="E1241" s="12"/>
      <c r="F1241" s="12"/>
      <c r="G1241" s="12"/>
      <c r="H1241" s="12"/>
    </row>
    <row r="1242" spans="1:8" x14ac:dyDescent="0.25">
      <c r="A1242" s="12">
        <v>2237</v>
      </c>
      <c r="B1242" s="12" t="s">
        <v>1570</v>
      </c>
      <c r="C1242" s="12"/>
      <c r="D1242" s="12"/>
      <c r="E1242" s="12"/>
      <c r="F1242" s="12"/>
      <c r="G1242" s="12"/>
      <c r="H1242" s="12"/>
    </row>
    <row r="1243" spans="1:8" x14ac:dyDescent="0.25">
      <c r="A1243" s="12">
        <v>2238</v>
      </c>
      <c r="B1243" s="12" t="s">
        <v>1571</v>
      </c>
      <c r="C1243" s="12"/>
      <c r="D1243" s="12"/>
      <c r="E1243" s="12"/>
      <c r="F1243" s="12"/>
      <c r="G1243" s="12"/>
      <c r="H1243" s="12"/>
    </row>
    <row r="1244" spans="1:8" x14ac:dyDescent="0.25">
      <c r="A1244" s="12">
        <v>2239</v>
      </c>
      <c r="B1244" s="12" t="s">
        <v>409</v>
      </c>
      <c r="C1244" s="12"/>
      <c r="D1244" s="12"/>
      <c r="E1244" s="12"/>
      <c r="F1244" s="12"/>
      <c r="G1244" s="12"/>
      <c r="H1244" s="12"/>
    </row>
    <row r="1245" spans="1:8" x14ac:dyDescent="0.25">
      <c r="A1245" s="12">
        <v>2240</v>
      </c>
      <c r="B1245" s="12" t="s">
        <v>624</v>
      </c>
      <c r="C1245" s="12" t="s">
        <v>470</v>
      </c>
      <c r="D1245" s="12">
        <v>1</v>
      </c>
      <c r="E1245" s="12" t="s">
        <v>1851</v>
      </c>
      <c r="F1245" s="12">
        <v>0</v>
      </c>
      <c r="G1245" s="12" t="s">
        <v>1852</v>
      </c>
      <c r="H1245" s="13">
        <v>42447</v>
      </c>
    </row>
    <row r="1246" spans="1:8" x14ac:dyDescent="0.25">
      <c r="A1246" s="12">
        <v>2241</v>
      </c>
      <c r="B1246" s="12" t="s">
        <v>625</v>
      </c>
      <c r="C1246" s="12" t="s">
        <v>470</v>
      </c>
      <c r="D1246" s="12">
        <v>1</v>
      </c>
      <c r="E1246" s="12" t="s">
        <v>1853</v>
      </c>
      <c r="F1246" s="12">
        <v>0</v>
      </c>
      <c r="G1246" s="12" t="s">
        <v>626</v>
      </c>
      <c r="H1246" s="13">
        <v>42439</v>
      </c>
    </row>
    <row r="1247" spans="1:8" x14ac:dyDescent="0.25">
      <c r="A1247" s="12">
        <v>2242</v>
      </c>
      <c r="B1247" s="12" t="s">
        <v>1574</v>
      </c>
      <c r="C1247" s="12"/>
      <c r="D1247" s="12"/>
      <c r="E1247" s="12"/>
      <c r="F1247" s="12"/>
      <c r="G1247" s="12"/>
      <c r="H1247" s="12"/>
    </row>
    <row r="1248" spans="1:8" x14ac:dyDescent="0.25">
      <c r="A1248" s="12">
        <v>2243</v>
      </c>
      <c r="B1248" s="12" t="s">
        <v>410</v>
      </c>
      <c r="C1248" s="12"/>
      <c r="D1248" s="12"/>
      <c r="E1248" s="12"/>
      <c r="F1248" s="12"/>
      <c r="G1248" s="12"/>
      <c r="H1248" s="12"/>
    </row>
    <row r="1249" spans="1:8" x14ac:dyDescent="0.25">
      <c r="A1249" s="12">
        <v>2244</v>
      </c>
      <c r="B1249" s="12" t="s">
        <v>1575</v>
      </c>
      <c r="C1249" s="12"/>
      <c r="D1249" s="12"/>
      <c r="E1249" s="12"/>
      <c r="F1249" s="12"/>
      <c r="G1249" s="12"/>
      <c r="H1249" s="12"/>
    </row>
    <row r="1250" spans="1:8" x14ac:dyDescent="0.25">
      <c r="A1250" s="12">
        <v>2245</v>
      </c>
      <c r="B1250" s="12" t="s">
        <v>1576</v>
      </c>
      <c r="C1250" s="12"/>
      <c r="D1250" s="12"/>
      <c r="E1250" s="12"/>
      <c r="F1250" s="12"/>
      <c r="G1250" s="12"/>
      <c r="H1250" s="12"/>
    </row>
    <row r="1251" spans="1:8" x14ac:dyDescent="0.25">
      <c r="A1251" s="12">
        <v>2246</v>
      </c>
      <c r="B1251" s="12" t="s">
        <v>411</v>
      </c>
      <c r="C1251" s="12"/>
      <c r="D1251" s="12"/>
      <c r="E1251" s="12"/>
      <c r="F1251" s="12"/>
      <c r="G1251" s="12"/>
      <c r="H1251" s="12"/>
    </row>
    <row r="1252" spans="1:8" x14ac:dyDescent="0.25">
      <c r="A1252" s="12">
        <v>2247</v>
      </c>
      <c r="B1252" s="12" t="s">
        <v>1577</v>
      </c>
      <c r="C1252" s="12"/>
      <c r="D1252" s="12"/>
      <c r="E1252" s="12"/>
      <c r="F1252" s="12"/>
      <c r="G1252" s="12"/>
      <c r="H1252" s="12"/>
    </row>
    <row r="1253" spans="1:8" x14ac:dyDescent="0.25">
      <c r="A1253" s="12">
        <v>2248</v>
      </c>
      <c r="B1253" s="12" t="s">
        <v>1578</v>
      </c>
      <c r="C1253" s="12"/>
      <c r="D1253" s="12"/>
      <c r="E1253" s="12"/>
      <c r="F1253" s="12"/>
      <c r="G1253" s="12"/>
      <c r="H1253" s="12"/>
    </row>
    <row r="1254" spans="1:8" x14ac:dyDescent="0.25">
      <c r="A1254" s="12">
        <v>2249</v>
      </c>
      <c r="B1254" s="12" t="s">
        <v>1579</v>
      </c>
      <c r="C1254" s="12"/>
      <c r="D1254" s="12"/>
      <c r="E1254" s="12"/>
      <c r="F1254" s="12"/>
      <c r="G1254" s="12"/>
      <c r="H1254" s="12"/>
    </row>
    <row r="1255" spans="1:8" x14ac:dyDescent="0.25">
      <c r="A1255" s="12">
        <v>2250</v>
      </c>
      <c r="B1255" s="12" t="s">
        <v>1580</v>
      </c>
      <c r="C1255" s="12"/>
      <c r="D1255" s="12"/>
      <c r="E1255" s="12"/>
      <c r="F1255" s="12"/>
      <c r="G1255" s="12"/>
      <c r="H1255" s="12"/>
    </row>
    <row r="1256" spans="1:8" x14ac:dyDescent="0.25">
      <c r="A1256" s="12">
        <v>2251</v>
      </c>
      <c r="B1256" s="12" t="s">
        <v>1581</v>
      </c>
      <c r="C1256" s="12"/>
      <c r="D1256" s="12"/>
      <c r="E1256" s="12"/>
      <c r="F1256" s="12"/>
      <c r="G1256" s="12"/>
      <c r="H1256" s="12"/>
    </row>
    <row r="1257" spans="1:8" x14ac:dyDescent="0.25">
      <c r="A1257" s="12">
        <v>2252</v>
      </c>
      <c r="B1257" s="12" t="s">
        <v>1582</v>
      </c>
      <c r="C1257" s="12"/>
      <c r="D1257" s="12"/>
      <c r="E1257" s="12"/>
      <c r="F1257" s="12"/>
      <c r="G1257" s="12"/>
      <c r="H1257" s="12"/>
    </row>
    <row r="1258" spans="1:8" x14ac:dyDescent="0.25">
      <c r="A1258" s="12">
        <v>2253</v>
      </c>
      <c r="B1258" s="12" t="s">
        <v>412</v>
      </c>
      <c r="C1258" s="12"/>
      <c r="D1258" s="12"/>
      <c r="E1258" s="12"/>
      <c r="F1258" s="12"/>
      <c r="G1258" s="12"/>
      <c r="H1258" s="12"/>
    </row>
    <row r="1259" spans="1:8" x14ac:dyDescent="0.25">
      <c r="A1259" s="12">
        <v>2254</v>
      </c>
      <c r="B1259" s="12" t="s">
        <v>1583</v>
      </c>
      <c r="C1259" s="12"/>
      <c r="D1259" s="12"/>
      <c r="E1259" s="12"/>
      <c r="F1259" s="12"/>
      <c r="G1259" s="12"/>
      <c r="H1259" s="12"/>
    </row>
    <row r="1260" spans="1:8" x14ac:dyDescent="0.25">
      <c r="A1260" s="12">
        <v>2255</v>
      </c>
      <c r="B1260" s="12" t="s">
        <v>1584</v>
      </c>
      <c r="C1260" s="12"/>
      <c r="D1260" s="12"/>
      <c r="E1260" s="12"/>
      <c r="F1260" s="12"/>
      <c r="G1260" s="12"/>
      <c r="H1260" s="12"/>
    </row>
    <row r="1261" spans="1:8" x14ac:dyDescent="0.25">
      <c r="A1261" s="12">
        <v>2256</v>
      </c>
      <c r="B1261" s="12" t="s">
        <v>1585</v>
      </c>
      <c r="C1261" s="12"/>
      <c r="D1261" s="12"/>
      <c r="E1261" s="12"/>
      <c r="F1261" s="12"/>
      <c r="G1261" s="12"/>
      <c r="H1261" s="12"/>
    </row>
    <row r="1262" spans="1:8" x14ac:dyDescent="0.25">
      <c r="A1262" s="12">
        <v>2257</v>
      </c>
      <c r="B1262" s="12" t="s">
        <v>1586</v>
      </c>
      <c r="C1262" s="12"/>
      <c r="D1262" s="12"/>
      <c r="E1262" s="12"/>
      <c r="F1262" s="12"/>
      <c r="G1262" s="12"/>
      <c r="H1262" s="12"/>
    </row>
    <row r="1263" spans="1:8" x14ac:dyDescent="0.25">
      <c r="A1263" s="12">
        <v>2258</v>
      </c>
      <c r="B1263" s="12" t="s">
        <v>1587</v>
      </c>
      <c r="C1263" s="12"/>
      <c r="D1263" s="12"/>
      <c r="E1263" s="12"/>
      <c r="F1263" s="12"/>
      <c r="G1263" s="12"/>
      <c r="H1263" s="12"/>
    </row>
    <row r="1264" spans="1:8" x14ac:dyDescent="0.25">
      <c r="A1264" s="12">
        <v>2259</v>
      </c>
      <c r="B1264" s="12" t="s">
        <v>1588</v>
      </c>
      <c r="C1264" s="12"/>
      <c r="D1264" s="12"/>
      <c r="E1264" s="12"/>
      <c r="F1264" s="12"/>
      <c r="G1264" s="12"/>
      <c r="H1264" s="12"/>
    </row>
    <row r="1265" spans="1:8" x14ac:dyDescent="0.25">
      <c r="A1265" s="12">
        <v>2260</v>
      </c>
      <c r="B1265" s="12" t="s">
        <v>627</v>
      </c>
      <c r="C1265" s="12"/>
      <c r="D1265" s="12"/>
      <c r="E1265" s="12"/>
      <c r="F1265" s="12"/>
      <c r="G1265" s="12"/>
      <c r="H1265" s="13"/>
    </row>
    <row r="1266" spans="1:8" x14ac:dyDescent="0.25">
      <c r="A1266" s="12">
        <v>2261</v>
      </c>
      <c r="B1266" s="12" t="s">
        <v>629</v>
      </c>
      <c r="C1266" s="12" t="s">
        <v>470</v>
      </c>
      <c r="D1266" s="12">
        <v>1</v>
      </c>
      <c r="E1266" s="12" t="s">
        <v>1854</v>
      </c>
      <c r="F1266" s="12">
        <v>0</v>
      </c>
      <c r="G1266" s="12" t="s">
        <v>628</v>
      </c>
      <c r="H1266" s="13">
        <v>42439</v>
      </c>
    </row>
    <row r="1267" spans="1:8" x14ac:dyDescent="0.25">
      <c r="A1267" s="12">
        <v>2262</v>
      </c>
      <c r="B1267" s="12" t="s">
        <v>1589</v>
      </c>
      <c r="C1267" s="12"/>
      <c r="D1267" s="12"/>
      <c r="E1267" s="12"/>
      <c r="F1267" s="12"/>
      <c r="G1267" s="12"/>
      <c r="H1267" s="12"/>
    </row>
    <row r="1268" spans="1:8" x14ac:dyDescent="0.25">
      <c r="A1268" s="12">
        <v>2263</v>
      </c>
      <c r="B1268" s="12" t="s">
        <v>1590</v>
      </c>
      <c r="C1268" s="12"/>
      <c r="D1268" s="12"/>
      <c r="E1268" s="12"/>
      <c r="F1268" s="12"/>
      <c r="G1268" s="12"/>
      <c r="H1268" s="12"/>
    </row>
    <row r="1269" spans="1:8" x14ac:dyDescent="0.25">
      <c r="A1269" s="12">
        <v>2264</v>
      </c>
      <c r="B1269" s="12" t="s">
        <v>630</v>
      </c>
      <c r="C1269" s="12" t="s">
        <v>470</v>
      </c>
      <c r="D1269" s="12">
        <v>2</v>
      </c>
      <c r="E1269" s="12" t="s">
        <v>1855</v>
      </c>
      <c r="F1269" s="12">
        <v>0</v>
      </c>
      <c r="G1269" s="12" t="s">
        <v>467</v>
      </c>
      <c r="H1269" s="13">
        <v>42439</v>
      </c>
    </row>
    <row r="1270" spans="1:8" x14ac:dyDescent="0.25">
      <c r="A1270" s="12">
        <v>2265</v>
      </c>
      <c r="B1270" s="12" t="s">
        <v>1591</v>
      </c>
      <c r="C1270" s="12"/>
      <c r="D1270" s="12"/>
      <c r="E1270" s="12"/>
      <c r="F1270" s="12"/>
      <c r="G1270" s="12"/>
      <c r="H1270" s="12"/>
    </row>
    <row r="1271" spans="1:8" x14ac:dyDescent="0.25">
      <c r="A1271" s="12">
        <v>2266</v>
      </c>
      <c r="B1271" s="12" t="s">
        <v>413</v>
      </c>
      <c r="C1271" s="12"/>
      <c r="D1271" s="12"/>
      <c r="E1271" s="12"/>
      <c r="F1271" s="12"/>
      <c r="G1271" s="12"/>
      <c r="H1271" s="12"/>
    </row>
    <row r="1272" spans="1:8" x14ac:dyDescent="0.25">
      <c r="A1272" s="12">
        <v>2267</v>
      </c>
      <c r="B1272" s="12" t="s">
        <v>414</v>
      </c>
      <c r="C1272" s="12"/>
      <c r="D1272" s="12"/>
      <c r="E1272" s="12"/>
      <c r="F1272" s="12"/>
      <c r="G1272" s="12"/>
      <c r="H1272" s="12"/>
    </row>
    <row r="1273" spans="1:8" x14ac:dyDescent="0.25">
      <c r="A1273" s="12">
        <v>2268</v>
      </c>
      <c r="B1273" s="12" t="s">
        <v>1595</v>
      </c>
      <c r="C1273" s="12"/>
      <c r="D1273" s="12"/>
      <c r="E1273" s="12"/>
      <c r="F1273" s="12"/>
      <c r="G1273" s="12"/>
      <c r="H1273" s="12"/>
    </row>
    <row r="1274" spans="1:8" x14ac:dyDescent="0.25">
      <c r="A1274" s="12">
        <v>2269</v>
      </c>
      <c r="B1274" s="12" t="s">
        <v>631</v>
      </c>
      <c r="C1274" s="12"/>
      <c r="D1274" s="12"/>
      <c r="E1274" s="12"/>
      <c r="F1274" s="12"/>
      <c r="G1274" s="12"/>
      <c r="H1274" s="12"/>
    </row>
    <row r="1275" spans="1:8" x14ac:dyDescent="0.25">
      <c r="A1275" s="12">
        <v>2270</v>
      </c>
      <c r="B1275" s="12" t="s">
        <v>1596</v>
      </c>
      <c r="C1275" s="12"/>
      <c r="D1275" s="12"/>
      <c r="E1275" s="12"/>
      <c r="F1275" s="12"/>
      <c r="G1275" s="12"/>
      <c r="H1275" s="12"/>
    </row>
    <row r="1276" spans="1:8" x14ac:dyDescent="0.25">
      <c r="A1276" s="12">
        <v>2271</v>
      </c>
      <c r="B1276" s="12" t="s">
        <v>1597</v>
      </c>
      <c r="C1276" s="12"/>
      <c r="D1276" s="12"/>
      <c r="E1276" s="12"/>
      <c r="F1276" s="12"/>
      <c r="G1276" s="12"/>
      <c r="H1276" s="12"/>
    </row>
    <row r="1277" spans="1:8" x14ac:dyDescent="0.25">
      <c r="A1277" s="12">
        <v>2272</v>
      </c>
      <c r="B1277" s="12" t="s">
        <v>415</v>
      </c>
      <c r="C1277" s="12"/>
      <c r="D1277" s="12"/>
      <c r="E1277" s="12"/>
      <c r="F1277" s="12"/>
      <c r="G1277" s="12"/>
      <c r="H1277" s="12"/>
    </row>
    <row r="1278" spans="1:8" x14ac:dyDescent="0.25">
      <c r="A1278" s="12">
        <v>2273</v>
      </c>
      <c r="B1278" s="12" t="s">
        <v>1601</v>
      </c>
      <c r="C1278" s="12"/>
      <c r="D1278" s="12"/>
      <c r="E1278" s="12"/>
      <c r="F1278" s="12"/>
      <c r="G1278" s="12"/>
      <c r="H1278" s="12"/>
    </row>
    <row r="1279" spans="1:8" x14ac:dyDescent="0.25">
      <c r="A1279" s="12">
        <v>2274</v>
      </c>
      <c r="B1279" s="12" t="s">
        <v>1602</v>
      </c>
      <c r="C1279" s="12"/>
      <c r="D1279" s="12"/>
      <c r="E1279" s="12"/>
      <c r="F1279" s="12"/>
      <c r="G1279" s="12"/>
      <c r="H1279" s="12"/>
    </row>
    <row r="1280" spans="1:8" x14ac:dyDescent="0.25">
      <c r="A1280" s="12">
        <v>2275</v>
      </c>
      <c r="B1280" s="12" t="s">
        <v>1603</v>
      </c>
      <c r="C1280" s="12"/>
      <c r="D1280" s="12"/>
      <c r="E1280" s="12"/>
      <c r="F1280" s="12"/>
      <c r="G1280" s="12"/>
      <c r="H1280" s="12"/>
    </row>
    <row r="1281" spans="1:8" x14ac:dyDescent="0.25">
      <c r="A1281" s="12">
        <v>2276</v>
      </c>
      <c r="B1281" s="12" t="s">
        <v>1604</v>
      </c>
      <c r="C1281" s="12"/>
      <c r="D1281" s="12"/>
      <c r="E1281" s="12"/>
      <c r="F1281" s="12"/>
      <c r="G1281" s="12"/>
      <c r="H1281" s="12"/>
    </row>
    <row r="1282" spans="1:8" x14ac:dyDescent="0.25">
      <c r="A1282" s="12">
        <v>2277</v>
      </c>
      <c r="B1282" s="12" t="s">
        <v>632</v>
      </c>
      <c r="C1282" s="12" t="s">
        <v>470</v>
      </c>
      <c r="D1282" s="12"/>
      <c r="E1282" s="12"/>
      <c r="F1282" s="12"/>
      <c r="G1282" s="12"/>
      <c r="H1282" s="12"/>
    </row>
    <row r="1283" spans="1:8" x14ac:dyDescent="0.25">
      <c r="A1283" s="12">
        <v>2278</v>
      </c>
      <c r="B1283" s="12" t="s">
        <v>1605</v>
      </c>
      <c r="C1283" s="12"/>
      <c r="D1283" s="12"/>
      <c r="E1283" s="12"/>
      <c r="F1283" s="12"/>
      <c r="G1283" s="12"/>
      <c r="H1283" s="12"/>
    </row>
    <row r="1284" spans="1:8" x14ac:dyDescent="0.25">
      <c r="A1284" s="12">
        <v>2279</v>
      </c>
      <c r="B1284" s="12" t="s">
        <v>1606</v>
      </c>
      <c r="C1284" s="12"/>
      <c r="D1284" s="12"/>
      <c r="E1284" s="12"/>
      <c r="F1284" s="12"/>
      <c r="G1284" s="12"/>
      <c r="H1284" s="12"/>
    </row>
    <row r="1285" spans="1:8" x14ac:dyDescent="0.25">
      <c r="A1285" s="12">
        <v>2280</v>
      </c>
      <c r="B1285" s="12" t="s">
        <v>633</v>
      </c>
      <c r="C1285" s="12"/>
      <c r="D1285" s="12"/>
      <c r="E1285" s="12"/>
      <c r="F1285" s="12"/>
      <c r="G1285" s="12"/>
      <c r="H1285" s="13"/>
    </row>
    <row r="1286" spans="1:8" x14ac:dyDescent="0.25">
      <c r="A1286" s="12">
        <v>2281</v>
      </c>
      <c r="B1286" s="12" t="s">
        <v>635</v>
      </c>
      <c r="C1286" s="12" t="s">
        <v>470</v>
      </c>
      <c r="D1286" s="12">
        <v>1</v>
      </c>
      <c r="E1286" s="12" t="s">
        <v>1856</v>
      </c>
      <c r="F1286" s="12">
        <v>0</v>
      </c>
      <c r="G1286" s="12" t="s">
        <v>634</v>
      </c>
      <c r="H1286" s="13">
        <v>42439</v>
      </c>
    </row>
    <row r="1287" spans="1:8" x14ac:dyDescent="0.25">
      <c r="A1287" s="12">
        <v>2282</v>
      </c>
      <c r="B1287" s="12" t="s">
        <v>416</v>
      </c>
      <c r="C1287" s="12"/>
      <c r="D1287" s="12"/>
      <c r="E1287" s="12"/>
      <c r="F1287" s="12"/>
      <c r="G1287" s="12"/>
      <c r="H1287" s="12"/>
    </row>
    <row r="1288" spans="1:8" x14ac:dyDescent="0.25">
      <c r="A1288" s="12">
        <v>2283</v>
      </c>
      <c r="B1288" s="12" t="s">
        <v>1607</v>
      </c>
      <c r="C1288" s="12"/>
      <c r="D1288" s="12"/>
      <c r="E1288" s="12"/>
      <c r="F1288" s="12"/>
      <c r="G1288" s="12"/>
      <c r="H1288" s="12"/>
    </row>
    <row r="1289" spans="1:8" x14ac:dyDescent="0.25">
      <c r="A1289" s="12">
        <v>2284</v>
      </c>
      <c r="B1289" s="12" t="s">
        <v>1608</v>
      </c>
      <c r="C1289" s="12"/>
      <c r="D1289" s="12"/>
      <c r="E1289" s="12"/>
      <c r="F1289" s="12"/>
      <c r="G1289" s="12"/>
      <c r="H1289" s="12"/>
    </row>
    <row r="1290" spans="1:8" x14ac:dyDescent="0.25">
      <c r="A1290" s="12">
        <v>2285</v>
      </c>
      <c r="B1290" s="12" t="s">
        <v>1609</v>
      </c>
      <c r="C1290" s="12"/>
      <c r="D1290" s="12"/>
      <c r="E1290" s="12"/>
      <c r="F1290" s="12"/>
      <c r="G1290" s="12"/>
      <c r="H1290" s="12"/>
    </row>
    <row r="1291" spans="1:8" x14ac:dyDescent="0.25">
      <c r="A1291" s="12">
        <v>2286</v>
      </c>
      <c r="B1291" s="12" t="s">
        <v>417</v>
      </c>
      <c r="C1291" s="12"/>
      <c r="D1291" s="12"/>
      <c r="E1291" s="12"/>
      <c r="F1291" s="12"/>
      <c r="G1291" s="12"/>
      <c r="H1291" s="12"/>
    </row>
    <row r="1292" spans="1:8" x14ac:dyDescent="0.25">
      <c r="A1292" s="12">
        <v>2287</v>
      </c>
      <c r="B1292" s="12" t="s">
        <v>418</v>
      </c>
      <c r="C1292" s="12"/>
      <c r="D1292" s="12"/>
      <c r="E1292" s="12"/>
      <c r="F1292" s="12"/>
      <c r="G1292" s="12"/>
      <c r="H1292" s="12"/>
    </row>
    <row r="1293" spans="1:8" x14ac:dyDescent="0.25">
      <c r="A1293" s="12">
        <v>2288</v>
      </c>
      <c r="B1293" s="12" t="s">
        <v>1610</v>
      </c>
      <c r="C1293" s="12"/>
      <c r="D1293" s="12"/>
      <c r="E1293" s="12"/>
      <c r="F1293" s="12"/>
      <c r="G1293" s="12"/>
      <c r="H1293" s="12"/>
    </row>
    <row r="1294" spans="1:8" x14ac:dyDescent="0.25">
      <c r="A1294" s="12">
        <v>2289</v>
      </c>
      <c r="B1294" s="12" t="s">
        <v>419</v>
      </c>
      <c r="C1294" s="12"/>
      <c r="D1294" s="12"/>
      <c r="E1294" s="12"/>
      <c r="F1294" s="12"/>
      <c r="G1294" s="12"/>
      <c r="H1294" s="12"/>
    </row>
    <row r="1295" spans="1:8" x14ac:dyDescent="0.25">
      <c r="A1295" s="12">
        <v>2290</v>
      </c>
      <c r="B1295" s="12" t="s">
        <v>420</v>
      </c>
      <c r="C1295" s="12"/>
      <c r="D1295" s="12"/>
      <c r="E1295" s="12"/>
      <c r="F1295" s="12"/>
      <c r="G1295" s="12"/>
      <c r="H1295" s="12"/>
    </row>
    <row r="1296" spans="1:8" x14ac:dyDescent="0.25">
      <c r="A1296" s="12">
        <v>2291</v>
      </c>
      <c r="B1296" s="12" t="s">
        <v>1611</v>
      </c>
      <c r="C1296" s="12"/>
      <c r="D1296" s="12"/>
      <c r="E1296" s="12"/>
      <c r="F1296" s="12"/>
      <c r="G1296" s="12"/>
      <c r="H1296" s="12"/>
    </row>
    <row r="1297" spans="1:8" x14ac:dyDescent="0.25">
      <c r="A1297" s="12">
        <v>2292</v>
      </c>
      <c r="B1297" s="12" t="s">
        <v>636</v>
      </c>
      <c r="C1297" s="12" t="s">
        <v>470</v>
      </c>
      <c r="D1297" s="12"/>
      <c r="E1297" s="12"/>
      <c r="F1297" s="12"/>
      <c r="G1297" s="12"/>
      <c r="H1297" s="12"/>
    </row>
    <row r="1298" spans="1:8" x14ac:dyDescent="0.25">
      <c r="A1298" s="12">
        <v>2293</v>
      </c>
      <c r="B1298" s="12" t="s">
        <v>1612</v>
      </c>
      <c r="C1298" s="12"/>
      <c r="D1298" s="12"/>
      <c r="E1298" s="12"/>
      <c r="F1298" s="12"/>
      <c r="G1298" s="12"/>
      <c r="H1298" s="12"/>
    </row>
    <row r="1299" spans="1:8" x14ac:dyDescent="0.25">
      <c r="A1299" s="12">
        <v>2294</v>
      </c>
      <c r="B1299" s="12" t="s">
        <v>1613</v>
      </c>
      <c r="C1299" s="12"/>
      <c r="D1299" s="12"/>
      <c r="E1299" s="12"/>
      <c r="F1299" s="12"/>
      <c r="G1299" s="12"/>
      <c r="H1299" s="12"/>
    </row>
    <row r="1300" spans="1:8" x14ac:dyDescent="0.25">
      <c r="A1300" s="12">
        <v>2295</v>
      </c>
      <c r="B1300" s="12" t="s">
        <v>1617</v>
      </c>
      <c r="C1300" s="12"/>
      <c r="D1300" s="12"/>
      <c r="E1300" s="12"/>
      <c r="F1300" s="12"/>
      <c r="G1300" s="12"/>
      <c r="H1300" s="12"/>
    </row>
    <row r="1301" spans="1:8" x14ac:dyDescent="0.25">
      <c r="A1301" s="12">
        <v>2296</v>
      </c>
      <c r="B1301" s="12" t="s">
        <v>1618</v>
      </c>
      <c r="C1301" s="12"/>
      <c r="D1301" s="12"/>
      <c r="E1301" s="12"/>
      <c r="F1301" s="12"/>
      <c r="G1301" s="12"/>
      <c r="H1301" s="12"/>
    </row>
    <row r="1302" spans="1:8" x14ac:dyDescent="0.25">
      <c r="A1302" s="12">
        <v>2297</v>
      </c>
      <c r="B1302" s="12" t="s">
        <v>422</v>
      </c>
      <c r="C1302" s="12"/>
      <c r="D1302" s="12"/>
      <c r="E1302" s="12"/>
      <c r="F1302" s="12"/>
      <c r="G1302" s="12"/>
      <c r="H1302" s="12"/>
    </row>
    <row r="1303" spans="1:8" x14ac:dyDescent="0.25">
      <c r="A1303" s="12">
        <v>2298</v>
      </c>
      <c r="B1303" s="12" t="s">
        <v>423</v>
      </c>
      <c r="C1303" s="12"/>
      <c r="D1303" s="12"/>
      <c r="E1303" s="12"/>
      <c r="F1303" s="12"/>
      <c r="G1303" s="12"/>
      <c r="H1303" s="12"/>
    </row>
    <row r="1304" spans="1:8" x14ac:dyDescent="0.25">
      <c r="A1304" s="12">
        <v>2299</v>
      </c>
      <c r="B1304" s="12" t="s">
        <v>424</v>
      </c>
      <c r="C1304" s="12"/>
      <c r="D1304" s="12"/>
      <c r="E1304" s="12"/>
      <c r="F1304" s="12"/>
      <c r="G1304" s="12"/>
      <c r="H1304" s="12"/>
    </row>
    <row r="1305" spans="1:8" x14ac:dyDescent="0.25">
      <c r="A1305" s="12">
        <v>2300</v>
      </c>
      <c r="B1305" s="12" t="s">
        <v>1619</v>
      </c>
      <c r="C1305" s="12"/>
      <c r="D1305" s="12"/>
      <c r="E1305" s="12"/>
      <c r="F1305" s="12"/>
      <c r="G1305" s="12"/>
      <c r="H1305" s="12"/>
    </row>
    <row r="1306" spans="1:8" x14ac:dyDescent="0.25">
      <c r="A1306" s="12">
        <v>2301</v>
      </c>
      <c r="B1306" s="12" t="s">
        <v>425</v>
      </c>
      <c r="C1306" s="12"/>
      <c r="D1306" s="12"/>
      <c r="E1306" s="12"/>
      <c r="F1306" s="12"/>
      <c r="G1306" s="12"/>
      <c r="H1306" s="12"/>
    </row>
    <row r="1307" spans="1:8" x14ac:dyDescent="0.25">
      <c r="A1307" s="12">
        <v>2302</v>
      </c>
      <c r="B1307" s="12" t="s">
        <v>1620</v>
      </c>
      <c r="C1307" s="12"/>
      <c r="D1307" s="12"/>
      <c r="E1307" s="12"/>
      <c r="F1307" s="12"/>
      <c r="G1307" s="12"/>
      <c r="H1307" s="12"/>
    </row>
    <row r="1308" spans="1:8" x14ac:dyDescent="0.25">
      <c r="A1308" s="12">
        <v>2303</v>
      </c>
      <c r="B1308" s="12" t="s">
        <v>1621</v>
      </c>
      <c r="C1308" s="12"/>
      <c r="D1308" s="12"/>
      <c r="E1308" s="12"/>
      <c r="F1308" s="12"/>
      <c r="G1308" s="12"/>
      <c r="H1308" s="12"/>
    </row>
    <row r="1309" spans="1:8" x14ac:dyDescent="0.25">
      <c r="A1309" s="12">
        <v>2304</v>
      </c>
      <c r="B1309" s="12" t="s">
        <v>637</v>
      </c>
      <c r="C1309" s="12" t="s">
        <v>470</v>
      </c>
      <c r="D1309" s="12">
        <v>1</v>
      </c>
      <c r="E1309" s="12" t="s">
        <v>1857</v>
      </c>
      <c r="F1309" s="12">
        <v>0</v>
      </c>
      <c r="G1309" s="12" t="s">
        <v>638</v>
      </c>
      <c r="H1309" s="13">
        <v>42439</v>
      </c>
    </row>
    <row r="1310" spans="1:8" x14ac:dyDescent="0.25">
      <c r="A1310" s="12">
        <v>2305</v>
      </c>
      <c r="B1310" s="12" t="s">
        <v>1622</v>
      </c>
      <c r="C1310" s="12"/>
      <c r="D1310" s="12"/>
      <c r="E1310" s="12"/>
      <c r="F1310" s="12"/>
      <c r="G1310" s="12"/>
      <c r="H1310" s="12"/>
    </row>
    <row r="1311" spans="1:8" x14ac:dyDescent="0.25">
      <c r="A1311" s="12">
        <v>2306</v>
      </c>
      <c r="B1311" s="12" t="s">
        <v>1623</v>
      </c>
      <c r="C1311" s="12"/>
      <c r="D1311" s="12"/>
      <c r="E1311" s="12"/>
      <c r="F1311" s="12"/>
      <c r="G1311" s="12"/>
      <c r="H1311" s="12"/>
    </row>
    <row r="1312" spans="1:8" x14ac:dyDescent="0.25">
      <c r="A1312" s="12">
        <v>2307</v>
      </c>
      <c r="B1312" s="14" t="s">
        <v>426</v>
      </c>
      <c r="C1312" s="12"/>
      <c r="D1312" s="12"/>
      <c r="E1312" s="12"/>
      <c r="F1312" s="12"/>
      <c r="G1312" s="12"/>
      <c r="H1312" s="12"/>
    </row>
    <row r="1313" spans="1:8" x14ac:dyDescent="0.25">
      <c r="A1313" s="12">
        <v>2308</v>
      </c>
      <c r="B1313" s="12" t="s">
        <v>639</v>
      </c>
      <c r="C1313" s="12" t="s">
        <v>470</v>
      </c>
      <c r="D1313" s="12">
        <v>1</v>
      </c>
      <c r="E1313" s="12" t="s">
        <v>1858</v>
      </c>
      <c r="F1313" s="12">
        <v>0</v>
      </c>
      <c r="G1313" s="12" t="s">
        <v>640</v>
      </c>
      <c r="H1313" s="13">
        <v>42439</v>
      </c>
    </row>
    <row r="1314" spans="1:8" x14ac:dyDescent="0.25">
      <c r="A1314" s="12">
        <v>2309</v>
      </c>
      <c r="B1314" s="12" t="s">
        <v>641</v>
      </c>
      <c r="C1314" s="12"/>
      <c r="D1314" s="12"/>
      <c r="E1314" s="12"/>
      <c r="F1314" s="12"/>
      <c r="G1314" s="12"/>
      <c r="H1314" s="13"/>
    </row>
    <row r="1315" spans="1:8" x14ac:dyDescent="0.25">
      <c r="A1315" s="12">
        <v>2310</v>
      </c>
      <c r="B1315" s="12" t="s">
        <v>1624</v>
      </c>
      <c r="C1315" s="12"/>
      <c r="D1315" s="12"/>
      <c r="E1315" s="12"/>
      <c r="F1315" s="12"/>
      <c r="G1315" s="12"/>
      <c r="H1315" s="12"/>
    </row>
    <row r="1316" spans="1:8" x14ac:dyDescent="0.25">
      <c r="A1316" s="12">
        <v>2311</v>
      </c>
      <c r="B1316" s="12" t="s">
        <v>1625</v>
      </c>
      <c r="C1316" s="12"/>
      <c r="D1316" s="12"/>
      <c r="E1316" s="12"/>
      <c r="F1316" s="12"/>
      <c r="G1316" s="12"/>
      <c r="H1316" s="12"/>
    </row>
    <row r="1317" spans="1:8" x14ac:dyDescent="0.25">
      <c r="A1317" s="12">
        <v>2312</v>
      </c>
      <c r="B1317" s="12" t="s">
        <v>1626</v>
      </c>
      <c r="C1317" s="12"/>
      <c r="D1317" s="12"/>
      <c r="E1317" s="12"/>
      <c r="F1317" s="12"/>
      <c r="G1317" s="12"/>
      <c r="H1317" s="12"/>
    </row>
    <row r="1318" spans="1:8" x14ac:dyDescent="0.25">
      <c r="A1318" s="12">
        <v>2313</v>
      </c>
      <c r="B1318" s="12" t="s">
        <v>1627</v>
      </c>
      <c r="C1318" s="12"/>
      <c r="D1318" s="12"/>
      <c r="E1318" s="12"/>
      <c r="F1318" s="12"/>
      <c r="G1318" s="12"/>
      <c r="H1318" s="12"/>
    </row>
    <row r="1319" spans="1:8" x14ac:dyDescent="0.25">
      <c r="A1319" s="12">
        <v>2314</v>
      </c>
      <c r="B1319" s="12" t="s">
        <v>427</v>
      </c>
      <c r="C1319" s="12"/>
      <c r="D1319" s="12"/>
      <c r="E1319" s="12"/>
      <c r="F1319" s="12"/>
      <c r="G1319" s="12"/>
      <c r="H1319" s="12"/>
    </row>
    <row r="1320" spans="1:8" x14ac:dyDescent="0.25">
      <c r="A1320" s="12">
        <v>2315</v>
      </c>
      <c r="B1320" s="12" t="s">
        <v>428</v>
      </c>
      <c r="C1320" s="12"/>
      <c r="D1320" s="12"/>
      <c r="E1320" s="12"/>
      <c r="F1320" s="12"/>
      <c r="G1320" s="12"/>
      <c r="H1320" s="12"/>
    </row>
    <row r="1321" spans="1:8" x14ac:dyDescent="0.25">
      <c r="A1321" s="12">
        <v>2316</v>
      </c>
      <c r="B1321" s="12" t="s">
        <v>1628</v>
      </c>
      <c r="C1321" s="12"/>
      <c r="D1321" s="12"/>
      <c r="E1321" s="12"/>
      <c r="F1321" s="12"/>
      <c r="G1321" s="12"/>
      <c r="H1321" s="12"/>
    </row>
    <row r="1322" spans="1:8" x14ac:dyDescent="0.25">
      <c r="A1322" s="12">
        <v>2317</v>
      </c>
      <c r="B1322" s="12" t="s">
        <v>1629</v>
      </c>
      <c r="C1322" s="12"/>
      <c r="D1322" s="12"/>
      <c r="E1322" s="12"/>
      <c r="F1322" s="12"/>
      <c r="G1322" s="12"/>
      <c r="H1322" s="12"/>
    </row>
    <row r="1323" spans="1:8" x14ac:dyDescent="0.25">
      <c r="A1323" s="12">
        <v>2318</v>
      </c>
      <c r="B1323" s="12" t="s">
        <v>642</v>
      </c>
      <c r="C1323" s="12" t="s">
        <v>470</v>
      </c>
      <c r="D1323" s="12"/>
      <c r="E1323" s="12"/>
      <c r="F1323" s="12"/>
      <c r="G1323" s="12"/>
      <c r="H1323" s="12"/>
    </row>
    <row r="1324" spans="1:8" x14ac:dyDescent="0.25">
      <c r="A1324" s="12">
        <v>2319</v>
      </c>
      <c r="B1324" s="12" t="s">
        <v>1630</v>
      </c>
      <c r="C1324" s="12"/>
      <c r="D1324" s="12"/>
      <c r="E1324" s="12"/>
      <c r="F1324" s="12"/>
      <c r="G1324" s="12"/>
      <c r="H1324" s="12"/>
    </row>
    <row r="1325" spans="1:8" x14ac:dyDescent="0.25">
      <c r="A1325" s="12">
        <v>2320</v>
      </c>
      <c r="B1325" s="12" t="s">
        <v>1631</v>
      </c>
      <c r="C1325" s="12"/>
      <c r="D1325" s="12"/>
      <c r="E1325" s="12"/>
      <c r="F1325" s="12"/>
      <c r="G1325" s="12"/>
      <c r="H1325" s="12"/>
    </row>
    <row r="1326" spans="1:8" x14ac:dyDescent="0.25">
      <c r="A1326" s="12">
        <v>2321</v>
      </c>
      <c r="B1326" s="12" t="s">
        <v>1632</v>
      </c>
      <c r="C1326" s="12"/>
      <c r="D1326" s="12"/>
      <c r="E1326" s="12"/>
      <c r="F1326" s="12"/>
      <c r="G1326" s="12"/>
      <c r="H1326" s="12"/>
    </row>
    <row r="1327" spans="1:8" x14ac:dyDescent="0.25">
      <c r="A1327" s="12">
        <v>2322</v>
      </c>
      <c r="B1327" s="12" t="s">
        <v>643</v>
      </c>
      <c r="C1327" s="12" t="s">
        <v>470</v>
      </c>
      <c r="D1327" s="12">
        <v>1</v>
      </c>
      <c r="E1327" s="12" t="s">
        <v>1859</v>
      </c>
      <c r="F1327" s="12">
        <v>0</v>
      </c>
      <c r="G1327" s="12" t="s">
        <v>644</v>
      </c>
      <c r="H1327" s="13">
        <v>42439</v>
      </c>
    </row>
    <row r="1328" spans="1:8" x14ac:dyDescent="0.25">
      <c r="A1328" s="12">
        <v>2323</v>
      </c>
      <c r="B1328" s="12" t="s">
        <v>645</v>
      </c>
      <c r="C1328" s="12"/>
      <c r="D1328" s="12"/>
      <c r="E1328" s="12"/>
      <c r="F1328" s="12"/>
      <c r="G1328" s="12"/>
      <c r="H1328" s="13"/>
    </row>
    <row r="1329" spans="1:8" x14ac:dyDescent="0.25">
      <c r="A1329" s="12">
        <v>2324</v>
      </c>
      <c r="B1329" s="12" t="s">
        <v>1670</v>
      </c>
      <c r="C1329" s="12"/>
      <c r="D1329" s="12"/>
      <c r="E1329" s="12"/>
      <c r="F1329" s="12"/>
      <c r="G1329" s="12"/>
      <c r="H1329" s="12"/>
    </row>
    <row r="1330" spans="1:8" x14ac:dyDescent="0.25">
      <c r="A1330" s="12">
        <v>2325</v>
      </c>
      <c r="B1330" s="12" t="s">
        <v>1671</v>
      </c>
      <c r="C1330" s="12"/>
      <c r="D1330" s="12"/>
      <c r="E1330" s="12"/>
      <c r="F1330" s="12"/>
      <c r="G1330" s="12"/>
      <c r="H1330" s="12"/>
    </row>
    <row r="1331" spans="1:8" x14ac:dyDescent="0.25">
      <c r="A1331" s="12">
        <v>2326</v>
      </c>
      <c r="B1331" s="12" t="s">
        <v>1635</v>
      </c>
      <c r="C1331" s="12"/>
      <c r="D1331" s="12"/>
      <c r="E1331" s="12"/>
      <c r="F1331" s="12"/>
      <c r="G1331" s="12"/>
      <c r="H1331" s="12"/>
    </row>
    <row r="1332" spans="1:8" x14ac:dyDescent="0.25">
      <c r="A1332" s="12">
        <v>2327</v>
      </c>
      <c r="B1332" s="12" t="s">
        <v>1639</v>
      </c>
      <c r="C1332" s="12"/>
      <c r="D1332" s="12"/>
      <c r="E1332" s="12"/>
      <c r="F1332" s="12"/>
      <c r="G1332" s="12"/>
      <c r="H1332" s="12"/>
    </row>
    <row r="1333" spans="1:8" x14ac:dyDescent="0.25">
      <c r="A1333" s="12">
        <v>2328</v>
      </c>
      <c r="B1333" s="12" t="s">
        <v>1640</v>
      </c>
      <c r="C1333" s="12"/>
      <c r="D1333" s="12"/>
      <c r="E1333" s="12"/>
      <c r="F1333" s="12"/>
      <c r="G1333" s="12"/>
      <c r="H1333" s="12"/>
    </row>
    <row r="1334" spans="1:8" x14ac:dyDescent="0.25">
      <c r="A1334" s="12">
        <v>2329</v>
      </c>
      <c r="B1334" s="12" t="s">
        <v>1654</v>
      </c>
      <c r="C1334" s="12"/>
      <c r="D1334" s="12"/>
      <c r="E1334" s="12"/>
      <c r="F1334" s="12"/>
      <c r="G1334" s="12"/>
      <c r="H1334" s="12"/>
    </row>
    <row r="1335" spans="1:8" x14ac:dyDescent="0.25">
      <c r="A1335" s="12">
        <v>2330</v>
      </c>
      <c r="B1335" s="12" t="s">
        <v>649</v>
      </c>
      <c r="C1335" s="12"/>
      <c r="D1335" s="12"/>
      <c r="E1335" s="12"/>
      <c r="F1335" s="12"/>
      <c r="G1335" s="12"/>
      <c r="H1335" s="13"/>
    </row>
    <row r="1336" spans="1:8" x14ac:dyDescent="0.25">
      <c r="A1336" s="12">
        <v>2331</v>
      </c>
      <c r="B1336" s="12" t="s">
        <v>1661</v>
      </c>
      <c r="C1336" s="12"/>
      <c r="D1336" s="12"/>
      <c r="E1336" s="12"/>
      <c r="F1336" s="12"/>
      <c r="G1336" s="12"/>
      <c r="H1336" s="12"/>
    </row>
    <row r="1337" spans="1:8" x14ac:dyDescent="0.25">
      <c r="A1337" s="12">
        <v>2332</v>
      </c>
      <c r="B1337" s="12" t="s">
        <v>1662</v>
      </c>
      <c r="C1337" s="12"/>
      <c r="D1337" s="12"/>
      <c r="E1337" s="12"/>
      <c r="F1337" s="12"/>
      <c r="G1337" s="12"/>
      <c r="H1337" s="12"/>
    </row>
    <row r="1338" spans="1:8" x14ac:dyDescent="0.25">
      <c r="A1338" s="12">
        <v>2333</v>
      </c>
      <c r="B1338" s="12" t="s">
        <v>1633</v>
      </c>
      <c r="C1338" s="12"/>
      <c r="D1338" s="12"/>
      <c r="E1338" s="12"/>
      <c r="F1338" s="12"/>
      <c r="G1338" s="12"/>
      <c r="H1338" s="12"/>
    </row>
    <row r="1339" spans="1:8" x14ac:dyDescent="0.25">
      <c r="A1339" s="12">
        <v>2334</v>
      </c>
      <c r="B1339" s="12" t="s">
        <v>1634</v>
      </c>
      <c r="C1339" s="12"/>
      <c r="D1339" s="12"/>
      <c r="E1339" s="12"/>
      <c r="F1339" s="12"/>
      <c r="G1339" s="12"/>
      <c r="H1339" s="12"/>
    </row>
    <row r="1340" spans="1:8" x14ac:dyDescent="0.25">
      <c r="A1340" s="12">
        <v>2335</v>
      </c>
      <c r="B1340" s="12" t="s">
        <v>429</v>
      </c>
      <c r="C1340" s="12"/>
      <c r="D1340" s="12"/>
      <c r="E1340" s="12"/>
      <c r="F1340" s="12"/>
      <c r="G1340" s="12"/>
      <c r="H1340" s="12"/>
    </row>
    <row r="1341" spans="1:8" x14ac:dyDescent="0.25">
      <c r="A1341" s="12">
        <v>2336</v>
      </c>
      <c r="B1341" s="12" t="s">
        <v>1636</v>
      </c>
      <c r="C1341" s="12"/>
      <c r="D1341" s="12"/>
      <c r="E1341" s="12"/>
      <c r="F1341" s="12"/>
      <c r="G1341" s="12"/>
      <c r="H1341" s="12"/>
    </row>
    <row r="1342" spans="1:8" x14ac:dyDescent="0.25">
      <c r="A1342" s="12">
        <v>2337</v>
      </c>
      <c r="B1342" s="12" t="s">
        <v>1638</v>
      </c>
      <c r="C1342" s="12"/>
      <c r="D1342" s="12"/>
      <c r="E1342" s="12"/>
      <c r="F1342" s="12"/>
      <c r="G1342" s="12"/>
      <c r="H1342" s="12"/>
    </row>
    <row r="1343" spans="1:8" x14ac:dyDescent="0.25">
      <c r="A1343" s="12">
        <v>2338</v>
      </c>
      <c r="B1343" s="12" t="s">
        <v>430</v>
      </c>
      <c r="C1343" s="12"/>
      <c r="D1343" s="12"/>
      <c r="E1343" s="12"/>
      <c r="F1343" s="12"/>
      <c r="G1343" s="12"/>
      <c r="H1343" s="12"/>
    </row>
    <row r="1344" spans="1:8" x14ac:dyDescent="0.25">
      <c r="A1344" s="12">
        <v>2339</v>
      </c>
      <c r="B1344" s="12" t="s">
        <v>1637</v>
      </c>
      <c r="C1344" s="12"/>
      <c r="D1344" s="12"/>
      <c r="E1344" s="12"/>
      <c r="F1344" s="12"/>
      <c r="G1344" s="12"/>
      <c r="H1344" s="12"/>
    </row>
    <row r="1345" spans="1:8" x14ac:dyDescent="0.25">
      <c r="A1345" s="12">
        <v>2340</v>
      </c>
      <c r="B1345" s="12" t="s">
        <v>1642</v>
      </c>
      <c r="C1345" s="12"/>
      <c r="D1345" s="12"/>
      <c r="E1345" s="12"/>
      <c r="F1345" s="12"/>
      <c r="G1345" s="12"/>
      <c r="H1345" s="12"/>
    </row>
    <row r="1346" spans="1:8" x14ac:dyDescent="0.25">
      <c r="A1346" s="12">
        <v>2341</v>
      </c>
      <c r="B1346" s="12" t="s">
        <v>1643</v>
      </c>
      <c r="C1346" s="12"/>
      <c r="D1346" s="12"/>
      <c r="E1346" s="12"/>
      <c r="F1346" s="12"/>
      <c r="G1346" s="12"/>
      <c r="H1346" s="12"/>
    </row>
    <row r="1347" spans="1:8" x14ac:dyDescent="0.25">
      <c r="A1347" s="12">
        <v>2342</v>
      </c>
      <c r="B1347" s="12" t="s">
        <v>1641</v>
      </c>
      <c r="C1347" s="12"/>
      <c r="D1347" s="12"/>
      <c r="E1347" s="12"/>
      <c r="F1347" s="12"/>
      <c r="G1347" s="12"/>
      <c r="H1347" s="12"/>
    </row>
    <row r="1348" spans="1:8" x14ac:dyDescent="0.25">
      <c r="A1348" s="12">
        <v>2343</v>
      </c>
      <c r="B1348" s="12" t="s">
        <v>1644</v>
      </c>
      <c r="C1348" s="12"/>
      <c r="D1348" s="12"/>
      <c r="E1348" s="12"/>
      <c r="F1348" s="12"/>
      <c r="G1348" s="12"/>
      <c r="H1348" s="12"/>
    </row>
    <row r="1349" spans="1:8" x14ac:dyDescent="0.25">
      <c r="A1349" s="12">
        <v>2344</v>
      </c>
      <c r="B1349" s="12" t="s">
        <v>646</v>
      </c>
      <c r="C1349" s="12" t="s">
        <v>470</v>
      </c>
      <c r="D1349" s="12">
        <v>1</v>
      </c>
      <c r="E1349" s="12" t="s">
        <v>1860</v>
      </c>
      <c r="F1349" s="12">
        <v>0</v>
      </c>
      <c r="G1349" s="12" t="s">
        <v>647</v>
      </c>
      <c r="H1349" s="13">
        <v>42439</v>
      </c>
    </row>
    <row r="1350" spans="1:8" x14ac:dyDescent="0.25">
      <c r="A1350" s="12">
        <v>2345</v>
      </c>
      <c r="B1350" s="12" t="s">
        <v>648</v>
      </c>
      <c r="C1350" s="12"/>
      <c r="D1350" s="12"/>
      <c r="E1350" s="12"/>
      <c r="F1350" s="12"/>
      <c r="G1350" s="12"/>
      <c r="H1350" s="13"/>
    </row>
    <row r="1351" spans="1:8" x14ac:dyDescent="0.25">
      <c r="A1351" s="12">
        <v>2346</v>
      </c>
      <c r="B1351" s="12" t="s">
        <v>1645</v>
      </c>
      <c r="C1351" s="12"/>
      <c r="D1351" s="12"/>
      <c r="E1351" s="12"/>
      <c r="F1351" s="12"/>
      <c r="G1351" s="12"/>
      <c r="H1351" s="12"/>
    </row>
    <row r="1352" spans="1:8" x14ac:dyDescent="0.25">
      <c r="A1352" s="12">
        <v>2347</v>
      </c>
      <c r="B1352" s="12" t="s">
        <v>1647</v>
      </c>
      <c r="C1352" s="12"/>
      <c r="D1352" s="12"/>
      <c r="E1352" s="12"/>
      <c r="F1352" s="12"/>
      <c r="G1352" s="12"/>
      <c r="H1352" s="12"/>
    </row>
    <row r="1353" spans="1:8" x14ac:dyDescent="0.25">
      <c r="A1353" s="12">
        <v>2348</v>
      </c>
      <c r="B1353" s="12" t="s">
        <v>1648</v>
      </c>
      <c r="C1353" s="12"/>
      <c r="D1353" s="12"/>
      <c r="E1353" s="12"/>
      <c r="F1353" s="12"/>
      <c r="G1353" s="12"/>
      <c r="H1353" s="12"/>
    </row>
    <row r="1354" spans="1:8" x14ac:dyDescent="0.25">
      <c r="A1354" s="12">
        <v>2349</v>
      </c>
      <c r="B1354" s="12" t="s">
        <v>431</v>
      </c>
      <c r="C1354" s="12"/>
      <c r="D1354" s="12"/>
      <c r="E1354" s="12"/>
      <c r="F1354" s="12"/>
      <c r="G1354" s="12"/>
      <c r="H1354" s="12"/>
    </row>
    <row r="1355" spans="1:8" x14ac:dyDescent="0.25">
      <c r="A1355" s="12">
        <v>2350</v>
      </c>
      <c r="B1355" s="12" t="s">
        <v>1649</v>
      </c>
      <c r="C1355" s="12"/>
      <c r="D1355" s="12"/>
      <c r="E1355" s="12"/>
      <c r="F1355" s="12"/>
      <c r="G1355" s="12"/>
      <c r="H1355" s="12"/>
    </row>
    <row r="1356" spans="1:8" x14ac:dyDescent="0.25">
      <c r="A1356" s="12">
        <v>2351</v>
      </c>
      <c r="B1356" s="12" t="s">
        <v>1650</v>
      </c>
      <c r="C1356" s="12"/>
      <c r="D1356" s="12"/>
      <c r="E1356" s="12"/>
      <c r="F1356" s="12"/>
      <c r="G1356" s="12"/>
      <c r="H1356" s="12"/>
    </row>
    <row r="1357" spans="1:8" x14ac:dyDescent="0.25">
      <c r="A1357" s="12">
        <v>2352</v>
      </c>
      <c r="B1357" s="12" t="s">
        <v>433</v>
      </c>
      <c r="C1357" s="12"/>
      <c r="D1357" s="12"/>
      <c r="E1357" s="12"/>
      <c r="F1357" s="12"/>
      <c r="G1357" s="12"/>
      <c r="H1357" s="12"/>
    </row>
    <row r="1358" spans="1:8" x14ac:dyDescent="0.25">
      <c r="A1358" s="12">
        <v>2353</v>
      </c>
      <c r="B1358" s="12" t="s">
        <v>434</v>
      </c>
      <c r="C1358" s="12"/>
      <c r="D1358" s="12"/>
      <c r="E1358" s="12"/>
      <c r="F1358" s="12"/>
      <c r="G1358" s="12"/>
      <c r="H1358" s="12"/>
    </row>
    <row r="1359" spans="1:8" x14ac:dyDescent="0.25">
      <c r="A1359" s="12">
        <v>2354</v>
      </c>
      <c r="B1359" s="12" t="s">
        <v>1651</v>
      </c>
      <c r="C1359" s="12"/>
      <c r="D1359" s="12"/>
      <c r="E1359" s="12"/>
      <c r="F1359" s="12"/>
      <c r="G1359" s="12"/>
      <c r="H1359" s="12"/>
    </row>
    <row r="1360" spans="1:8" x14ac:dyDescent="0.25">
      <c r="A1360" s="12">
        <v>2355</v>
      </c>
      <c r="B1360" s="12" t="s">
        <v>1652</v>
      </c>
      <c r="C1360" s="12"/>
      <c r="D1360" s="12"/>
      <c r="E1360" s="12"/>
      <c r="F1360" s="12"/>
      <c r="G1360" s="12"/>
      <c r="H1360" s="12"/>
    </row>
    <row r="1361" spans="1:8" x14ac:dyDescent="0.25">
      <c r="A1361" s="12">
        <v>2356</v>
      </c>
      <c r="B1361" s="12" t="s">
        <v>1653</v>
      </c>
      <c r="C1361" s="12"/>
      <c r="D1361" s="12"/>
      <c r="E1361" s="12"/>
      <c r="F1361" s="12"/>
      <c r="G1361" s="12"/>
      <c r="H1361" s="12"/>
    </row>
    <row r="1362" spans="1:8" x14ac:dyDescent="0.25">
      <c r="A1362" s="12">
        <v>2357</v>
      </c>
      <c r="B1362" s="12" t="s">
        <v>435</v>
      </c>
      <c r="C1362" s="12"/>
      <c r="D1362" s="12"/>
      <c r="E1362" s="12"/>
      <c r="F1362" s="12"/>
      <c r="G1362" s="12"/>
      <c r="H1362" s="12"/>
    </row>
    <row r="1363" spans="1:8" x14ac:dyDescent="0.25">
      <c r="A1363" s="12">
        <v>2358</v>
      </c>
      <c r="B1363" s="12" t="s">
        <v>1655</v>
      </c>
      <c r="C1363" s="12"/>
      <c r="D1363" s="12"/>
      <c r="E1363" s="12"/>
      <c r="F1363" s="12"/>
      <c r="G1363" s="12"/>
      <c r="H1363" s="12"/>
    </row>
    <row r="1364" spans="1:8" x14ac:dyDescent="0.25">
      <c r="A1364" s="12">
        <v>2359</v>
      </c>
      <c r="B1364" s="12" t="s">
        <v>1656</v>
      </c>
      <c r="C1364" s="12"/>
      <c r="D1364" s="12"/>
      <c r="E1364" s="12"/>
      <c r="F1364" s="12"/>
      <c r="G1364" s="12"/>
      <c r="H1364" s="12"/>
    </row>
    <row r="1365" spans="1:8" x14ac:dyDescent="0.25">
      <c r="A1365" s="12">
        <v>2360</v>
      </c>
      <c r="B1365" s="12" t="s">
        <v>1657</v>
      </c>
      <c r="C1365" s="12"/>
      <c r="D1365" s="12"/>
      <c r="E1365" s="12"/>
      <c r="F1365" s="12"/>
      <c r="G1365" s="12"/>
      <c r="H1365" s="12"/>
    </row>
    <row r="1366" spans="1:8" x14ac:dyDescent="0.25">
      <c r="A1366" s="12">
        <v>2361</v>
      </c>
      <c r="B1366" s="12" t="s">
        <v>1658</v>
      </c>
      <c r="C1366" s="12"/>
      <c r="D1366" s="12"/>
      <c r="E1366" s="12"/>
      <c r="F1366" s="12"/>
      <c r="G1366" s="12"/>
      <c r="H1366" s="12"/>
    </row>
    <row r="1367" spans="1:8" x14ac:dyDescent="0.25">
      <c r="A1367" s="12">
        <v>2362</v>
      </c>
      <c r="B1367" s="12" t="s">
        <v>1659</v>
      </c>
      <c r="C1367" s="12"/>
      <c r="D1367" s="12"/>
      <c r="E1367" s="12"/>
      <c r="F1367" s="12"/>
      <c r="G1367" s="12"/>
      <c r="H1367" s="12"/>
    </row>
    <row r="1368" spans="1:8" x14ac:dyDescent="0.25">
      <c r="A1368" s="12">
        <v>2363</v>
      </c>
      <c r="B1368" s="12" t="s">
        <v>1660</v>
      </c>
      <c r="C1368" s="12"/>
      <c r="D1368" s="12"/>
      <c r="E1368" s="12"/>
      <c r="F1368" s="12"/>
      <c r="G1368" s="12"/>
      <c r="H1368" s="12"/>
    </row>
    <row r="1369" spans="1:8" x14ac:dyDescent="0.25">
      <c r="A1369" s="12">
        <v>2364</v>
      </c>
      <c r="B1369" s="12" t="s">
        <v>436</v>
      </c>
      <c r="C1369" s="12"/>
      <c r="D1369" s="12"/>
      <c r="E1369" s="12"/>
      <c r="F1369" s="12"/>
      <c r="G1369" s="12"/>
      <c r="H1369" s="12"/>
    </row>
    <row r="1370" spans="1:8" x14ac:dyDescent="0.25">
      <c r="A1370" s="12">
        <v>2365</v>
      </c>
      <c r="B1370" s="12" t="s">
        <v>437</v>
      </c>
      <c r="C1370" s="12"/>
      <c r="D1370" s="12"/>
      <c r="E1370" s="12"/>
      <c r="F1370" s="12"/>
      <c r="G1370" s="12"/>
      <c r="H1370" s="12"/>
    </row>
    <row r="1371" spans="1:8" x14ac:dyDescent="0.25">
      <c r="A1371" s="12">
        <v>2366</v>
      </c>
      <c r="B1371" s="12" t="s">
        <v>438</v>
      </c>
      <c r="C1371" s="12"/>
      <c r="D1371" s="12"/>
      <c r="E1371" s="12"/>
      <c r="F1371" s="12"/>
      <c r="G1371" s="12"/>
      <c r="H1371" s="12"/>
    </row>
    <row r="1372" spans="1:8" x14ac:dyDescent="0.25">
      <c r="A1372" s="12">
        <v>2367</v>
      </c>
      <c r="B1372" s="12" t="s">
        <v>1663</v>
      </c>
      <c r="C1372" s="12"/>
      <c r="D1372" s="12"/>
      <c r="E1372" s="12"/>
      <c r="F1372" s="12"/>
      <c r="G1372" s="12"/>
      <c r="H1372" s="12"/>
    </row>
    <row r="1373" spans="1:8" x14ac:dyDescent="0.25">
      <c r="A1373" s="12">
        <v>2368</v>
      </c>
      <c r="B1373" s="12" t="s">
        <v>1664</v>
      </c>
      <c r="C1373" s="12"/>
      <c r="D1373" s="12"/>
      <c r="E1373" s="12"/>
      <c r="F1373" s="12"/>
      <c r="G1373" s="12"/>
      <c r="H1373" s="12"/>
    </row>
    <row r="1374" spans="1:8" x14ac:dyDescent="0.25">
      <c r="A1374" s="12">
        <v>2369</v>
      </c>
      <c r="B1374" s="12" t="s">
        <v>1665</v>
      </c>
      <c r="C1374" s="12"/>
      <c r="D1374" s="12"/>
      <c r="E1374" s="12"/>
      <c r="F1374" s="12"/>
      <c r="G1374" s="12"/>
      <c r="H1374" s="12"/>
    </row>
    <row r="1375" spans="1:8" x14ac:dyDescent="0.25">
      <c r="A1375" s="12">
        <v>2370</v>
      </c>
      <c r="B1375" s="12" t="s">
        <v>1666</v>
      </c>
      <c r="C1375" s="12"/>
      <c r="D1375" s="12"/>
      <c r="E1375" s="12"/>
      <c r="F1375" s="12"/>
      <c r="G1375" s="12"/>
      <c r="H1375" s="12"/>
    </row>
    <row r="1376" spans="1:8" x14ac:dyDescent="0.25">
      <c r="A1376" s="12">
        <v>2371</v>
      </c>
      <c r="B1376" s="12" t="s">
        <v>1667</v>
      </c>
      <c r="C1376" s="12"/>
      <c r="D1376" s="12"/>
      <c r="E1376" s="12"/>
      <c r="F1376" s="12"/>
      <c r="G1376" s="12"/>
      <c r="H1376" s="12"/>
    </row>
    <row r="1377" spans="1:8" x14ac:dyDescent="0.25">
      <c r="A1377" s="12">
        <v>2372</v>
      </c>
      <c r="B1377" s="12" t="s">
        <v>650</v>
      </c>
      <c r="C1377" s="12" t="s">
        <v>470</v>
      </c>
      <c r="D1377" s="12"/>
      <c r="E1377" s="12"/>
      <c r="F1377" s="12"/>
      <c r="G1377" s="12"/>
      <c r="H1377" s="12"/>
    </row>
    <row r="1378" spans="1:8" x14ac:dyDescent="0.25">
      <c r="A1378" s="12">
        <v>2373</v>
      </c>
      <c r="B1378" s="12" t="s">
        <v>651</v>
      </c>
      <c r="C1378" s="12"/>
      <c r="D1378" s="12"/>
      <c r="E1378" s="12"/>
      <c r="F1378" s="12"/>
      <c r="G1378" s="12"/>
      <c r="H1378" s="12"/>
    </row>
    <row r="1379" spans="1:8" x14ac:dyDescent="0.25">
      <c r="A1379" s="12">
        <v>2374</v>
      </c>
      <c r="B1379" s="12" t="s">
        <v>1668</v>
      </c>
      <c r="C1379" s="12"/>
      <c r="D1379" s="12"/>
      <c r="E1379" s="12"/>
      <c r="F1379" s="12"/>
      <c r="G1379" s="12"/>
      <c r="H1379" s="12"/>
    </row>
    <row r="1380" spans="1:8" x14ac:dyDescent="0.25">
      <c r="A1380" s="12">
        <v>2375</v>
      </c>
      <c r="B1380" s="12" t="s">
        <v>1669</v>
      </c>
      <c r="C1380" s="12"/>
      <c r="D1380" s="12"/>
      <c r="E1380" s="12"/>
      <c r="F1380" s="12"/>
      <c r="G1380" s="12"/>
      <c r="H1380" s="12"/>
    </row>
    <row r="1381" spans="1:8" x14ac:dyDescent="0.25">
      <c r="A1381" s="12">
        <v>2376</v>
      </c>
      <c r="B1381" s="12" t="s">
        <v>439</v>
      </c>
      <c r="C1381" s="12"/>
      <c r="D1381" s="12"/>
      <c r="E1381" s="12"/>
      <c r="F1381" s="12"/>
      <c r="G1381" s="12"/>
      <c r="H1381" s="12"/>
    </row>
    <row r="1382" spans="1:8" x14ac:dyDescent="0.25">
      <c r="A1382" s="12">
        <v>2377</v>
      </c>
      <c r="B1382" s="12" t="s">
        <v>1672</v>
      </c>
      <c r="C1382" s="12"/>
      <c r="D1382" s="12"/>
      <c r="E1382" s="12"/>
      <c r="F1382" s="12"/>
      <c r="G1382" s="12"/>
      <c r="H1382" s="12"/>
    </row>
    <row r="1383" spans="1:8" x14ac:dyDescent="0.25">
      <c r="A1383" s="12">
        <v>2378</v>
      </c>
      <c r="B1383" s="12" t="s">
        <v>440</v>
      </c>
      <c r="C1383" s="12"/>
      <c r="D1383" s="12"/>
      <c r="E1383" s="12"/>
      <c r="F1383" s="12"/>
      <c r="G1383" s="12"/>
      <c r="H1383" s="12"/>
    </row>
    <row r="1384" spans="1:8" x14ac:dyDescent="0.25">
      <c r="A1384" s="12">
        <v>2379</v>
      </c>
      <c r="B1384" s="12" t="s">
        <v>652</v>
      </c>
      <c r="C1384" s="12" t="s">
        <v>470</v>
      </c>
      <c r="D1384" s="12">
        <v>0</v>
      </c>
      <c r="E1384" s="12" t="s">
        <v>1861</v>
      </c>
      <c r="F1384" s="12">
        <v>0</v>
      </c>
      <c r="G1384" s="12" t="s">
        <v>653</v>
      </c>
      <c r="H1384" s="13">
        <v>42439</v>
      </c>
    </row>
    <row r="1385" spans="1:8" x14ac:dyDescent="0.25">
      <c r="A1385" s="12">
        <v>2380</v>
      </c>
      <c r="B1385" s="12" t="s">
        <v>441</v>
      </c>
      <c r="C1385" s="12"/>
      <c r="D1385" s="12"/>
      <c r="E1385" s="12"/>
      <c r="F1385" s="12"/>
      <c r="G1385" s="12"/>
      <c r="H1385" s="12"/>
    </row>
    <row r="1386" spans="1:8" x14ac:dyDescent="0.25">
      <c r="A1386" s="12">
        <v>2381</v>
      </c>
      <c r="B1386" s="12" t="s">
        <v>442</v>
      </c>
      <c r="C1386" s="12"/>
      <c r="D1386" s="12"/>
      <c r="E1386" s="12"/>
      <c r="F1386" s="12"/>
      <c r="G1386" s="12"/>
      <c r="H1386" s="12"/>
    </row>
    <row r="1387" spans="1:8" x14ac:dyDescent="0.25">
      <c r="A1387" s="12">
        <v>2382</v>
      </c>
      <c r="B1387" s="12" t="s">
        <v>1673</v>
      </c>
      <c r="C1387" s="12"/>
      <c r="D1387" s="12"/>
      <c r="E1387" s="12"/>
      <c r="F1387" s="12"/>
      <c r="G1387" s="12"/>
      <c r="H1387" s="12"/>
    </row>
    <row r="1388" spans="1:8" x14ac:dyDescent="0.25">
      <c r="A1388" s="12">
        <v>2383</v>
      </c>
      <c r="B1388" s="12" t="s">
        <v>1674</v>
      </c>
      <c r="C1388" s="12"/>
      <c r="D1388" s="12"/>
      <c r="E1388" s="12"/>
      <c r="F1388" s="12"/>
      <c r="G1388" s="12"/>
      <c r="H1388" s="12"/>
    </row>
    <row r="1389" spans="1:8" x14ac:dyDescent="0.25">
      <c r="A1389" s="12">
        <v>2384</v>
      </c>
      <c r="B1389" s="12" t="s">
        <v>1675</v>
      </c>
      <c r="C1389" s="12"/>
      <c r="D1389" s="12"/>
      <c r="E1389" s="12"/>
      <c r="F1389" s="12"/>
      <c r="G1389" s="12"/>
      <c r="H1389" s="12"/>
    </row>
    <row r="1390" spans="1:8" x14ac:dyDescent="0.25">
      <c r="A1390" s="12">
        <v>2385</v>
      </c>
      <c r="B1390" s="12" t="s">
        <v>1676</v>
      </c>
      <c r="C1390" s="12"/>
      <c r="D1390" s="12"/>
      <c r="E1390" s="12"/>
      <c r="F1390" s="12"/>
      <c r="G1390" s="12"/>
      <c r="H1390" s="12"/>
    </row>
    <row r="1391" spans="1:8" x14ac:dyDescent="0.25">
      <c r="A1391" s="12">
        <v>2386</v>
      </c>
      <c r="B1391" s="12" t="s">
        <v>1679</v>
      </c>
      <c r="C1391" s="12"/>
      <c r="D1391" s="12"/>
      <c r="E1391" s="12"/>
      <c r="F1391" s="12"/>
      <c r="G1391" s="12"/>
      <c r="H1391" s="12"/>
    </row>
    <row r="1392" spans="1:8" x14ac:dyDescent="0.25">
      <c r="A1392" s="12">
        <v>2387</v>
      </c>
      <c r="B1392" s="12" t="s">
        <v>1680</v>
      </c>
      <c r="C1392" s="12"/>
      <c r="D1392" s="12"/>
      <c r="E1392" s="12"/>
      <c r="F1392" s="12"/>
      <c r="G1392" s="12"/>
      <c r="H1392" s="12"/>
    </row>
    <row r="1393" spans="1:8" x14ac:dyDescent="0.25">
      <c r="A1393" s="12">
        <v>2388</v>
      </c>
      <c r="B1393" s="12" t="s">
        <v>1689</v>
      </c>
      <c r="C1393" s="12"/>
      <c r="D1393" s="12"/>
      <c r="E1393" s="12"/>
      <c r="F1393" s="12"/>
      <c r="G1393" s="12"/>
      <c r="H1393" s="12"/>
    </row>
    <row r="1394" spans="1:8" x14ac:dyDescent="0.25">
      <c r="A1394" s="12">
        <v>2389</v>
      </c>
      <c r="B1394" s="12" t="s">
        <v>1692</v>
      </c>
      <c r="C1394" s="12"/>
      <c r="D1394" s="12"/>
      <c r="E1394" s="12"/>
      <c r="F1394" s="12"/>
      <c r="G1394" s="12"/>
      <c r="H1394" s="12"/>
    </row>
    <row r="1395" spans="1:8" x14ac:dyDescent="0.25">
      <c r="A1395" s="12">
        <v>2390</v>
      </c>
      <c r="B1395" s="12" t="s">
        <v>1694</v>
      </c>
      <c r="C1395" s="12"/>
      <c r="D1395" s="12"/>
      <c r="E1395" s="12"/>
      <c r="F1395" s="12"/>
      <c r="G1395" s="12"/>
      <c r="H1395" s="12"/>
    </row>
    <row r="1396" spans="1:8" x14ac:dyDescent="0.25">
      <c r="A1396" s="12">
        <v>2391</v>
      </c>
      <c r="B1396" s="12" t="s">
        <v>1677</v>
      </c>
      <c r="C1396" s="12"/>
      <c r="D1396" s="12"/>
      <c r="E1396" s="12"/>
      <c r="F1396" s="12"/>
      <c r="G1396" s="12"/>
      <c r="H1396" s="12"/>
    </row>
    <row r="1397" spans="1:8" x14ac:dyDescent="0.25">
      <c r="A1397" s="12">
        <v>2392</v>
      </c>
      <c r="B1397" s="12" t="s">
        <v>1678</v>
      </c>
      <c r="C1397" s="12"/>
      <c r="D1397" s="12"/>
      <c r="E1397" s="12"/>
      <c r="F1397" s="12"/>
      <c r="G1397" s="12"/>
      <c r="H1397" s="12"/>
    </row>
    <row r="1398" spans="1:8" x14ac:dyDescent="0.25">
      <c r="A1398" s="12">
        <v>2393</v>
      </c>
      <c r="B1398" s="12" t="s">
        <v>654</v>
      </c>
      <c r="C1398" s="12" t="s">
        <v>470</v>
      </c>
      <c r="D1398" s="12">
        <v>1</v>
      </c>
      <c r="E1398" s="12" t="s">
        <v>1862</v>
      </c>
      <c r="F1398" s="12">
        <v>0</v>
      </c>
      <c r="G1398" s="12" t="s">
        <v>655</v>
      </c>
      <c r="H1398" s="13">
        <v>42439</v>
      </c>
    </row>
    <row r="1399" spans="1:8" x14ac:dyDescent="0.25">
      <c r="A1399" s="12">
        <v>2394</v>
      </c>
      <c r="B1399" s="12" t="s">
        <v>443</v>
      </c>
      <c r="C1399" s="12"/>
      <c r="D1399" s="12"/>
      <c r="E1399" s="12"/>
      <c r="F1399" s="12"/>
      <c r="G1399" s="12"/>
      <c r="H1399" s="12"/>
    </row>
    <row r="1400" spans="1:8" x14ac:dyDescent="0.25">
      <c r="A1400" s="12">
        <v>2395</v>
      </c>
      <c r="B1400" s="12" t="s">
        <v>1681</v>
      </c>
      <c r="C1400" s="12"/>
      <c r="D1400" s="12"/>
      <c r="E1400" s="12"/>
      <c r="F1400" s="12"/>
      <c r="G1400" s="12"/>
      <c r="H1400" s="12"/>
    </row>
    <row r="1401" spans="1:8" x14ac:dyDescent="0.25">
      <c r="A1401" s="12">
        <v>2396</v>
      </c>
      <c r="B1401" s="12" t="s">
        <v>1682</v>
      </c>
      <c r="C1401" s="12"/>
      <c r="D1401" s="12"/>
      <c r="E1401" s="12"/>
      <c r="F1401" s="12"/>
      <c r="G1401" s="12"/>
      <c r="H1401" s="12"/>
    </row>
    <row r="1402" spans="1:8" x14ac:dyDescent="0.25">
      <c r="A1402" s="12">
        <v>2397</v>
      </c>
      <c r="B1402" s="12" t="s">
        <v>1683</v>
      </c>
      <c r="C1402" s="12"/>
      <c r="D1402" s="12"/>
      <c r="E1402" s="12"/>
      <c r="F1402" s="12"/>
      <c r="G1402" s="12"/>
      <c r="H1402" s="12"/>
    </row>
    <row r="1403" spans="1:8" x14ac:dyDescent="0.25">
      <c r="A1403" s="12">
        <v>2398</v>
      </c>
      <c r="B1403" s="12" t="s">
        <v>444</v>
      </c>
      <c r="C1403" s="12"/>
      <c r="D1403" s="12"/>
      <c r="E1403" s="12"/>
      <c r="F1403" s="12"/>
      <c r="G1403" s="12"/>
      <c r="H1403" s="12"/>
    </row>
    <row r="1404" spans="1:8" x14ac:dyDescent="0.25">
      <c r="A1404" s="12">
        <v>2399</v>
      </c>
      <c r="B1404" s="12" t="s">
        <v>445</v>
      </c>
      <c r="C1404" s="12"/>
      <c r="D1404" s="12"/>
      <c r="E1404" s="12"/>
      <c r="F1404" s="12"/>
      <c r="G1404" s="12"/>
      <c r="H1404" s="12"/>
    </row>
    <row r="1405" spans="1:8" x14ac:dyDescent="0.25">
      <c r="A1405" s="12">
        <v>2400</v>
      </c>
      <c r="B1405" s="12" t="s">
        <v>1684</v>
      </c>
      <c r="C1405" s="12"/>
      <c r="D1405" s="12"/>
      <c r="E1405" s="12"/>
      <c r="F1405" s="12"/>
      <c r="G1405" s="12"/>
      <c r="H1405" s="12"/>
    </row>
    <row r="1406" spans="1:8" x14ac:dyDescent="0.25">
      <c r="A1406" s="12">
        <v>2401</v>
      </c>
      <c r="B1406" s="12" t="s">
        <v>1685</v>
      </c>
      <c r="C1406" s="12"/>
      <c r="D1406" s="12"/>
      <c r="E1406" s="12"/>
      <c r="F1406" s="12"/>
      <c r="G1406" s="12"/>
      <c r="H1406" s="12"/>
    </row>
    <row r="1407" spans="1:8" x14ac:dyDescent="0.25">
      <c r="A1407" s="12">
        <v>2402</v>
      </c>
      <c r="B1407" s="12" t="s">
        <v>1686</v>
      </c>
      <c r="C1407" s="12"/>
      <c r="D1407" s="12"/>
      <c r="E1407" s="12"/>
      <c r="F1407" s="12"/>
      <c r="G1407" s="12"/>
      <c r="H1407" s="12"/>
    </row>
    <row r="1408" spans="1:8" x14ac:dyDescent="0.25">
      <c r="A1408" s="12">
        <v>2403</v>
      </c>
      <c r="B1408" s="12" t="s">
        <v>1687</v>
      </c>
      <c r="C1408" s="12"/>
      <c r="D1408" s="12"/>
      <c r="E1408" s="12"/>
      <c r="F1408" s="12"/>
      <c r="G1408" s="12"/>
      <c r="H1408" s="12"/>
    </row>
    <row r="1409" spans="1:8" x14ac:dyDescent="0.25">
      <c r="A1409" s="12">
        <v>2404</v>
      </c>
      <c r="B1409" s="12" t="s">
        <v>1688</v>
      </c>
      <c r="C1409" s="12"/>
      <c r="D1409" s="12"/>
      <c r="E1409" s="12"/>
      <c r="F1409" s="12"/>
      <c r="G1409" s="12"/>
      <c r="H1409" s="12"/>
    </row>
    <row r="1410" spans="1:8" x14ac:dyDescent="0.25">
      <c r="A1410" s="12">
        <v>2405</v>
      </c>
      <c r="B1410" s="12" t="s">
        <v>1690</v>
      </c>
      <c r="C1410" s="12"/>
      <c r="D1410" s="12"/>
      <c r="E1410" s="12"/>
      <c r="F1410" s="12"/>
      <c r="G1410" s="12"/>
      <c r="H1410" s="12"/>
    </row>
    <row r="1411" spans="1:8" x14ac:dyDescent="0.25">
      <c r="A1411" s="12">
        <v>2406</v>
      </c>
      <c r="B1411" s="12" t="s">
        <v>446</v>
      </c>
      <c r="C1411" s="12"/>
      <c r="D1411" s="12"/>
      <c r="E1411" s="12"/>
      <c r="F1411" s="12"/>
      <c r="G1411" s="12"/>
      <c r="H1411" s="12"/>
    </row>
    <row r="1412" spans="1:8" x14ac:dyDescent="0.25">
      <c r="A1412" s="12">
        <v>2407</v>
      </c>
      <c r="B1412" s="12" t="s">
        <v>1691</v>
      </c>
      <c r="C1412" s="12"/>
      <c r="D1412" s="12"/>
      <c r="E1412" s="12"/>
      <c r="F1412" s="12"/>
      <c r="G1412" s="12"/>
      <c r="H1412" s="12"/>
    </row>
    <row r="1413" spans="1:8" x14ac:dyDescent="0.25">
      <c r="A1413" s="12">
        <v>2408</v>
      </c>
      <c r="B1413" s="12" t="s">
        <v>1693</v>
      </c>
      <c r="C1413" s="12"/>
      <c r="D1413" s="12"/>
      <c r="E1413" s="12"/>
      <c r="F1413" s="12"/>
      <c r="G1413" s="12"/>
      <c r="H1413" s="12"/>
    </row>
    <row r="1414" spans="1:8" x14ac:dyDescent="0.25">
      <c r="A1414" s="12">
        <v>2409</v>
      </c>
      <c r="B1414" s="12" t="s">
        <v>1708</v>
      </c>
      <c r="C1414" s="12"/>
      <c r="D1414" s="12"/>
      <c r="E1414" s="12"/>
      <c r="F1414" s="12"/>
      <c r="G1414" s="12"/>
      <c r="H1414" s="12"/>
    </row>
    <row r="1415" spans="1:8" x14ac:dyDescent="0.25">
      <c r="A1415" s="12">
        <v>2410</v>
      </c>
      <c r="B1415" s="12" t="s">
        <v>1711</v>
      </c>
      <c r="C1415" s="12"/>
      <c r="D1415" s="12"/>
      <c r="E1415" s="12"/>
      <c r="F1415" s="12"/>
      <c r="G1415" s="12"/>
      <c r="H1415" s="12"/>
    </row>
    <row r="1416" spans="1:8" x14ac:dyDescent="0.25">
      <c r="A1416" s="12">
        <v>2411</v>
      </c>
      <c r="B1416" s="12" t="s">
        <v>447</v>
      </c>
      <c r="C1416" s="12"/>
      <c r="D1416" s="12"/>
      <c r="E1416" s="12"/>
      <c r="F1416" s="12"/>
      <c r="G1416" s="12"/>
      <c r="H1416" s="12"/>
    </row>
    <row r="1417" spans="1:8" x14ac:dyDescent="0.25">
      <c r="A1417" s="12">
        <v>2412</v>
      </c>
      <c r="B1417" s="12" t="s">
        <v>658</v>
      </c>
      <c r="C1417" s="12"/>
      <c r="D1417" s="12"/>
      <c r="E1417" s="12"/>
      <c r="F1417" s="12"/>
      <c r="G1417" s="12"/>
      <c r="H1417" s="12"/>
    </row>
    <row r="1418" spans="1:8" x14ac:dyDescent="0.25">
      <c r="A1418" s="12">
        <v>2413</v>
      </c>
      <c r="B1418" s="12" t="s">
        <v>1695</v>
      </c>
      <c r="C1418" s="12"/>
      <c r="D1418" s="12"/>
      <c r="E1418" s="12"/>
      <c r="F1418" s="12"/>
      <c r="G1418" s="12"/>
      <c r="H1418" s="12"/>
    </row>
    <row r="1419" spans="1:8" x14ac:dyDescent="0.25">
      <c r="A1419" s="12">
        <v>2414</v>
      </c>
      <c r="B1419" s="12" t="s">
        <v>1696</v>
      </c>
      <c r="C1419" s="12"/>
      <c r="D1419" s="12"/>
      <c r="E1419" s="12"/>
      <c r="F1419" s="12"/>
      <c r="G1419" s="12"/>
      <c r="H1419" s="12"/>
    </row>
    <row r="1420" spans="1:8" x14ac:dyDescent="0.25">
      <c r="A1420" s="12">
        <v>2415</v>
      </c>
      <c r="B1420" s="12" t="s">
        <v>1697</v>
      </c>
      <c r="C1420" s="12"/>
      <c r="D1420" s="12"/>
      <c r="E1420" s="12"/>
      <c r="F1420" s="12"/>
      <c r="G1420" s="12"/>
      <c r="H1420" s="12"/>
    </row>
    <row r="1421" spans="1:8" x14ac:dyDescent="0.25">
      <c r="A1421" s="12">
        <v>2416</v>
      </c>
      <c r="B1421" s="12" t="s">
        <v>1698</v>
      </c>
      <c r="C1421" s="12"/>
      <c r="D1421" s="12"/>
      <c r="E1421" s="12"/>
      <c r="F1421" s="12"/>
      <c r="G1421" s="12"/>
      <c r="H1421" s="12"/>
    </row>
    <row r="1422" spans="1:8" x14ac:dyDescent="0.25">
      <c r="A1422" s="12">
        <v>2417</v>
      </c>
      <c r="B1422" s="12" t="s">
        <v>1699</v>
      </c>
      <c r="C1422" s="12"/>
      <c r="D1422" s="12"/>
      <c r="E1422" s="12"/>
      <c r="F1422" s="12"/>
      <c r="G1422" s="12"/>
      <c r="H1422" s="12"/>
    </row>
    <row r="1423" spans="1:8" x14ac:dyDescent="0.25">
      <c r="A1423" s="12">
        <v>2418</v>
      </c>
      <c r="B1423" s="12" t="s">
        <v>1700</v>
      </c>
      <c r="C1423" s="12"/>
      <c r="D1423" s="12"/>
      <c r="E1423" s="12"/>
      <c r="F1423" s="12"/>
      <c r="G1423" s="12"/>
      <c r="H1423" s="12"/>
    </row>
    <row r="1424" spans="1:8" x14ac:dyDescent="0.25">
      <c r="A1424" s="12">
        <v>2419</v>
      </c>
      <c r="B1424" s="12" t="s">
        <v>656</v>
      </c>
      <c r="C1424" s="12" t="s">
        <v>470</v>
      </c>
      <c r="D1424" s="12">
        <v>1</v>
      </c>
      <c r="E1424" s="12" t="s">
        <v>1863</v>
      </c>
      <c r="F1424" s="12">
        <v>0</v>
      </c>
      <c r="G1424" s="12" t="s">
        <v>657</v>
      </c>
      <c r="H1424" s="13">
        <v>42439</v>
      </c>
    </row>
    <row r="1425" spans="1:8" x14ac:dyDescent="0.25">
      <c r="A1425" s="12">
        <v>2420</v>
      </c>
      <c r="B1425" s="12" t="s">
        <v>1702</v>
      </c>
      <c r="C1425" s="12"/>
      <c r="D1425" s="12"/>
      <c r="E1425" s="12"/>
      <c r="F1425" s="12"/>
      <c r="G1425" s="12"/>
      <c r="H1425" s="12"/>
    </row>
    <row r="1426" spans="1:8" x14ac:dyDescent="0.25">
      <c r="A1426" s="12">
        <v>2421</v>
      </c>
      <c r="B1426" s="12" t="s">
        <v>448</v>
      </c>
      <c r="C1426" s="12"/>
      <c r="D1426" s="12"/>
      <c r="E1426" s="12"/>
      <c r="F1426" s="12"/>
      <c r="G1426" s="12"/>
      <c r="H1426" s="12"/>
    </row>
    <row r="1427" spans="1:8" x14ac:dyDescent="0.25">
      <c r="A1427" s="12">
        <v>2422</v>
      </c>
      <c r="B1427" s="12" t="s">
        <v>1703</v>
      </c>
      <c r="C1427" s="12"/>
      <c r="D1427" s="12"/>
      <c r="E1427" s="12"/>
      <c r="F1427" s="12"/>
      <c r="G1427" s="12"/>
      <c r="H1427" s="12"/>
    </row>
    <row r="1428" spans="1:8" x14ac:dyDescent="0.25">
      <c r="A1428" s="12">
        <v>2423</v>
      </c>
      <c r="B1428" s="12" t="s">
        <v>1704</v>
      </c>
      <c r="C1428" s="12"/>
      <c r="D1428" s="12"/>
      <c r="E1428" s="12"/>
      <c r="F1428" s="12"/>
      <c r="G1428" s="12"/>
      <c r="H1428" s="12"/>
    </row>
    <row r="1429" spans="1:8" x14ac:dyDescent="0.25">
      <c r="A1429" s="12">
        <v>2424</v>
      </c>
      <c r="B1429" s="12" t="s">
        <v>1705</v>
      </c>
      <c r="C1429" s="12"/>
      <c r="D1429" s="12"/>
      <c r="E1429" s="12"/>
      <c r="F1429" s="12"/>
      <c r="G1429" s="12"/>
      <c r="H1429" s="12"/>
    </row>
    <row r="1430" spans="1:8" x14ac:dyDescent="0.25">
      <c r="A1430" s="12">
        <v>2425</v>
      </c>
      <c r="B1430" s="12" t="s">
        <v>1706</v>
      </c>
      <c r="C1430" s="12"/>
      <c r="D1430" s="12"/>
      <c r="E1430" s="12"/>
      <c r="F1430" s="12"/>
      <c r="G1430" s="12"/>
      <c r="H1430" s="12"/>
    </row>
    <row r="1431" spans="1:8" x14ac:dyDescent="0.25">
      <c r="A1431" s="12">
        <v>2426</v>
      </c>
      <c r="B1431" s="12" t="s">
        <v>1707</v>
      </c>
      <c r="C1431" s="12"/>
      <c r="D1431" s="12"/>
      <c r="E1431" s="12"/>
      <c r="F1431" s="12"/>
      <c r="G1431" s="12"/>
      <c r="H1431" s="12"/>
    </row>
    <row r="1432" spans="1:8" x14ac:dyDescent="0.25">
      <c r="A1432" s="12">
        <v>2427</v>
      </c>
      <c r="B1432" s="12" t="s">
        <v>1709</v>
      </c>
      <c r="C1432" s="12"/>
      <c r="D1432" s="12"/>
      <c r="E1432" s="12"/>
      <c r="F1432" s="12"/>
      <c r="G1432" s="12"/>
      <c r="H1432" s="12"/>
    </row>
    <row r="1433" spans="1:8" x14ac:dyDescent="0.25">
      <c r="A1433" s="12">
        <v>2428</v>
      </c>
      <c r="B1433" s="12" t="s">
        <v>1710</v>
      </c>
      <c r="C1433" s="12"/>
      <c r="D1433" s="12"/>
      <c r="E1433" s="12"/>
      <c r="F1433" s="12"/>
      <c r="G1433" s="12"/>
      <c r="H1433" s="12"/>
    </row>
    <row r="1434" spans="1:8" x14ac:dyDescent="0.25">
      <c r="A1434" s="12">
        <v>2429</v>
      </c>
      <c r="B1434" s="12" t="s">
        <v>450</v>
      </c>
      <c r="C1434" s="12"/>
      <c r="D1434" s="12"/>
      <c r="E1434" s="12"/>
      <c r="F1434" s="12"/>
      <c r="G1434" s="12"/>
      <c r="H1434" s="12"/>
    </row>
    <row r="1435" spans="1:8" x14ac:dyDescent="0.25">
      <c r="A1435" s="12">
        <v>2430</v>
      </c>
      <c r="B1435" s="12" t="s">
        <v>1712</v>
      </c>
      <c r="C1435" s="12"/>
      <c r="D1435" s="12"/>
      <c r="E1435" s="12"/>
      <c r="F1435" s="12"/>
      <c r="G1435" s="12"/>
      <c r="H1435" s="12"/>
    </row>
    <row r="1436" spans="1:8" x14ac:dyDescent="0.25">
      <c r="A1436" s="12">
        <v>2431</v>
      </c>
      <c r="B1436" s="12" t="s">
        <v>1713</v>
      </c>
      <c r="C1436" s="12"/>
      <c r="D1436" s="12"/>
      <c r="E1436" s="12"/>
      <c r="F1436" s="12"/>
      <c r="G1436" s="12"/>
      <c r="H1436" s="12"/>
    </row>
    <row r="1437" spans="1:8" x14ac:dyDescent="0.25">
      <c r="A1437" s="12">
        <v>2432</v>
      </c>
      <c r="B1437" s="12" t="s">
        <v>1714</v>
      </c>
      <c r="C1437" s="12"/>
      <c r="D1437" s="12"/>
      <c r="E1437" s="12"/>
      <c r="F1437" s="12"/>
      <c r="G1437" s="12"/>
      <c r="H1437" s="12"/>
    </row>
    <row r="1438" spans="1:8" x14ac:dyDescent="0.25">
      <c r="A1438" s="12">
        <v>2433</v>
      </c>
      <c r="B1438" s="12" t="s">
        <v>451</v>
      </c>
      <c r="C1438" s="12"/>
      <c r="D1438" s="12"/>
      <c r="E1438" s="12"/>
      <c r="F1438" s="12"/>
      <c r="G1438" s="12"/>
      <c r="H1438" s="12"/>
    </row>
    <row r="1439" spans="1:8" x14ac:dyDescent="0.25">
      <c r="A1439" s="12">
        <v>2434</v>
      </c>
      <c r="B1439" s="12" t="s">
        <v>452</v>
      </c>
      <c r="C1439" s="12"/>
      <c r="D1439" s="12"/>
      <c r="E1439" s="12"/>
      <c r="F1439" s="12"/>
      <c r="G1439" s="12"/>
      <c r="H1439" s="12"/>
    </row>
    <row r="1440" spans="1:8" x14ac:dyDescent="0.25">
      <c r="A1440" s="12">
        <v>2435</v>
      </c>
      <c r="B1440" s="12" t="s">
        <v>1715</v>
      </c>
      <c r="C1440" s="12"/>
      <c r="D1440" s="12"/>
      <c r="E1440" s="12"/>
      <c r="F1440" s="12"/>
      <c r="G1440" s="12"/>
      <c r="H1440" s="12"/>
    </row>
    <row r="1441" spans="1:8" x14ac:dyDescent="0.25">
      <c r="A1441" s="12">
        <v>2436</v>
      </c>
      <c r="B1441" s="12" t="s">
        <v>453</v>
      </c>
      <c r="C1441" s="12"/>
      <c r="D1441" s="12"/>
      <c r="E1441" s="12"/>
      <c r="F1441" s="12"/>
      <c r="G1441" s="12"/>
      <c r="H1441" s="12"/>
    </row>
    <row r="1442" spans="1:8" x14ac:dyDescent="0.25">
      <c r="A1442" s="12">
        <v>2437</v>
      </c>
      <c r="B1442" s="12" t="s">
        <v>1716</v>
      </c>
      <c r="C1442" s="12"/>
      <c r="D1442" s="12"/>
      <c r="E1442" s="12"/>
      <c r="F1442" s="12"/>
      <c r="G1442" s="12"/>
      <c r="H1442" s="12"/>
    </row>
    <row r="1443" spans="1:8" x14ac:dyDescent="0.25">
      <c r="A1443" s="12">
        <v>2438</v>
      </c>
      <c r="B1443" s="12" t="s">
        <v>1717</v>
      </c>
      <c r="C1443" s="12"/>
      <c r="D1443" s="12"/>
      <c r="E1443" s="12"/>
      <c r="F1443" s="12"/>
      <c r="G1443" s="12"/>
      <c r="H1443" s="12"/>
    </row>
    <row r="1444" spans="1:8" x14ac:dyDescent="0.25">
      <c r="A1444" s="12">
        <v>2439</v>
      </c>
      <c r="B1444" s="12" t="s">
        <v>1718</v>
      </c>
      <c r="C1444" s="12"/>
      <c r="D1444" s="12"/>
      <c r="E1444" s="12"/>
      <c r="F1444" s="12"/>
      <c r="G1444" s="12"/>
      <c r="H1444" s="12"/>
    </row>
    <row r="1445" spans="1:8" x14ac:dyDescent="0.25">
      <c r="A1445" s="12">
        <v>2440</v>
      </c>
      <c r="B1445" s="12" t="s">
        <v>1719</v>
      </c>
      <c r="C1445" s="12"/>
      <c r="D1445" s="12"/>
      <c r="E1445" s="12"/>
      <c r="F1445" s="12"/>
      <c r="G1445" s="12"/>
      <c r="H1445" s="12"/>
    </row>
    <row r="1446" spans="1:8" x14ac:dyDescent="0.25">
      <c r="A1446" s="12">
        <v>2441</v>
      </c>
      <c r="B1446" s="12" t="s">
        <v>659</v>
      </c>
      <c r="C1446" s="12"/>
      <c r="D1446" s="12"/>
      <c r="E1446" s="12"/>
      <c r="F1446" s="12"/>
      <c r="G1446" s="12"/>
      <c r="H1446" s="12"/>
    </row>
    <row r="1447" spans="1:8" x14ac:dyDescent="0.25">
      <c r="A1447" s="12">
        <v>2442</v>
      </c>
      <c r="B1447" s="12" t="s">
        <v>1720</v>
      </c>
      <c r="C1447" s="12"/>
      <c r="D1447" s="12"/>
      <c r="E1447" s="12"/>
      <c r="F1447" s="12"/>
      <c r="G1447" s="12"/>
      <c r="H1447" s="12"/>
    </row>
    <row r="1448" spans="1:8" x14ac:dyDescent="0.25">
      <c r="A1448" s="12">
        <v>2443</v>
      </c>
      <c r="B1448" s="12" t="s">
        <v>454</v>
      </c>
      <c r="C1448" s="12"/>
      <c r="D1448" s="12"/>
      <c r="E1448" s="12"/>
      <c r="F1448" s="12"/>
      <c r="G1448" s="12"/>
      <c r="H1448" s="12"/>
    </row>
    <row r="1449" spans="1:8" x14ac:dyDescent="0.25">
      <c r="A1449" s="12">
        <v>2444</v>
      </c>
      <c r="B1449" s="12" t="s">
        <v>660</v>
      </c>
      <c r="C1449" s="12" t="s">
        <v>470</v>
      </c>
      <c r="D1449" s="12">
        <v>1</v>
      </c>
      <c r="E1449" s="12" t="s">
        <v>1864</v>
      </c>
      <c r="F1449" s="12">
        <v>0</v>
      </c>
      <c r="G1449" s="12" t="s">
        <v>661</v>
      </c>
      <c r="H1449" s="13">
        <v>42439</v>
      </c>
    </row>
    <row r="1450" spans="1:8" x14ac:dyDescent="0.25">
      <c r="A1450" s="12">
        <v>2445</v>
      </c>
      <c r="B1450" s="12" t="s">
        <v>664</v>
      </c>
      <c r="C1450" s="12" t="s">
        <v>470</v>
      </c>
      <c r="D1450" s="12">
        <v>1</v>
      </c>
      <c r="E1450" s="12" t="s">
        <v>1865</v>
      </c>
      <c r="F1450" s="12">
        <v>0</v>
      </c>
      <c r="G1450" s="12" t="s">
        <v>665</v>
      </c>
      <c r="H1450" s="13">
        <v>42439</v>
      </c>
    </row>
    <row r="1451" spans="1:8" x14ac:dyDescent="0.25">
      <c r="A1451" s="12">
        <v>2446</v>
      </c>
      <c r="B1451" s="12" t="s">
        <v>1721</v>
      </c>
      <c r="C1451" s="12"/>
      <c r="D1451" s="12"/>
      <c r="E1451" s="12"/>
      <c r="F1451" s="12"/>
      <c r="G1451" s="12"/>
      <c r="H1451" s="12"/>
    </row>
    <row r="1452" spans="1:8" x14ac:dyDescent="0.25">
      <c r="A1452" s="12">
        <v>2447</v>
      </c>
      <c r="B1452" s="12" t="s">
        <v>1722</v>
      </c>
      <c r="C1452" s="12"/>
      <c r="D1452" s="12"/>
      <c r="E1452" s="12"/>
      <c r="F1452" s="12"/>
      <c r="G1452" s="12"/>
      <c r="H1452" s="12"/>
    </row>
    <row r="1453" spans="1:8" x14ac:dyDescent="0.25">
      <c r="A1453" s="12">
        <v>2448</v>
      </c>
      <c r="B1453" s="12" t="s">
        <v>455</v>
      </c>
      <c r="C1453" s="12"/>
      <c r="D1453" s="12"/>
      <c r="E1453" s="12"/>
      <c r="F1453" s="12"/>
      <c r="G1453" s="12"/>
      <c r="H1453" s="12"/>
    </row>
    <row r="1454" spans="1:8" x14ac:dyDescent="0.25">
      <c r="A1454" s="12">
        <v>2449</v>
      </c>
      <c r="B1454" s="12" t="s">
        <v>1723</v>
      </c>
      <c r="C1454" s="12"/>
      <c r="D1454" s="12"/>
      <c r="E1454" s="12"/>
      <c r="F1454" s="12"/>
      <c r="G1454" s="12"/>
      <c r="H1454" s="12"/>
    </row>
    <row r="1455" spans="1:8" x14ac:dyDescent="0.25">
      <c r="A1455" s="12">
        <v>2450</v>
      </c>
      <c r="B1455" s="12" t="s">
        <v>1724</v>
      </c>
      <c r="C1455" s="12"/>
      <c r="D1455" s="12"/>
      <c r="E1455" s="12"/>
      <c r="F1455" s="12"/>
      <c r="G1455" s="12"/>
      <c r="H1455" s="12"/>
    </row>
    <row r="1456" spans="1:8" x14ac:dyDescent="0.25">
      <c r="A1456" s="12">
        <v>2451</v>
      </c>
      <c r="B1456" s="12" t="s">
        <v>1725</v>
      </c>
      <c r="C1456" s="12"/>
      <c r="D1456" s="12"/>
      <c r="E1456" s="12"/>
      <c r="F1456" s="12"/>
      <c r="G1456" s="12"/>
      <c r="H1456" s="12"/>
    </row>
    <row r="1457" spans="1:8" x14ac:dyDescent="0.25">
      <c r="A1457" s="12">
        <v>2452</v>
      </c>
      <c r="B1457" s="12" t="s">
        <v>1726</v>
      </c>
      <c r="C1457" s="12"/>
      <c r="D1457" s="12"/>
      <c r="E1457" s="12"/>
      <c r="F1457" s="12"/>
      <c r="G1457" s="12"/>
      <c r="H1457" s="12"/>
    </row>
    <row r="1458" spans="1:8" x14ac:dyDescent="0.25">
      <c r="A1458" s="12">
        <v>2453</v>
      </c>
      <c r="B1458" s="12" t="s">
        <v>1727</v>
      </c>
      <c r="C1458" s="12"/>
      <c r="D1458" s="12"/>
      <c r="E1458" s="12"/>
      <c r="F1458" s="12"/>
      <c r="G1458" s="12"/>
      <c r="H1458" s="12"/>
    </row>
    <row r="1459" spans="1:8" x14ac:dyDescent="0.25">
      <c r="A1459" s="12">
        <v>2454</v>
      </c>
      <c r="B1459" s="12" t="s">
        <v>456</v>
      </c>
      <c r="C1459" s="12"/>
      <c r="D1459" s="12"/>
      <c r="E1459" s="12"/>
      <c r="F1459" s="12"/>
      <c r="G1459" s="12"/>
      <c r="H1459" s="12"/>
    </row>
    <row r="1460" spans="1:8" x14ac:dyDescent="0.25">
      <c r="A1460" s="12">
        <v>2455</v>
      </c>
      <c r="B1460" s="12" t="s">
        <v>1728</v>
      </c>
      <c r="C1460" s="12"/>
      <c r="D1460" s="12"/>
      <c r="E1460" s="12"/>
      <c r="F1460" s="12"/>
      <c r="G1460" s="12"/>
      <c r="H1460" s="12"/>
    </row>
    <row r="1461" spans="1:8" x14ac:dyDescent="0.25">
      <c r="A1461" s="12">
        <v>2456</v>
      </c>
      <c r="B1461" s="12" t="s">
        <v>1729</v>
      </c>
      <c r="C1461" s="12"/>
      <c r="D1461" s="12"/>
      <c r="E1461" s="12"/>
      <c r="F1461" s="12"/>
      <c r="G1461" s="12"/>
      <c r="H1461" s="12"/>
    </row>
    <row r="1462" spans="1:8" x14ac:dyDescent="0.25">
      <c r="A1462" s="12">
        <v>2457</v>
      </c>
      <c r="B1462" s="12" t="s">
        <v>1730</v>
      </c>
      <c r="C1462" s="12"/>
      <c r="D1462" s="12"/>
      <c r="E1462" s="12"/>
      <c r="F1462" s="12"/>
      <c r="G1462" s="12"/>
      <c r="H1462" s="12"/>
    </row>
    <row r="1463" spans="1:8" x14ac:dyDescent="0.25">
      <c r="A1463" s="12">
        <v>2458</v>
      </c>
      <c r="B1463" s="12" t="s">
        <v>1731</v>
      </c>
      <c r="C1463" s="12"/>
      <c r="D1463" s="12"/>
      <c r="E1463" s="12"/>
      <c r="F1463" s="12"/>
      <c r="G1463" s="12"/>
      <c r="H1463" s="12"/>
    </row>
    <row r="1464" spans="1:8" x14ac:dyDescent="0.25">
      <c r="A1464" s="12">
        <v>2459</v>
      </c>
      <c r="B1464" s="12" t="s">
        <v>1732</v>
      </c>
      <c r="C1464" s="12"/>
      <c r="D1464" s="12"/>
      <c r="E1464" s="12"/>
      <c r="F1464" s="12"/>
      <c r="G1464" s="12"/>
      <c r="H1464" s="12"/>
    </row>
    <row r="1465" spans="1:8" x14ac:dyDescent="0.25">
      <c r="A1465" s="12">
        <v>2460</v>
      </c>
      <c r="B1465" s="12" t="s">
        <v>1733</v>
      </c>
      <c r="C1465" s="12"/>
      <c r="D1465" s="12"/>
      <c r="E1465" s="12"/>
      <c r="F1465" s="12"/>
      <c r="G1465" s="12"/>
      <c r="H1465" s="12"/>
    </row>
    <row r="1466" spans="1:8" x14ac:dyDescent="0.25">
      <c r="A1466" s="12">
        <v>2461</v>
      </c>
      <c r="B1466" s="12" t="s">
        <v>1734</v>
      </c>
      <c r="C1466" s="12"/>
      <c r="D1466" s="12"/>
      <c r="E1466" s="12"/>
      <c r="F1466" s="12"/>
      <c r="G1466" s="12"/>
      <c r="H1466" s="12"/>
    </row>
    <row r="1467" spans="1:8" x14ac:dyDescent="0.25">
      <c r="A1467" s="12">
        <v>2462</v>
      </c>
      <c r="B1467" s="12" t="s">
        <v>1735</v>
      </c>
      <c r="C1467" s="12"/>
      <c r="D1467" s="12"/>
      <c r="E1467" s="12"/>
      <c r="F1467" s="12"/>
      <c r="G1467" s="12"/>
      <c r="H1467" s="12"/>
    </row>
    <row r="1468" spans="1:8" x14ac:dyDescent="0.25">
      <c r="A1468" s="12">
        <v>2463</v>
      </c>
      <c r="B1468" s="12" t="s">
        <v>1736</v>
      </c>
      <c r="C1468" s="12"/>
      <c r="D1468" s="12"/>
      <c r="E1468" s="12"/>
      <c r="F1468" s="12"/>
      <c r="G1468" s="12"/>
      <c r="H1468" s="12"/>
    </row>
    <row r="1469" spans="1:8" x14ac:dyDescent="0.25">
      <c r="A1469" s="12">
        <v>2464</v>
      </c>
      <c r="B1469" s="12" t="s">
        <v>1737</v>
      </c>
      <c r="C1469" s="12"/>
      <c r="D1469" s="12"/>
      <c r="E1469" s="12"/>
      <c r="F1469" s="12"/>
      <c r="G1469" s="12"/>
      <c r="H1469" s="12"/>
    </row>
    <row r="1470" spans="1:8" x14ac:dyDescent="0.25">
      <c r="A1470" s="12">
        <v>2465</v>
      </c>
      <c r="B1470" s="12" t="s">
        <v>457</v>
      </c>
      <c r="C1470" s="12"/>
      <c r="D1470" s="12"/>
      <c r="E1470" s="12"/>
      <c r="F1470" s="12"/>
      <c r="G1470" s="12"/>
      <c r="H1470" s="12"/>
    </row>
    <row r="1471" spans="1:8" x14ac:dyDescent="0.25">
      <c r="A1471" s="12">
        <v>2466</v>
      </c>
      <c r="B1471" s="12" t="s">
        <v>662</v>
      </c>
      <c r="C1471" s="12" t="s">
        <v>470</v>
      </c>
      <c r="D1471" s="12">
        <v>1</v>
      </c>
      <c r="E1471" s="12" t="s">
        <v>1866</v>
      </c>
      <c r="F1471" s="12">
        <v>0</v>
      </c>
      <c r="G1471" s="12" t="s">
        <v>663</v>
      </c>
      <c r="H1471" s="13">
        <v>42439</v>
      </c>
    </row>
    <row r="1472" spans="1:8" x14ac:dyDescent="0.25">
      <c r="A1472" s="12">
        <v>2467</v>
      </c>
      <c r="B1472" s="12" t="s">
        <v>1738</v>
      </c>
      <c r="C1472" s="12"/>
      <c r="D1472" s="12"/>
      <c r="E1472" s="12"/>
      <c r="F1472" s="12"/>
      <c r="G1472" s="12"/>
      <c r="H1472" s="12"/>
    </row>
    <row r="1473" spans="1:8" x14ac:dyDescent="0.25">
      <c r="A1473" s="12">
        <v>2468</v>
      </c>
      <c r="B1473" s="12" t="s">
        <v>1739</v>
      </c>
      <c r="C1473" s="12"/>
      <c r="D1473" s="12"/>
      <c r="E1473" s="12"/>
      <c r="F1473" s="12"/>
      <c r="G1473" s="12"/>
      <c r="H1473" s="12"/>
    </row>
    <row r="1474" spans="1:8" x14ac:dyDescent="0.25">
      <c r="A1474" s="12">
        <v>2469</v>
      </c>
      <c r="B1474" s="12" t="s">
        <v>1740</v>
      </c>
      <c r="C1474" s="12"/>
      <c r="D1474" s="12"/>
      <c r="E1474" s="12"/>
      <c r="F1474" s="12"/>
      <c r="G1474" s="12"/>
      <c r="H1474" s="12"/>
    </row>
    <row r="1475" spans="1:8" x14ac:dyDescent="0.25">
      <c r="A1475" s="12">
        <v>2470</v>
      </c>
      <c r="B1475" s="12" t="s">
        <v>1741</v>
      </c>
      <c r="C1475" s="12"/>
      <c r="D1475" s="12"/>
      <c r="E1475" s="12"/>
      <c r="F1475" s="12"/>
      <c r="G1475" s="12"/>
      <c r="H1475" s="12"/>
    </row>
    <row r="1476" spans="1:8" x14ac:dyDescent="0.25">
      <c r="A1476" s="12">
        <v>2471</v>
      </c>
      <c r="B1476" s="12" t="s">
        <v>1742</v>
      </c>
      <c r="C1476" s="12"/>
      <c r="D1476" s="12"/>
      <c r="E1476" s="12"/>
      <c r="F1476" s="12"/>
      <c r="G1476" s="12"/>
      <c r="H1476" s="12"/>
    </row>
    <row r="1477" spans="1:8" x14ac:dyDescent="0.25">
      <c r="A1477" s="12">
        <v>2472</v>
      </c>
      <c r="B1477" s="12" t="s">
        <v>1743</v>
      </c>
      <c r="C1477" s="12"/>
      <c r="D1477" s="12"/>
      <c r="E1477" s="12"/>
      <c r="F1477" s="12"/>
      <c r="G1477" s="12"/>
      <c r="H1477" s="12"/>
    </row>
    <row r="1478" spans="1:8" x14ac:dyDescent="0.25">
      <c r="A1478" s="12">
        <v>2473</v>
      </c>
      <c r="B1478" s="12" t="s">
        <v>1744</v>
      </c>
      <c r="C1478" s="12"/>
      <c r="D1478" s="12"/>
      <c r="E1478" s="12"/>
      <c r="F1478" s="12"/>
      <c r="G1478" s="12"/>
      <c r="H1478" s="12"/>
    </row>
    <row r="1479" spans="1:8" x14ac:dyDescent="0.25">
      <c r="A1479" s="12">
        <v>2474</v>
      </c>
      <c r="B1479" s="12" t="s">
        <v>1745</v>
      </c>
      <c r="C1479" s="12"/>
      <c r="D1479" s="12"/>
      <c r="E1479" s="12"/>
      <c r="F1479" s="12"/>
      <c r="G1479" s="12"/>
      <c r="H1479" s="12"/>
    </row>
    <row r="1480" spans="1:8" x14ac:dyDescent="0.25">
      <c r="A1480" s="12">
        <v>2475</v>
      </c>
      <c r="B1480" s="12" t="s">
        <v>1748</v>
      </c>
      <c r="C1480" s="12"/>
      <c r="D1480" s="12"/>
      <c r="E1480" s="12"/>
      <c r="F1480" s="12"/>
      <c r="G1480" s="12"/>
      <c r="H1480" s="12"/>
    </row>
    <row r="1481" spans="1:8" x14ac:dyDescent="0.25">
      <c r="A1481" s="12">
        <v>2476</v>
      </c>
      <c r="B1481" s="12" t="s">
        <v>1749</v>
      </c>
      <c r="C1481" s="12"/>
      <c r="D1481" s="12"/>
      <c r="E1481" s="12"/>
      <c r="F1481" s="12"/>
      <c r="G1481" s="12"/>
      <c r="H1481" s="12"/>
    </row>
    <row r="1482" spans="1:8" x14ac:dyDescent="0.25">
      <c r="A1482" s="12">
        <v>2477</v>
      </c>
      <c r="B1482" s="12" t="s">
        <v>1746</v>
      </c>
      <c r="C1482" s="12"/>
      <c r="D1482" s="12"/>
      <c r="E1482" s="12"/>
      <c r="F1482" s="12"/>
      <c r="G1482" s="12"/>
      <c r="H1482" s="12"/>
    </row>
    <row r="1483" spans="1:8" x14ac:dyDescent="0.25">
      <c r="A1483" s="12">
        <v>2478</v>
      </c>
      <c r="B1483" s="12" t="s">
        <v>1747</v>
      </c>
      <c r="C1483" s="12"/>
      <c r="D1483" s="12"/>
      <c r="E1483" s="12"/>
      <c r="F1483" s="12"/>
      <c r="G1483" s="12"/>
      <c r="H1483" s="12"/>
    </row>
    <row r="1484" spans="1:8" x14ac:dyDescent="0.25">
      <c r="A1484" s="12">
        <v>2479</v>
      </c>
      <c r="B1484" s="12" t="s">
        <v>1750</v>
      </c>
      <c r="C1484" s="12"/>
      <c r="D1484" s="12"/>
      <c r="E1484" s="12"/>
      <c r="F1484" s="12"/>
      <c r="G1484" s="12"/>
      <c r="H1484" s="12"/>
    </row>
    <row r="1485" spans="1:8" x14ac:dyDescent="0.25">
      <c r="A1485" s="12">
        <v>2480</v>
      </c>
      <c r="B1485" s="12" t="s">
        <v>1751</v>
      </c>
      <c r="C1485" s="12"/>
      <c r="D1485" s="12"/>
      <c r="E1485" s="12"/>
      <c r="F1485" s="12"/>
      <c r="G1485" s="12"/>
      <c r="H1485" s="12"/>
    </row>
    <row r="1486" spans="1:8" x14ac:dyDescent="0.25">
      <c r="A1486" s="12">
        <v>2481</v>
      </c>
      <c r="B1486" s="12" t="s">
        <v>458</v>
      </c>
      <c r="C1486" s="12"/>
      <c r="D1486" s="12"/>
      <c r="E1486" s="12"/>
      <c r="F1486" s="12"/>
      <c r="G1486" s="12"/>
      <c r="H1486" s="12"/>
    </row>
    <row r="1487" spans="1:8" x14ac:dyDescent="0.25">
      <c r="A1487" s="12">
        <v>2482</v>
      </c>
      <c r="B1487" s="12" t="s">
        <v>459</v>
      </c>
      <c r="C1487" s="12"/>
      <c r="D1487" s="12"/>
      <c r="E1487" s="12"/>
      <c r="F1487" s="12"/>
      <c r="G1487" s="12"/>
      <c r="H1487" s="12"/>
    </row>
    <row r="1488" spans="1:8" x14ac:dyDescent="0.25">
      <c r="A1488" s="12">
        <v>2483</v>
      </c>
      <c r="B1488" s="12" t="s">
        <v>666</v>
      </c>
      <c r="C1488" s="12" t="s">
        <v>470</v>
      </c>
      <c r="D1488" s="12"/>
      <c r="E1488" s="12"/>
      <c r="F1488" s="12"/>
      <c r="G1488" s="12"/>
      <c r="H1488" s="12"/>
    </row>
    <row r="1489" spans="1:8" x14ac:dyDescent="0.25">
      <c r="A1489" s="12">
        <v>2484</v>
      </c>
      <c r="B1489" s="12" t="s">
        <v>1753</v>
      </c>
      <c r="C1489" s="12"/>
      <c r="D1489" s="12"/>
      <c r="E1489" s="12"/>
      <c r="F1489" s="12"/>
      <c r="G1489" s="12"/>
      <c r="H1489" s="12"/>
    </row>
    <row r="1490" spans="1:8" x14ac:dyDescent="0.25">
      <c r="A1490" s="12">
        <v>2485</v>
      </c>
      <c r="B1490" s="12" t="s">
        <v>1757</v>
      </c>
      <c r="C1490" s="12"/>
      <c r="D1490" s="12"/>
      <c r="E1490" s="12"/>
      <c r="F1490" s="12"/>
      <c r="G1490" s="12"/>
      <c r="H1490" s="12"/>
    </row>
    <row r="1491" spans="1:8" x14ac:dyDescent="0.25">
      <c r="A1491" s="12">
        <v>2486</v>
      </c>
      <c r="B1491" s="12" t="s">
        <v>1752</v>
      </c>
      <c r="C1491" s="12"/>
      <c r="D1491" s="12"/>
      <c r="E1491" s="12"/>
      <c r="F1491" s="12"/>
      <c r="G1491" s="12"/>
      <c r="H1491" s="12"/>
    </row>
    <row r="1492" spans="1:8" x14ac:dyDescent="0.25">
      <c r="A1492" s="12">
        <v>2487</v>
      </c>
      <c r="B1492" s="12" t="s">
        <v>1754</v>
      </c>
      <c r="C1492" s="12"/>
      <c r="D1492" s="12"/>
      <c r="E1492" s="12"/>
      <c r="F1492" s="12"/>
      <c r="G1492" s="12"/>
      <c r="H1492" s="12"/>
    </row>
    <row r="1493" spans="1:8" x14ac:dyDescent="0.25">
      <c r="A1493" s="12">
        <v>2488</v>
      </c>
      <c r="B1493" s="12" t="s">
        <v>1755</v>
      </c>
      <c r="C1493" s="12"/>
      <c r="D1493" s="12"/>
      <c r="E1493" s="12"/>
      <c r="F1493" s="12"/>
      <c r="G1493" s="12"/>
      <c r="H1493" s="12"/>
    </row>
    <row r="1494" spans="1:8" x14ac:dyDescent="0.25">
      <c r="A1494" s="12">
        <v>2489</v>
      </c>
      <c r="B1494" s="12" t="s">
        <v>1756</v>
      </c>
      <c r="C1494" s="12"/>
      <c r="D1494" s="12"/>
      <c r="E1494" s="12"/>
      <c r="F1494" s="12"/>
      <c r="G1494" s="12"/>
      <c r="H1494" s="12"/>
    </row>
    <row r="1495" spans="1:8" x14ac:dyDescent="0.25">
      <c r="A1495" s="12">
        <v>2490</v>
      </c>
      <c r="B1495" s="12" t="s">
        <v>1758</v>
      </c>
      <c r="C1495" s="12"/>
      <c r="D1495" s="12"/>
      <c r="E1495" s="12"/>
      <c r="F1495" s="12"/>
      <c r="G1495" s="12"/>
      <c r="H1495" s="12"/>
    </row>
    <row r="1496" spans="1:8" x14ac:dyDescent="0.25">
      <c r="A1496" s="12">
        <v>2491</v>
      </c>
      <c r="B1496" s="12" t="s">
        <v>1759</v>
      </c>
      <c r="C1496" s="12"/>
      <c r="D1496" s="12"/>
      <c r="E1496" s="12"/>
      <c r="F1496" s="12"/>
      <c r="G1496" s="12"/>
      <c r="H1496" s="12"/>
    </row>
    <row r="1497" spans="1:8" x14ac:dyDescent="0.25">
      <c r="A1497" s="12">
        <v>2492</v>
      </c>
      <c r="B1497" s="12" t="s">
        <v>752</v>
      </c>
      <c r="C1497" s="12"/>
      <c r="D1497" s="12"/>
      <c r="E1497" s="12"/>
      <c r="F1497" s="12"/>
      <c r="G1497" s="12"/>
      <c r="H1497" s="12"/>
    </row>
    <row r="1498" spans="1:8" x14ac:dyDescent="0.25">
      <c r="A1498" s="12">
        <v>2493</v>
      </c>
      <c r="B1498" s="12" t="s">
        <v>892</v>
      </c>
      <c r="C1498" s="12"/>
      <c r="D1498" s="12"/>
      <c r="E1498" s="12"/>
      <c r="F1498" s="12"/>
      <c r="G1498" s="12"/>
      <c r="H1498" s="12"/>
    </row>
    <row r="1499" spans="1:8" x14ac:dyDescent="0.25">
      <c r="A1499" s="12">
        <v>2494</v>
      </c>
      <c r="B1499" s="12" t="s">
        <v>893</v>
      </c>
      <c r="C1499" s="12"/>
      <c r="D1499" s="12"/>
      <c r="E1499" s="12"/>
      <c r="F1499" s="12"/>
      <c r="G1499" s="12"/>
      <c r="H1499" s="12"/>
    </row>
    <row r="1500" spans="1:8" x14ac:dyDescent="0.25">
      <c r="A1500" s="12">
        <v>2495</v>
      </c>
      <c r="B1500" s="12" t="s">
        <v>460</v>
      </c>
      <c r="C1500" s="12"/>
      <c r="D1500" s="12"/>
      <c r="E1500" s="12"/>
      <c r="F1500" s="12"/>
      <c r="G1500" s="12"/>
      <c r="H1500" s="12"/>
    </row>
    <row r="1501" spans="1:8" x14ac:dyDescent="0.25">
      <c r="A1501" s="12">
        <v>2496</v>
      </c>
      <c r="B1501" s="12" t="s">
        <v>910</v>
      </c>
      <c r="C1501" s="12"/>
      <c r="D1501" s="12"/>
      <c r="E1501" s="12"/>
      <c r="F1501" s="12"/>
      <c r="G1501" s="12"/>
      <c r="H1501" s="12"/>
    </row>
    <row r="1502" spans="1:8" x14ac:dyDescent="0.25">
      <c r="A1502" s="12">
        <v>2497</v>
      </c>
      <c r="B1502" s="12" t="s">
        <v>518</v>
      </c>
      <c r="C1502" s="12" t="s">
        <v>470</v>
      </c>
      <c r="D1502" s="12">
        <v>1</v>
      </c>
      <c r="E1502" s="12" t="s">
        <v>1867</v>
      </c>
      <c r="F1502" s="12">
        <v>0</v>
      </c>
      <c r="G1502" s="12" t="s">
        <v>519</v>
      </c>
      <c r="H1502" s="13">
        <v>42439</v>
      </c>
    </row>
    <row r="1503" spans="1:8" x14ac:dyDescent="0.25">
      <c r="A1503" s="12">
        <v>2498</v>
      </c>
      <c r="B1503" s="12" t="s">
        <v>953</v>
      </c>
      <c r="C1503" s="12"/>
      <c r="D1503" s="12"/>
      <c r="E1503" s="12"/>
      <c r="F1503" s="12"/>
      <c r="G1503" s="12"/>
      <c r="H1503" s="12"/>
    </row>
    <row r="1504" spans="1:8" x14ac:dyDescent="0.25">
      <c r="A1504" s="12">
        <v>2499</v>
      </c>
      <c r="B1504" s="12" t="s">
        <v>954</v>
      </c>
      <c r="C1504" s="12"/>
      <c r="D1504" s="12"/>
      <c r="E1504" s="12"/>
      <c r="F1504" s="12"/>
      <c r="G1504" s="12"/>
      <c r="H1504" s="12"/>
    </row>
    <row r="1505" spans="1:8" x14ac:dyDescent="0.25">
      <c r="A1505" s="12">
        <v>2500</v>
      </c>
      <c r="B1505" s="12" t="s">
        <v>932</v>
      </c>
      <c r="C1505" s="12"/>
      <c r="D1505" s="12"/>
      <c r="E1505" s="12"/>
      <c r="F1505" s="12"/>
      <c r="G1505" s="12"/>
      <c r="H1505" s="12"/>
    </row>
    <row r="1506" spans="1:8" x14ac:dyDescent="0.25">
      <c r="A1506" s="12">
        <v>2501</v>
      </c>
      <c r="B1506" s="12" t="s">
        <v>933</v>
      </c>
      <c r="C1506" s="12"/>
      <c r="D1506" s="12"/>
      <c r="E1506" s="12"/>
      <c r="F1506" s="12"/>
      <c r="G1506" s="12"/>
      <c r="H1506" s="12"/>
    </row>
    <row r="1507" spans="1:8" x14ac:dyDescent="0.25">
      <c r="A1507" s="12">
        <v>2502</v>
      </c>
      <c r="B1507" s="12" t="s">
        <v>934</v>
      </c>
      <c r="C1507" s="12"/>
      <c r="D1507" s="12"/>
      <c r="E1507" s="12"/>
      <c r="F1507" s="12"/>
      <c r="G1507" s="12"/>
      <c r="H1507" s="12"/>
    </row>
    <row r="1508" spans="1:8" x14ac:dyDescent="0.25">
      <c r="A1508" s="12">
        <v>2503</v>
      </c>
      <c r="B1508" s="12" t="s">
        <v>936</v>
      </c>
      <c r="C1508" s="12"/>
      <c r="D1508" s="12"/>
      <c r="E1508" s="12"/>
      <c r="F1508" s="12"/>
      <c r="G1508" s="12"/>
      <c r="H1508" s="12"/>
    </row>
    <row r="1509" spans="1:8" x14ac:dyDescent="0.25">
      <c r="A1509" s="12">
        <v>2504</v>
      </c>
      <c r="B1509" s="12" t="s">
        <v>461</v>
      </c>
      <c r="C1509" s="12"/>
      <c r="D1509" s="12"/>
      <c r="E1509" s="12"/>
      <c r="F1509" s="12"/>
      <c r="G1509" s="12"/>
      <c r="H1509" s="12"/>
    </row>
    <row r="1510" spans="1:8" x14ac:dyDescent="0.25">
      <c r="A1510" s="12">
        <v>2505</v>
      </c>
      <c r="B1510" s="12" t="s">
        <v>462</v>
      </c>
      <c r="C1510" s="12"/>
      <c r="D1510" s="12"/>
      <c r="E1510" s="12"/>
      <c r="F1510" s="12"/>
      <c r="G1510" s="12"/>
      <c r="H1510" s="12"/>
    </row>
    <row r="1511" spans="1:8" x14ac:dyDescent="0.25">
      <c r="A1511" s="12">
        <v>2506</v>
      </c>
      <c r="B1511" s="12" t="s">
        <v>937</v>
      </c>
      <c r="C1511" s="12"/>
      <c r="D1511" s="12"/>
      <c r="E1511" s="12"/>
      <c r="F1511" s="12"/>
      <c r="G1511" s="12"/>
      <c r="H1511" s="12"/>
    </row>
    <row r="1512" spans="1:8" x14ac:dyDescent="0.25">
      <c r="A1512" s="12">
        <v>2507</v>
      </c>
      <c r="B1512" s="12" t="s">
        <v>941</v>
      </c>
      <c r="C1512" s="12"/>
      <c r="D1512" s="12"/>
      <c r="E1512" s="12"/>
      <c r="F1512" s="12"/>
      <c r="G1512" s="12"/>
      <c r="H1512" s="12"/>
    </row>
    <row r="1513" spans="1:8" x14ac:dyDescent="0.25">
      <c r="A1513" s="12">
        <v>2508</v>
      </c>
      <c r="B1513" s="12" t="s">
        <v>942</v>
      </c>
      <c r="C1513" s="12"/>
      <c r="D1513" s="12"/>
      <c r="E1513" s="12"/>
      <c r="F1513" s="12"/>
      <c r="G1513" s="12"/>
      <c r="H1513" s="12"/>
    </row>
    <row r="1514" spans="1:8" x14ac:dyDescent="0.25">
      <c r="A1514" s="12">
        <v>2509</v>
      </c>
      <c r="B1514" s="12" t="s">
        <v>943</v>
      </c>
      <c r="C1514" s="12"/>
      <c r="D1514" s="12"/>
      <c r="E1514" s="12"/>
      <c r="F1514" s="12"/>
      <c r="G1514" s="12"/>
      <c r="H1514" s="12"/>
    </row>
    <row r="1515" spans="1:8" x14ac:dyDescent="0.25">
      <c r="A1515" s="12">
        <v>2510</v>
      </c>
      <c r="B1515" s="12" t="s">
        <v>944</v>
      </c>
      <c r="C1515" s="12"/>
      <c r="D1515" s="12"/>
      <c r="E1515" s="12"/>
      <c r="F1515" s="12"/>
      <c r="G1515" s="12"/>
      <c r="H1515" s="12"/>
    </row>
    <row r="1516" spans="1:8" x14ac:dyDescent="0.25">
      <c r="A1516" s="12">
        <v>2511</v>
      </c>
      <c r="B1516" s="12" t="s">
        <v>523</v>
      </c>
      <c r="C1516" s="12"/>
      <c r="D1516" s="12"/>
      <c r="E1516" s="12"/>
      <c r="F1516" s="12"/>
      <c r="G1516" s="12"/>
      <c r="H1516" s="12"/>
    </row>
    <row r="1517" spans="1:8" x14ac:dyDescent="0.25">
      <c r="A1517" s="12">
        <v>2512</v>
      </c>
      <c r="B1517" s="12" t="s">
        <v>524</v>
      </c>
      <c r="C1517" s="12" t="s">
        <v>470</v>
      </c>
      <c r="D1517" s="12"/>
      <c r="E1517" s="12"/>
      <c r="F1517" s="12"/>
      <c r="G1517" s="12"/>
      <c r="H1517" s="12"/>
    </row>
    <row r="1518" spans="1:8" x14ac:dyDescent="0.25">
      <c r="A1518" s="12">
        <v>2513</v>
      </c>
      <c r="B1518" s="12" t="s">
        <v>955</v>
      </c>
      <c r="C1518" s="12"/>
      <c r="D1518" s="12"/>
      <c r="E1518" s="12"/>
      <c r="F1518" s="12"/>
      <c r="G1518" s="12"/>
      <c r="H1518" s="12"/>
    </row>
    <row r="1519" spans="1:8" x14ac:dyDescent="0.25">
      <c r="A1519" s="12">
        <v>2514</v>
      </c>
      <c r="B1519" s="12" t="s">
        <v>527</v>
      </c>
      <c r="C1519" s="12" t="s">
        <v>470</v>
      </c>
      <c r="D1519" s="12">
        <v>1</v>
      </c>
      <c r="E1519" s="12" t="s">
        <v>1868</v>
      </c>
      <c r="F1519" s="12">
        <v>0</v>
      </c>
      <c r="G1519" s="12" t="s">
        <v>526</v>
      </c>
      <c r="H1519" s="13">
        <v>42439</v>
      </c>
    </row>
    <row r="1520" spans="1:8" x14ac:dyDescent="0.25">
      <c r="A1520" s="12">
        <v>2515</v>
      </c>
      <c r="B1520" s="12" t="s">
        <v>463</v>
      </c>
      <c r="C1520" s="12"/>
      <c r="D1520" s="12"/>
      <c r="E1520" s="12"/>
      <c r="F1520" s="12"/>
      <c r="G1520" s="12"/>
      <c r="H1520" s="12"/>
    </row>
    <row r="1521" spans="1:8" x14ac:dyDescent="0.25">
      <c r="A1521" s="12">
        <v>2516</v>
      </c>
      <c r="B1521" s="12" t="s">
        <v>979</v>
      </c>
      <c r="C1521" s="12"/>
      <c r="D1521" s="12"/>
      <c r="E1521" s="12"/>
      <c r="F1521" s="12"/>
      <c r="G1521" s="12"/>
      <c r="H1521" s="12"/>
    </row>
    <row r="1522" spans="1:8" x14ac:dyDescent="0.25">
      <c r="A1522" s="12">
        <v>2517</v>
      </c>
      <c r="B1522" s="12" t="s">
        <v>980</v>
      </c>
      <c r="C1522" s="12"/>
      <c r="D1522" s="12"/>
      <c r="E1522" s="12"/>
      <c r="F1522" s="12"/>
      <c r="G1522" s="12"/>
      <c r="H1522" s="12"/>
    </row>
    <row r="1523" spans="1:8" x14ac:dyDescent="0.25">
      <c r="A1523" s="12">
        <v>2518</v>
      </c>
      <c r="B1523" s="12" t="s">
        <v>981</v>
      </c>
      <c r="C1523" s="12"/>
      <c r="D1523" s="12"/>
      <c r="E1523" s="12"/>
      <c r="F1523" s="12"/>
      <c r="G1523" s="12"/>
      <c r="H1523" s="12"/>
    </row>
    <row r="1524" spans="1:8" x14ac:dyDescent="0.25">
      <c r="A1524" s="12">
        <v>2519</v>
      </c>
      <c r="B1524" s="12" t="s">
        <v>983</v>
      </c>
      <c r="C1524" s="12"/>
      <c r="D1524" s="12"/>
      <c r="E1524" s="12"/>
      <c r="F1524" s="12"/>
      <c r="G1524" s="12"/>
      <c r="H1524" s="12"/>
    </row>
    <row r="1525" spans="1:8" x14ac:dyDescent="0.25">
      <c r="A1525" s="12">
        <v>2520</v>
      </c>
      <c r="B1525" s="12" t="s">
        <v>989</v>
      </c>
      <c r="C1525" s="12"/>
      <c r="D1525" s="12"/>
      <c r="E1525" s="12"/>
      <c r="F1525" s="12"/>
      <c r="G1525" s="12"/>
      <c r="H1525" s="12"/>
    </row>
    <row r="1526" spans="1:8" x14ac:dyDescent="0.25">
      <c r="A1526" s="12">
        <v>2521</v>
      </c>
      <c r="B1526" s="12" t="s">
        <v>990</v>
      </c>
      <c r="C1526" s="12"/>
      <c r="D1526" s="12"/>
      <c r="E1526" s="12"/>
      <c r="F1526" s="12"/>
      <c r="G1526" s="12"/>
      <c r="H1526" s="12"/>
    </row>
    <row r="1527" spans="1:8" x14ac:dyDescent="0.25">
      <c r="A1527" s="12">
        <v>2522</v>
      </c>
      <c r="B1527" s="12" t="s">
        <v>963</v>
      </c>
      <c r="C1527" s="12"/>
      <c r="D1527" s="12"/>
      <c r="E1527" s="12"/>
      <c r="F1527" s="12"/>
      <c r="G1527" s="12"/>
      <c r="H1527" s="12"/>
    </row>
    <row r="1528" spans="1:8" x14ac:dyDescent="0.25">
      <c r="A1528" s="12">
        <v>2523</v>
      </c>
      <c r="B1528" s="12" t="s">
        <v>538</v>
      </c>
      <c r="C1528" s="12" t="s">
        <v>470</v>
      </c>
      <c r="D1528" s="12">
        <v>1</v>
      </c>
      <c r="E1528" s="12" t="s">
        <v>1869</v>
      </c>
      <c r="F1528" s="12">
        <v>0</v>
      </c>
      <c r="G1528" s="12" t="s">
        <v>539</v>
      </c>
      <c r="H1528" s="13">
        <v>42439</v>
      </c>
    </row>
    <row r="1529" spans="1:8" x14ac:dyDescent="0.25">
      <c r="A1529" s="12">
        <v>2524</v>
      </c>
      <c r="B1529" s="12" t="s">
        <v>540</v>
      </c>
      <c r="C1529" s="12"/>
      <c r="D1529" s="12"/>
      <c r="E1529" s="12"/>
      <c r="F1529" s="12"/>
      <c r="G1529" s="12"/>
      <c r="H1529" s="13"/>
    </row>
    <row r="1530" spans="1:8" x14ac:dyDescent="0.25">
      <c r="A1530" s="12">
        <v>2525</v>
      </c>
      <c r="B1530" s="12" t="s">
        <v>1037</v>
      </c>
      <c r="C1530" s="12"/>
      <c r="D1530" s="12"/>
      <c r="E1530" s="12"/>
      <c r="F1530" s="12"/>
      <c r="G1530" s="12"/>
      <c r="H1530" s="12"/>
    </row>
    <row r="1531" spans="1:8" x14ac:dyDescent="0.25">
      <c r="A1531" s="12">
        <v>2526</v>
      </c>
      <c r="B1531" s="12" t="s">
        <v>1036</v>
      </c>
      <c r="C1531" s="12"/>
      <c r="D1531" s="12"/>
      <c r="E1531" s="12"/>
      <c r="F1531" s="12"/>
      <c r="G1531" s="12"/>
      <c r="H1531" s="12"/>
    </row>
    <row r="1532" spans="1:8" x14ac:dyDescent="0.25">
      <c r="A1532" s="12">
        <v>2527</v>
      </c>
      <c r="B1532" s="12" t="s">
        <v>1089</v>
      </c>
      <c r="C1532" s="12"/>
      <c r="D1532" s="12"/>
      <c r="E1532" s="12"/>
      <c r="F1532" s="12"/>
      <c r="G1532" s="12"/>
      <c r="H1532" s="12"/>
    </row>
    <row r="1533" spans="1:8" x14ac:dyDescent="0.25">
      <c r="A1533" s="12">
        <v>2528</v>
      </c>
      <c r="B1533" s="12" t="s">
        <v>556</v>
      </c>
      <c r="C1533" s="12" t="s">
        <v>470</v>
      </c>
      <c r="D1533" s="12">
        <v>1</v>
      </c>
      <c r="E1533" s="12" t="s">
        <v>1870</v>
      </c>
      <c r="F1533" s="12">
        <v>0</v>
      </c>
      <c r="G1533" s="12" t="s">
        <v>557</v>
      </c>
      <c r="H1533" s="13">
        <v>42439</v>
      </c>
    </row>
    <row r="1534" spans="1:8" x14ac:dyDescent="0.25">
      <c r="A1534" s="12">
        <v>2529</v>
      </c>
      <c r="B1534" s="12" t="s">
        <v>1108</v>
      </c>
      <c r="C1534" s="12"/>
      <c r="D1534" s="12"/>
      <c r="E1534" s="12"/>
      <c r="F1534" s="12"/>
      <c r="G1534" s="12"/>
      <c r="H1534" s="12"/>
    </row>
    <row r="1535" spans="1:8" x14ac:dyDescent="0.25">
      <c r="A1535" s="12">
        <v>2530</v>
      </c>
      <c r="B1535" s="12" t="s">
        <v>1109</v>
      </c>
      <c r="C1535" s="12"/>
      <c r="D1535" s="12"/>
      <c r="E1535" s="12"/>
      <c r="F1535" s="12"/>
      <c r="G1535" s="12"/>
      <c r="H1535" s="12"/>
    </row>
    <row r="1536" spans="1:8" x14ac:dyDescent="0.25">
      <c r="A1536" s="12">
        <v>2531</v>
      </c>
      <c r="B1536" s="12" t="s">
        <v>1110</v>
      </c>
      <c r="C1536" s="12"/>
      <c r="D1536" s="12"/>
      <c r="E1536" s="12"/>
      <c r="F1536" s="12"/>
      <c r="G1536" s="12"/>
      <c r="H1536" s="12"/>
    </row>
    <row r="1537" spans="1:8" x14ac:dyDescent="0.25">
      <c r="A1537" s="12">
        <v>2532</v>
      </c>
      <c r="B1537" s="12" t="s">
        <v>1121</v>
      </c>
      <c r="C1537" s="12"/>
      <c r="D1537" s="12"/>
      <c r="E1537" s="12"/>
      <c r="F1537" s="12"/>
      <c r="G1537" s="12"/>
      <c r="H1537" s="12"/>
    </row>
    <row r="1538" spans="1:8" x14ac:dyDescent="0.25">
      <c r="A1538" s="12">
        <v>2533</v>
      </c>
      <c r="B1538" s="12" t="s">
        <v>1122</v>
      </c>
      <c r="C1538" s="12"/>
      <c r="D1538" s="12"/>
      <c r="E1538" s="12"/>
      <c r="F1538" s="12"/>
      <c r="G1538" s="12"/>
      <c r="H1538" s="12"/>
    </row>
    <row r="1539" spans="1:8" x14ac:dyDescent="0.25">
      <c r="A1539" s="12">
        <v>2534</v>
      </c>
      <c r="B1539" s="12" t="s">
        <v>1126</v>
      </c>
      <c r="C1539" s="12"/>
      <c r="D1539" s="12"/>
      <c r="E1539" s="12"/>
      <c r="F1539" s="12"/>
      <c r="G1539" s="12"/>
      <c r="H1539" s="12"/>
    </row>
    <row r="1540" spans="1:8" x14ac:dyDescent="0.25">
      <c r="A1540" s="12">
        <v>2535</v>
      </c>
      <c r="B1540" s="12" t="s">
        <v>1124</v>
      </c>
      <c r="C1540" s="12"/>
      <c r="D1540" s="12"/>
      <c r="E1540" s="12"/>
      <c r="F1540" s="12"/>
      <c r="G1540" s="12"/>
      <c r="H1540" s="12"/>
    </row>
    <row r="1541" spans="1:8" x14ac:dyDescent="0.25">
      <c r="A1541" s="12">
        <v>2536</v>
      </c>
      <c r="B1541" s="12" t="s">
        <v>1125</v>
      </c>
      <c r="C1541" s="12"/>
      <c r="D1541" s="12"/>
      <c r="E1541" s="12"/>
      <c r="F1541" s="12"/>
      <c r="G1541" s="12"/>
      <c r="H1541" s="12"/>
    </row>
    <row r="1542" spans="1:8" x14ac:dyDescent="0.25">
      <c r="A1542" s="12">
        <v>2537</v>
      </c>
      <c r="B1542" s="12" t="s">
        <v>1123</v>
      </c>
      <c r="C1542" s="12"/>
      <c r="D1542" s="12"/>
      <c r="E1542" s="12"/>
      <c r="F1542" s="12"/>
      <c r="G1542" s="12"/>
      <c r="H1542" s="12"/>
    </row>
    <row r="1543" spans="1:8" x14ac:dyDescent="0.25">
      <c r="A1543" s="12">
        <v>2538</v>
      </c>
      <c r="B1543" s="12" t="s">
        <v>1177</v>
      </c>
      <c r="C1543" s="12"/>
      <c r="D1543" s="12"/>
      <c r="E1543" s="12"/>
      <c r="F1543" s="12"/>
      <c r="G1543" s="12"/>
      <c r="H1543" s="12"/>
    </row>
    <row r="1544" spans="1:8" x14ac:dyDescent="0.25">
      <c r="A1544" s="12">
        <v>2539</v>
      </c>
      <c r="B1544" s="12" t="s">
        <v>1178</v>
      </c>
      <c r="C1544" s="12"/>
      <c r="D1544" s="12"/>
      <c r="E1544" s="12"/>
      <c r="F1544" s="12"/>
      <c r="G1544" s="12"/>
      <c r="H1544" s="12"/>
    </row>
    <row r="1545" spans="1:8" x14ac:dyDescent="0.25">
      <c r="A1545" s="12">
        <v>2540</v>
      </c>
      <c r="B1545" s="12" t="s">
        <v>233</v>
      </c>
      <c r="C1545" s="12"/>
      <c r="D1545" s="12"/>
      <c r="E1545" s="12"/>
      <c r="F1545" s="12"/>
      <c r="G1545" s="12"/>
      <c r="H1545" s="12"/>
    </row>
    <row r="1546" spans="1:8" x14ac:dyDescent="0.25">
      <c r="A1546" s="12">
        <v>2541</v>
      </c>
      <c r="B1546" s="12" t="s">
        <v>1186</v>
      </c>
      <c r="C1546" s="12"/>
      <c r="D1546" s="12"/>
      <c r="E1546" s="12"/>
      <c r="F1546" s="12"/>
      <c r="G1546" s="12"/>
      <c r="H1546" s="12"/>
    </row>
    <row r="1547" spans="1:8" x14ac:dyDescent="0.25">
      <c r="A1547" s="12">
        <v>2542</v>
      </c>
      <c r="B1547" s="12" t="s">
        <v>207</v>
      </c>
      <c r="C1547" s="12"/>
      <c r="D1547" s="12"/>
      <c r="E1547" s="12"/>
      <c r="F1547" s="12"/>
      <c r="G1547" s="12"/>
      <c r="H1547" s="12"/>
    </row>
    <row r="1548" spans="1:8" x14ac:dyDescent="0.25">
      <c r="A1548" s="12">
        <v>2543</v>
      </c>
      <c r="B1548" s="12" t="s">
        <v>1202</v>
      </c>
      <c r="C1548" s="12"/>
      <c r="D1548" s="12"/>
      <c r="E1548" s="12"/>
      <c r="F1548" s="12"/>
      <c r="G1548" s="12"/>
      <c r="H1548" s="12"/>
    </row>
    <row r="1549" spans="1:8" x14ac:dyDescent="0.25">
      <c r="A1549" s="12">
        <v>2544</v>
      </c>
      <c r="B1549" s="12" t="s">
        <v>572</v>
      </c>
      <c r="C1549" s="12" t="s">
        <v>470</v>
      </c>
      <c r="D1549" s="12"/>
      <c r="E1549" s="12"/>
      <c r="F1549" s="12"/>
      <c r="G1549" s="12"/>
      <c r="H1549" s="12"/>
    </row>
    <row r="1550" spans="1:8" x14ac:dyDescent="0.25">
      <c r="A1550" s="12">
        <v>2545</v>
      </c>
      <c r="B1550" s="12" t="s">
        <v>464</v>
      </c>
      <c r="C1550" s="12"/>
      <c r="D1550" s="12"/>
      <c r="E1550" s="12"/>
      <c r="F1550" s="12"/>
      <c r="G1550" s="12"/>
      <c r="H1550" s="12"/>
    </row>
    <row r="1551" spans="1:8" x14ac:dyDescent="0.25">
      <c r="A1551" s="12">
        <v>2546</v>
      </c>
      <c r="B1551" s="12" t="s">
        <v>465</v>
      </c>
      <c r="C1551" s="12"/>
      <c r="D1551" s="12"/>
      <c r="E1551" s="12"/>
      <c r="F1551" s="12"/>
      <c r="G1551" s="12"/>
      <c r="H1551" s="12"/>
    </row>
    <row r="1552" spans="1:8" x14ac:dyDescent="0.25">
      <c r="A1552" s="12">
        <v>2547</v>
      </c>
      <c r="B1552" s="12" t="s">
        <v>1350</v>
      </c>
      <c r="C1552" s="12"/>
      <c r="D1552" s="12"/>
      <c r="E1552" s="12"/>
      <c r="F1552" s="12"/>
      <c r="G1552" s="12"/>
      <c r="H1552" s="12"/>
    </row>
    <row r="1553" spans="1:8" x14ac:dyDescent="0.25">
      <c r="A1553" s="12">
        <v>2548</v>
      </c>
      <c r="B1553" s="12" t="s">
        <v>1384</v>
      </c>
      <c r="C1553" s="12"/>
      <c r="D1553" s="12"/>
      <c r="E1553" s="12"/>
      <c r="F1553" s="12"/>
      <c r="G1553" s="12"/>
      <c r="H1553" s="12"/>
    </row>
    <row r="1554" spans="1:8" x14ac:dyDescent="0.25">
      <c r="A1554" s="12">
        <v>2549</v>
      </c>
      <c r="B1554" s="12" t="s">
        <v>1411</v>
      </c>
      <c r="C1554" s="12"/>
      <c r="D1554" s="12"/>
      <c r="E1554" s="12"/>
      <c r="F1554" s="12"/>
      <c r="G1554" s="12"/>
      <c r="H1554" s="12"/>
    </row>
    <row r="1555" spans="1:8" x14ac:dyDescent="0.25">
      <c r="A1555" s="12">
        <v>2550</v>
      </c>
      <c r="B1555" s="12" t="s">
        <v>1592</v>
      </c>
      <c r="C1555" s="12"/>
      <c r="D1555" s="12"/>
      <c r="E1555" s="12"/>
      <c r="F1555" s="12"/>
      <c r="G1555" s="12"/>
      <c r="H1555" s="12"/>
    </row>
    <row r="1556" spans="1:8" x14ac:dyDescent="0.25">
      <c r="A1556" s="12">
        <v>2551</v>
      </c>
      <c r="B1556" s="12" t="s">
        <v>1593</v>
      </c>
      <c r="C1556" s="12"/>
      <c r="D1556" s="12"/>
      <c r="E1556" s="12"/>
      <c r="F1556" s="12"/>
      <c r="G1556" s="12"/>
      <c r="H1556" s="12"/>
    </row>
    <row r="1557" spans="1:8" x14ac:dyDescent="0.25">
      <c r="A1557" s="12">
        <v>2552</v>
      </c>
      <c r="B1557" s="12" t="s">
        <v>1594</v>
      </c>
      <c r="C1557" s="12"/>
      <c r="D1557" s="12"/>
      <c r="E1557" s="12"/>
      <c r="F1557" s="12"/>
      <c r="G1557" s="12"/>
      <c r="H1557" s="12"/>
    </row>
    <row r="1558" spans="1:8" x14ac:dyDescent="0.25">
      <c r="A1558" s="12">
        <v>2553</v>
      </c>
      <c r="B1558" s="12" t="s">
        <v>1646</v>
      </c>
      <c r="C1558" s="12"/>
      <c r="D1558" s="12"/>
      <c r="E1558" s="12"/>
      <c r="F1558" s="12"/>
      <c r="G1558" s="12"/>
      <c r="H1558" s="12"/>
    </row>
    <row r="1559" spans="1:8" x14ac:dyDescent="0.25">
      <c r="A1559" s="12">
        <v>2554</v>
      </c>
      <c r="B1559" s="12" t="s">
        <v>1701</v>
      </c>
      <c r="C1559" s="12"/>
      <c r="D1559" s="12"/>
      <c r="E1559" s="12"/>
      <c r="F1559" s="12"/>
      <c r="G1559" s="12"/>
      <c r="H1559" s="12"/>
    </row>
  </sheetData>
  <hyperlinks>
    <hyperlink ref="G41" r:id="rId1"/>
    <hyperlink ref="G101" r:id="rId2"/>
    <hyperlink ref="G102" r:id="rId3"/>
    <hyperlink ref="G132" r:id="rId4" display="http://www.azarahealthcare.com/solutions/azara-drvs/reports/meaningful-use-certified-reports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01"/>
  <sheetViews>
    <sheetView tabSelected="1" topLeftCell="A1004" workbookViewId="0">
      <selection activeCell="E41" sqref="E41:F1533"/>
    </sheetView>
  </sheetViews>
  <sheetFormatPr defaultRowHeight="15" x14ac:dyDescent="0.25"/>
  <cols>
    <col min="1" max="1" width="25" style="2" customWidth="1"/>
    <col min="2" max="2" width="15.140625" style="2" customWidth="1"/>
    <col min="3" max="4" width="9.140625" style="2"/>
    <col min="5" max="5" width="30.5703125" style="2" customWidth="1"/>
    <col min="6" max="6" width="47.140625" style="2" customWidth="1"/>
    <col min="7" max="7" width="21" style="2" customWidth="1"/>
    <col min="8" max="8" width="23.28515625" style="2" customWidth="1"/>
    <col min="9" max="9" width="23.85546875" style="2" customWidth="1"/>
    <col min="10" max="16384" width="9.140625" style="2"/>
  </cols>
  <sheetData>
    <row r="1" spans="1:8" x14ac:dyDescent="0.25">
      <c r="A1" s="5" t="s">
        <v>1872</v>
      </c>
      <c r="B1" s="5" t="s">
        <v>1875</v>
      </c>
      <c r="C1" s="5" t="s">
        <v>1878</v>
      </c>
      <c r="D1" s="5" t="s">
        <v>1879</v>
      </c>
      <c r="E1" s="5" t="s">
        <v>1766</v>
      </c>
      <c r="F1" s="6" t="s">
        <v>1767</v>
      </c>
      <c r="G1" s="5" t="s">
        <v>1768</v>
      </c>
      <c r="H1" s="8" t="s">
        <v>470</v>
      </c>
    </row>
    <row r="2" spans="1:8" hidden="1" x14ac:dyDescent="0.25">
      <c r="A2" s="2" t="b">
        <f>IF(ISBLANK(InfoGard!D2),FALSE,LOOKUP(InfoGard!D2,Lookup!$A$2:$B$4))</f>
        <v>0</v>
      </c>
      <c r="B2" s="2" t="b">
        <f>IF(ISBLANK(InfoGard!E2),FALSE,RIGHT(TRIM(InfoGard!E2),15))</f>
        <v>0</v>
      </c>
      <c r="C2" s="2" t="b">
        <f>IF(ISBLANK(InfoGard!F2),FALSE,LOOKUP(InfoGard!F2,Lookup!$A$6:$B$7))</f>
        <v>0</v>
      </c>
      <c r="D2" s="2" t="b">
        <f>IF(ISBLANK(InfoGard!G2),FALSE,InfoGard!G2)</f>
        <v>0</v>
      </c>
      <c r="E2" s="2" t="str">
        <f>IF(NOT(ISBLANK(InfoGard!D2)),IF(OR(ISBLANK(InfoGard!E2),InfoGard!E2="N/A"),"no acb code",CONCATENATE(Lookup!F$1,A2,Lookup!G$1,B2,Lookup!H$1,H$1,Lookup!I$1)),"no attestation")</f>
        <v>no attestation</v>
      </c>
      <c r="F2" s="2" t="str">
        <f>IF(AND(NOT(ISBLANK(InfoGard!G2)),InfoGard!G2&lt;&gt;"N/A"),IF(C2="All",CONCATENATE(Lookup!F$2,D2,Lookup!G$2,B2,Lookup!H$2,H$1,Lookup!I$2),CONCATENATE(Lookup!F$3,D2,Lookup!G$3,B2,Lookup!H$3)),"no url")</f>
        <v>no url</v>
      </c>
    </row>
    <row r="3" spans="1:8" hidden="1" x14ac:dyDescent="0.25">
      <c r="A3" s="2" t="b">
        <f>IF(ISBLANK(InfoGard!D3),FALSE,LOOKUP(InfoGard!D3,Lookup!$A$2:$B$4))</f>
        <v>0</v>
      </c>
      <c r="B3" s="2" t="b">
        <f>IF(ISBLANK(InfoGard!E3),FALSE,RIGHT(TRIM(InfoGard!E3),15))</f>
        <v>0</v>
      </c>
      <c r="C3" s="2" t="b">
        <f>IF(ISBLANK(InfoGard!F3),FALSE,LOOKUP(InfoGard!F3,Lookup!$A$6:$B$7))</f>
        <v>0</v>
      </c>
      <c r="D3" s="2" t="b">
        <f>IF(ISBLANK(InfoGard!G3),FALSE,InfoGard!G3)</f>
        <v>0</v>
      </c>
      <c r="E3" s="2" t="str">
        <f>IF(NOT(ISBLANK(InfoGard!D3)),IF(OR(ISBLANK(InfoGard!E3),InfoGard!E3="N/A"),"no acb code",CONCATENATE(Lookup!F$1,A3,Lookup!G$1,B3,Lookup!H$1,H$1,Lookup!I$1)),"no attestation")</f>
        <v>no attestation</v>
      </c>
      <c r="F3" s="2" t="str">
        <f>IF(AND(NOT(ISBLANK(InfoGard!G3)),InfoGard!G3&lt;&gt;"N/A"),IF(C3="All",CONCATENATE(Lookup!F$2,D3,Lookup!G$2,B3,Lookup!H$2,H$1,Lookup!I$2),CONCATENATE(Lookup!F$3,D3,Lookup!G$3,B3,Lookup!H$3)),"no url")</f>
        <v>no url</v>
      </c>
    </row>
    <row r="4" spans="1:8" hidden="1" x14ac:dyDescent="0.25">
      <c r="A4" s="2" t="b">
        <f>IF(ISBLANK(InfoGard!D4),FALSE,LOOKUP(InfoGard!D4,Lookup!$A$2:$B$4))</f>
        <v>0</v>
      </c>
      <c r="B4" s="2" t="b">
        <f>IF(ISBLANK(InfoGard!E4),FALSE,RIGHT(TRIM(InfoGard!E4),15))</f>
        <v>0</v>
      </c>
      <c r="C4" s="2" t="b">
        <f>IF(ISBLANK(InfoGard!F4),FALSE,LOOKUP(InfoGard!F4,Lookup!$A$6:$B$7))</f>
        <v>0</v>
      </c>
      <c r="D4" s="2" t="b">
        <f>IF(ISBLANK(InfoGard!G4),FALSE,InfoGard!G4)</f>
        <v>0</v>
      </c>
      <c r="E4" s="2" t="str">
        <f>IF(NOT(ISBLANK(InfoGard!D4)),IF(OR(ISBLANK(InfoGard!E4),InfoGard!E4="N/A"),"no acb code",CONCATENATE(Lookup!F$1,A4,Lookup!G$1,B4,Lookup!H$1,H$1,Lookup!I$1)),"no attestation")</f>
        <v>no attestation</v>
      </c>
      <c r="F4" s="2" t="str">
        <f>IF(AND(NOT(ISBLANK(InfoGard!G4)),InfoGard!G4&lt;&gt;"N/A"),IF(C4="All",CONCATENATE(Lookup!F$2,D4,Lookup!G$2,B4,Lookup!H$2,H$1,Lookup!I$2),CONCATENATE(Lookup!F$3,D4,Lookup!G$3,B4,Lookup!H$3)),"no url")</f>
        <v>no url</v>
      </c>
    </row>
    <row r="5" spans="1:8" hidden="1" x14ac:dyDescent="0.25">
      <c r="A5" s="2" t="b">
        <f>IF(ISBLANK(InfoGard!D5),FALSE,LOOKUP(InfoGard!D5,Lookup!$A$2:$B$4))</f>
        <v>0</v>
      </c>
      <c r="B5" s="2" t="b">
        <f>IF(ISBLANK(InfoGard!E5),FALSE,RIGHT(TRIM(InfoGard!E5),15))</f>
        <v>0</v>
      </c>
      <c r="C5" s="2" t="b">
        <f>IF(ISBLANK(InfoGard!F5),FALSE,LOOKUP(InfoGard!F5,Lookup!$A$6:$B$7))</f>
        <v>0</v>
      </c>
      <c r="D5" s="2" t="b">
        <f>IF(ISBLANK(InfoGard!G5),FALSE,InfoGard!G5)</f>
        <v>0</v>
      </c>
      <c r="E5" s="2" t="str">
        <f>IF(NOT(ISBLANK(InfoGard!D5)),IF(OR(ISBLANK(InfoGard!E5),InfoGard!E5="N/A"),"no acb code",CONCATENATE(Lookup!F$1,A5,Lookup!G$1,B5,Lookup!H$1,H$1,Lookup!I$1)),"no attestation")</f>
        <v>no attestation</v>
      </c>
      <c r="F5" s="2" t="str">
        <f>IF(AND(NOT(ISBLANK(InfoGard!G5)),InfoGard!G5&lt;&gt;"N/A"),IF(C5="All",CONCATENATE(Lookup!F$2,D5,Lookup!G$2,B5,Lookup!H$2,H$1,Lookup!I$2),CONCATENATE(Lookup!F$3,D5,Lookup!G$3,B5,Lookup!H$3)),"no url")</f>
        <v>no url</v>
      </c>
    </row>
    <row r="6" spans="1:8" hidden="1" x14ac:dyDescent="0.25">
      <c r="A6" s="2" t="b">
        <f>IF(ISBLANK(InfoGard!D6),FALSE,LOOKUP(InfoGard!D6,Lookup!$A$2:$B$4))</f>
        <v>0</v>
      </c>
      <c r="B6" s="2" t="b">
        <f>IF(ISBLANK(InfoGard!E6),FALSE,RIGHT(TRIM(InfoGard!E6),15))</f>
        <v>0</v>
      </c>
      <c r="C6" s="2" t="b">
        <f>IF(ISBLANK(InfoGard!F6),FALSE,LOOKUP(InfoGard!F6,Lookup!$A$6:$B$7))</f>
        <v>0</v>
      </c>
      <c r="D6" s="2" t="b">
        <f>IF(ISBLANK(InfoGard!G6),FALSE,InfoGard!G6)</f>
        <v>0</v>
      </c>
      <c r="E6" s="2" t="str">
        <f>IF(NOT(ISBLANK(InfoGard!D6)),IF(OR(ISBLANK(InfoGard!E6),InfoGard!E6="N/A"),"no acb code",CONCATENATE(Lookup!F$1,A6,Lookup!G$1,B6,Lookup!H$1,H$1,Lookup!I$1)),"no attestation")</f>
        <v>no attestation</v>
      </c>
      <c r="F6" s="2" t="str">
        <f>IF(AND(NOT(ISBLANK(InfoGard!G6)),InfoGard!G6&lt;&gt;"N/A"),IF(C6="All",CONCATENATE(Lookup!F$2,D6,Lookup!G$2,B6,Lookup!H$2,H$1,Lookup!I$2),CONCATENATE(Lookup!F$3,D6,Lookup!G$3,B6,Lookup!H$3)),"no url")</f>
        <v>no url</v>
      </c>
    </row>
    <row r="7" spans="1:8" hidden="1" x14ac:dyDescent="0.25">
      <c r="A7" s="2" t="b">
        <f>IF(ISBLANK(InfoGard!D7),FALSE,LOOKUP(InfoGard!D7,Lookup!$A$2:$B$4))</f>
        <v>0</v>
      </c>
      <c r="B7" s="2" t="b">
        <f>IF(ISBLANK(InfoGard!E7),FALSE,RIGHT(TRIM(InfoGard!E7),15))</f>
        <v>0</v>
      </c>
      <c r="C7" s="2" t="b">
        <f>IF(ISBLANK(InfoGard!F7),FALSE,LOOKUP(InfoGard!F7,Lookup!$A$6:$B$7))</f>
        <v>0</v>
      </c>
      <c r="D7" s="2" t="b">
        <f>IF(ISBLANK(InfoGard!G7),FALSE,InfoGard!G7)</f>
        <v>0</v>
      </c>
      <c r="E7" s="2" t="str">
        <f>IF(NOT(ISBLANK(InfoGard!D7)),IF(OR(ISBLANK(InfoGard!E7),InfoGard!E7="N/A"),"no acb code",CONCATENATE(Lookup!F$1,A7,Lookup!G$1,B7,Lookup!H$1,H$1,Lookup!I$1)),"no attestation")</f>
        <v>no attestation</v>
      </c>
      <c r="F7" s="2" t="str">
        <f>IF(AND(NOT(ISBLANK(InfoGard!G7)),InfoGard!G7&lt;&gt;"N/A"),IF(C7="All",CONCATENATE(Lookup!F$2,D7,Lookup!G$2,B7,Lookup!H$2,H$1,Lookup!I$2),CONCATENATE(Lookup!F$3,D7,Lookup!G$3,B7,Lookup!H$3)),"no url")</f>
        <v>no url</v>
      </c>
    </row>
    <row r="8" spans="1:8" hidden="1" x14ac:dyDescent="0.25">
      <c r="A8" s="2" t="b">
        <f>IF(ISBLANK(InfoGard!D8),FALSE,LOOKUP(InfoGard!D8,Lookup!$A$2:$B$4))</f>
        <v>0</v>
      </c>
      <c r="B8" s="2" t="b">
        <f>IF(ISBLANK(InfoGard!E8),FALSE,RIGHT(TRIM(InfoGard!E8),15))</f>
        <v>0</v>
      </c>
      <c r="C8" s="2" t="b">
        <f>IF(ISBLANK(InfoGard!F8),FALSE,LOOKUP(InfoGard!F8,Lookup!$A$6:$B$7))</f>
        <v>0</v>
      </c>
      <c r="D8" s="2" t="b">
        <f>IF(ISBLANK(InfoGard!G8),FALSE,InfoGard!G8)</f>
        <v>0</v>
      </c>
      <c r="E8" s="2" t="str">
        <f>IF(NOT(ISBLANK(InfoGard!D8)),IF(OR(ISBLANK(InfoGard!E8),InfoGard!E8="N/A"),"no acb code",CONCATENATE(Lookup!F$1,A8,Lookup!G$1,B8,Lookup!H$1,H$1,Lookup!I$1)),"no attestation")</f>
        <v>no attestation</v>
      </c>
      <c r="F8" s="2" t="str">
        <f>IF(AND(NOT(ISBLANK(InfoGard!G8)),InfoGard!G8&lt;&gt;"N/A"),IF(C8="All",CONCATENATE(Lookup!F$2,D8,Lookup!G$2,B8,Lookup!H$2,H$1,Lookup!I$2),CONCATENATE(Lookup!F$3,D8,Lookup!G$3,B8,Lookup!H$3)),"no url")</f>
        <v>no url</v>
      </c>
    </row>
    <row r="9" spans="1:8" hidden="1" x14ac:dyDescent="0.25">
      <c r="A9" s="2" t="b">
        <f>IF(ISBLANK(InfoGard!D9),FALSE,LOOKUP(InfoGard!D9,Lookup!$A$2:$B$4))</f>
        <v>0</v>
      </c>
      <c r="B9" s="2" t="b">
        <f>IF(ISBLANK(InfoGard!E9),FALSE,RIGHT(TRIM(InfoGard!E9),15))</f>
        <v>0</v>
      </c>
      <c r="C9" s="2" t="b">
        <f>IF(ISBLANK(InfoGard!F9),FALSE,LOOKUP(InfoGard!F9,Lookup!$A$6:$B$7))</f>
        <v>0</v>
      </c>
      <c r="D9" s="2" t="b">
        <f>IF(ISBLANK(InfoGard!G9),FALSE,InfoGard!G9)</f>
        <v>0</v>
      </c>
      <c r="E9" s="2" t="str">
        <f>IF(NOT(ISBLANK(InfoGard!D9)),IF(OR(ISBLANK(InfoGard!E9),InfoGard!E9="N/A"),"no acb code",CONCATENATE(Lookup!F$1,A9,Lookup!G$1,B9,Lookup!H$1,H$1,Lookup!I$1)),"no attestation")</f>
        <v>no attestation</v>
      </c>
      <c r="F9" s="2" t="str">
        <f>IF(AND(NOT(ISBLANK(InfoGard!G9)),InfoGard!G9&lt;&gt;"N/A"),IF(C9="All",CONCATENATE(Lookup!F$2,D9,Lookup!G$2,B9,Lookup!H$2,H$1,Lookup!I$2),CONCATENATE(Lookup!F$3,D9,Lookup!G$3,B9,Lookup!H$3)),"no url")</f>
        <v>no url</v>
      </c>
    </row>
    <row r="10" spans="1:8" hidden="1" x14ac:dyDescent="0.25">
      <c r="A10" s="2" t="b">
        <f>IF(ISBLANK(InfoGard!D10),FALSE,LOOKUP(InfoGard!D10,Lookup!$A$2:$B$4))</f>
        <v>0</v>
      </c>
      <c r="B10" s="2" t="b">
        <f>IF(ISBLANK(InfoGard!E10),FALSE,RIGHT(TRIM(InfoGard!E10),15))</f>
        <v>0</v>
      </c>
      <c r="C10" s="2" t="b">
        <f>IF(ISBLANK(InfoGard!F10),FALSE,LOOKUP(InfoGard!F10,Lookup!$A$6:$B$7))</f>
        <v>0</v>
      </c>
      <c r="D10" s="2" t="b">
        <f>IF(ISBLANK(InfoGard!G10),FALSE,InfoGard!G10)</f>
        <v>0</v>
      </c>
      <c r="E10" s="2" t="str">
        <f>IF(NOT(ISBLANK(InfoGard!D10)),IF(OR(ISBLANK(InfoGard!E10),InfoGard!E10="N/A"),"no acb code",CONCATENATE(Lookup!F$1,A10,Lookup!G$1,B10,Lookup!H$1,H$1,Lookup!I$1)),"no attestation")</f>
        <v>no attestation</v>
      </c>
      <c r="F10" s="2" t="str">
        <f>IF(AND(NOT(ISBLANK(InfoGard!G10)),InfoGard!G10&lt;&gt;"N/A"),IF(C10="All",CONCATENATE(Lookup!F$2,D10,Lookup!G$2,B10,Lookup!H$2,H$1,Lookup!I$2),CONCATENATE(Lookup!F$3,D10,Lookup!G$3,B10,Lookup!H$3)),"no url")</f>
        <v>no url</v>
      </c>
    </row>
    <row r="11" spans="1:8" hidden="1" x14ac:dyDescent="0.25">
      <c r="A11" s="2" t="b">
        <f>IF(ISBLANK(InfoGard!D11),FALSE,LOOKUP(InfoGard!D11,Lookup!$A$2:$B$4))</f>
        <v>0</v>
      </c>
      <c r="B11" s="2" t="b">
        <f>IF(ISBLANK(InfoGard!E11),FALSE,RIGHT(TRIM(InfoGard!E11),15))</f>
        <v>0</v>
      </c>
      <c r="C11" s="2" t="b">
        <f>IF(ISBLANK(InfoGard!F11),FALSE,LOOKUP(InfoGard!F11,Lookup!$A$6:$B$7))</f>
        <v>0</v>
      </c>
      <c r="D11" s="2" t="b">
        <f>IF(ISBLANK(InfoGard!G11),FALSE,InfoGard!G11)</f>
        <v>0</v>
      </c>
      <c r="E11" s="2" t="str">
        <f>IF(NOT(ISBLANK(InfoGard!D11)),IF(OR(ISBLANK(InfoGard!E11),InfoGard!E11="N/A"),"no acb code",CONCATENATE(Lookup!F$1,A11,Lookup!G$1,B11,Lookup!H$1,H$1,Lookup!I$1)),"no attestation")</f>
        <v>no attestation</v>
      </c>
      <c r="F11" s="2" t="str">
        <f>IF(AND(NOT(ISBLANK(InfoGard!G11)),InfoGard!G11&lt;&gt;"N/A"),IF(C11="All",CONCATENATE(Lookup!F$2,D11,Lookup!G$2,B11,Lookup!H$2,H$1,Lookup!I$2),CONCATENATE(Lookup!F$3,D11,Lookup!G$3,B11,Lookup!H$3)),"no url")</f>
        <v>no url</v>
      </c>
    </row>
    <row r="12" spans="1:8" hidden="1" x14ac:dyDescent="0.25">
      <c r="A12" s="2" t="b">
        <f>IF(ISBLANK(InfoGard!D12),FALSE,LOOKUP(InfoGard!D12,Lookup!$A$2:$B$4))</f>
        <v>0</v>
      </c>
      <c r="B12" s="2" t="b">
        <f>IF(ISBLANK(InfoGard!E12),FALSE,RIGHT(TRIM(InfoGard!E12),15))</f>
        <v>0</v>
      </c>
      <c r="C12" s="2" t="b">
        <f>IF(ISBLANK(InfoGard!F12),FALSE,LOOKUP(InfoGard!F12,Lookup!$A$6:$B$7))</f>
        <v>0</v>
      </c>
      <c r="D12" s="2" t="b">
        <f>IF(ISBLANK(InfoGard!G12),FALSE,InfoGard!G12)</f>
        <v>0</v>
      </c>
      <c r="E12" s="2" t="str">
        <f>IF(NOT(ISBLANK(InfoGard!D12)),IF(OR(ISBLANK(InfoGard!E12),InfoGard!E12="N/A"),"no acb code",CONCATENATE(Lookup!F$1,A12,Lookup!G$1,B12,Lookup!H$1,H$1,Lookup!I$1)),"no attestation")</f>
        <v>no attestation</v>
      </c>
      <c r="F12" s="2" t="str">
        <f>IF(AND(NOT(ISBLANK(InfoGard!G12)),InfoGard!G12&lt;&gt;"N/A"),IF(C12="All",CONCATENATE(Lookup!F$2,D12,Lookup!G$2,B12,Lookup!H$2,H$1,Lookup!I$2),CONCATENATE(Lookup!F$3,D12,Lookup!G$3,B12,Lookup!H$3)),"no url")</f>
        <v>no url</v>
      </c>
    </row>
    <row r="13" spans="1:8" hidden="1" x14ac:dyDescent="0.25">
      <c r="A13" s="2" t="b">
        <f>IF(ISBLANK(InfoGard!D13),FALSE,LOOKUP(InfoGard!D13,Lookup!$A$2:$B$4))</f>
        <v>0</v>
      </c>
      <c r="B13" s="2" t="b">
        <f>IF(ISBLANK(InfoGard!E13),FALSE,RIGHT(TRIM(InfoGard!E13),15))</f>
        <v>0</v>
      </c>
      <c r="C13" s="2" t="b">
        <f>IF(ISBLANK(InfoGard!F13),FALSE,LOOKUP(InfoGard!F13,Lookup!$A$6:$B$7))</f>
        <v>0</v>
      </c>
      <c r="D13" s="2" t="b">
        <f>IF(ISBLANK(InfoGard!G13),FALSE,InfoGard!G13)</f>
        <v>0</v>
      </c>
      <c r="E13" s="2" t="str">
        <f>IF(NOT(ISBLANK(InfoGard!D13)),IF(OR(ISBLANK(InfoGard!E13),InfoGard!E13="N/A"),"no acb code",CONCATENATE(Lookup!F$1,A13,Lookup!G$1,B13,Lookup!H$1,H$1,Lookup!I$1)),"no attestation")</f>
        <v>no attestation</v>
      </c>
      <c r="F13" s="2" t="str">
        <f>IF(AND(NOT(ISBLANK(InfoGard!G13)),InfoGard!G13&lt;&gt;"N/A"),IF(C13="All",CONCATENATE(Lookup!F$2,D13,Lookup!G$2,B13,Lookup!H$2,H$1,Lookup!I$2),CONCATENATE(Lookup!F$3,D13,Lookup!G$3,B13,Lookup!H$3)),"no url")</f>
        <v>no url</v>
      </c>
    </row>
    <row r="14" spans="1:8" hidden="1" x14ac:dyDescent="0.25">
      <c r="A14" s="2" t="b">
        <f>IF(ISBLANK(InfoGard!D14),FALSE,LOOKUP(InfoGard!D14,Lookup!$A$2:$B$4))</f>
        <v>0</v>
      </c>
      <c r="B14" s="2" t="b">
        <f>IF(ISBLANK(InfoGard!E14),FALSE,RIGHT(TRIM(InfoGard!E14),15))</f>
        <v>0</v>
      </c>
      <c r="C14" s="2" t="b">
        <f>IF(ISBLANK(InfoGard!F14),FALSE,LOOKUP(InfoGard!F14,Lookup!$A$6:$B$7))</f>
        <v>0</v>
      </c>
      <c r="D14" s="2" t="b">
        <f>IF(ISBLANK(InfoGard!G14),FALSE,InfoGard!G14)</f>
        <v>0</v>
      </c>
      <c r="E14" s="2" t="str">
        <f>IF(NOT(ISBLANK(InfoGard!D14)),IF(OR(ISBLANK(InfoGard!E14),InfoGard!E14="N/A"),"no acb code",CONCATENATE(Lookup!F$1,A14,Lookup!G$1,B14,Lookup!H$1,H$1,Lookup!I$1)),"no attestation")</f>
        <v>no attestation</v>
      </c>
      <c r="F14" s="2" t="str">
        <f>IF(AND(NOT(ISBLANK(InfoGard!G14)),InfoGard!G14&lt;&gt;"N/A"),IF(C14="All",CONCATENATE(Lookup!F$2,D14,Lookup!G$2,B14,Lookup!H$2,H$1,Lookup!I$2),CONCATENATE(Lookup!F$3,D14,Lookup!G$3,B14,Lookup!H$3)),"no url")</f>
        <v>no url</v>
      </c>
    </row>
    <row r="15" spans="1:8" hidden="1" x14ac:dyDescent="0.25">
      <c r="A15" s="2" t="b">
        <f>IF(ISBLANK(InfoGard!D15),FALSE,LOOKUP(InfoGard!D15,Lookup!$A$2:$B$4))</f>
        <v>0</v>
      </c>
      <c r="B15" s="2" t="b">
        <f>IF(ISBLANK(InfoGard!E15),FALSE,RIGHT(TRIM(InfoGard!E15),15))</f>
        <v>0</v>
      </c>
      <c r="C15" s="2" t="b">
        <f>IF(ISBLANK(InfoGard!F15),FALSE,LOOKUP(InfoGard!F15,Lookup!$A$6:$B$7))</f>
        <v>0</v>
      </c>
      <c r="D15" s="2" t="b">
        <f>IF(ISBLANK(InfoGard!G15),FALSE,InfoGard!G15)</f>
        <v>0</v>
      </c>
      <c r="E15" s="2" t="str">
        <f>IF(NOT(ISBLANK(InfoGard!D15)),IF(OR(ISBLANK(InfoGard!E15),InfoGard!E15="N/A"),"no acb code",CONCATENATE(Lookup!F$1,A15,Lookup!G$1,B15,Lookup!H$1,H$1,Lookup!I$1)),"no attestation")</f>
        <v>no attestation</v>
      </c>
      <c r="F15" s="2" t="str">
        <f>IF(AND(NOT(ISBLANK(InfoGard!G15)),InfoGard!G15&lt;&gt;"N/A"),IF(C15="All",CONCATENATE(Lookup!F$2,D15,Lookup!G$2,B15,Lookup!H$2,H$1,Lookup!I$2),CONCATENATE(Lookup!F$3,D15,Lookup!G$3,B15,Lookup!H$3)),"no url")</f>
        <v>no url</v>
      </c>
    </row>
    <row r="16" spans="1:8" hidden="1" x14ac:dyDescent="0.25">
      <c r="A16" s="2" t="b">
        <f>IF(ISBLANK(InfoGard!D16),FALSE,LOOKUP(InfoGard!D16,Lookup!$A$2:$B$4))</f>
        <v>0</v>
      </c>
      <c r="B16" s="2" t="b">
        <f>IF(ISBLANK(InfoGard!E16),FALSE,RIGHT(TRIM(InfoGard!E16),15))</f>
        <v>0</v>
      </c>
      <c r="C16" s="2" t="b">
        <f>IF(ISBLANK(InfoGard!F16),FALSE,LOOKUP(InfoGard!F16,Lookup!$A$6:$B$7))</f>
        <v>0</v>
      </c>
      <c r="D16" s="2" t="b">
        <f>IF(ISBLANK(InfoGard!G16),FALSE,InfoGard!G16)</f>
        <v>0</v>
      </c>
      <c r="E16" s="2" t="str">
        <f>IF(NOT(ISBLANK(InfoGard!D16)),IF(OR(ISBLANK(InfoGard!E16),InfoGard!E16="N/A"),"no acb code",CONCATENATE(Lookup!F$1,A16,Lookup!G$1,B16,Lookup!H$1,H$1,Lookup!I$1)),"no attestation")</f>
        <v>no attestation</v>
      </c>
      <c r="F16" s="2" t="str">
        <f>IF(AND(NOT(ISBLANK(InfoGard!G16)),InfoGard!G16&lt;&gt;"N/A"),IF(C16="All",CONCATENATE(Lookup!F$2,D16,Lookup!G$2,B16,Lookup!H$2,H$1,Lookup!I$2),CONCATENATE(Lookup!F$3,D16,Lookup!G$3,B16,Lookup!H$3)),"no url")</f>
        <v>no url</v>
      </c>
    </row>
    <row r="17" spans="1:6" hidden="1" x14ac:dyDescent="0.25">
      <c r="A17" s="2" t="b">
        <f>IF(ISBLANK(InfoGard!D17),FALSE,LOOKUP(InfoGard!D17,Lookup!$A$2:$B$4))</f>
        <v>0</v>
      </c>
      <c r="B17" s="2" t="b">
        <f>IF(ISBLANK(InfoGard!E17),FALSE,RIGHT(TRIM(InfoGard!E17),15))</f>
        <v>0</v>
      </c>
      <c r="C17" s="2" t="b">
        <f>IF(ISBLANK(InfoGard!F17),FALSE,LOOKUP(InfoGard!F17,Lookup!$A$6:$B$7))</f>
        <v>0</v>
      </c>
      <c r="D17" s="2" t="b">
        <f>IF(ISBLANK(InfoGard!G17),FALSE,InfoGard!G17)</f>
        <v>0</v>
      </c>
      <c r="E17" s="2" t="str">
        <f>IF(NOT(ISBLANK(InfoGard!D17)),IF(OR(ISBLANK(InfoGard!E17),InfoGard!E17="N/A"),"no acb code",CONCATENATE(Lookup!F$1,A17,Lookup!G$1,B17,Lookup!H$1,H$1,Lookup!I$1)),"no attestation")</f>
        <v>no attestation</v>
      </c>
      <c r="F17" s="2" t="str">
        <f>IF(AND(NOT(ISBLANK(InfoGard!G17)),InfoGard!G17&lt;&gt;"N/A"),IF(C17="All",CONCATENATE(Lookup!F$2,D17,Lookup!G$2,B17,Lookup!H$2,H$1,Lookup!I$2),CONCATENATE(Lookup!F$3,D17,Lookup!G$3,B17,Lookup!H$3)),"no url")</f>
        <v>no url</v>
      </c>
    </row>
    <row r="18" spans="1:6" hidden="1" x14ac:dyDescent="0.25">
      <c r="A18" s="2" t="b">
        <f>IF(ISBLANK(InfoGard!D18),FALSE,LOOKUP(InfoGard!D18,Lookup!$A$2:$B$4))</f>
        <v>0</v>
      </c>
      <c r="B18" s="2" t="b">
        <f>IF(ISBLANK(InfoGard!E18),FALSE,RIGHT(TRIM(InfoGard!E18),15))</f>
        <v>0</v>
      </c>
      <c r="C18" s="2" t="b">
        <f>IF(ISBLANK(InfoGard!F18),FALSE,LOOKUP(InfoGard!F18,Lookup!$A$6:$B$7))</f>
        <v>0</v>
      </c>
      <c r="D18" s="2" t="b">
        <f>IF(ISBLANK(InfoGard!G18),FALSE,InfoGard!G18)</f>
        <v>0</v>
      </c>
      <c r="E18" s="2" t="str">
        <f>IF(NOT(ISBLANK(InfoGard!D18)),IF(OR(ISBLANK(InfoGard!E18),InfoGard!E18="N/A"),"no acb code",CONCATENATE(Lookup!F$1,A18,Lookup!G$1,B18,Lookup!H$1,H$1,Lookup!I$1)),"no attestation")</f>
        <v>no attestation</v>
      </c>
      <c r="F18" s="2" t="str">
        <f>IF(AND(NOT(ISBLANK(InfoGard!G18)),InfoGard!G18&lt;&gt;"N/A"),IF(C18="All",CONCATENATE(Lookup!F$2,D18,Lookup!G$2,B18,Lookup!H$2,H$1,Lookup!I$2),CONCATENATE(Lookup!F$3,D18,Lookup!G$3,B18,Lookup!H$3)),"no url")</f>
        <v>no url</v>
      </c>
    </row>
    <row r="19" spans="1:6" hidden="1" x14ac:dyDescent="0.25">
      <c r="A19" s="2" t="b">
        <f>IF(ISBLANK(InfoGard!D19),FALSE,LOOKUP(InfoGard!D19,Lookup!$A$2:$B$4))</f>
        <v>0</v>
      </c>
      <c r="B19" s="2" t="b">
        <f>IF(ISBLANK(InfoGard!E19),FALSE,RIGHT(TRIM(InfoGard!E19),15))</f>
        <v>0</v>
      </c>
      <c r="C19" s="2" t="b">
        <f>IF(ISBLANK(InfoGard!F19),FALSE,LOOKUP(InfoGard!F19,Lookup!$A$6:$B$7))</f>
        <v>0</v>
      </c>
      <c r="D19" s="2" t="b">
        <f>IF(ISBLANK(InfoGard!G19),FALSE,InfoGard!G19)</f>
        <v>0</v>
      </c>
      <c r="E19" s="2" t="str">
        <f>IF(NOT(ISBLANK(InfoGard!D19)),IF(OR(ISBLANK(InfoGard!E19),InfoGard!E19="N/A"),"no acb code",CONCATENATE(Lookup!F$1,A19,Lookup!G$1,B19,Lookup!H$1,H$1,Lookup!I$1)),"no attestation")</f>
        <v>no attestation</v>
      </c>
      <c r="F19" s="2" t="str">
        <f>IF(AND(NOT(ISBLANK(InfoGard!G19)),InfoGard!G19&lt;&gt;"N/A"),IF(C19="All",CONCATENATE(Lookup!F$2,D19,Lookup!G$2,B19,Lookup!H$2,H$1,Lookup!I$2),CONCATENATE(Lookup!F$3,D19,Lookup!G$3,B19,Lookup!H$3)),"no url")</f>
        <v>no url</v>
      </c>
    </row>
    <row r="20" spans="1:6" hidden="1" x14ac:dyDescent="0.25">
      <c r="A20" s="2" t="b">
        <f>IF(ISBLANK(InfoGard!D20),FALSE,LOOKUP(InfoGard!D20,Lookup!$A$2:$B$4))</f>
        <v>0</v>
      </c>
      <c r="B20" s="2" t="b">
        <f>IF(ISBLANK(InfoGard!E20),FALSE,RIGHT(TRIM(InfoGard!E20),15))</f>
        <v>0</v>
      </c>
      <c r="C20" s="2" t="b">
        <f>IF(ISBLANK(InfoGard!F20),FALSE,LOOKUP(InfoGard!F20,Lookup!$A$6:$B$7))</f>
        <v>0</v>
      </c>
      <c r="D20" s="2" t="b">
        <f>IF(ISBLANK(InfoGard!G20),FALSE,InfoGard!G20)</f>
        <v>0</v>
      </c>
      <c r="E20" s="2" t="str">
        <f>IF(NOT(ISBLANK(InfoGard!D20)),IF(OR(ISBLANK(InfoGard!E20),InfoGard!E20="N/A"),"no acb code",CONCATENATE(Lookup!F$1,A20,Lookup!G$1,B20,Lookup!H$1,H$1,Lookup!I$1)),"no attestation")</f>
        <v>no attestation</v>
      </c>
      <c r="F20" s="2" t="str">
        <f>IF(AND(NOT(ISBLANK(InfoGard!G20)),InfoGard!G20&lt;&gt;"N/A"),IF(C20="All",CONCATENATE(Lookup!F$2,D20,Lookup!G$2,B20,Lookup!H$2,H$1,Lookup!I$2),CONCATENATE(Lookup!F$3,D20,Lookup!G$3,B20,Lookup!H$3)),"no url")</f>
        <v>no url</v>
      </c>
    </row>
    <row r="21" spans="1:6" hidden="1" x14ac:dyDescent="0.25">
      <c r="A21" s="2" t="b">
        <f>IF(ISBLANK(InfoGard!D21),FALSE,LOOKUP(InfoGard!D21,Lookup!$A$2:$B$4))</f>
        <v>0</v>
      </c>
      <c r="B21" s="2" t="b">
        <f>IF(ISBLANK(InfoGard!E21),FALSE,RIGHT(TRIM(InfoGard!E21),15))</f>
        <v>0</v>
      </c>
      <c r="C21" s="2" t="b">
        <f>IF(ISBLANK(InfoGard!F21),FALSE,LOOKUP(InfoGard!F21,Lookup!$A$6:$B$7))</f>
        <v>0</v>
      </c>
      <c r="D21" s="2" t="b">
        <f>IF(ISBLANK(InfoGard!G21),FALSE,InfoGard!G21)</f>
        <v>0</v>
      </c>
      <c r="E21" s="2" t="str">
        <f>IF(NOT(ISBLANK(InfoGard!D21)),IF(OR(ISBLANK(InfoGard!E21),InfoGard!E21="N/A"),"no acb code",CONCATENATE(Lookup!F$1,A21,Lookup!G$1,B21,Lookup!H$1,H$1,Lookup!I$1)),"no attestation")</f>
        <v>no attestation</v>
      </c>
      <c r="F21" s="2" t="str">
        <f>IF(AND(NOT(ISBLANK(InfoGard!G21)),InfoGard!G21&lt;&gt;"N/A"),IF(C21="All",CONCATENATE(Lookup!F$2,D21,Lookup!G$2,B21,Lookup!H$2,H$1,Lookup!I$2),CONCATENATE(Lookup!F$3,D21,Lookup!G$3,B21,Lookup!H$3)),"no url")</f>
        <v>no url</v>
      </c>
    </row>
    <row r="22" spans="1:6" hidden="1" x14ac:dyDescent="0.25">
      <c r="A22" s="2" t="b">
        <f>IF(ISBLANK(InfoGard!D22),FALSE,LOOKUP(InfoGard!D22,Lookup!$A$2:$B$4))</f>
        <v>0</v>
      </c>
      <c r="B22" s="2" t="b">
        <f>IF(ISBLANK(InfoGard!E22),FALSE,RIGHT(TRIM(InfoGard!E22),15))</f>
        <v>0</v>
      </c>
      <c r="C22" s="2" t="b">
        <f>IF(ISBLANK(InfoGard!F22),FALSE,LOOKUP(InfoGard!F22,Lookup!$A$6:$B$7))</f>
        <v>0</v>
      </c>
      <c r="D22" s="2" t="b">
        <f>IF(ISBLANK(InfoGard!G22),FALSE,InfoGard!G22)</f>
        <v>0</v>
      </c>
      <c r="E22" s="2" t="str">
        <f>IF(NOT(ISBLANK(InfoGard!D22)),IF(OR(ISBLANK(InfoGard!E22),InfoGard!E22="N/A"),"no acb code",CONCATENATE(Lookup!F$1,A22,Lookup!G$1,B22,Lookup!H$1,H$1,Lookup!I$1)),"no attestation")</f>
        <v>no attestation</v>
      </c>
      <c r="F22" s="2" t="str">
        <f>IF(AND(NOT(ISBLANK(InfoGard!G22)),InfoGard!G22&lt;&gt;"N/A"),IF(C22="All",CONCATENATE(Lookup!F$2,D22,Lookup!G$2,B22,Lookup!H$2,H$1,Lookup!I$2),CONCATENATE(Lookup!F$3,D22,Lookup!G$3,B22,Lookup!H$3)),"no url")</f>
        <v>no url</v>
      </c>
    </row>
    <row r="23" spans="1:6" hidden="1" x14ac:dyDescent="0.25">
      <c r="A23" s="2" t="b">
        <f>IF(ISBLANK(InfoGard!D23),FALSE,LOOKUP(InfoGard!D23,Lookup!$A$2:$B$4))</f>
        <v>0</v>
      </c>
      <c r="B23" s="2" t="b">
        <f>IF(ISBLANK(InfoGard!E23),FALSE,RIGHT(TRIM(InfoGard!E23),15))</f>
        <v>0</v>
      </c>
      <c r="C23" s="2" t="b">
        <f>IF(ISBLANK(InfoGard!F23),FALSE,LOOKUP(InfoGard!F23,Lookup!$A$6:$B$7))</f>
        <v>0</v>
      </c>
      <c r="D23" s="2" t="b">
        <f>IF(ISBLANK(InfoGard!G23),FALSE,InfoGard!G23)</f>
        <v>0</v>
      </c>
      <c r="E23" s="2" t="str">
        <f>IF(NOT(ISBLANK(InfoGard!D23)),IF(OR(ISBLANK(InfoGard!E23),InfoGard!E23="N/A"),"no acb code",CONCATENATE(Lookup!F$1,A23,Lookup!G$1,B23,Lookup!H$1,H$1,Lookup!I$1)),"no attestation")</f>
        <v>no attestation</v>
      </c>
      <c r="F23" s="2" t="str">
        <f>IF(AND(NOT(ISBLANK(InfoGard!G23)),InfoGard!G23&lt;&gt;"N/A"),IF(C23="All",CONCATENATE(Lookup!F$2,D23,Lookup!G$2,B23,Lookup!H$2,H$1,Lookup!I$2),CONCATENATE(Lookup!F$3,D23,Lookup!G$3,B23,Lookup!H$3)),"no url")</f>
        <v>no url</v>
      </c>
    </row>
    <row r="24" spans="1:6" hidden="1" x14ac:dyDescent="0.25">
      <c r="A24" s="2" t="b">
        <f>IF(ISBLANK(InfoGard!D24),FALSE,LOOKUP(InfoGard!D24,Lookup!$A$2:$B$4))</f>
        <v>0</v>
      </c>
      <c r="B24" s="2" t="b">
        <f>IF(ISBLANK(InfoGard!E24),FALSE,RIGHT(TRIM(InfoGard!E24),15))</f>
        <v>0</v>
      </c>
      <c r="C24" s="2" t="b">
        <f>IF(ISBLANK(InfoGard!F24),FALSE,LOOKUP(InfoGard!F24,Lookup!$A$6:$B$7))</f>
        <v>0</v>
      </c>
      <c r="D24" s="2" t="b">
        <f>IF(ISBLANK(InfoGard!G24),FALSE,InfoGard!G24)</f>
        <v>0</v>
      </c>
      <c r="E24" s="2" t="str">
        <f>IF(NOT(ISBLANK(InfoGard!D24)),IF(OR(ISBLANK(InfoGard!E24),InfoGard!E24="N/A"),"no acb code",CONCATENATE(Lookup!F$1,A24,Lookup!G$1,B24,Lookup!H$1,H$1,Lookup!I$1)),"no attestation")</f>
        <v>no attestation</v>
      </c>
      <c r="F24" s="2" t="str">
        <f>IF(AND(NOT(ISBLANK(InfoGard!G24)),InfoGard!G24&lt;&gt;"N/A"),IF(C24="All",CONCATENATE(Lookup!F$2,D24,Lookup!G$2,B24,Lookup!H$2,H$1,Lookup!I$2),CONCATENATE(Lookup!F$3,D24,Lookup!G$3,B24,Lookup!H$3)),"no url")</f>
        <v>no url</v>
      </c>
    </row>
    <row r="25" spans="1:6" hidden="1" x14ac:dyDescent="0.25">
      <c r="A25" s="2" t="b">
        <f>IF(ISBLANK(InfoGard!D25),FALSE,LOOKUP(InfoGard!D25,Lookup!$A$2:$B$4))</f>
        <v>0</v>
      </c>
      <c r="B25" s="2" t="b">
        <f>IF(ISBLANK(InfoGard!E25),FALSE,RIGHT(TRIM(InfoGard!E25),15))</f>
        <v>0</v>
      </c>
      <c r="C25" s="2" t="b">
        <f>IF(ISBLANK(InfoGard!F25),FALSE,LOOKUP(InfoGard!F25,Lookup!$A$6:$B$7))</f>
        <v>0</v>
      </c>
      <c r="D25" s="2" t="b">
        <f>IF(ISBLANK(InfoGard!G25),FALSE,InfoGard!G25)</f>
        <v>0</v>
      </c>
      <c r="E25" s="2" t="str">
        <f>IF(NOT(ISBLANK(InfoGard!D25)),IF(OR(ISBLANK(InfoGard!E25),InfoGard!E25="N/A"),"no acb code",CONCATENATE(Lookup!F$1,A25,Lookup!G$1,B25,Lookup!H$1,H$1,Lookup!I$1)),"no attestation")</f>
        <v>no attestation</v>
      </c>
      <c r="F25" s="2" t="str">
        <f>IF(AND(NOT(ISBLANK(InfoGard!G25)),InfoGard!G25&lt;&gt;"N/A"),IF(C25="All",CONCATENATE(Lookup!F$2,D25,Lookup!G$2,B25,Lookup!H$2,H$1,Lookup!I$2),CONCATENATE(Lookup!F$3,D25,Lookup!G$3,B25,Lookup!H$3)),"no url")</f>
        <v>no url</v>
      </c>
    </row>
    <row r="26" spans="1:6" hidden="1" x14ac:dyDescent="0.25">
      <c r="A26" s="2" t="b">
        <f>IF(ISBLANK(InfoGard!D26),FALSE,LOOKUP(InfoGard!D26,Lookup!$A$2:$B$4))</f>
        <v>0</v>
      </c>
      <c r="B26" s="2" t="b">
        <f>IF(ISBLANK(InfoGard!E26),FALSE,RIGHT(TRIM(InfoGard!E26),15))</f>
        <v>0</v>
      </c>
      <c r="C26" s="2" t="b">
        <f>IF(ISBLANK(InfoGard!F26),FALSE,LOOKUP(InfoGard!F26,Lookup!$A$6:$B$7))</f>
        <v>0</v>
      </c>
      <c r="D26" s="2" t="b">
        <f>IF(ISBLANK(InfoGard!G26),FALSE,InfoGard!G26)</f>
        <v>0</v>
      </c>
      <c r="E26" s="2" t="str">
        <f>IF(NOT(ISBLANK(InfoGard!D26)),IF(OR(ISBLANK(InfoGard!E26),InfoGard!E26="N/A"),"no acb code",CONCATENATE(Lookup!F$1,A26,Lookup!G$1,B26,Lookup!H$1,H$1,Lookup!I$1)),"no attestation")</f>
        <v>no attestation</v>
      </c>
      <c r="F26" s="2" t="str">
        <f>IF(AND(NOT(ISBLANK(InfoGard!G26)),InfoGard!G26&lt;&gt;"N/A"),IF(C26="All",CONCATENATE(Lookup!F$2,D26,Lookup!G$2,B26,Lookup!H$2,H$1,Lookup!I$2),CONCATENATE(Lookup!F$3,D26,Lookup!G$3,B26,Lookup!H$3)),"no url")</f>
        <v>no url</v>
      </c>
    </row>
    <row r="27" spans="1:6" hidden="1" x14ac:dyDescent="0.25">
      <c r="A27" s="2" t="b">
        <f>IF(ISBLANK(InfoGard!D27),FALSE,LOOKUP(InfoGard!D27,Lookup!$A$2:$B$4))</f>
        <v>0</v>
      </c>
      <c r="B27" s="2" t="b">
        <f>IF(ISBLANK(InfoGard!E27),FALSE,RIGHT(TRIM(InfoGard!E27),15))</f>
        <v>0</v>
      </c>
      <c r="C27" s="2" t="b">
        <f>IF(ISBLANK(InfoGard!F27),FALSE,LOOKUP(InfoGard!F27,Lookup!$A$6:$B$7))</f>
        <v>0</v>
      </c>
      <c r="D27" s="2" t="b">
        <f>IF(ISBLANK(InfoGard!G27),FALSE,InfoGard!G27)</f>
        <v>0</v>
      </c>
      <c r="E27" s="2" t="str">
        <f>IF(NOT(ISBLANK(InfoGard!D27)),IF(OR(ISBLANK(InfoGard!E27),InfoGard!E27="N/A"),"no acb code",CONCATENATE(Lookup!F$1,A27,Lookup!G$1,B27,Lookup!H$1,H$1,Lookup!I$1)),"no attestation")</f>
        <v>no attestation</v>
      </c>
      <c r="F27" s="2" t="str">
        <f>IF(AND(NOT(ISBLANK(InfoGard!G27)),InfoGard!G27&lt;&gt;"N/A"),IF(C27="All",CONCATENATE(Lookup!F$2,D27,Lookup!G$2,B27,Lookup!H$2,H$1,Lookup!I$2),CONCATENATE(Lookup!F$3,D27,Lookup!G$3,B27,Lookup!H$3)),"no url")</f>
        <v>no url</v>
      </c>
    </row>
    <row r="28" spans="1:6" hidden="1" x14ac:dyDescent="0.25">
      <c r="A28" s="2" t="b">
        <f>IF(ISBLANK(InfoGard!D28),FALSE,LOOKUP(InfoGard!D28,Lookup!$A$2:$B$4))</f>
        <v>0</v>
      </c>
      <c r="B28" s="2" t="b">
        <f>IF(ISBLANK(InfoGard!E28),FALSE,RIGHT(TRIM(InfoGard!E28),15))</f>
        <v>0</v>
      </c>
      <c r="C28" s="2" t="b">
        <f>IF(ISBLANK(InfoGard!F28),FALSE,LOOKUP(InfoGard!F28,Lookup!$A$6:$B$7))</f>
        <v>0</v>
      </c>
      <c r="D28" s="2" t="b">
        <f>IF(ISBLANK(InfoGard!G28),FALSE,InfoGard!G28)</f>
        <v>0</v>
      </c>
      <c r="E28" s="2" t="str">
        <f>IF(NOT(ISBLANK(InfoGard!D28)),IF(OR(ISBLANK(InfoGard!E28),InfoGard!E28="N/A"),"no acb code",CONCATENATE(Lookup!F$1,A28,Lookup!G$1,B28,Lookup!H$1,H$1,Lookup!I$1)),"no attestation")</f>
        <v>no attestation</v>
      </c>
      <c r="F28" s="2" t="str">
        <f>IF(AND(NOT(ISBLANK(InfoGard!G28)),InfoGard!G28&lt;&gt;"N/A"),IF(C28="All",CONCATENATE(Lookup!F$2,D28,Lookup!G$2,B28,Lookup!H$2,H$1,Lookup!I$2),CONCATENATE(Lookup!F$3,D28,Lookup!G$3,B28,Lookup!H$3)),"no url")</f>
        <v>no url</v>
      </c>
    </row>
    <row r="29" spans="1:6" hidden="1" x14ac:dyDescent="0.25">
      <c r="A29" s="2" t="b">
        <f>IF(ISBLANK(InfoGard!D29),FALSE,LOOKUP(InfoGard!D29,Lookup!$A$2:$B$4))</f>
        <v>0</v>
      </c>
      <c r="B29" s="2" t="b">
        <f>IF(ISBLANK(InfoGard!E29),FALSE,RIGHT(TRIM(InfoGard!E29),15))</f>
        <v>0</v>
      </c>
      <c r="C29" s="2" t="b">
        <f>IF(ISBLANK(InfoGard!F29),FALSE,LOOKUP(InfoGard!F29,Lookup!$A$6:$B$7))</f>
        <v>0</v>
      </c>
      <c r="D29" s="2" t="b">
        <f>IF(ISBLANK(InfoGard!G29),FALSE,InfoGard!G29)</f>
        <v>0</v>
      </c>
      <c r="E29" s="2" t="str">
        <f>IF(NOT(ISBLANK(InfoGard!D29)),IF(OR(ISBLANK(InfoGard!E29),InfoGard!E29="N/A"),"no acb code",CONCATENATE(Lookup!F$1,A29,Lookup!G$1,B29,Lookup!H$1,H$1,Lookup!I$1)),"no attestation")</f>
        <v>no attestation</v>
      </c>
      <c r="F29" s="2" t="str">
        <f>IF(AND(NOT(ISBLANK(InfoGard!G29)),InfoGard!G29&lt;&gt;"N/A"),IF(C29="All",CONCATENATE(Lookup!F$2,D29,Lookup!G$2,B29,Lookup!H$2,H$1,Lookup!I$2),CONCATENATE(Lookup!F$3,D29,Lookup!G$3,B29,Lookup!H$3)),"no url")</f>
        <v>no url</v>
      </c>
    </row>
    <row r="30" spans="1:6" hidden="1" x14ac:dyDescent="0.25">
      <c r="A30" s="2" t="b">
        <f>IF(ISBLANK(InfoGard!D30),FALSE,LOOKUP(InfoGard!D30,Lookup!$A$2:$B$4))</f>
        <v>0</v>
      </c>
      <c r="B30" s="2" t="b">
        <f>IF(ISBLANK(InfoGard!E30),FALSE,RIGHT(TRIM(InfoGard!E30),15))</f>
        <v>0</v>
      </c>
      <c r="C30" s="2" t="b">
        <f>IF(ISBLANK(InfoGard!F30),FALSE,LOOKUP(InfoGard!F30,Lookup!$A$6:$B$7))</f>
        <v>0</v>
      </c>
      <c r="D30" s="2" t="b">
        <f>IF(ISBLANK(InfoGard!G30),FALSE,InfoGard!G30)</f>
        <v>0</v>
      </c>
      <c r="E30" s="2" t="str">
        <f>IF(NOT(ISBLANK(InfoGard!D30)),IF(OR(ISBLANK(InfoGard!E30),InfoGard!E30="N/A"),"no acb code",CONCATENATE(Lookup!F$1,A30,Lookup!G$1,B30,Lookup!H$1,H$1,Lookup!I$1)),"no attestation")</f>
        <v>no attestation</v>
      </c>
      <c r="F30" s="2" t="str">
        <f>IF(AND(NOT(ISBLANK(InfoGard!G30)),InfoGard!G30&lt;&gt;"N/A"),IF(C30="All",CONCATENATE(Lookup!F$2,D30,Lookup!G$2,B30,Lookup!H$2,H$1,Lookup!I$2),CONCATENATE(Lookup!F$3,D30,Lookup!G$3,B30,Lookup!H$3)),"no url")</f>
        <v>no url</v>
      </c>
    </row>
    <row r="31" spans="1:6" hidden="1" x14ac:dyDescent="0.25">
      <c r="A31" s="2" t="b">
        <f>IF(ISBLANK(InfoGard!D31),FALSE,LOOKUP(InfoGard!D31,Lookup!$A$2:$B$4))</f>
        <v>0</v>
      </c>
      <c r="B31" s="2" t="b">
        <f>IF(ISBLANK(InfoGard!E31),FALSE,RIGHT(TRIM(InfoGard!E31),15))</f>
        <v>0</v>
      </c>
      <c r="C31" s="2" t="b">
        <f>IF(ISBLANK(InfoGard!F31),FALSE,LOOKUP(InfoGard!F31,Lookup!$A$6:$B$7))</f>
        <v>0</v>
      </c>
      <c r="D31" s="2" t="b">
        <f>IF(ISBLANK(InfoGard!G31),FALSE,InfoGard!G31)</f>
        <v>0</v>
      </c>
      <c r="E31" s="2" t="str">
        <f>IF(NOT(ISBLANK(InfoGard!D31)),IF(OR(ISBLANK(InfoGard!E31),InfoGard!E31="N/A"),"no acb code",CONCATENATE(Lookup!F$1,A31,Lookup!G$1,B31,Lookup!H$1,H$1,Lookup!I$1)),"no attestation")</f>
        <v>no attestation</v>
      </c>
      <c r="F31" s="2" t="str">
        <f>IF(AND(NOT(ISBLANK(InfoGard!G31)),InfoGard!G31&lt;&gt;"N/A"),IF(C31="All",CONCATENATE(Lookup!F$2,D31,Lookup!G$2,B31,Lookup!H$2,H$1,Lookup!I$2),CONCATENATE(Lookup!F$3,D31,Lookup!G$3,B31,Lookup!H$3)),"no url")</f>
        <v>no url</v>
      </c>
    </row>
    <row r="32" spans="1:6" hidden="1" x14ac:dyDescent="0.25">
      <c r="A32" s="2" t="b">
        <f>IF(ISBLANK(InfoGard!D32),FALSE,LOOKUP(InfoGard!D32,Lookup!$A$2:$B$4))</f>
        <v>0</v>
      </c>
      <c r="B32" s="2" t="b">
        <f>IF(ISBLANK(InfoGard!E32),FALSE,RIGHT(TRIM(InfoGard!E32),15))</f>
        <v>0</v>
      </c>
      <c r="C32" s="2" t="b">
        <f>IF(ISBLANK(InfoGard!F32),FALSE,LOOKUP(InfoGard!F32,Lookup!$A$6:$B$7))</f>
        <v>0</v>
      </c>
      <c r="D32" s="2" t="b">
        <f>IF(ISBLANK(InfoGard!G32),FALSE,InfoGard!G32)</f>
        <v>0</v>
      </c>
      <c r="E32" s="2" t="str">
        <f>IF(NOT(ISBLANK(InfoGard!D32)),IF(OR(ISBLANK(InfoGard!E32),InfoGard!E32="N/A"),"no acb code",CONCATENATE(Lookup!F$1,A32,Lookup!G$1,B32,Lookup!H$1,H$1,Lookup!I$1)),"no attestation")</f>
        <v>no attestation</v>
      </c>
      <c r="F32" s="2" t="str">
        <f>IF(AND(NOT(ISBLANK(InfoGard!G32)),InfoGard!G32&lt;&gt;"N/A"),IF(C32="All",CONCATENATE(Lookup!F$2,D32,Lookup!G$2,B32,Lookup!H$2,H$1,Lookup!I$2),CONCATENATE(Lookup!F$3,D32,Lookup!G$3,B32,Lookup!H$3)),"no url")</f>
        <v>no url</v>
      </c>
    </row>
    <row r="33" spans="1:6" hidden="1" x14ac:dyDescent="0.25">
      <c r="A33" s="2" t="b">
        <f>IF(ISBLANK(InfoGard!D33),FALSE,LOOKUP(InfoGard!D33,Lookup!$A$2:$B$4))</f>
        <v>0</v>
      </c>
      <c r="B33" s="2" t="b">
        <f>IF(ISBLANK(InfoGard!E33),FALSE,RIGHT(TRIM(InfoGard!E33),15))</f>
        <v>0</v>
      </c>
      <c r="C33" s="2" t="b">
        <f>IF(ISBLANK(InfoGard!F33),FALSE,LOOKUP(InfoGard!F33,Lookup!$A$6:$B$7))</f>
        <v>0</v>
      </c>
      <c r="D33" s="2" t="b">
        <f>IF(ISBLANK(InfoGard!G33),FALSE,InfoGard!G33)</f>
        <v>0</v>
      </c>
      <c r="E33" s="2" t="str">
        <f>IF(NOT(ISBLANK(InfoGard!D33)),IF(OR(ISBLANK(InfoGard!E33),InfoGard!E33="N/A"),"no acb code",CONCATENATE(Lookup!F$1,A33,Lookup!G$1,B33,Lookup!H$1,H$1,Lookup!I$1)),"no attestation")</f>
        <v>no attestation</v>
      </c>
      <c r="F33" s="2" t="str">
        <f>IF(AND(NOT(ISBLANK(InfoGard!G33)),InfoGard!G33&lt;&gt;"N/A"),IF(C33="All",CONCATENATE(Lookup!F$2,D33,Lookup!G$2,B33,Lookup!H$2,H$1,Lookup!I$2),CONCATENATE(Lookup!F$3,D33,Lookup!G$3,B33,Lookup!H$3)),"no url")</f>
        <v>no url</v>
      </c>
    </row>
    <row r="34" spans="1:6" hidden="1" x14ac:dyDescent="0.25">
      <c r="A34" s="2" t="b">
        <f>IF(ISBLANK(InfoGard!D34),FALSE,LOOKUP(InfoGard!D34,Lookup!$A$2:$B$4))</f>
        <v>0</v>
      </c>
      <c r="B34" s="2" t="b">
        <f>IF(ISBLANK(InfoGard!E34),FALSE,RIGHT(TRIM(InfoGard!E34),15))</f>
        <v>0</v>
      </c>
      <c r="C34" s="2" t="b">
        <f>IF(ISBLANK(InfoGard!F34),FALSE,LOOKUP(InfoGard!F34,Lookup!$A$6:$B$7))</f>
        <v>0</v>
      </c>
      <c r="D34" s="2" t="b">
        <f>IF(ISBLANK(InfoGard!G34),FALSE,InfoGard!G34)</f>
        <v>0</v>
      </c>
      <c r="E34" s="2" t="str">
        <f>IF(NOT(ISBLANK(InfoGard!D34)),IF(OR(ISBLANK(InfoGard!E34),InfoGard!E34="N/A"),"no acb code",CONCATENATE(Lookup!F$1,A34,Lookup!G$1,B34,Lookup!H$1,H$1,Lookup!I$1)),"no attestation")</f>
        <v>no attestation</v>
      </c>
      <c r="F34" s="2" t="str">
        <f>IF(AND(NOT(ISBLANK(InfoGard!G34)),InfoGard!G34&lt;&gt;"N/A"),IF(C34="All",CONCATENATE(Lookup!F$2,D34,Lookup!G$2,B34,Lookup!H$2,H$1,Lookup!I$2),CONCATENATE(Lookup!F$3,D34,Lookup!G$3,B34,Lookup!H$3)),"no url")</f>
        <v>no url</v>
      </c>
    </row>
    <row r="35" spans="1:6" hidden="1" x14ac:dyDescent="0.25">
      <c r="A35" s="2" t="b">
        <f>IF(ISBLANK(InfoGard!D35),FALSE,LOOKUP(InfoGard!D35,Lookup!$A$2:$B$4))</f>
        <v>0</v>
      </c>
      <c r="B35" s="2" t="b">
        <f>IF(ISBLANK(InfoGard!E35),FALSE,RIGHT(TRIM(InfoGard!E35),15))</f>
        <v>0</v>
      </c>
      <c r="C35" s="2" t="b">
        <f>IF(ISBLANK(InfoGard!F35),FALSE,LOOKUP(InfoGard!F35,Lookup!$A$6:$B$7))</f>
        <v>0</v>
      </c>
      <c r="D35" s="2" t="b">
        <f>IF(ISBLANK(InfoGard!G35),FALSE,InfoGard!G35)</f>
        <v>0</v>
      </c>
      <c r="E35" s="2" t="str">
        <f>IF(NOT(ISBLANK(InfoGard!D35)),IF(OR(ISBLANK(InfoGard!E35),InfoGard!E35="N/A"),"no acb code",CONCATENATE(Lookup!F$1,A35,Lookup!G$1,B35,Lookup!H$1,H$1,Lookup!I$1)),"no attestation")</f>
        <v>no attestation</v>
      </c>
      <c r="F35" s="2" t="str">
        <f>IF(AND(NOT(ISBLANK(InfoGard!G35)),InfoGard!G35&lt;&gt;"N/A"),IF(C35="All",CONCATENATE(Lookup!F$2,D35,Lookup!G$2,B35,Lookup!H$2,H$1,Lookup!I$2),CONCATENATE(Lookup!F$3,D35,Lookup!G$3,B35,Lookup!H$3)),"no url")</f>
        <v>no url</v>
      </c>
    </row>
    <row r="36" spans="1:6" hidden="1" x14ac:dyDescent="0.25">
      <c r="A36" s="2" t="b">
        <f>IF(ISBLANK(InfoGard!D36),FALSE,LOOKUP(InfoGard!D36,Lookup!$A$2:$B$4))</f>
        <v>0</v>
      </c>
      <c r="B36" s="2" t="b">
        <f>IF(ISBLANK(InfoGard!E36),FALSE,RIGHT(TRIM(InfoGard!E36),15))</f>
        <v>0</v>
      </c>
      <c r="C36" s="2" t="b">
        <f>IF(ISBLANK(InfoGard!F36),FALSE,LOOKUP(InfoGard!F36,Lookup!$A$6:$B$7))</f>
        <v>0</v>
      </c>
      <c r="D36" s="2" t="b">
        <f>IF(ISBLANK(InfoGard!G36),FALSE,InfoGard!G36)</f>
        <v>0</v>
      </c>
      <c r="E36" s="2" t="str">
        <f>IF(NOT(ISBLANK(InfoGard!D36)),IF(OR(ISBLANK(InfoGard!E36),InfoGard!E36="N/A"),"no acb code",CONCATENATE(Lookup!F$1,A36,Lookup!G$1,B36,Lookup!H$1,H$1,Lookup!I$1)),"no attestation")</f>
        <v>no attestation</v>
      </c>
      <c r="F36" s="2" t="str">
        <f>IF(AND(NOT(ISBLANK(InfoGard!G36)),InfoGard!G36&lt;&gt;"N/A"),IF(C36="All",CONCATENATE(Lookup!F$2,D36,Lookup!G$2,B36,Lookup!H$2,H$1,Lookup!I$2),CONCATENATE(Lookup!F$3,D36,Lookup!G$3,B36,Lookup!H$3)),"no url")</f>
        <v>no url</v>
      </c>
    </row>
    <row r="37" spans="1:6" hidden="1" x14ac:dyDescent="0.25">
      <c r="A37" s="2" t="b">
        <f>IF(ISBLANK(InfoGard!D37),FALSE,LOOKUP(InfoGard!D37,Lookup!$A$2:$B$4))</f>
        <v>0</v>
      </c>
      <c r="B37" s="2" t="b">
        <f>IF(ISBLANK(InfoGard!E37),FALSE,RIGHT(TRIM(InfoGard!E37),15))</f>
        <v>0</v>
      </c>
      <c r="C37" s="2" t="b">
        <f>IF(ISBLANK(InfoGard!F37),FALSE,LOOKUP(InfoGard!F37,Lookup!$A$6:$B$7))</f>
        <v>0</v>
      </c>
      <c r="D37" s="2" t="b">
        <f>IF(ISBLANK(InfoGard!G37),FALSE,InfoGard!G37)</f>
        <v>0</v>
      </c>
      <c r="E37" s="2" t="str">
        <f>IF(NOT(ISBLANK(InfoGard!D37)),IF(OR(ISBLANK(InfoGard!E37),InfoGard!E37="N/A"),"no acb code",CONCATENATE(Lookup!F$1,A37,Lookup!G$1,B37,Lookup!H$1,H$1,Lookup!I$1)),"no attestation")</f>
        <v>no attestation</v>
      </c>
      <c r="F37" s="2" t="str">
        <f>IF(AND(NOT(ISBLANK(InfoGard!G37)),InfoGard!G37&lt;&gt;"N/A"),IF(C37="All",CONCATENATE(Lookup!F$2,D37,Lookup!G$2,B37,Lookup!H$2,H$1,Lookup!I$2),CONCATENATE(Lookup!F$3,D37,Lookup!G$3,B37,Lookup!H$3)),"no url")</f>
        <v>no url</v>
      </c>
    </row>
    <row r="38" spans="1:6" hidden="1" x14ac:dyDescent="0.25">
      <c r="A38" s="2" t="b">
        <f>IF(ISBLANK(InfoGard!D38),FALSE,LOOKUP(InfoGard!D38,Lookup!$A$2:$B$4))</f>
        <v>0</v>
      </c>
      <c r="B38" s="2" t="b">
        <f>IF(ISBLANK(InfoGard!E38),FALSE,RIGHT(TRIM(InfoGard!E38),15))</f>
        <v>0</v>
      </c>
      <c r="C38" s="2" t="b">
        <f>IF(ISBLANK(InfoGard!F38),FALSE,LOOKUP(InfoGard!F38,Lookup!$A$6:$B$7))</f>
        <v>0</v>
      </c>
      <c r="D38" s="2" t="b">
        <f>IF(ISBLANK(InfoGard!G38),FALSE,InfoGard!G38)</f>
        <v>0</v>
      </c>
      <c r="E38" s="2" t="str">
        <f>IF(NOT(ISBLANK(InfoGard!D38)),IF(OR(ISBLANK(InfoGard!E38),InfoGard!E38="N/A"),"no acb code",CONCATENATE(Lookup!F$1,A38,Lookup!G$1,B38,Lookup!H$1,H$1,Lookup!I$1)),"no attestation")</f>
        <v>no attestation</v>
      </c>
      <c r="F38" s="2" t="str">
        <f>IF(AND(NOT(ISBLANK(InfoGard!G38)),InfoGard!G38&lt;&gt;"N/A"),IF(C38="All",CONCATENATE(Lookup!F$2,D38,Lookup!G$2,B38,Lookup!H$2,H$1,Lookup!I$2),CONCATENATE(Lookup!F$3,D38,Lookup!G$3,B38,Lookup!H$3)),"no url")</f>
        <v>no url</v>
      </c>
    </row>
    <row r="39" spans="1:6" hidden="1" x14ac:dyDescent="0.25">
      <c r="A39" s="2" t="b">
        <f>IF(ISBLANK(InfoGard!D39),FALSE,LOOKUP(InfoGard!D39,Lookup!$A$2:$B$4))</f>
        <v>0</v>
      </c>
      <c r="B39" s="2" t="b">
        <f>IF(ISBLANK(InfoGard!E39),FALSE,RIGHT(TRIM(InfoGard!E39),15))</f>
        <v>0</v>
      </c>
      <c r="C39" s="2" t="b">
        <f>IF(ISBLANK(InfoGard!F39),FALSE,LOOKUP(InfoGard!F39,Lookup!$A$6:$B$7))</f>
        <v>0</v>
      </c>
      <c r="D39" s="2" t="b">
        <f>IF(ISBLANK(InfoGard!G39),FALSE,InfoGard!G39)</f>
        <v>0</v>
      </c>
      <c r="E39" s="2" t="str">
        <f>IF(NOT(ISBLANK(InfoGard!D39)),IF(OR(ISBLANK(InfoGard!E39),InfoGard!E39="N/A"),"no acb code",CONCATENATE(Lookup!F$1,A39,Lookup!G$1,B39,Lookup!H$1,H$1,Lookup!I$1)),"no attestation")</f>
        <v>no attestation</v>
      </c>
      <c r="F39" s="2" t="str">
        <f>IF(AND(NOT(ISBLANK(InfoGard!G39)),InfoGard!G39&lt;&gt;"N/A"),IF(C39="All",CONCATENATE(Lookup!F$2,D39,Lookup!G$2,B39,Lookup!H$2,H$1,Lookup!I$2),CONCATENATE(Lookup!F$3,D39,Lookup!G$3,B39,Lookup!H$3)),"no url")</f>
        <v>no url</v>
      </c>
    </row>
    <row r="40" spans="1:6" hidden="1" x14ac:dyDescent="0.25">
      <c r="A40" s="2" t="b">
        <f>IF(ISBLANK(InfoGard!D40),FALSE,LOOKUP(InfoGard!D40,Lookup!$A$2:$B$4))</f>
        <v>0</v>
      </c>
      <c r="B40" s="2" t="b">
        <f>IF(ISBLANK(InfoGard!E40),FALSE,RIGHT(TRIM(InfoGard!E40),15))</f>
        <v>0</v>
      </c>
      <c r="C40" s="2" t="b">
        <f>IF(ISBLANK(InfoGard!F40),FALSE,LOOKUP(InfoGard!F40,Lookup!$A$6:$B$7))</f>
        <v>0</v>
      </c>
      <c r="D40" s="2" t="b">
        <f>IF(ISBLANK(InfoGard!G40),FALSE,InfoGard!G40)</f>
        <v>0</v>
      </c>
      <c r="E40" s="2" t="str">
        <f>IF(NOT(ISBLANK(InfoGard!D40)),IF(OR(ISBLANK(InfoGard!E40),InfoGard!E40="N/A"),"no acb code",CONCATENATE(Lookup!F$1,A40,Lookup!G$1,B40,Lookup!H$1,H$1,Lookup!I$1)),"no attestation")</f>
        <v>no attestation</v>
      </c>
      <c r="F40" s="2" t="str">
        <f>IF(AND(NOT(ISBLANK(InfoGard!G40)),InfoGard!G40&lt;&gt;"N/A"),IF(C40="All",CONCATENATE(Lookup!F$2,D40,Lookup!G$2,B40,Lookup!H$2,H$1,Lookup!I$2),CONCATENATE(Lookup!F$3,D40,Lookup!G$3,B40,Lookup!H$3)),"no url")</f>
        <v>no url</v>
      </c>
    </row>
    <row r="41" spans="1:6" x14ac:dyDescent="0.25">
      <c r="A41" s="2" t="str">
        <f>IF(ISBLANK(InfoGard!D41),FALSE,LOOKUP(InfoGard!D41,Lookup!$A$2:$B$4))</f>
        <v>Negative</v>
      </c>
      <c r="B41" s="2" t="str">
        <f>IF(ISBLANK(InfoGard!E41),FALSE,RIGHT(TRIM(InfoGard!E41),15))</f>
        <v>IG-2524-14-0093</v>
      </c>
      <c r="C41" s="2" t="str">
        <f>IF(ISBLANK(InfoGard!F41),FALSE,LOOKUP(InfoGard!F41,Lookup!$A$6:$B$7))</f>
        <v>All</v>
      </c>
      <c r="D41" s="2" t="str">
        <f>IF(ISBLANK(InfoGard!G41),FALSE,InfoGard!G41)</f>
        <v>http://www.acurussolutions.com/Certification.html</v>
      </c>
      <c r="E41" s="2" t="str">
        <f>IF(NOT(ISBLANK(InfoGard!D41)),IF(OR(ISBLANK(InfoGard!E41),InfoGard!E41="N/A"),"no acb code",CONCATENATE(Lookup!F$1,A41,Lookup!G$1,B41,Lookup!H$1,H$1,Lookup!I$1)),"no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'IG-2524-14-0093' and cb."name" = 'InfoGard' and cp.product_version_id = pv.product_version_id and pv.product_id = p.product_id and p.vendor_id = vend.vendor_id;</v>
      </c>
      <c r="F41" s="2" t="str">
        <f>IF(AND(NOT(ISBLANK(InfoGard!G41)),InfoGard!G41&lt;&gt;"N/A"),IF(C41="All",CONCATENATE(Lookup!F$2,D41,Lookup!G$2,B41,Lookup!H$2,H$1,Lookup!I$2),CONCATENATE(Lookup!F$3,D41,Lookup!G$3,B41,Lookup!H$3)),"no url")</f>
        <v>update openchpl.certified_product as cp set transparency_attestation_url = 'http://www.acurussolutions.com/Certification.html' from (select certified_product_id from (select vend.vendor_code from openchpl.certified_product as cp, openchpl.product_version as pv, openchpl.product as p, openchpl.vendor as vend where cp.acb_certification_id = 'IG-2524-14-0093'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" spans="1:6" x14ac:dyDescent="0.25">
      <c r="A42" s="2" t="str">
        <f>IF(ISBLANK(InfoGard!D42),FALSE,LOOKUP(InfoGard!D42,Lookup!$A$2:$B$4))</f>
        <v>Affirmative</v>
      </c>
      <c r="B42" s="2" t="str">
        <f>IF(ISBLANK(InfoGard!E42),FALSE,RIGHT(TRIM(InfoGard!E42),15))</f>
        <v>IG-2487-14-0032</v>
      </c>
      <c r="C42" s="2" t="str">
        <f>IF(ISBLANK(InfoGard!F42),FALSE,LOOKUP(InfoGard!F42,Lookup!$A$6:$B$7))</f>
        <v>All</v>
      </c>
      <c r="D42" s="2" t="str">
        <f>IF(ISBLANK(InfoGard!G42),FALSE,InfoGard!G42)</f>
        <v>http://adaptamed.com/Home/ONCCertification</v>
      </c>
      <c r="E42" s="2" t="str">
        <f>IF(NOT(ISBLANK(InfoGard!D42)),IF(OR(ISBLANK(InfoGard!E42),InfoGard!E42="N/A"),"no acb code",CONCATENATE(Lookup!F$1,A42,Lookup!G$1,B42,Lookup!H$1,H$1,Lookup!I$1)),"no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'IG-2487-14-0032' and cb."name" = 'InfoGard' and cp.product_version_id = pv.product_version_id and pv.product_id = p.product_id and p.vendor_id = vend.vendor_id;</v>
      </c>
      <c r="F42" s="2" t="str">
        <f>IF(AND(NOT(ISBLANK(InfoGard!G42)),InfoGard!G42&lt;&gt;"N/A"),IF(C42="All",CONCATENATE(Lookup!F$2,D42,Lookup!G$2,B42,Lookup!H$2,H$1,Lookup!I$2),CONCATENATE(Lookup!F$3,D42,Lookup!G$3,B42,Lookup!H$3)),"no url")</f>
        <v>update openchpl.certified_product as cp set transparency_attestation_url = 'http://adaptamed.com/Home/ONCCertification' from (select certified_product_id from (select vend.vendor_code from openchpl.certified_product as cp, openchpl.product_version as pv, openchpl.product as p, openchpl.vendor as vend where cp.acb_certification_id = 'IG-2487-14-0032'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" spans="1:6" hidden="1" x14ac:dyDescent="0.25">
      <c r="A43" s="2" t="b">
        <f>IF(ISBLANK(InfoGard!D43),FALSE,LOOKUP(InfoGard!D43,Lookup!$A$2:$B$4))</f>
        <v>0</v>
      </c>
      <c r="B43" s="2" t="b">
        <f>IF(ISBLANK(InfoGard!E43),FALSE,RIGHT(TRIM(InfoGard!E43),15))</f>
        <v>0</v>
      </c>
      <c r="C43" s="2" t="b">
        <f>IF(ISBLANK(InfoGard!F43),FALSE,LOOKUP(InfoGard!F43,Lookup!$A$6:$B$7))</f>
        <v>0</v>
      </c>
      <c r="D43" s="2" t="b">
        <f>IF(ISBLANK(InfoGard!G43),FALSE,InfoGard!G43)</f>
        <v>0</v>
      </c>
      <c r="E43" s="2" t="str">
        <f>IF(NOT(ISBLANK(InfoGard!D43)),IF(OR(ISBLANK(InfoGard!E43),InfoGard!E43="N/A"),"no acb code",CONCATENATE(Lookup!F$1,A43,Lookup!G$1,B43,Lookup!H$1,H$1,Lookup!I$1)),"no attestation")</f>
        <v>no attestation</v>
      </c>
      <c r="F43" s="2" t="str">
        <f>IF(AND(NOT(ISBLANK(InfoGard!G43)),InfoGard!G43&lt;&gt;"N/A"),IF(C43="All",CONCATENATE(Lookup!F$2,D43,Lookup!G$2,B43,Lookup!H$2,H$1,Lookup!I$2),CONCATENATE(Lookup!F$3,D43,Lookup!G$3,B43,Lookup!H$3)),"no url")</f>
        <v>no url</v>
      </c>
    </row>
    <row r="44" spans="1:6" hidden="1" x14ac:dyDescent="0.25">
      <c r="A44" s="2" t="b">
        <f>IF(ISBLANK(InfoGard!D44),FALSE,LOOKUP(InfoGard!D44,Lookup!$A$2:$B$4))</f>
        <v>0</v>
      </c>
      <c r="B44" s="2" t="b">
        <f>IF(ISBLANK(InfoGard!E44),FALSE,RIGHT(TRIM(InfoGard!E44),15))</f>
        <v>0</v>
      </c>
      <c r="C44" s="2" t="b">
        <f>IF(ISBLANK(InfoGard!F44),FALSE,LOOKUP(InfoGard!F44,Lookup!$A$6:$B$7))</f>
        <v>0</v>
      </c>
      <c r="D44" s="2" t="b">
        <f>IF(ISBLANK(InfoGard!G44),FALSE,InfoGard!G44)</f>
        <v>0</v>
      </c>
      <c r="E44" s="2" t="str">
        <f>IF(NOT(ISBLANK(InfoGard!D44)),IF(OR(ISBLANK(InfoGard!E44),InfoGard!E44="N/A"),"no acb code",CONCATENATE(Lookup!F$1,A44,Lookup!G$1,B44,Lookup!H$1,H$1,Lookup!I$1)),"no attestation")</f>
        <v>no attestation</v>
      </c>
      <c r="F44" s="2" t="str">
        <f>IF(AND(NOT(ISBLANK(InfoGard!G44)),InfoGard!G44&lt;&gt;"N/A"),IF(C44="All",CONCATENATE(Lookup!F$2,D44,Lookup!G$2,B44,Lookup!H$2,H$1,Lookup!I$2),CONCATENATE(Lookup!F$3,D44,Lookup!G$3,B44,Lookup!H$3)),"no url")</f>
        <v>no url</v>
      </c>
    </row>
    <row r="45" spans="1:6" hidden="1" x14ac:dyDescent="0.25">
      <c r="A45" s="2" t="b">
        <f>IF(ISBLANK(InfoGard!D45),FALSE,LOOKUP(InfoGard!D45,Lookup!$A$2:$B$4))</f>
        <v>0</v>
      </c>
      <c r="B45" s="2" t="b">
        <f>IF(ISBLANK(InfoGard!E45),FALSE,RIGHT(TRIM(InfoGard!E45),15))</f>
        <v>0</v>
      </c>
      <c r="C45" s="2" t="b">
        <f>IF(ISBLANK(InfoGard!F45),FALSE,LOOKUP(InfoGard!F45,Lookup!$A$6:$B$7))</f>
        <v>0</v>
      </c>
      <c r="D45" s="2" t="b">
        <f>IF(ISBLANK(InfoGard!G45),FALSE,InfoGard!G45)</f>
        <v>0</v>
      </c>
      <c r="E45" s="2" t="str">
        <f>IF(NOT(ISBLANK(InfoGard!D45)),IF(OR(ISBLANK(InfoGard!E45),InfoGard!E45="N/A"),"no acb code",CONCATENATE(Lookup!F$1,A45,Lookup!G$1,B45,Lookup!H$1,H$1,Lookup!I$1)),"no attestation")</f>
        <v>no attestation</v>
      </c>
      <c r="F45" s="2" t="str">
        <f>IF(AND(NOT(ISBLANK(InfoGard!G45)),InfoGard!G45&lt;&gt;"N/A"),IF(C45="All",CONCATENATE(Lookup!F$2,D45,Lookup!G$2,B45,Lookup!H$2,H$1,Lookup!I$2),CONCATENATE(Lookup!F$3,D45,Lookup!G$3,B45,Lookup!H$3)),"no url")</f>
        <v>no url</v>
      </c>
    </row>
    <row r="46" spans="1:6" hidden="1" x14ac:dyDescent="0.25">
      <c r="A46" s="2" t="b">
        <f>IF(ISBLANK(InfoGard!D46),FALSE,LOOKUP(InfoGard!D46,Lookup!$A$2:$B$4))</f>
        <v>0</v>
      </c>
      <c r="B46" s="2" t="b">
        <f>IF(ISBLANK(InfoGard!E46),FALSE,RIGHT(TRIM(InfoGard!E46),15))</f>
        <v>0</v>
      </c>
      <c r="C46" s="2" t="b">
        <f>IF(ISBLANK(InfoGard!F46),FALSE,LOOKUP(InfoGard!F46,Lookup!$A$6:$B$7))</f>
        <v>0</v>
      </c>
      <c r="D46" s="2" t="b">
        <f>IF(ISBLANK(InfoGard!G46),FALSE,InfoGard!G46)</f>
        <v>0</v>
      </c>
      <c r="E46" s="2" t="str">
        <f>IF(NOT(ISBLANK(InfoGard!D46)),IF(OR(ISBLANK(InfoGard!E46),InfoGard!E46="N/A"),"no acb code",CONCATENATE(Lookup!F$1,A46,Lookup!G$1,B46,Lookup!H$1,H$1,Lookup!I$1)),"no attestation")</f>
        <v>no attestation</v>
      </c>
      <c r="F46" s="2" t="str">
        <f>IF(AND(NOT(ISBLANK(InfoGard!G46)),InfoGard!G46&lt;&gt;"N/A"),IF(C46="All",CONCATENATE(Lookup!F$2,D46,Lookup!G$2,B46,Lookup!H$2,H$1,Lookup!I$2),CONCATENATE(Lookup!F$3,D46,Lookup!G$3,B46,Lookup!H$3)),"no url")</f>
        <v>no url</v>
      </c>
    </row>
    <row r="47" spans="1:6" hidden="1" x14ac:dyDescent="0.25">
      <c r="A47" s="2" t="b">
        <f>IF(ISBLANK(InfoGard!D47),FALSE,LOOKUP(InfoGard!D47,Lookup!$A$2:$B$4))</f>
        <v>0</v>
      </c>
      <c r="B47" s="2" t="b">
        <f>IF(ISBLANK(InfoGard!E47),FALSE,RIGHT(TRIM(InfoGard!E47),15))</f>
        <v>0</v>
      </c>
      <c r="C47" s="2" t="b">
        <f>IF(ISBLANK(InfoGard!F47),FALSE,LOOKUP(InfoGard!F47,Lookup!$A$6:$B$7))</f>
        <v>0</v>
      </c>
      <c r="D47" s="2" t="b">
        <f>IF(ISBLANK(InfoGard!G47),FALSE,InfoGard!G47)</f>
        <v>0</v>
      </c>
      <c r="E47" s="2" t="str">
        <f>IF(NOT(ISBLANK(InfoGard!D47)),IF(OR(ISBLANK(InfoGard!E47),InfoGard!E47="N/A"),"no acb code",CONCATENATE(Lookup!F$1,A47,Lookup!G$1,B47,Lookup!H$1,H$1,Lookup!I$1)),"no attestation")</f>
        <v>no attestation</v>
      </c>
      <c r="F47" s="2" t="str">
        <f>IF(AND(NOT(ISBLANK(InfoGard!G47)),InfoGard!G47&lt;&gt;"N/A"),IF(C47="All",CONCATENATE(Lookup!F$2,D47,Lookup!G$2,B47,Lookup!H$2,H$1,Lookup!I$2),CONCATENATE(Lookup!F$3,D47,Lookup!G$3,B47,Lookup!H$3)),"no url")</f>
        <v>no url</v>
      </c>
    </row>
    <row r="48" spans="1:6" hidden="1" x14ac:dyDescent="0.25">
      <c r="A48" s="2" t="b">
        <f>IF(ISBLANK(InfoGard!D48),FALSE,LOOKUP(InfoGard!D48,Lookup!$A$2:$B$4))</f>
        <v>0</v>
      </c>
      <c r="B48" s="2" t="b">
        <f>IF(ISBLANK(InfoGard!E48),FALSE,RIGHT(TRIM(InfoGard!E48),15))</f>
        <v>0</v>
      </c>
      <c r="C48" s="2" t="b">
        <f>IF(ISBLANK(InfoGard!F48),FALSE,LOOKUP(InfoGard!F48,Lookup!$A$6:$B$7))</f>
        <v>0</v>
      </c>
      <c r="D48" s="2" t="b">
        <f>IF(ISBLANK(InfoGard!G48),FALSE,InfoGard!G48)</f>
        <v>0</v>
      </c>
      <c r="E48" s="2" t="str">
        <f>IF(NOT(ISBLANK(InfoGard!D48)),IF(OR(ISBLANK(InfoGard!E48),InfoGard!E48="N/A"),"no acb code",CONCATENATE(Lookup!F$1,A48,Lookup!G$1,B48,Lookup!H$1,H$1,Lookup!I$1)),"no attestation")</f>
        <v>no attestation</v>
      </c>
      <c r="F48" s="2" t="str">
        <f>IF(AND(NOT(ISBLANK(InfoGard!G48)),InfoGard!G48&lt;&gt;"N/A"),IF(C48="All",CONCATENATE(Lookup!F$2,D48,Lookup!G$2,B48,Lookup!H$2,H$1,Lookup!I$2),CONCATENATE(Lookup!F$3,D48,Lookup!G$3,B48,Lookup!H$3)),"no url")</f>
        <v>no url</v>
      </c>
    </row>
    <row r="49" spans="1:6" hidden="1" x14ac:dyDescent="0.25">
      <c r="A49" s="2" t="b">
        <f>IF(ISBLANK(InfoGard!D49),FALSE,LOOKUP(InfoGard!D49,Lookup!$A$2:$B$4))</f>
        <v>0</v>
      </c>
      <c r="B49" s="2" t="b">
        <f>IF(ISBLANK(InfoGard!E49),FALSE,RIGHT(TRIM(InfoGard!E49),15))</f>
        <v>0</v>
      </c>
      <c r="C49" s="2" t="b">
        <f>IF(ISBLANK(InfoGard!F49),FALSE,LOOKUP(InfoGard!F49,Lookup!$A$6:$B$7))</f>
        <v>0</v>
      </c>
      <c r="D49" s="2" t="b">
        <f>IF(ISBLANK(InfoGard!G49),FALSE,InfoGard!G49)</f>
        <v>0</v>
      </c>
      <c r="E49" s="2" t="str">
        <f>IF(NOT(ISBLANK(InfoGard!D49)),IF(OR(ISBLANK(InfoGard!E49),InfoGard!E49="N/A"),"no acb code",CONCATENATE(Lookup!F$1,A49,Lookup!G$1,B49,Lookup!H$1,H$1,Lookup!I$1)),"no attestation")</f>
        <v>no attestation</v>
      </c>
      <c r="F49" s="2" t="str">
        <f>IF(AND(NOT(ISBLANK(InfoGard!G49)),InfoGard!G49&lt;&gt;"N/A"),IF(C49="All",CONCATENATE(Lookup!F$2,D49,Lookup!G$2,B49,Lookup!H$2,H$1,Lookup!I$2),CONCATENATE(Lookup!F$3,D49,Lookup!G$3,B49,Lookup!H$3)),"no url")</f>
        <v>no url</v>
      </c>
    </row>
    <row r="50" spans="1:6" hidden="1" x14ac:dyDescent="0.25">
      <c r="A50" s="2" t="b">
        <f>IF(ISBLANK(InfoGard!D50),FALSE,LOOKUP(InfoGard!D50,Lookup!$A$2:$B$4))</f>
        <v>0</v>
      </c>
      <c r="B50" s="2" t="b">
        <f>IF(ISBLANK(InfoGard!E50),FALSE,RIGHT(TRIM(InfoGard!E50),15))</f>
        <v>0</v>
      </c>
      <c r="C50" s="2" t="b">
        <f>IF(ISBLANK(InfoGard!F50),FALSE,LOOKUP(InfoGard!F50,Lookup!$A$6:$B$7))</f>
        <v>0</v>
      </c>
      <c r="D50" s="2" t="b">
        <f>IF(ISBLANK(InfoGard!G50),FALSE,InfoGard!G50)</f>
        <v>0</v>
      </c>
      <c r="E50" s="2" t="str">
        <f>IF(NOT(ISBLANK(InfoGard!D50)),IF(OR(ISBLANK(InfoGard!E50),InfoGard!E50="N/A"),"no acb code",CONCATENATE(Lookup!F$1,A50,Lookup!G$1,B50,Lookup!H$1,H$1,Lookup!I$1)),"no attestation")</f>
        <v>no attestation</v>
      </c>
      <c r="F50" s="2" t="str">
        <f>IF(AND(NOT(ISBLANK(InfoGard!G50)),InfoGard!G50&lt;&gt;"N/A"),IF(C50="All",CONCATENATE(Lookup!F$2,D50,Lookup!G$2,B50,Lookup!H$2,H$1,Lookup!I$2),CONCATENATE(Lookup!F$3,D50,Lookup!G$3,B50,Lookup!H$3)),"no url")</f>
        <v>no url</v>
      </c>
    </row>
    <row r="51" spans="1:6" hidden="1" x14ac:dyDescent="0.25">
      <c r="A51" s="2" t="b">
        <f>IF(ISBLANK(InfoGard!D51),FALSE,LOOKUP(InfoGard!D51,Lookup!$A$2:$B$4))</f>
        <v>0</v>
      </c>
      <c r="B51" s="2" t="b">
        <f>IF(ISBLANK(InfoGard!E51),FALSE,RIGHT(TRIM(InfoGard!E51),15))</f>
        <v>0</v>
      </c>
      <c r="C51" s="2" t="b">
        <f>IF(ISBLANK(InfoGard!F51),FALSE,LOOKUP(InfoGard!F51,Lookup!$A$6:$B$7))</f>
        <v>0</v>
      </c>
      <c r="D51" s="2" t="b">
        <f>IF(ISBLANK(InfoGard!G51),FALSE,InfoGard!G51)</f>
        <v>0</v>
      </c>
      <c r="E51" s="2" t="str">
        <f>IF(NOT(ISBLANK(InfoGard!D51)),IF(OR(ISBLANK(InfoGard!E51),InfoGard!E51="N/A"),"no acb code",CONCATENATE(Lookup!F$1,A51,Lookup!G$1,B51,Lookup!H$1,H$1,Lookup!I$1)),"no attestation")</f>
        <v>no attestation</v>
      </c>
      <c r="F51" s="2" t="str">
        <f>IF(AND(NOT(ISBLANK(InfoGard!G51)),InfoGard!G51&lt;&gt;"N/A"),IF(C51="All",CONCATENATE(Lookup!F$2,D51,Lookup!G$2,B51,Lookup!H$2,H$1,Lookup!I$2),CONCATENATE(Lookup!F$3,D51,Lookup!G$3,B51,Lookup!H$3)),"no url")</f>
        <v>no url</v>
      </c>
    </row>
    <row r="52" spans="1:6" hidden="1" x14ac:dyDescent="0.25">
      <c r="A52" s="2" t="b">
        <f>IF(ISBLANK(InfoGard!D52),FALSE,LOOKUP(InfoGard!D52,Lookup!$A$2:$B$4))</f>
        <v>0</v>
      </c>
      <c r="B52" s="2" t="b">
        <f>IF(ISBLANK(InfoGard!E52),FALSE,RIGHT(TRIM(InfoGard!E52),15))</f>
        <v>0</v>
      </c>
      <c r="C52" s="2" t="b">
        <f>IF(ISBLANK(InfoGard!F52),FALSE,LOOKUP(InfoGard!F52,Lookup!$A$6:$B$7))</f>
        <v>0</v>
      </c>
      <c r="D52" s="2" t="b">
        <f>IF(ISBLANK(InfoGard!G52),FALSE,InfoGard!G52)</f>
        <v>0</v>
      </c>
      <c r="E52" s="2" t="str">
        <f>IF(NOT(ISBLANK(InfoGard!D52)),IF(OR(ISBLANK(InfoGard!E52),InfoGard!E52="N/A"),"no acb code",CONCATENATE(Lookup!F$1,A52,Lookup!G$1,B52,Lookup!H$1,H$1,Lookup!I$1)),"no attestation")</f>
        <v>no attestation</v>
      </c>
      <c r="F52" s="2" t="str">
        <f>IF(AND(NOT(ISBLANK(InfoGard!G52)),InfoGard!G52&lt;&gt;"N/A"),IF(C52="All",CONCATENATE(Lookup!F$2,D52,Lookup!G$2,B52,Lookup!H$2,H$1,Lookup!I$2),CONCATENATE(Lookup!F$3,D52,Lookup!G$3,B52,Lookup!H$3)),"no url")</f>
        <v>no url</v>
      </c>
    </row>
    <row r="53" spans="1:6" hidden="1" x14ac:dyDescent="0.25">
      <c r="A53" s="2" t="b">
        <f>IF(ISBLANK(InfoGard!D53),FALSE,LOOKUP(InfoGard!D53,Lookup!$A$2:$B$4))</f>
        <v>0</v>
      </c>
      <c r="B53" s="2" t="b">
        <f>IF(ISBLANK(InfoGard!E53),FALSE,RIGHT(TRIM(InfoGard!E53),15))</f>
        <v>0</v>
      </c>
      <c r="C53" s="2" t="b">
        <f>IF(ISBLANK(InfoGard!F53),FALSE,LOOKUP(InfoGard!F53,Lookup!$A$6:$B$7))</f>
        <v>0</v>
      </c>
      <c r="D53" s="2" t="b">
        <f>IF(ISBLANK(InfoGard!G53),FALSE,InfoGard!G53)</f>
        <v>0</v>
      </c>
      <c r="E53" s="2" t="str">
        <f>IF(NOT(ISBLANK(InfoGard!D53)),IF(OR(ISBLANK(InfoGard!E53),InfoGard!E53="N/A"),"no acb code",CONCATENATE(Lookup!F$1,A53,Lookup!G$1,B53,Lookup!H$1,H$1,Lookup!I$1)),"no attestation")</f>
        <v>no attestation</v>
      </c>
      <c r="F53" s="2" t="str">
        <f>IF(AND(NOT(ISBLANK(InfoGard!G53)),InfoGard!G53&lt;&gt;"N/A"),IF(C53="All",CONCATENATE(Lookup!F$2,D53,Lookup!G$2,B53,Lookup!H$2,H$1,Lookup!I$2),CONCATENATE(Lookup!F$3,D53,Lookup!G$3,B53,Lookup!H$3)),"no url")</f>
        <v>no url</v>
      </c>
    </row>
    <row r="54" spans="1:6" hidden="1" x14ac:dyDescent="0.25">
      <c r="A54" s="2" t="b">
        <f>IF(ISBLANK(InfoGard!D54),FALSE,LOOKUP(InfoGard!D54,Lookup!$A$2:$B$4))</f>
        <v>0</v>
      </c>
      <c r="B54" s="2" t="b">
        <f>IF(ISBLANK(InfoGard!E54),FALSE,RIGHT(TRIM(InfoGard!E54),15))</f>
        <v>0</v>
      </c>
      <c r="C54" s="2" t="b">
        <f>IF(ISBLANK(InfoGard!F54),FALSE,LOOKUP(InfoGard!F54,Lookup!$A$6:$B$7))</f>
        <v>0</v>
      </c>
      <c r="D54" s="2" t="b">
        <f>IF(ISBLANK(InfoGard!G54),FALSE,InfoGard!G54)</f>
        <v>0</v>
      </c>
      <c r="E54" s="2" t="str">
        <f>IF(NOT(ISBLANK(InfoGard!D54)),IF(OR(ISBLANK(InfoGard!E54),InfoGard!E54="N/A"),"no acb code",CONCATENATE(Lookup!F$1,A54,Lookup!G$1,B54,Lookup!H$1,H$1,Lookup!I$1)),"no attestation")</f>
        <v>no attestation</v>
      </c>
      <c r="F54" s="2" t="str">
        <f>IF(AND(NOT(ISBLANK(InfoGard!G54)),InfoGard!G54&lt;&gt;"N/A"),IF(C54="All",CONCATENATE(Lookup!F$2,D54,Lookup!G$2,B54,Lookup!H$2,H$1,Lookup!I$2),CONCATENATE(Lookup!F$3,D54,Lookup!G$3,B54,Lookup!H$3)),"no url")</f>
        <v>no url</v>
      </c>
    </row>
    <row r="55" spans="1:6" hidden="1" x14ac:dyDescent="0.25">
      <c r="A55" s="2" t="b">
        <f>IF(ISBLANK(InfoGard!D55),FALSE,LOOKUP(InfoGard!D55,Lookup!$A$2:$B$4))</f>
        <v>0</v>
      </c>
      <c r="B55" s="2" t="b">
        <f>IF(ISBLANK(InfoGard!E55),FALSE,RIGHT(TRIM(InfoGard!E55),15))</f>
        <v>0</v>
      </c>
      <c r="C55" s="2" t="b">
        <f>IF(ISBLANK(InfoGard!F55),FALSE,LOOKUP(InfoGard!F55,Lookup!$A$6:$B$7))</f>
        <v>0</v>
      </c>
      <c r="D55" s="2" t="b">
        <f>IF(ISBLANK(InfoGard!G55),FALSE,InfoGard!G55)</f>
        <v>0</v>
      </c>
      <c r="E55" s="2" t="str">
        <f>IF(NOT(ISBLANK(InfoGard!D55)),IF(OR(ISBLANK(InfoGard!E55),InfoGard!E55="N/A"),"no acb code",CONCATENATE(Lookup!F$1,A55,Lookup!G$1,B55,Lookup!H$1,H$1,Lookup!I$1)),"no attestation")</f>
        <v>no attestation</v>
      </c>
      <c r="F55" s="2" t="str">
        <f>IF(AND(NOT(ISBLANK(InfoGard!G55)),InfoGard!G55&lt;&gt;"N/A"),IF(C55="All",CONCATENATE(Lookup!F$2,D55,Lookup!G$2,B55,Lookup!H$2,H$1,Lookup!I$2),CONCATENATE(Lookup!F$3,D55,Lookup!G$3,B55,Lookup!H$3)),"no url")</f>
        <v>no url</v>
      </c>
    </row>
    <row r="56" spans="1:6" hidden="1" x14ac:dyDescent="0.25">
      <c r="A56" s="2" t="b">
        <f>IF(ISBLANK(InfoGard!D56),FALSE,LOOKUP(InfoGard!D56,Lookup!$A$2:$B$4))</f>
        <v>0</v>
      </c>
      <c r="B56" s="2" t="b">
        <f>IF(ISBLANK(InfoGard!E56),FALSE,RIGHT(TRIM(InfoGard!E56),15))</f>
        <v>0</v>
      </c>
      <c r="C56" s="2" t="b">
        <f>IF(ISBLANK(InfoGard!F56),FALSE,LOOKUP(InfoGard!F56,Lookup!$A$6:$B$7))</f>
        <v>0</v>
      </c>
      <c r="D56" s="2" t="b">
        <f>IF(ISBLANK(InfoGard!G56),FALSE,InfoGard!G56)</f>
        <v>0</v>
      </c>
      <c r="E56" s="2" t="str">
        <f>IF(NOT(ISBLANK(InfoGard!D56)),IF(OR(ISBLANK(InfoGard!E56),InfoGard!E56="N/A"),"no acb code",CONCATENATE(Lookup!F$1,A56,Lookup!G$1,B56,Lookup!H$1,H$1,Lookup!I$1)),"no attestation")</f>
        <v>no attestation</v>
      </c>
      <c r="F56" s="2" t="str">
        <f>IF(AND(NOT(ISBLANK(InfoGard!G56)),InfoGard!G56&lt;&gt;"N/A"),IF(C56="All",CONCATENATE(Lookup!F$2,D56,Lookup!G$2,B56,Lookup!H$2,H$1,Lookup!I$2),CONCATENATE(Lookup!F$3,D56,Lookup!G$3,B56,Lookup!H$3)),"no url")</f>
        <v>no url</v>
      </c>
    </row>
    <row r="57" spans="1:6" hidden="1" x14ac:dyDescent="0.25">
      <c r="A57" s="2" t="b">
        <f>IF(ISBLANK(InfoGard!D57),FALSE,LOOKUP(InfoGard!D57,Lookup!$A$2:$B$4))</f>
        <v>0</v>
      </c>
      <c r="B57" s="2" t="b">
        <f>IF(ISBLANK(InfoGard!E57),FALSE,RIGHT(TRIM(InfoGard!E57),15))</f>
        <v>0</v>
      </c>
      <c r="C57" s="2" t="b">
        <f>IF(ISBLANK(InfoGard!F57),FALSE,LOOKUP(InfoGard!F57,Lookup!$A$6:$B$7))</f>
        <v>0</v>
      </c>
      <c r="D57" s="2" t="b">
        <f>IF(ISBLANK(InfoGard!G57),FALSE,InfoGard!G57)</f>
        <v>0</v>
      </c>
      <c r="E57" s="2" t="str">
        <f>IF(NOT(ISBLANK(InfoGard!D57)),IF(OR(ISBLANK(InfoGard!E57),InfoGard!E57="N/A"),"no acb code",CONCATENATE(Lookup!F$1,A57,Lookup!G$1,B57,Lookup!H$1,H$1,Lookup!I$1)),"no attestation")</f>
        <v>no attestation</v>
      </c>
      <c r="F57" s="2" t="str">
        <f>IF(AND(NOT(ISBLANK(InfoGard!G57)),InfoGard!G57&lt;&gt;"N/A"),IF(C57="All",CONCATENATE(Lookup!F$2,D57,Lookup!G$2,B57,Lookup!H$2,H$1,Lookup!I$2),CONCATENATE(Lookup!F$3,D57,Lookup!G$3,B57,Lookup!H$3)),"no url")</f>
        <v>no url</v>
      </c>
    </row>
    <row r="58" spans="1:6" hidden="1" x14ac:dyDescent="0.25">
      <c r="A58" s="2" t="b">
        <f>IF(ISBLANK(InfoGard!D58),FALSE,LOOKUP(InfoGard!D58,Lookup!$A$2:$B$4))</f>
        <v>0</v>
      </c>
      <c r="B58" s="2" t="b">
        <f>IF(ISBLANK(InfoGard!E58),FALSE,RIGHT(TRIM(InfoGard!E58),15))</f>
        <v>0</v>
      </c>
      <c r="C58" s="2" t="b">
        <f>IF(ISBLANK(InfoGard!F58),FALSE,LOOKUP(InfoGard!F58,Lookup!$A$6:$B$7))</f>
        <v>0</v>
      </c>
      <c r="D58" s="2" t="b">
        <f>IF(ISBLANK(InfoGard!G58),FALSE,InfoGard!G58)</f>
        <v>0</v>
      </c>
      <c r="E58" s="2" t="str">
        <f>IF(NOT(ISBLANK(InfoGard!D58)),IF(OR(ISBLANK(InfoGard!E58),InfoGard!E58="N/A"),"no acb code",CONCATENATE(Lookup!F$1,A58,Lookup!G$1,B58,Lookup!H$1,H$1,Lookup!I$1)),"no attestation")</f>
        <v>no attestation</v>
      </c>
      <c r="F58" s="2" t="str">
        <f>IF(AND(NOT(ISBLANK(InfoGard!G58)),InfoGard!G58&lt;&gt;"N/A"),IF(C58="All",CONCATENATE(Lookup!F$2,D58,Lookup!G$2,B58,Lookup!H$2,H$1,Lookup!I$2),CONCATENATE(Lookup!F$3,D58,Lookup!G$3,B58,Lookup!H$3)),"no url")</f>
        <v>no url</v>
      </c>
    </row>
    <row r="59" spans="1:6" hidden="1" x14ac:dyDescent="0.25">
      <c r="A59" s="2" t="b">
        <f>IF(ISBLANK(InfoGard!D59),FALSE,LOOKUP(InfoGard!D59,Lookup!$A$2:$B$4))</f>
        <v>0</v>
      </c>
      <c r="B59" s="2" t="b">
        <f>IF(ISBLANK(InfoGard!E59),FALSE,RIGHT(TRIM(InfoGard!E59),15))</f>
        <v>0</v>
      </c>
      <c r="C59" s="2" t="b">
        <f>IF(ISBLANK(InfoGard!F59),FALSE,LOOKUP(InfoGard!F59,Lookup!$A$6:$B$7))</f>
        <v>0</v>
      </c>
      <c r="D59" s="2" t="b">
        <f>IF(ISBLANK(InfoGard!G59),FALSE,InfoGard!G59)</f>
        <v>0</v>
      </c>
      <c r="E59" s="2" t="str">
        <f>IF(NOT(ISBLANK(InfoGard!D59)),IF(OR(ISBLANK(InfoGard!E59),InfoGard!E59="N/A"),"no acb code",CONCATENATE(Lookup!F$1,A59,Lookup!G$1,B59,Lookup!H$1,H$1,Lookup!I$1)),"no attestation")</f>
        <v>no attestation</v>
      </c>
      <c r="F59" s="2" t="str">
        <f>IF(AND(NOT(ISBLANK(InfoGard!G59)),InfoGard!G59&lt;&gt;"N/A"),IF(C59="All",CONCATENATE(Lookup!F$2,D59,Lookup!G$2,B59,Lookup!H$2,H$1,Lookup!I$2),CONCATENATE(Lookup!F$3,D59,Lookup!G$3,B59,Lookup!H$3)),"no url")</f>
        <v>no url</v>
      </c>
    </row>
    <row r="60" spans="1:6" hidden="1" x14ac:dyDescent="0.25">
      <c r="A60" s="2" t="b">
        <f>IF(ISBLANK(InfoGard!D60),FALSE,LOOKUP(InfoGard!D60,Lookup!$A$2:$B$4))</f>
        <v>0</v>
      </c>
      <c r="B60" s="2" t="b">
        <f>IF(ISBLANK(InfoGard!E60),FALSE,RIGHT(TRIM(InfoGard!E60),15))</f>
        <v>0</v>
      </c>
      <c r="C60" s="2" t="b">
        <f>IF(ISBLANK(InfoGard!F60),FALSE,LOOKUP(InfoGard!F60,Lookup!$A$6:$B$7))</f>
        <v>0</v>
      </c>
      <c r="D60" s="2" t="b">
        <f>IF(ISBLANK(InfoGard!G60),FALSE,InfoGard!G60)</f>
        <v>0</v>
      </c>
      <c r="E60" s="2" t="str">
        <f>IF(NOT(ISBLANK(InfoGard!D60)),IF(OR(ISBLANK(InfoGard!E60),InfoGard!E60="N/A"),"no acb code",CONCATENATE(Lookup!F$1,A60,Lookup!G$1,B60,Lookup!H$1,H$1,Lookup!I$1)),"no attestation")</f>
        <v>no attestation</v>
      </c>
      <c r="F60" s="2" t="str">
        <f>IF(AND(NOT(ISBLANK(InfoGard!G60)),InfoGard!G60&lt;&gt;"N/A"),IF(C60="All",CONCATENATE(Lookup!F$2,D60,Lookup!G$2,B60,Lookup!H$2,H$1,Lookup!I$2),CONCATENATE(Lookup!F$3,D60,Lookup!G$3,B60,Lookup!H$3)),"no url")</f>
        <v>no url</v>
      </c>
    </row>
    <row r="61" spans="1:6" hidden="1" x14ac:dyDescent="0.25">
      <c r="A61" s="2" t="b">
        <f>IF(ISBLANK(InfoGard!D61),FALSE,LOOKUP(InfoGard!D61,Lookup!$A$2:$B$4))</f>
        <v>0</v>
      </c>
      <c r="B61" s="2" t="b">
        <f>IF(ISBLANK(InfoGard!E61),FALSE,RIGHT(TRIM(InfoGard!E61),15))</f>
        <v>0</v>
      </c>
      <c r="C61" s="2" t="b">
        <f>IF(ISBLANK(InfoGard!F61),FALSE,LOOKUP(InfoGard!F61,Lookup!$A$6:$B$7))</f>
        <v>0</v>
      </c>
      <c r="D61" s="2" t="b">
        <f>IF(ISBLANK(InfoGard!G61),FALSE,InfoGard!G61)</f>
        <v>0</v>
      </c>
      <c r="E61" s="2" t="str">
        <f>IF(NOT(ISBLANK(InfoGard!D61)),IF(OR(ISBLANK(InfoGard!E61),InfoGard!E61="N/A"),"no acb code",CONCATENATE(Lookup!F$1,A61,Lookup!G$1,B61,Lookup!H$1,H$1,Lookup!I$1)),"no attestation")</f>
        <v>no attestation</v>
      </c>
      <c r="F61" s="2" t="str">
        <f>IF(AND(NOT(ISBLANK(InfoGard!G61)),InfoGard!G61&lt;&gt;"N/A"),IF(C61="All",CONCATENATE(Lookup!F$2,D61,Lookup!G$2,B61,Lookup!H$2,H$1,Lookup!I$2),CONCATENATE(Lookup!F$3,D61,Lookup!G$3,B61,Lookup!H$3)),"no url")</f>
        <v>no url</v>
      </c>
    </row>
    <row r="62" spans="1:6" hidden="1" x14ac:dyDescent="0.25">
      <c r="A62" s="2" t="b">
        <f>IF(ISBLANK(InfoGard!D62),FALSE,LOOKUP(InfoGard!D62,Lookup!$A$2:$B$4))</f>
        <v>0</v>
      </c>
      <c r="B62" s="2" t="b">
        <f>IF(ISBLANK(InfoGard!E62),FALSE,RIGHT(TRIM(InfoGard!E62),15))</f>
        <v>0</v>
      </c>
      <c r="C62" s="2" t="b">
        <f>IF(ISBLANK(InfoGard!F62),FALSE,LOOKUP(InfoGard!F62,Lookup!$A$6:$B$7))</f>
        <v>0</v>
      </c>
      <c r="D62" s="2" t="b">
        <f>IF(ISBLANK(InfoGard!G62),FALSE,InfoGard!G62)</f>
        <v>0</v>
      </c>
      <c r="E62" s="2" t="str">
        <f>IF(NOT(ISBLANK(InfoGard!D62)),IF(OR(ISBLANK(InfoGard!E62),InfoGard!E62="N/A"),"no acb code",CONCATENATE(Lookup!F$1,A62,Lookup!G$1,B62,Lookup!H$1,H$1,Lookup!I$1)),"no attestation")</f>
        <v>no attestation</v>
      </c>
      <c r="F62" s="2" t="str">
        <f>IF(AND(NOT(ISBLANK(InfoGard!G62)),InfoGard!G62&lt;&gt;"N/A"),IF(C62="All",CONCATENATE(Lookup!F$2,D62,Lookup!G$2,B62,Lookup!H$2,H$1,Lookup!I$2),CONCATENATE(Lookup!F$3,D62,Lookup!G$3,B62,Lookup!H$3)),"no url")</f>
        <v>no url</v>
      </c>
    </row>
    <row r="63" spans="1:6" hidden="1" x14ac:dyDescent="0.25">
      <c r="A63" s="2" t="b">
        <f>IF(ISBLANK(InfoGard!D63),FALSE,LOOKUP(InfoGard!D63,Lookup!$A$2:$B$4))</f>
        <v>0</v>
      </c>
      <c r="B63" s="2" t="b">
        <f>IF(ISBLANK(InfoGard!E63),FALSE,RIGHT(TRIM(InfoGard!E63),15))</f>
        <v>0</v>
      </c>
      <c r="C63" s="2" t="b">
        <f>IF(ISBLANK(InfoGard!F63),FALSE,LOOKUP(InfoGard!F63,Lookup!$A$6:$B$7))</f>
        <v>0</v>
      </c>
      <c r="D63" s="2" t="b">
        <f>IF(ISBLANK(InfoGard!G63),FALSE,InfoGard!G63)</f>
        <v>0</v>
      </c>
      <c r="E63" s="2" t="str">
        <f>IF(NOT(ISBLANK(InfoGard!D63)),IF(OR(ISBLANK(InfoGard!E63),InfoGard!E63="N/A"),"no acb code",CONCATENATE(Lookup!F$1,A63,Lookup!G$1,B63,Lookup!H$1,H$1,Lookup!I$1)),"no attestation")</f>
        <v>no attestation</v>
      </c>
      <c r="F63" s="2" t="str">
        <f>IF(AND(NOT(ISBLANK(InfoGard!G63)),InfoGard!G63&lt;&gt;"N/A"),IF(C63="All",CONCATENATE(Lookup!F$2,D63,Lookup!G$2,B63,Lookup!H$2,H$1,Lookup!I$2),CONCATENATE(Lookup!F$3,D63,Lookup!G$3,B63,Lookup!H$3)),"no url")</f>
        <v>no url</v>
      </c>
    </row>
    <row r="64" spans="1:6" hidden="1" x14ac:dyDescent="0.25">
      <c r="A64" s="2" t="b">
        <f>IF(ISBLANK(InfoGard!D64),FALSE,LOOKUP(InfoGard!D64,Lookup!$A$2:$B$4))</f>
        <v>0</v>
      </c>
      <c r="B64" s="2" t="b">
        <f>IF(ISBLANK(InfoGard!E64),FALSE,RIGHT(TRIM(InfoGard!E64),15))</f>
        <v>0</v>
      </c>
      <c r="C64" s="2" t="b">
        <f>IF(ISBLANK(InfoGard!F64),FALSE,LOOKUP(InfoGard!F64,Lookup!$A$6:$B$7))</f>
        <v>0</v>
      </c>
      <c r="D64" s="2" t="b">
        <f>IF(ISBLANK(InfoGard!G64),FALSE,InfoGard!G64)</f>
        <v>0</v>
      </c>
      <c r="E64" s="2" t="str">
        <f>IF(NOT(ISBLANK(InfoGard!D64)),IF(OR(ISBLANK(InfoGard!E64),InfoGard!E64="N/A"),"no acb code",CONCATENATE(Lookup!F$1,A64,Lookup!G$1,B64,Lookup!H$1,H$1,Lookup!I$1)),"no attestation")</f>
        <v>no attestation</v>
      </c>
      <c r="F64" s="2" t="str">
        <f>IF(AND(NOT(ISBLANK(InfoGard!G64)),InfoGard!G64&lt;&gt;"N/A"),IF(C64="All",CONCATENATE(Lookup!F$2,D64,Lookup!G$2,B64,Lookup!H$2,H$1,Lookup!I$2),CONCATENATE(Lookup!F$3,D64,Lookup!G$3,B64,Lookup!H$3)),"no url")</f>
        <v>no url</v>
      </c>
    </row>
    <row r="65" spans="1:6" hidden="1" x14ac:dyDescent="0.25">
      <c r="A65" s="2" t="b">
        <f>IF(ISBLANK(InfoGard!D65),FALSE,LOOKUP(InfoGard!D65,Lookup!$A$2:$B$4))</f>
        <v>0</v>
      </c>
      <c r="B65" s="2" t="b">
        <f>IF(ISBLANK(InfoGard!E65),FALSE,RIGHT(TRIM(InfoGard!E65),15))</f>
        <v>0</v>
      </c>
      <c r="C65" s="2" t="b">
        <f>IF(ISBLANK(InfoGard!F65),FALSE,LOOKUP(InfoGard!F65,Lookup!$A$6:$B$7))</f>
        <v>0</v>
      </c>
      <c r="D65" s="2" t="b">
        <f>IF(ISBLANK(InfoGard!G65),FALSE,InfoGard!G65)</f>
        <v>0</v>
      </c>
      <c r="E65" s="2" t="str">
        <f>IF(NOT(ISBLANK(InfoGard!D65)),IF(OR(ISBLANK(InfoGard!E65),InfoGard!E65="N/A"),"no acb code",CONCATENATE(Lookup!F$1,A65,Lookup!G$1,B65,Lookup!H$1,H$1,Lookup!I$1)),"no attestation")</f>
        <v>no attestation</v>
      </c>
      <c r="F65" s="2" t="str">
        <f>IF(AND(NOT(ISBLANK(InfoGard!G65)),InfoGard!G65&lt;&gt;"N/A"),IF(C65="All",CONCATENATE(Lookup!F$2,D65,Lookup!G$2,B65,Lookup!H$2,H$1,Lookup!I$2),CONCATENATE(Lookup!F$3,D65,Lookup!G$3,B65,Lookup!H$3)),"no url")</f>
        <v>no url</v>
      </c>
    </row>
    <row r="66" spans="1:6" hidden="1" x14ac:dyDescent="0.25">
      <c r="A66" s="2" t="b">
        <f>IF(ISBLANK(InfoGard!D66),FALSE,LOOKUP(InfoGard!D66,Lookup!$A$2:$B$4))</f>
        <v>0</v>
      </c>
      <c r="B66" s="2" t="b">
        <f>IF(ISBLANK(InfoGard!E66),FALSE,RIGHT(TRIM(InfoGard!E66),15))</f>
        <v>0</v>
      </c>
      <c r="C66" s="2" t="b">
        <f>IF(ISBLANK(InfoGard!F66),FALSE,LOOKUP(InfoGard!F66,Lookup!$A$6:$B$7))</f>
        <v>0</v>
      </c>
      <c r="D66" s="2" t="b">
        <f>IF(ISBLANK(InfoGard!G66),FALSE,InfoGard!G66)</f>
        <v>0</v>
      </c>
      <c r="E66" s="2" t="str">
        <f>IF(NOT(ISBLANK(InfoGard!D66)),IF(OR(ISBLANK(InfoGard!E66),InfoGard!E66="N/A"),"no acb code",CONCATENATE(Lookup!F$1,A66,Lookup!G$1,B66,Lookup!H$1,H$1,Lookup!I$1)),"no attestation")</f>
        <v>no attestation</v>
      </c>
      <c r="F66" s="2" t="str">
        <f>IF(AND(NOT(ISBLANK(InfoGard!G66)),InfoGard!G66&lt;&gt;"N/A"),IF(C66="All",CONCATENATE(Lookup!F$2,D66,Lookup!G$2,B66,Lookup!H$2,H$1,Lookup!I$2),CONCATENATE(Lookup!F$3,D66,Lookup!G$3,B66,Lookup!H$3)),"no url")</f>
        <v>no url</v>
      </c>
    </row>
    <row r="67" spans="1:6" hidden="1" x14ac:dyDescent="0.25">
      <c r="A67" s="2" t="b">
        <f>IF(ISBLANK(InfoGard!D67),FALSE,LOOKUP(InfoGard!D67,Lookup!$A$2:$B$4))</f>
        <v>0</v>
      </c>
      <c r="B67" s="2" t="b">
        <f>IF(ISBLANK(InfoGard!E67),FALSE,RIGHT(TRIM(InfoGard!E67),15))</f>
        <v>0</v>
      </c>
      <c r="C67" s="2" t="b">
        <f>IF(ISBLANK(InfoGard!F67),FALSE,LOOKUP(InfoGard!F67,Lookup!$A$6:$B$7))</f>
        <v>0</v>
      </c>
      <c r="D67" s="2" t="b">
        <f>IF(ISBLANK(InfoGard!G67),FALSE,InfoGard!G67)</f>
        <v>0</v>
      </c>
      <c r="E67" s="2" t="str">
        <f>IF(NOT(ISBLANK(InfoGard!D67)),IF(OR(ISBLANK(InfoGard!E67),InfoGard!E67="N/A"),"no acb code",CONCATENATE(Lookup!F$1,A67,Lookup!G$1,B67,Lookup!H$1,H$1,Lookup!I$1)),"no attestation")</f>
        <v>no attestation</v>
      </c>
      <c r="F67" s="2" t="str">
        <f>IF(AND(NOT(ISBLANK(InfoGard!G67)),InfoGard!G67&lt;&gt;"N/A"),IF(C67="All",CONCATENATE(Lookup!F$2,D67,Lookup!G$2,B67,Lookup!H$2,H$1,Lookup!I$2),CONCATENATE(Lookup!F$3,D67,Lookup!G$3,B67,Lookup!H$3)),"no url")</f>
        <v>no url</v>
      </c>
    </row>
    <row r="68" spans="1:6" hidden="1" x14ac:dyDescent="0.25">
      <c r="A68" s="2" t="b">
        <f>IF(ISBLANK(InfoGard!D68),FALSE,LOOKUP(InfoGard!D68,Lookup!$A$2:$B$4))</f>
        <v>0</v>
      </c>
      <c r="B68" s="2" t="b">
        <f>IF(ISBLANK(InfoGard!E68),FALSE,RIGHT(TRIM(InfoGard!E68),15))</f>
        <v>0</v>
      </c>
      <c r="C68" s="2" t="b">
        <f>IF(ISBLANK(InfoGard!F68),FALSE,LOOKUP(InfoGard!F68,Lookup!$A$6:$B$7))</f>
        <v>0</v>
      </c>
      <c r="D68" s="2" t="b">
        <f>IF(ISBLANK(InfoGard!G68),FALSE,InfoGard!G68)</f>
        <v>0</v>
      </c>
      <c r="E68" s="2" t="str">
        <f>IF(NOT(ISBLANK(InfoGard!D68)),IF(OR(ISBLANK(InfoGard!E68),InfoGard!E68="N/A"),"no acb code",CONCATENATE(Lookup!F$1,A68,Lookup!G$1,B68,Lookup!H$1,H$1,Lookup!I$1)),"no attestation")</f>
        <v>no attestation</v>
      </c>
      <c r="F68" s="2" t="str">
        <f>IF(AND(NOT(ISBLANK(InfoGard!G68)),InfoGard!G68&lt;&gt;"N/A"),IF(C68="All",CONCATENATE(Lookup!F$2,D68,Lookup!G$2,B68,Lookup!H$2,H$1,Lookup!I$2),CONCATENATE(Lookup!F$3,D68,Lookup!G$3,B68,Lookup!H$3)),"no url")</f>
        <v>no url</v>
      </c>
    </row>
    <row r="69" spans="1:6" hidden="1" x14ac:dyDescent="0.25">
      <c r="A69" s="2" t="b">
        <f>IF(ISBLANK(InfoGard!D69),FALSE,LOOKUP(InfoGard!D69,Lookup!$A$2:$B$4))</f>
        <v>0</v>
      </c>
      <c r="B69" s="2" t="b">
        <f>IF(ISBLANK(InfoGard!E69),FALSE,RIGHT(TRIM(InfoGard!E69),15))</f>
        <v>0</v>
      </c>
      <c r="C69" s="2" t="b">
        <f>IF(ISBLANK(InfoGard!F69),FALSE,LOOKUP(InfoGard!F69,Lookup!$A$6:$B$7))</f>
        <v>0</v>
      </c>
      <c r="D69" s="2" t="b">
        <f>IF(ISBLANK(InfoGard!G69),FALSE,InfoGard!G69)</f>
        <v>0</v>
      </c>
      <c r="E69" s="2" t="str">
        <f>IF(NOT(ISBLANK(InfoGard!D69)),IF(OR(ISBLANK(InfoGard!E69),InfoGard!E69="N/A"),"no acb code",CONCATENATE(Lookup!F$1,A69,Lookup!G$1,B69,Lookup!H$1,H$1,Lookup!I$1)),"no attestation")</f>
        <v>no attestation</v>
      </c>
      <c r="F69" s="2" t="str">
        <f>IF(AND(NOT(ISBLANK(InfoGard!G69)),InfoGard!G69&lt;&gt;"N/A"),IF(C69="All",CONCATENATE(Lookup!F$2,D69,Lookup!G$2,B69,Lookup!H$2,H$1,Lookup!I$2),CONCATENATE(Lookup!F$3,D69,Lookup!G$3,B69,Lookup!H$3)),"no url")</f>
        <v>no url</v>
      </c>
    </row>
    <row r="70" spans="1:6" hidden="1" x14ac:dyDescent="0.25">
      <c r="A70" s="2" t="b">
        <f>IF(ISBLANK(InfoGard!D70),FALSE,LOOKUP(InfoGard!D70,Lookup!$A$2:$B$4))</f>
        <v>0</v>
      </c>
      <c r="B70" s="2" t="b">
        <f>IF(ISBLANK(InfoGard!E70),FALSE,RIGHT(TRIM(InfoGard!E70),15))</f>
        <v>0</v>
      </c>
      <c r="C70" s="2" t="b">
        <f>IF(ISBLANK(InfoGard!F70),FALSE,LOOKUP(InfoGard!F70,Lookup!$A$6:$B$7))</f>
        <v>0</v>
      </c>
      <c r="D70" s="2" t="b">
        <f>IF(ISBLANK(InfoGard!G70),FALSE,InfoGard!G70)</f>
        <v>0</v>
      </c>
      <c r="E70" s="2" t="str">
        <f>IF(NOT(ISBLANK(InfoGard!D70)),IF(OR(ISBLANK(InfoGard!E70),InfoGard!E70="N/A"),"no acb code",CONCATENATE(Lookup!F$1,A70,Lookup!G$1,B70,Lookup!H$1,H$1,Lookup!I$1)),"no attestation")</f>
        <v>no attestation</v>
      </c>
      <c r="F70" s="2" t="str">
        <f>IF(AND(NOT(ISBLANK(InfoGard!G70)),InfoGard!G70&lt;&gt;"N/A"),IF(C70="All",CONCATENATE(Lookup!F$2,D70,Lookup!G$2,B70,Lookup!H$2,H$1,Lookup!I$2),CONCATENATE(Lookup!F$3,D70,Lookup!G$3,B70,Lookup!H$3)),"no url")</f>
        <v>no url</v>
      </c>
    </row>
    <row r="71" spans="1:6" hidden="1" x14ac:dyDescent="0.25">
      <c r="A71" s="2" t="b">
        <f>IF(ISBLANK(InfoGard!D71),FALSE,LOOKUP(InfoGard!D71,Lookup!$A$2:$B$4))</f>
        <v>0</v>
      </c>
      <c r="B71" s="2" t="b">
        <f>IF(ISBLANK(InfoGard!E71),FALSE,RIGHT(TRIM(InfoGard!E71),15))</f>
        <v>0</v>
      </c>
      <c r="C71" s="2" t="b">
        <f>IF(ISBLANK(InfoGard!F71),FALSE,LOOKUP(InfoGard!F71,Lookup!$A$6:$B$7))</f>
        <v>0</v>
      </c>
      <c r="D71" s="2" t="b">
        <f>IF(ISBLANK(InfoGard!G71),FALSE,InfoGard!G71)</f>
        <v>0</v>
      </c>
      <c r="E71" s="2" t="str">
        <f>IF(NOT(ISBLANK(InfoGard!D71)),IF(OR(ISBLANK(InfoGard!E71),InfoGard!E71="N/A"),"no acb code",CONCATENATE(Lookup!F$1,A71,Lookup!G$1,B71,Lookup!H$1,H$1,Lookup!I$1)),"no attestation")</f>
        <v>no attestation</v>
      </c>
      <c r="F71" s="2" t="str">
        <f>IF(AND(NOT(ISBLANK(InfoGard!G71)),InfoGard!G71&lt;&gt;"N/A"),IF(C71="All",CONCATENATE(Lookup!F$2,D71,Lookup!G$2,B71,Lookup!H$2,H$1,Lookup!I$2),CONCATENATE(Lookup!F$3,D71,Lookup!G$3,B71,Lookup!H$3)),"no url")</f>
        <v>no url</v>
      </c>
    </row>
    <row r="72" spans="1:6" hidden="1" x14ac:dyDescent="0.25">
      <c r="A72" s="2" t="b">
        <f>IF(ISBLANK(InfoGard!D72),FALSE,LOOKUP(InfoGard!D72,Lookup!$A$2:$B$4))</f>
        <v>0</v>
      </c>
      <c r="B72" s="2" t="b">
        <f>IF(ISBLANK(InfoGard!E72),FALSE,RIGHT(TRIM(InfoGard!E72),15))</f>
        <v>0</v>
      </c>
      <c r="C72" s="2" t="b">
        <f>IF(ISBLANK(InfoGard!F72),FALSE,LOOKUP(InfoGard!F72,Lookup!$A$6:$B$7))</f>
        <v>0</v>
      </c>
      <c r="D72" s="2" t="b">
        <f>IF(ISBLANK(InfoGard!G72),FALSE,InfoGard!G72)</f>
        <v>0</v>
      </c>
      <c r="E72" s="2" t="str">
        <f>IF(NOT(ISBLANK(InfoGard!D72)),IF(OR(ISBLANK(InfoGard!E72),InfoGard!E72="N/A"),"no acb code",CONCATENATE(Lookup!F$1,A72,Lookup!G$1,B72,Lookup!H$1,H$1,Lookup!I$1)),"no attestation")</f>
        <v>no attestation</v>
      </c>
      <c r="F72" s="2" t="str">
        <f>IF(AND(NOT(ISBLANK(InfoGard!G72)),InfoGard!G72&lt;&gt;"N/A"),IF(C72="All",CONCATENATE(Lookup!F$2,D72,Lookup!G$2,B72,Lookup!H$2,H$1,Lookup!I$2),CONCATENATE(Lookup!F$3,D72,Lookup!G$3,B72,Lookup!H$3)),"no url")</f>
        <v>no url</v>
      </c>
    </row>
    <row r="73" spans="1:6" hidden="1" x14ac:dyDescent="0.25">
      <c r="A73" s="2" t="b">
        <f>IF(ISBLANK(InfoGard!D73),FALSE,LOOKUP(InfoGard!D73,Lookup!$A$2:$B$4))</f>
        <v>0</v>
      </c>
      <c r="B73" s="2" t="b">
        <f>IF(ISBLANK(InfoGard!E73),FALSE,RIGHT(TRIM(InfoGard!E73),15))</f>
        <v>0</v>
      </c>
      <c r="C73" s="2" t="b">
        <f>IF(ISBLANK(InfoGard!F73),FALSE,LOOKUP(InfoGard!F73,Lookup!$A$6:$B$7))</f>
        <v>0</v>
      </c>
      <c r="D73" s="2" t="b">
        <f>IF(ISBLANK(InfoGard!G73),FALSE,InfoGard!G73)</f>
        <v>0</v>
      </c>
      <c r="E73" s="2" t="str">
        <f>IF(NOT(ISBLANK(InfoGard!D73)),IF(OR(ISBLANK(InfoGard!E73),InfoGard!E73="N/A"),"no acb code",CONCATENATE(Lookup!F$1,A73,Lookup!G$1,B73,Lookup!H$1,H$1,Lookup!I$1)),"no attestation")</f>
        <v>no attestation</v>
      </c>
      <c r="F73" s="2" t="str">
        <f>IF(AND(NOT(ISBLANK(InfoGard!G73)),InfoGard!G73&lt;&gt;"N/A"),IF(C73="All",CONCATENATE(Lookup!F$2,D73,Lookup!G$2,B73,Lookup!H$2,H$1,Lookup!I$2),CONCATENATE(Lookup!F$3,D73,Lookup!G$3,B73,Lookup!H$3)),"no url")</f>
        <v>no url</v>
      </c>
    </row>
    <row r="74" spans="1:6" hidden="1" x14ac:dyDescent="0.25">
      <c r="A74" s="2" t="b">
        <f>IF(ISBLANK(InfoGard!D74),FALSE,LOOKUP(InfoGard!D74,Lookup!$A$2:$B$4))</f>
        <v>0</v>
      </c>
      <c r="B74" s="2" t="b">
        <f>IF(ISBLANK(InfoGard!E74),FALSE,RIGHT(TRIM(InfoGard!E74),15))</f>
        <v>0</v>
      </c>
      <c r="C74" s="2" t="b">
        <f>IF(ISBLANK(InfoGard!F74),FALSE,LOOKUP(InfoGard!F74,Lookup!$A$6:$B$7))</f>
        <v>0</v>
      </c>
      <c r="D74" s="2" t="b">
        <f>IF(ISBLANK(InfoGard!G74),FALSE,InfoGard!G74)</f>
        <v>0</v>
      </c>
      <c r="E74" s="2" t="str">
        <f>IF(NOT(ISBLANK(InfoGard!D74)),IF(OR(ISBLANK(InfoGard!E74),InfoGard!E74="N/A"),"no acb code",CONCATENATE(Lookup!F$1,A74,Lookup!G$1,B74,Lookup!H$1,H$1,Lookup!I$1)),"no attestation")</f>
        <v>no attestation</v>
      </c>
      <c r="F74" s="2" t="str">
        <f>IF(AND(NOT(ISBLANK(InfoGard!G74)),InfoGard!G74&lt;&gt;"N/A"),IF(C74="All",CONCATENATE(Lookup!F$2,D74,Lookup!G$2,B74,Lookup!H$2,H$1,Lookup!I$2),CONCATENATE(Lookup!F$3,D74,Lookup!G$3,B74,Lookup!H$3)),"no url")</f>
        <v>no url</v>
      </c>
    </row>
    <row r="75" spans="1:6" hidden="1" x14ac:dyDescent="0.25">
      <c r="A75" s="2" t="b">
        <f>IF(ISBLANK(InfoGard!D75),FALSE,LOOKUP(InfoGard!D75,Lookup!$A$2:$B$4))</f>
        <v>0</v>
      </c>
      <c r="B75" s="2" t="b">
        <f>IF(ISBLANK(InfoGard!E75),FALSE,RIGHT(TRIM(InfoGard!E75),15))</f>
        <v>0</v>
      </c>
      <c r="C75" s="2" t="b">
        <f>IF(ISBLANK(InfoGard!F75),FALSE,LOOKUP(InfoGard!F75,Lookup!$A$6:$B$7))</f>
        <v>0</v>
      </c>
      <c r="D75" s="2" t="b">
        <f>IF(ISBLANK(InfoGard!G75),FALSE,InfoGard!G75)</f>
        <v>0</v>
      </c>
      <c r="E75" s="2" t="str">
        <f>IF(NOT(ISBLANK(InfoGard!D75)),IF(OR(ISBLANK(InfoGard!E75),InfoGard!E75="N/A"),"no acb code",CONCATENATE(Lookup!F$1,A75,Lookup!G$1,B75,Lookup!H$1,H$1,Lookup!I$1)),"no attestation")</f>
        <v>no attestation</v>
      </c>
      <c r="F75" s="2" t="str">
        <f>IF(AND(NOT(ISBLANK(InfoGard!G75)),InfoGard!G75&lt;&gt;"N/A"),IF(C75="All",CONCATENATE(Lookup!F$2,D75,Lookup!G$2,B75,Lookup!H$2,H$1,Lookup!I$2),CONCATENATE(Lookup!F$3,D75,Lookup!G$3,B75,Lookup!H$3)),"no url")</f>
        <v>no url</v>
      </c>
    </row>
    <row r="76" spans="1:6" hidden="1" x14ac:dyDescent="0.25">
      <c r="A76" s="2" t="b">
        <f>IF(ISBLANK(InfoGard!D76),FALSE,LOOKUP(InfoGard!D76,Lookup!$A$2:$B$4))</f>
        <v>0</v>
      </c>
      <c r="B76" s="2" t="b">
        <f>IF(ISBLANK(InfoGard!E76),FALSE,RIGHT(TRIM(InfoGard!E76),15))</f>
        <v>0</v>
      </c>
      <c r="C76" s="2" t="b">
        <f>IF(ISBLANK(InfoGard!F76),FALSE,LOOKUP(InfoGard!F76,Lookup!$A$6:$B$7))</f>
        <v>0</v>
      </c>
      <c r="D76" s="2" t="b">
        <f>IF(ISBLANK(InfoGard!G76),FALSE,InfoGard!G76)</f>
        <v>0</v>
      </c>
      <c r="E76" s="2" t="str">
        <f>IF(NOT(ISBLANK(InfoGard!D76)),IF(OR(ISBLANK(InfoGard!E76),InfoGard!E76="N/A"),"no acb code",CONCATENATE(Lookup!F$1,A76,Lookup!G$1,B76,Lookup!H$1,H$1,Lookup!I$1)),"no attestation")</f>
        <v>no attestation</v>
      </c>
      <c r="F76" s="2" t="str">
        <f>IF(AND(NOT(ISBLANK(InfoGard!G76)),InfoGard!G76&lt;&gt;"N/A"),IF(C76="All",CONCATENATE(Lookup!F$2,D76,Lookup!G$2,B76,Lookup!H$2,H$1,Lookup!I$2),CONCATENATE(Lookup!F$3,D76,Lookup!G$3,B76,Lookup!H$3)),"no url")</f>
        <v>no url</v>
      </c>
    </row>
    <row r="77" spans="1:6" hidden="1" x14ac:dyDescent="0.25">
      <c r="A77" s="2" t="b">
        <f>IF(ISBLANK(InfoGard!D77),FALSE,LOOKUP(InfoGard!D77,Lookup!$A$2:$B$4))</f>
        <v>0</v>
      </c>
      <c r="B77" s="2" t="b">
        <f>IF(ISBLANK(InfoGard!E77),FALSE,RIGHT(TRIM(InfoGard!E77),15))</f>
        <v>0</v>
      </c>
      <c r="C77" s="2" t="b">
        <f>IF(ISBLANK(InfoGard!F77),FALSE,LOOKUP(InfoGard!F77,Lookup!$A$6:$B$7))</f>
        <v>0</v>
      </c>
      <c r="D77" s="2" t="b">
        <f>IF(ISBLANK(InfoGard!G77),FALSE,InfoGard!G77)</f>
        <v>0</v>
      </c>
      <c r="E77" s="2" t="str">
        <f>IF(NOT(ISBLANK(InfoGard!D77)),IF(OR(ISBLANK(InfoGard!E77),InfoGard!E77="N/A"),"no acb code",CONCATENATE(Lookup!F$1,A77,Lookup!G$1,B77,Lookup!H$1,H$1,Lookup!I$1)),"no attestation")</f>
        <v>no attestation</v>
      </c>
      <c r="F77" s="2" t="str">
        <f>IF(AND(NOT(ISBLANK(InfoGard!G77)),InfoGard!G77&lt;&gt;"N/A"),IF(C77="All",CONCATENATE(Lookup!F$2,D77,Lookup!G$2,B77,Lookup!H$2,H$1,Lookup!I$2),CONCATENATE(Lookup!F$3,D77,Lookup!G$3,B77,Lookup!H$3)),"no url")</f>
        <v>no url</v>
      </c>
    </row>
    <row r="78" spans="1:6" hidden="1" x14ac:dyDescent="0.25">
      <c r="A78" s="2" t="b">
        <f>IF(ISBLANK(InfoGard!D78),FALSE,LOOKUP(InfoGard!D78,Lookup!$A$2:$B$4))</f>
        <v>0</v>
      </c>
      <c r="B78" s="2" t="b">
        <f>IF(ISBLANK(InfoGard!E78),FALSE,RIGHT(TRIM(InfoGard!E78),15))</f>
        <v>0</v>
      </c>
      <c r="C78" s="2" t="b">
        <f>IF(ISBLANK(InfoGard!F78),FALSE,LOOKUP(InfoGard!F78,Lookup!$A$6:$B$7))</f>
        <v>0</v>
      </c>
      <c r="D78" s="2" t="b">
        <f>IF(ISBLANK(InfoGard!G78),FALSE,InfoGard!G78)</f>
        <v>0</v>
      </c>
      <c r="E78" s="2" t="str">
        <f>IF(NOT(ISBLANK(InfoGard!D78)),IF(OR(ISBLANK(InfoGard!E78),InfoGard!E78="N/A"),"no acb code",CONCATENATE(Lookup!F$1,A78,Lookup!G$1,B78,Lookup!H$1,H$1,Lookup!I$1)),"no attestation")</f>
        <v>no attestation</v>
      </c>
      <c r="F78" s="2" t="str">
        <f>IF(AND(NOT(ISBLANK(InfoGard!G78)),InfoGard!G78&lt;&gt;"N/A"),IF(C78="All",CONCATENATE(Lookup!F$2,D78,Lookup!G$2,B78,Lookup!H$2,H$1,Lookup!I$2),CONCATENATE(Lookup!F$3,D78,Lookup!G$3,B78,Lookup!H$3)),"no url")</f>
        <v>no url</v>
      </c>
    </row>
    <row r="79" spans="1:6" hidden="1" x14ac:dyDescent="0.25">
      <c r="A79" s="2" t="b">
        <f>IF(ISBLANK(InfoGard!D79),FALSE,LOOKUP(InfoGard!D79,Lookup!$A$2:$B$4))</f>
        <v>0</v>
      </c>
      <c r="B79" s="2" t="b">
        <f>IF(ISBLANK(InfoGard!E79),FALSE,RIGHT(TRIM(InfoGard!E79),15))</f>
        <v>0</v>
      </c>
      <c r="C79" s="2" t="b">
        <f>IF(ISBLANK(InfoGard!F79),FALSE,LOOKUP(InfoGard!F79,Lookup!$A$6:$B$7))</f>
        <v>0</v>
      </c>
      <c r="D79" s="2" t="b">
        <f>IF(ISBLANK(InfoGard!G79),FALSE,InfoGard!G79)</f>
        <v>0</v>
      </c>
      <c r="E79" s="2" t="str">
        <f>IF(NOT(ISBLANK(InfoGard!D79)),IF(OR(ISBLANK(InfoGard!E79),InfoGard!E79="N/A"),"no acb code",CONCATENATE(Lookup!F$1,A79,Lookup!G$1,B79,Lookup!H$1,H$1,Lookup!I$1)),"no attestation")</f>
        <v>no attestation</v>
      </c>
      <c r="F79" s="2" t="str">
        <f>IF(AND(NOT(ISBLANK(InfoGard!G79)),InfoGard!G79&lt;&gt;"N/A"),IF(C79="All",CONCATENATE(Lookup!F$2,D79,Lookup!G$2,B79,Lookup!H$2,H$1,Lookup!I$2),CONCATENATE(Lookup!F$3,D79,Lookup!G$3,B79,Lookup!H$3)),"no url")</f>
        <v>no url</v>
      </c>
    </row>
    <row r="80" spans="1:6" hidden="1" x14ac:dyDescent="0.25">
      <c r="A80" s="2" t="b">
        <f>IF(ISBLANK(InfoGard!D80),FALSE,LOOKUP(InfoGard!D80,Lookup!$A$2:$B$4))</f>
        <v>0</v>
      </c>
      <c r="B80" s="2" t="b">
        <f>IF(ISBLANK(InfoGard!E80),FALSE,RIGHT(TRIM(InfoGard!E80),15))</f>
        <v>0</v>
      </c>
      <c r="C80" s="2" t="b">
        <f>IF(ISBLANK(InfoGard!F80),FALSE,LOOKUP(InfoGard!F80,Lookup!$A$6:$B$7))</f>
        <v>0</v>
      </c>
      <c r="D80" s="2" t="b">
        <f>IF(ISBLANK(InfoGard!G80),FALSE,InfoGard!G80)</f>
        <v>0</v>
      </c>
      <c r="E80" s="2" t="str">
        <f>IF(NOT(ISBLANK(InfoGard!D80)),IF(OR(ISBLANK(InfoGard!E80),InfoGard!E80="N/A"),"no acb code",CONCATENATE(Lookup!F$1,A80,Lookup!G$1,B80,Lookup!H$1,H$1,Lookup!I$1)),"no attestation")</f>
        <v>no attestation</v>
      </c>
      <c r="F80" s="2" t="str">
        <f>IF(AND(NOT(ISBLANK(InfoGard!G80)),InfoGard!G80&lt;&gt;"N/A"),IF(C80="All",CONCATENATE(Lookup!F$2,D80,Lookup!G$2,B80,Lookup!H$2,H$1,Lookup!I$2),CONCATENATE(Lookup!F$3,D80,Lookup!G$3,B80,Lookup!H$3)),"no url")</f>
        <v>no url</v>
      </c>
    </row>
    <row r="81" spans="1:6" hidden="1" x14ac:dyDescent="0.25">
      <c r="A81" s="2" t="b">
        <f>IF(ISBLANK(InfoGard!D81),FALSE,LOOKUP(InfoGard!D81,Lookup!$A$2:$B$4))</f>
        <v>0</v>
      </c>
      <c r="B81" s="2" t="b">
        <f>IF(ISBLANK(InfoGard!E81),FALSE,RIGHT(TRIM(InfoGard!E81),15))</f>
        <v>0</v>
      </c>
      <c r="C81" s="2" t="b">
        <f>IF(ISBLANK(InfoGard!F81),FALSE,LOOKUP(InfoGard!F81,Lookup!$A$6:$B$7))</f>
        <v>0</v>
      </c>
      <c r="D81" s="2" t="b">
        <f>IF(ISBLANK(InfoGard!G81),FALSE,InfoGard!G81)</f>
        <v>0</v>
      </c>
      <c r="E81" s="2" t="str">
        <f>IF(NOT(ISBLANK(InfoGard!D81)),IF(OR(ISBLANK(InfoGard!E81),InfoGard!E81="N/A"),"no acb code",CONCATENATE(Lookup!F$1,A81,Lookup!G$1,B81,Lookup!H$1,H$1,Lookup!I$1)),"no attestation")</f>
        <v>no attestation</v>
      </c>
      <c r="F81" s="2" t="str">
        <f>IF(AND(NOT(ISBLANK(InfoGard!G81)),InfoGard!G81&lt;&gt;"N/A"),IF(C81="All",CONCATENATE(Lookup!F$2,D81,Lookup!G$2,B81,Lookup!H$2,H$1,Lookup!I$2),CONCATENATE(Lookup!F$3,D81,Lookup!G$3,B81,Lookup!H$3)),"no url")</f>
        <v>no url</v>
      </c>
    </row>
    <row r="82" spans="1:6" hidden="1" x14ac:dyDescent="0.25">
      <c r="A82" s="2" t="b">
        <f>IF(ISBLANK(InfoGard!D82),FALSE,LOOKUP(InfoGard!D82,Lookup!$A$2:$B$4))</f>
        <v>0</v>
      </c>
      <c r="B82" s="2" t="b">
        <f>IF(ISBLANK(InfoGard!E82),FALSE,RIGHT(TRIM(InfoGard!E82),15))</f>
        <v>0</v>
      </c>
      <c r="C82" s="2" t="b">
        <f>IF(ISBLANK(InfoGard!F82),FALSE,LOOKUP(InfoGard!F82,Lookup!$A$6:$B$7))</f>
        <v>0</v>
      </c>
      <c r="D82" s="2" t="b">
        <f>IF(ISBLANK(InfoGard!G82),FALSE,InfoGard!G82)</f>
        <v>0</v>
      </c>
      <c r="E82" s="2" t="str">
        <f>IF(NOT(ISBLANK(InfoGard!D82)),IF(OR(ISBLANK(InfoGard!E82),InfoGard!E82="N/A"),"no acb code",CONCATENATE(Lookup!F$1,A82,Lookup!G$1,B82,Lookup!H$1,H$1,Lookup!I$1)),"no attestation")</f>
        <v>no attestation</v>
      </c>
      <c r="F82" s="2" t="str">
        <f>IF(AND(NOT(ISBLANK(InfoGard!G82)),InfoGard!G82&lt;&gt;"N/A"),IF(C82="All",CONCATENATE(Lookup!F$2,D82,Lookup!G$2,B82,Lookup!H$2,H$1,Lookup!I$2),CONCATENATE(Lookup!F$3,D82,Lookup!G$3,B82,Lookup!H$3)),"no url")</f>
        <v>no url</v>
      </c>
    </row>
    <row r="83" spans="1:6" hidden="1" x14ac:dyDescent="0.25">
      <c r="A83" s="2" t="b">
        <f>IF(ISBLANK(InfoGard!D83),FALSE,LOOKUP(InfoGard!D83,Lookup!$A$2:$B$4))</f>
        <v>0</v>
      </c>
      <c r="B83" s="2" t="b">
        <f>IF(ISBLANK(InfoGard!E83),FALSE,RIGHT(TRIM(InfoGard!E83),15))</f>
        <v>0</v>
      </c>
      <c r="C83" s="2" t="b">
        <f>IF(ISBLANK(InfoGard!F83),FALSE,LOOKUP(InfoGard!F83,Lookup!$A$6:$B$7))</f>
        <v>0</v>
      </c>
      <c r="D83" s="2" t="b">
        <f>IF(ISBLANK(InfoGard!G83),FALSE,InfoGard!G83)</f>
        <v>0</v>
      </c>
      <c r="E83" s="2" t="str">
        <f>IF(NOT(ISBLANK(InfoGard!D83)),IF(OR(ISBLANK(InfoGard!E83),InfoGard!E83="N/A"),"no acb code",CONCATENATE(Lookup!F$1,A83,Lookup!G$1,B83,Lookup!H$1,H$1,Lookup!I$1)),"no attestation")</f>
        <v>no attestation</v>
      </c>
      <c r="F83" s="2" t="str">
        <f>IF(AND(NOT(ISBLANK(InfoGard!G83)),InfoGard!G83&lt;&gt;"N/A"),IF(C83="All",CONCATENATE(Lookup!F$2,D83,Lookup!G$2,B83,Lookup!H$2,H$1,Lookup!I$2),CONCATENATE(Lookup!F$3,D83,Lookup!G$3,B83,Lookup!H$3)),"no url")</f>
        <v>no url</v>
      </c>
    </row>
    <row r="84" spans="1:6" hidden="1" x14ac:dyDescent="0.25">
      <c r="A84" s="2" t="b">
        <f>IF(ISBLANK(InfoGard!D84),FALSE,LOOKUP(InfoGard!D84,Lookup!$A$2:$B$4))</f>
        <v>0</v>
      </c>
      <c r="B84" s="2" t="b">
        <f>IF(ISBLANK(InfoGard!E84),FALSE,RIGHT(TRIM(InfoGard!E84),15))</f>
        <v>0</v>
      </c>
      <c r="C84" s="2" t="b">
        <f>IF(ISBLANK(InfoGard!F84),FALSE,LOOKUP(InfoGard!F84,Lookup!$A$6:$B$7))</f>
        <v>0</v>
      </c>
      <c r="D84" s="2" t="b">
        <f>IF(ISBLANK(InfoGard!G84),FALSE,InfoGard!G84)</f>
        <v>0</v>
      </c>
      <c r="E84" s="2" t="str">
        <f>IF(NOT(ISBLANK(InfoGard!D84)),IF(OR(ISBLANK(InfoGard!E84),InfoGard!E84="N/A"),"no acb code",CONCATENATE(Lookup!F$1,A84,Lookup!G$1,B84,Lookup!H$1,H$1,Lookup!I$1)),"no attestation")</f>
        <v>no attestation</v>
      </c>
      <c r="F84" s="2" t="str">
        <f>IF(AND(NOT(ISBLANK(InfoGard!G84)),InfoGard!G84&lt;&gt;"N/A"),IF(C84="All",CONCATENATE(Lookup!F$2,D84,Lookup!G$2,B84,Lookup!H$2,H$1,Lookup!I$2),CONCATENATE(Lookup!F$3,D84,Lookup!G$3,B84,Lookup!H$3)),"no url")</f>
        <v>no url</v>
      </c>
    </row>
    <row r="85" spans="1:6" hidden="1" x14ac:dyDescent="0.25">
      <c r="A85" s="2" t="b">
        <f>IF(ISBLANK(InfoGard!D85),FALSE,LOOKUP(InfoGard!D85,Lookup!$A$2:$B$4))</f>
        <v>0</v>
      </c>
      <c r="B85" s="2" t="b">
        <f>IF(ISBLANK(InfoGard!E85),FALSE,RIGHT(TRIM(InfoGard!E85),15))</f>
        <v>0</v>
      </c>
      <c r="C85" s="2" t="b">
        <f>IF(ISBLANK(InfoGard!F85),FALSE,LOOKUP(InfoGard!F85,Lookup!$A$6:$B$7))</f>
        <v>0</v>
      </c>
      <c r="D85" s="2" t="b">
        <f>IF(ISBLANK(InfoGard!G85),FALSE,InfoGard!G85)</f>
        <v>0</v>
      </c>
      <c r="E85" s="2" t="str">
        <f>IF(NOT(ISBLANK(InfoGard!D85)),IF(OR(ISBLANK(InfoGard!E85),InfoGard!E85="N/A"),"no acb code",CONCATENATE(Lookup!F$1,A85,Lookup!G$1,B85,Lookup!H$1,H$1,Lookup!I$1)),"no attestation")</f>
        <v>no attestation</v>
      </c>
      <c r="F85" s="2" t="str">
        <f>IF(AND(NOT(ISBLANK(InfoGard!G85)),InfoGard!G85&lt;&gt;"N/A"),IF(C85="All",CONCATENATE(Lookup!F$2,D85,Lookup!G$2,B85,Lookup!H$2,H$1,Lookup!I$2),CONCATENATE(Lookup!F$3,D85,Lookup!G$3,B85,Lookup!H$3)),"no url")</f>
        <v>no url</v>
      </c>
    </row>
    <row r="86" spans="1:6" hidden="1" x14ac:dyDescent="0.25">
      <c r="A86" s="2" t="b">
        <f>IF(ISBLANK(InfoGard!D86),FALSE,LOOKUP(InfoGard!D86,Lookup!$A$2:$B$4))</f>
        <v>0</v>
      </c>
      <c r="B86" s="2" t="b">
        <f>IF(ISBLANK(InfoGard!E86),FALSE,RIGHT(TRIM(InfoGard!E86),15))</f>
        <v>0</v>
      </c>
      <c r="C86" s="2" t="b">
        <f>IF(ISBLANK(InfoGard!F86),FALSE,LOOKUP(InfoGard!F86,Lookup!$A$6:$B$7))</f>
        <v>0</v>
      </c>
      <c r="D86" s="2" t="b">
        <f>IF(ISBLANK(InfoGard!G86),FALSE,InfoGard!G86)</f>
        <v>0</v>
      </c>
      <c r="E86" s="2" t="str">
        <f>IF(NOT(ISBLANK(InfoGard!D86)),IF(OR(ISBLANK(InfoGard!E86),InfoGard!E86="N/A"),"no acb code",CONCATENATE(Lookup!F$1,A86,Lookup!G$1,B86,Lookup!H$1,H$1,Lookup!I$1)),"no attestation")</f>
        <v>no attestation</v>
      </c>
      <c r="F86" s="2" t="str">
        <f>IF(AND(NOT(ISBLANK(InfoGard!G86)),InfoGard!G86&lt;&gt;"N/A"),IF(C86="All",CONCATENATE(Lookup!F$2,D86,Lookup!G$2,B86,Lookup!H$2,H$1,Lookup!I$2),CONCATENATE(Lookup!F$3,D86,Lookup!G$3,B86,Lookup!H$3)),"no url")</f>
        <v>no url</v>
      </c>
    </row>
    <row r="87" spans="1:6" hidden="1" x14ac:dyDescent="0.25">
      <c r="A87" s="2" t="b">
        <f>IF(ISBLANK(InfoGard!D87),FALSE,LOOKUP(InfoGard!D87,Lookup!$A$2:$B$4))</f>
        <v>0</v>
      </c>
      <c r="B87" s="2" t="b">
        <f>IF(ISBLANK(InfoGard!E87),FALSE,RIGHT(TRIM(InfoGard!E87),15))</f>
        <v>0</v>
      </c>
      <c r="C87" s="2" t="b">
        <f>IF(ISBLANK(InfoGard!F87),FALSE,LOOKUP(InfoGard!F87,Lookup!$A$6:$B$7))</f>
        <v>0</v>
      </c>
      <c r="D87" s="2" t="b">
        <f>IF(ISBLANK(InfoGard!G87),FALSE,InfoGard!G87)</f>
        <v>0</v>
      </c>
      <c r="E87" s="2" t="str">
        <f>IF(NOT(ISBLANK(InfoGard!D87)),IF(OR(ISBLANK(InfoGard!E87),InfoGard!E87="N/A"),"no acb code",CONCATENATE(Lookup!F$1,A87,Lookup!G$1,B87,Lookup!H$1,H$1,Lookup!I$1)),"no attestation")</f>
        <v>no attestation</v>
      </c>
      <c r="F87" s="2" t="str">
        <f>IF(AND(NOT(ISBLANK(InfoGard!G87)),InfoGard!G87&lt;&gt;"N/A"),IF(C87="All",CONCATENATE(Lookup!F$2,D87,Lookup!G$2,B87,Lookup!H$2,H$1,Lookup!I$2),CONCATENATE(Lookup!F$3,D87,Lookup!G$3,B87,Lookup!H$3)),"no url")</f>
        <v>no url</v>
      </c>
    </row>
    <row r="88" spans="1:6" hidden="1" x14ac:dyDescent="0.25">
      <c r="A88" s="2" t="b">
        <f>IF(ISBLANK(InfoGard!D88),FALSE,LOOKUP(InfoGard!D88,Lookup!$A$2:$B$4))</f>
        <v>0</v>
      </c>
      <c r="B88" s="2" t="b">
        <f>IF(ISBLANK(InfoGard!E88),FALSE,RIGHT(TRIM(InfoGard!E88),15))</f>
        <v>0</v>
      </c>
      <c r="C88" s="2" t="b">
        <f>IF(ISBLANK(InfoGard!F88),FALSE,LOOKUP(InfoGard!F88,Lookup!$A$6:$B$7))</f>
        <v>0</v>
      </c>
      <c r="D88" s="2" t="b">
        <f>IF(ISBLANK(InfoGard!G88),FALSE,InfoGard!G88)</f>
        <v>0</v>
      </c>
      <c r="E88" s="2" t="str">
        <f>IF(NOT(ISBLANK(InfoGard!D88)),IF(OR(ISBLANK(InfoGard!E88),InfoGard!E88="N/A"),"no acb code",CONCATENATE(Lookup!F$1,A88,Lookup!G$1,B88,Lookup!H$1,H$1,Lookup!I$1)),"no attestation")</f>
        <v>no attestation</v>
      </c>
      <c r="F88" s="2" t="str">
        <f>IF(AND(NOT(ISBLANK(InfoGard!G88)),InfoGard!G88&lt;&gt;"N/A"),IF(C88="All",CONCATENATE(Lookup!F$2,D88,Lookup!G$2,B88,Lookup!H$2,H$1,Lookup!I$2),CONCATENATE(Lookup!F$3,D88,Lookup!G$3,B88,Lookup!H$3)),"no url")</f>
        <v>no url</v>
      </c>
    </row>
    <row r="89" spans="1:6" hidden="1" x14ac:dyDescent="0.25">
      <c r="A89" s="2" t="b">
        <f>IF(ISBLANK(InfoGard!D89),FALSE,LOOKUP(InfoGard!D89,Lookup!$A$2:$B$4))</f>
        <v>0</v>
      </c>
      <c r="B89" s="2" t="b">
        <f>IF(ISBLANK(InfoGard!E89),FALSE,RIGHT(TRIM(InfoGard!E89),15))</f>
        <v>0</v>
      </c>
      <c r="C89" s="2" t="b">
        <f>IF(ISBLANK(InfoGard!F89),FALSE,LOOKUP(InfoGard!F89,Lookup!$A$6:$B$7))</f>
        <v>0</v>
      </c>
      <c r="D89" s="2" t="b">
        <f>IF(ISBLANK(InfoGard!G89),FALSE,InfoGard!G89)</f>
        <v>0</v>
      </c>
      <c r="E89" s="2" t="str">
        <f>IF(NOT(ISBLANK(InfoGard!D89)),IF(OR(ISBLANK(InfoGard!E89),InfoGard!E89="N/A"),"no acb code",CONCATENATE(Lookup!F$1,A89,Lookup!G$1,B89,Lookup!H$1,H$1,Lookup!I$1)),"no attestation")</f>
        <v>no attestation</v>
      </c>
      <c r="F89" s="2" t="str">
        <f>IF(AND(NOT(ISBLANK(InfoGard!G89)),InfoGard!G89&lt;&gt;"N/A"),IF(C89="All",CONCATENATE(Lookup!F$2,D89,Lookup!G$2,B89,Lookup!H$2,H$1,Lookup!I$2),CONCATENATE(Lookup!F$3,D89,Lookup!G$3,B89,Lookup!H$3)),"no url")</f>
        <v>no url</v>
      </c>
    </row>
    <row r="90" spans="1:6" hidden="1" x14ac:dyDescent="0.25">
      <c r="A90" s="2" t="b">
        <f>IF(ISBLANK(InfoGard!D90),FALSE,LOOKUP(InfoGard!D90,Lookup!$A$2:$B$4))</f>
        <v>0</v>
      </c>
      <c r="B90" s="2" t="b">
        <f>IF(ISBLANK(InfoGard!E90),FALSE,RIGHT(TRIM(InfoGard!E90),15))</f>
        <v>0</v>
      </c>
      <c r="C90" s="2" t="b">
        <f>IF(ISBLANK(InfoGard!F90),FALSE,LOOKUP(InfoGard!F90,Lookup!$A$6:$B$7))</f>
        <v>0</v>
      </c>
      <c r="D90" s="2" t="b">
        <f>IF(ISBLANK(InfoGard!G90),FALSE,InfoGard!G90)</f>
        <v>0</v>
      </c>
      <c r="E90" s="2" t="str">
        <f>IF(NOT(ISBLANK(InfoGard!D90)),IF(OR(ISBLANK(InfoGard!E90),InfoGard!E90="N/A"),"no acb code",CONCATENATE(Lookup!F$1,A90,Lookup!G$1,B90,Lookup!H$1,H$1,Lookup!I$1)),"no attestation")</f>
        <v>no attestation</v>
      </c>
      <c r="F90" s="2" t="str">
        <f>IF(AND(NOT(ISBLANK(InfoGard!G90)),InfoGard!G90&lt;&gt;"N/A"),IF(C90="All",CONCATENATE(Lookup!F$2,D90,Lookup!G$2,B90,Lookup!H$2,H$1,Lookup!I$2),CONCATENATE(Lookup!F$3,D90,Lookup!G$3,B90,Lookup!H$3)),"no url")</f>
        <v>no url</v>
      </c>
    </row>
    <row r="91" spans="1:6" hidden="1" x14ac:dyDescent="0.25">
      <c r="A91" s="2" t="b">
        <f>IF(ISBLANK(InfoGard!D91),FALSE,LOOKUP(InfoGard!D91,Lookup!$A$2:$B$4))</f>
        <v>0</v>
      </c>
      <c r="B91" s="2" t="b">
        <f>IF(ISBLANK(InfoGard!E91),FALSE,RIGHT(TRIM(InfoGard!E91),15))</f>
        <v>0</v>
      </c>
      <c r="C91" s="2" t="b">
        <f>IF(ISBLANK(InfoGard!F91),FALSE,LOOKUP(InfoGard!F91,Lookup!$A$6:$B$7))</f>
        <v>0</v>
      </c>
      <c r="D91" s="2" t="b">
        <f>IF(ISBLANK(InfoGard!G91),FALSE,InfoGard!G91)</f>
        <v>0</v>
      </c>
      <c r="E91" s="2" t="str">
        <f>IF(NOT(ISBLANK(InfoGard!D91)),IF(OR(ISBLANK(InfoGard!E91),InfoGard!E91="N/A"),"no acb code",CONCATENATE(Lookup!F$1,A91,Lookup!G$1,B91,Lookup!H$1,H$1,Lookup!I$1)),"no attestation")</f>
        <v>no attestation</v>
      </c>
      <c r="F91" s="2" t="str">
        <f>IF(AND(NOT(ISBLANK(InfoGard!G91)),InfoGard!G91&lt;&gt;"N/A"),IF(C91="All",CONCATENATE(Lookup!F$2,D91,Lookup!G$2,B91,Lookup!H$2,H$1,Lookup!I$2),CONCATENATE(Lookup!F$3,D91,Lookup!G$3,B91,Lookup!H$3)),"no url")</f>
        <v>no url</v>
      </c>
    </row>
    <row r="92" spans="1:6" hidden="1" x14ac:dyDescent="0.25">
      <c r="A92" s="2" t="b">
        <f>IF(ISBLANK(InfoGard!D92),FALSE,LOOKUP(InfoGard!D92,Lookup!$A$2:$B$4))</f>
        <v>0</v>
      </c>
      <c r="B92" s="2" t="b">
        <f>IF(ISBLANK(InfoGard!E92),FALSE,RIGHT(TRIM(InfoGard!E92),15))</f>
        <v>0</v>
      </c>
      <c r="C92" s="2" t="b">
        <f>IF(ISBLANK(InfoGard!F92),FALSE,LOOKUP(InfoGard!F92,Lookup!$A$6:$B$7))</f>
        <v>0</v>
      </c>
      <c r="D92" s="2" t="b">
        <f>IF(ISBLANK(InfoGard!G92),FALSE,InfoGard!G92)</f>
        <v>0</v>
      </c>
      <c r="E92" s="2" t="str">
        <f>IF(NOT(ISBLANK(InfoGard!D92)),IF(OR(ISBLANK(InfoGard!E92),InfoGard!E92="N/A"),"no acb code",CONCATENATE(Lookup!F$1,A92,Lookup!G$1,B92,Lookup!H$1,H$1,Lookup!I$1)),"no attestation")</f>
        <v>no attestation</v>
      </c>
      <c r="F92" s="2" t="str">
        <f>IF(AND(NOT(ISBLANK(InfoGard!G92)),InfoGard!G92&lt;&gt;"N/A"),IF(C92="All",CONCATENATE(Lookup!F$2,D92,Lookup!G$2,B92,Lookup!H$2,H$1,Lookup!I$2),CONCATENATE(Lookup!F$3,D92,Lookup!G$3,B92,Lookup!H$3)),"no url")</f>
        <v>no url</v>
      </c>
    </row>
    <row r="93" spans="1:6" hidden="1" x14ac:dyDescent="0.25">
      <c r="A93" s="2" t="b">
        <f>IF(ISBLANK(InfoGard!D93),FALSE,LOOKUP(InfoGard!D93,Lookup!$A$2:$B$4))</f>
        <v>0</v>
      </c>
      <c r="B93" s="2" t="b">
        <f>IF(ISBLANK(InfoGard!E93),FALSE,RIGHT(TRIM(InfoGard!E93),15))</f>
        <v>0</v>
      </c>
      <c r="C93" s="2" t="b">
        <f>IF(ISBLANK(InfoGard!F93),FALSE,LOOKUP(InfoGard!F93,Lookup!$A$6:$B$7))</f>
        <v>0</v>
      </c>
      <c r="D93" s="2" t="b">
        <f>IF(ISBLANK(InfoGard!G93),FALSE,InfoGard!G93)</f>
        <v>0</v>
      </c>
      <c r="E93" s="2" t="str">
        <f>IF(NOT(ISBLANK(InfoGard!D93)),IF(OR(ISBLANK(InfoGard!E93),InfoGard!E93="N/A"),"no acb code",CONCATENATE(Lookup!F$1,A93,Lookup!G$1,B93,Lookup!H$1,H$1,Lookup!I$1)),"no attestation")</f>
        <v>no attestation</v>
      </c>
      <c r="F93" s="2" t="str">
        <f>IF(AND(NOT(ISBLANK(InfoGard!G93)),InfoGard!G93&lt;&gt;"N/A"),IF(C93="All",CONCATENATE(Lookup!F$2,D93,Lookup!G$2,B93,Lookup!H$2,H$1,Lookup!I$2),CONCATENATE(Lookup!F$3,D93,Lookup!G$3,B93,Lookup!H$3)),"no url")</f>
        <v>no url</v>
      </c>
    </row>
    <row r="94" spans="1:6" hidden="1" x14ac:dyDescent="0.25">
      <c r="A94" s="2" t="b">
        <f>IF(ISBLANK(InfoGard!D94),FALSE,LOOKUP(InfoGard!D94,Lookup!$A$2:$B$4))</f>
        <v>0</v>
      </c>
      <c r="B94" s="2" t="b">
        <f>IF(ISBLANK(InfoGard!E94),FALSE,RIGHT(TRIM(InfoGard!E94),15))</f>
        <v>0</v>
      </c>
      <c r="C94" s="2" t="b">
        <f>IF(ISBLANK(InfoGard!F94),FALSE,LOOKUP(InfoGard!F94,Lookup!$A$6:$B$7))</f>
        <v>0</v>
      </c>
      <c r="D94" s="2" t="b">
        <f>IF(ISBLANK(InfoGard!G94),FALSE,InfoGard!G94)</f>
        <v>0</v>
      </c>
      <c r="E94" s="2" t="str">
        <f>IF(NOT(ISBLANK(InfoGard!D94)),IF(OR(ISBLANK(InfoGard!E94),InfoGard!E94="N/A"),"no acb code",CONCATENATE(Lookup!F$1,A94,Lookup!G$1,B94,Lookup!H$1,H$1,Lookup!I$1)),"no attestation")</f>
        <v>no attestation</v>
      </c>
      <c r="F94" s="2" t="str">
        <f>IF(AND(NOT(ISBLANK(InfoGard!G94)),InfoGard!G94&lt;&gt;"N/A"),IF(C94="All",CONCATENATE(Lookup!F$2,D94,Lookup!G$2,B94,Lookup!H$2,H$1,Lookup!I$2),CONCATENATE(Lookup!F$3,D94,Lookup!G$3,B94,Lookup!H$3)),"no url")</f>
        <v>no url</v>
      </c>
    </row>
    <row r="95" spans="1:6" hidden="1" x14ac:dyDescent="0.25">
      <c r="A95" s="2" t="b">
        <f>IF(ISBLANK(InfoGard!D95),FALSE,LOOKUP(InfoGard!D95,Lookup!$A$2:$B$4))</f>
        <v>0</v>
      </c>
      <c r="B95" s="2" t="b">
        <f>IF(ISBLANK(InfoGard!E95),FALSE,RIGHT(TRIM(InfoGard!E95),15))</f>
        <v>0</v>
      </c>
      <c r="C95" s="2" t="b">
        <f>IF(ISBLANK(InfoGard!F95),FALSE,LOOKUP(InfoGard!F95,Lookup!$A$6:$B$7))</f>
        <v>0</v>
      </c>
      <c r="D95" s="2" t="b">
        <f>IF(ISBLANK(InfoGard!G95),FALSE,InfoGard!G95)</f>
        <v>0</v>
      </c>
      <c r="E95" s="2" t="str">
        <f>IF(NOT(ISBLANK(InfoGard!D95)),IF(OR(ISBLANK(InfoGard!E95),InfoGard!E95="N/A"),"no acb code",CONCATENATE(Lookup!F$1,A95,Lookup!G$1,B95,Lookup!H$1,H$1,Lookup!I$1)),"no attestation")</f>
        <v>no attestation</v>
      </c>
      <c r="F95" s="2" t="str">
        <f>IF(AND(NOT(ISBLANK(InfoGard!G95)),InfoGard!G95&lt;&gt;"N/A"),IF(C95="All",CONCATENATE(Lookup!F$2,D95,Lookup!G$2,B95,Lookup!H$2,H$1,Lookup!I$2),CONCATENATE(Lookup!F$3,D95,Lookup!G$3,B95,Lookup!H$3)),"no url")</f>
        <v>no url</v>
      </c>
    </row>
    <row r="96" spans="1:6" hidden="1" x14ac:dyDescent="0.25">
      <c r="A96" s="2" t="b">
        <f>IF(ISBLANK(InfoGard!D96),FALSE,LOOKUP(InfoGard!D96,Lookup!$A$2:$B$4))</f>
        <v>0</v>
      </c>
      <c r="B96" s="2" t="b">
        <f>IF(ISBLANK(InfoGard!E96),FALSE,RIGHT(TRIM(InfoGard!E96),15))</f>
        <v>0</v>
      </c>
      <c r="C96" s="2" t="b">
        <f>IF(ISBLANK(InfoGard!F96),FALSE,LOOKUP(InfoGard!F96,Lookup!$A$6:$B$7))</f>
        <v>0</v>
      </c>
      <c r="D96" s="2" t="b">
        <f>IF(ISBLANK(InfoGard!G96),FALSE,InfoGard!G96)</f>
        <v>0</v>
      </c>
      <c r="E96" s="2" t="str">
        <f>IF(NOT(ISBLANK(InfoGard!D96)),IF(OR(ISBLANK(InfoGard!E96),InfoGard!E96="N/A"),"no acb code",CONCATENATE(Lookup!F$1,A96,Lookup!G$1,B96,Lookup!H$1,H$1,Lookup!I$1)),"no attestation")</f>
        <v>no attestation</v>
      </c>
      <c r="F96" s="2" t="str">
        <f>IF(AND(NOT(ISBLANK(InfoGard!G96)),InfoGard!G96&lt;&gt;"N/A"),IF(C96="All",CONCATENATE(Lookup!F$2,D96,Lookup!G$2,B96,Lookup!H$2,H$1,Lookup!I$2),CONCATENATE(Lookup!F$3,D96,Lookup!G$3,B96,Lookup!H$3)),"no url")</f>
        <v>no url</v>
      </c>
    </row>
    <row r="97" spans="1:6" hidden="1" x14ac:dyDescent="0.25">
      <c r="A97" s="2" t="b">
        <f>IF(ISBLANK(InfoGard!D97),FALSE,LOOKUP(InfoGard!D97,Lookup!$A$2:$B$4))</f>
        <v>0</v>
      </c>
      <c r="B97" s="2" t="b">
        <f>IF(ISBLANK(InfoGard!E97),FALSE,RIGHT(TRIM(InfoGard!E97),15))</f>
        <v>0</v>
      </c>
      <c r="C97" s="2" t="b">
        <f>IF(ISBLANK(InfoGard!F97),FALSE,LOOKUP(InfoGard!F97,Lookup!$A$6:$B$7))</f>
        <v>0</v>
      </c>
      <c r="D97" s="2" t="b">
        <f>IF(ISBLANK(InfoGard!G97),FALSE,InfoGard!G97)</f>
        <v>0</v>
      </c>
      <c r="E97" s="2" t="str">
        <f>IF(NOT(ISBLANK(InfoGard!D97)),IF(OR(ISBLANK(InfoGard!E97),InfoGard!E97="N/A"),"no acb code",CONCATENATE(Lookup!F$1,A97,Lookup!G$1,B97,Lookup!H$1,H$1,Lookup!I$1)),"no attestation")</f>
        <v>no attestation</v>
      </c>
      <c r="F97" s="2" t="str">
        <f>IF(AND(NOT(ISBLANK(InfoGard!G97)),InfoGard!G97&lt;&gt;"N/A"),IF(C97="All",CONCATENATE(Lookup!F$2,D97,Lookup!G$2,B97,Lookup!H$2,H$1,Lookup!I$2),CONCATENATE(Lookup!F$3,D97,Lookup!G$3,B97,Lookup!H$3)),"no url")</f>
        <v>no url</v>
      </c>
    </row>
    <row r="98" spans="1:6" hidden="1" x14ac:dyDescent="0.25">
      <c r="A98" s="2" t="b">
        <f>IF(ISBLANK(InfoGard!D98),FALSE,LOOKUP(InfoGard!D98,Lookup!$A$2:$B$4))</f>
        <v>0</v>
      </c>
      <c r="B98" s="2" t="b">
        <f>IF(ISBLANK(InfoGard!E98),FALSE,RIGHT(TRIM(InfoGard!E98),15))</f>
        <v>0</v>
      </c>
      <c r="C98" s="2" t="b">
        <f>IF(ISBLANK(InfoGard!F98),FALSE,LOOKUP(InfoGard!F98,Lookup!$A$6:$B$7))</f>
        <v>0</v>
      </c>
      <c r="D98" s="2" t="b">
        <f>IF(ISBLANK(InfoGard!G98),FALSE,InfoGard!G98)</f>
        <v>0</v>
      </c>
      <c r="E98" s="2" t="str">
        <f>IF(NOT(ISBLANK(InfoGard!D98)),IF(OR(ISBLANK(InfoGard!E98),InfoGard!E98="N/A"),"no acb code",CONCATENATE(Lookup!F$1,A98,Lookup!G$1,B98,Lookup!H$1,H$1,Lookup!I$1)),"no attestation")</f>
        <v>no attestation</v>
      </c>
      <c r="F98" s="2" t="str">
        <f>IF(AND(NOT(ISBLANK(InfoGard!G98)),InfoGard!G98&lt;&gt;"N/A"),IF(C98="All",CONCATENATE(Lookup!F$2,D98,Lookup!G$2,B98,Lookup!H$2,H$1,Lookup!I$2),CONCATENATE(Lookup!F$3,D98,Lookup!G$3,B98,Lookup!H$3)),"no url")</f>
        <v>no url</v>
      </c>
    </row>
    <row r="99" spans="1:6" hidden="1" x14ac:dyDescent="0.25">
      <c r="A99" s="2" t="b">
        <f>IF(ISBLANK(InfoGard!D99),FALSE,LOOKUP(InfoGard!D99,Lookup!$A$2:$B$4))</f>
        <v>0</v>
      </c>
      <c r="B99" s="2" t="b">
        <f>IF(ISBLANK(InfoGard!E99),FALSE,RIGHT(TRIM(InfoGard!E99),15))</f>
        <v>0</v>
      </c>
      <c r="C99" s="2" t="b">
        <f>IF(ISBLANK(InfoGard!F99),FALSE,LOOKUP(InfoGard!F99,Lookup!$A$6:$B$7))</f>
        <v>0</v>
      </c>
      <c r="D99" s="2" t="b">
        <f>IF(ISBLANK(InfoGard!G99),FALSE,InfoGard!G99)</f>
        <v>0</v>
      </c>
      <c r="E99" s="2" t="str">
        <f>IF(NOT(ISBLANK(InfoGard!D99)),IF(OR(ISBLANK(InfoGard!E99),InfoGard!E99="N/A"),"no acb code",CONCATENATE(Lookup!F$1,A99,Lookup!G$1,B99,Lookup!H$1,H$1,Lookup!I$1)),"no attestation")</f>
        <v>no attestation</v>
      </c>
      <c r="F99" s="2" t="str">
        <f>IF(AND(NOT(ISBLANK(InfoGard!G99)),InfoGard!G99&lt;&gt;"N/A"),IF(C99="All",CONCATENATE(Lookup!F$2,D99,Lookup!G$2,B99,Lookup!H$2,H$1,Lookup!I$2),CONCATENATE(Lookup!F$3,D99,Lookup!G$3,B99,Lookup!H$3)),"no url")</f>
        <v>no url</v>
      </c>
    </row>
    <row r="100" spans="1:6" hidden="1" x14ac:dyDescent="0.25">
      <c r="A100" s="2" t="b">
        <f>IF(ISBLANK(InfoGard!D100),FALSE,LOOKUP(InfoGard!D100,Lookup!$A$2:$B$4))</f>
        <v>0</v>
      </c>
      <c r="B100" s="2" t="b">
        <f>IF(ISBLANK(InfoGard!E100),FALSE,RIGHT(TRIM(InfoGard!E100),15))</f>
        <v>0</v>
      </c>
      <c r="C100" s="2" t="b">
        <f>IF(ISBLANK(InfoGard!F100),FALSE,LOOKUP(InfoGard!F100,Lookup!$A$6:$B$7))</f>
        <v>0</v>
      </c>
      <c r="D100" s="2" t="b">
        <f>IF(ISBLANK(InfoGard!G100),FALSE,InfoGard!G100)</f>
        <v>0</v>
      </c>
      <c r="E100" s="2" t="str">
        <f>IF(NOT(ISBLANK(InfoGard!D100)),IF(OR(ISBLANK(InfoGard!E100),InfoGard!E100="N/A"),"no acb code",CONCATENATE(Lookup!F$1,A100,Lookup!G$1,B100,Lookup!H$1,H$1,Lookup!I$1)),"no attestation")</f>
        <v>no attestation</v>
      </c>
      <c r="F100" s="2" t="str">
        <f>IF(AND(NOT(ISBLANK(InfoGard!G100)),InfoGard!G100&lt;&gt;"N/A"),IF(C100="All",CONCATENATE(Lookup!F$2,D100,Lookup!G$2,B100,Lookup!H$2,H$1,Lookup!I$2),CONCATENATE(Lookup!F$3,D100,Lookup!G$3,B100,Lookup!H$3)),"no url")</f>
        <v>no url</v>
      </c>
    </row>
    <row r="101" spans="1:6" x14ac:dyDescent="0.25">
      <c r="A101" s="2" t="str">
        <f>IF(ISBLANK(InfoGard!D101),FALSE,LOOKUP(InfoGard!D101,Lookup!$A$2:$B$4))</f>
        <v>Affirmative</v>
      </c>
      <c r="B101" s="2" t="str">
        <f>IF(ISBLANK(InfoGard!E101),FALSE,RIGHT(TRIM(InfoGard!E101),15))</f>
        <v>IG-2999-15-0061</v>
      </c>
      <c r="C101" s="2" t="str">
        <f>IF(ISBLANK(InfoGard!F101),FALSE,LOOKUP(InfoGard!F101,Lookup!$A$6:$B$7))</f>
        <v>All</v>
      </c>
      <c r="D101" s="2" t="str">
        <f>IF(ISBLANK(InfoGard!G101),FALSE,InfoGard!G101)</f>
        <v>http://www.aprima.com/company/industry-certifications-infogard/2014-infogard-certification</v>
      </c>
      <c r="E101" s="2" t="str">
        <f>IF(NOT(ISBLANK(InfoGard!D101)),IF(OR(ISBLANK(InfoGard!E101),InfoGard!E101="N/A"),"no acb code",CONCATENATE(Lookup!F$1,A101,Lookup!G$1,B101,Lookup!H$1,H$1,Lookup!I$1)),"no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'IG-2999-15-0061' and cb."name" = 'InfoGard' and cp.product_version_id = pv.product_version_id and pv.product_id = p.product_id and p.vendor_id = vend.vendor_id;</v>
      </c>
      <c r="F101" s="2" t="str">
        <f>IF(AND(NOT(ISBLANK(InfoGard!G101)),InfoGard!G101&lt;&gt;"N/A"),IF(C101="All",CONCATENATE(Lookup!F$2,D101,Lookup!G$2,B101,Lookup!H$2,H$1,Lookup!I$2),CONCATENATE(Lookup!F$3,D101,Lookup!G$3,B101,Lookup!H$3)),"no url")</f>
        <v>update openchpl.certified_product as cp set transparency_attestation_url = 'http://www.aprima.com/company/industry-certifications-infogard/2014-infogard-certification' from (select certified_product_id from (select vend.vendor_code from openchpl.certified_product as cp, openchpl.product_version as pv, openchpl.product as p, openchpl.vendor as vend where cp.acb_certification_id = 'IG-2999-15-0061'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2" spans="1:6" x14ac:dyDescent="0.25">
      <c r="A102" s="2" t="str">
        <f>IF(ISBLANK(InfoGard!D102),FALSE,LOOKUP(InfoGard!D102,Lookup!$A$2:$B$4))</f>
        <v>Affirmative</v>
      </c>
      <c r="B102" s="2" t="str">
        <f>IF(ISBLANK(InfoGard!E102),FALSE,RIGHT(TRIM(InfoGard!E102),15))</f>
        <v>IG-2999-14-0051</v>
      </c>
      <c r="C102" s="2" t="str">
        <f>IF(ISBLANK(InfoGard!F102),FALSE,LOOKUP(InfoGard!F102,Lookup!$A$6:$B$7))</f>
        <v>All</v>
      </c>
      <c r="D102" s="2" t="str">
        <f>IF(ISBLANK(InfoGard!G102),FALSE,InfoGard!G102)</f>
        <v>http://www.aprima.com/company/industry-certifications-infogard/2014-infogard-certification</v>
      </c>
      <c r="E102" s="2" t="str">
        <f>IF(NOT(ISBLANK(InfoGard!D102)),IF(OR(ISBLANK(InfoGard!E102),InfoGard!E102="N/A"),"no acb code",CONCATENATE(Lookup!F$1,A102,Lookup!G$1,B102,Lookup!H$1,H$1,Lookup!I$1)),"no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'IG-2999-14-0051' and cb."name" = 'InfoGard' and cp.product_version_id = pv.product_version_id and pv.product_id = p.product_id and p.vendor_id = vend.vendor_id;</v>
      </c>
      <c r="F102" s="2" t="str">
        <f>IF(AND(NOT(ISBLANK(InfoGard!G102)),InfoGard!G102&lt;&gt;"N/A"),IF(C102="All",CONCATENATE(Lookup!F$2,D102,Lookup!G$2,B102,Lookup!H$2,H$1,Lookup!I$2),CONCATENATE(Lookup!F$3,D102,Lookup!G$3,B102,Lookup!H$3)),"no url")</f>
        <v>update openchpl.certified_product as cp set transparency_attestation_url = 'http://www.aprima.com/company/industry-certifications-infogard/2014-infogard-certification' from (select certified_product_id from (select vend.vendor_code from openchpl.certified_product as cp, openchpl.product_version as pv, openchpl.product as p, openchpl.vendor as vend where cp.acb_certification_id = 'IG-2999-14-0051'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3" spans="1:6" hidden="1" x14ac:dyDescent="0.25">
      <c r="A103" s="2" t="b">
        <f>IF(ISBLANK(InfoGard!D103),FALSE,LOOKUP(InfoGard!D103,Lookup!$A$2:$B$4))</f>
        <v>0</v>
      </c>
      <c r="B103" s="2" t="b">
        <f>IF(ISBLANK(InfoGard!E103),FALSE,RIGHT(TRIM(InfoGard!E103),15))</f>
        <v>0</v>
      </c>
      <c r="C103" s="2" t="b">
        <f>IF(ISBLANK(InfoGard!F103),FALSE,LOOKUP(InfoGard!F103,Lookup!$A$6:$B$7))</f>
        <v>0</v>
      </c>
      <c r="D103" s="2" t="b">
        <f>IF(ISBLANK(InfoGard!G103),FALSE,InfoGard!G103)</f>
        <v>0</v>
      </c>
      <c r="E103" s="2" t="str">
        <f>IF(NOT(ISBLANK(InfoGard!D103)),IF(OR(ISBLANK(InfoGard!E103),InfoGard!E103="N/A"),"no acb code",CONCATENATE(Lookup!F$1,A103,Lookup!G$1,B103,Lookup!H$1,H$1,Lookup!I$1)),"no attestation")</f>
        <v>no attestation</v>
      </c>
      <c r="F103" s="2" t="str">
        <f>IF(AND(NOT(ISBLANK(InfoGard!G103)),InfoGard!G103&lt;&gt;"N/A"),IF(C103="All",CONCATENATE(Lookup!F$2,D103,Lookup!G$2,B103,Lookup!H$2,H$1,Lookup!I$2),CONCATENATE(Lookup!F$3,D103,Lookup!G$3,B103,Lookup!H$3)),"no url")</f>
        <v>no url</v>
      </c>
    </row>
    <row r="104" spans="1:6" hidden="1" x14ac:dyDescent="0.25">
      <c r="A104" s="2" t="b">
        <f>IF(ISBLANK(InfoGard!D104),FALSE,LOOKUP(InfoGard!D104,Lookup!$A$2:$B$4))</f>
        <v>0</v>
      </c>
      <c r="B104" s="2" t="b">
        <f>IF(ISBLANK(InfoGard!E104),FALSE,RIGHT(TRIM(InfoGard!E104),15))</f>
        <v>0</v>
      </c>
      <c r="C104" s="2" t="b">
        <f>IF(ISBLANK(InfoGard!F104),FALSE,LOOKUP(InfoGard!F104,Lookup!$A$6:$B$7))</f>
        <v>0</v>
      </c>
      <c r="D104" s="2" t="b">
        <f>IF(ISBLANK(InfoGard!G104),FALSE,InfoGard!G104)</f>
        <v>0</v>
      </c>
      <c r="E104" s="2" t="str">
        <f>IF(NOT(ISBLANK(InfoGard!D104)),IF(OR(ISBLANK(InfoGard!E104),InfoGard!E104="N/A"),"no acb code",CONCATENATE(Lookup!F$1,A104,Lookup!G$1,B104,Lookup!H$1,H$1,Lookup!I$1)),"no attestation")</f>
        <v>no attestation</v>
      </c>
      <c r="F104" s="2" t="str">
        <f>IF(AND(NOT(ISBLANK(InfoGard!G104)),InfoGard!G104&lt;&gt;"N/A"),IF(C104="All",CONCATENATE(Lookup!F$2,D104,Lookup!G$2,B104,Lookup!H$2,H$1,Lookup!I$2),CONCATENATE(Lookup!F$3,D104,Lookup!G$3,B104,Lookup!H$3)),"no url")</f>
        <v>no url</v>
      </c>
    </row>
    <row r="105" spans="1:6" hidden="1" x14ac:dyDescent="0.25">
      <c r="A105" s="2" t="b">
        <f>IF(ISBLANK(InfoGard!D105),FALSE,LOOKUP(InfoGard!D105,Lookup!$A$2:$B$4))</f>
        <v>0</v>
      </c>
      <c r="B105" s="2" t="b">
        <f>IF(ISBLANK(InfoGard!E105),FALSE,RIGHT(TRIM(InfoGard!E105),15))</f>
        <v>0</v>
      </c>
      <c r="C105" s="2" t="b">
        <f>IF(ISBLANK(InfoGard!F105),FALSE,LOOKUP(InfoGard!F105,Lookup!$A$6:$B$7))</f>
        <v>0</v>
      </c>
      <c r="D105" s="2" t="b">
        <f>IF(ISBLANK(InfoGard!G105),FALSE,InfoGard!G105)</f>
        <v>0</v>
      </c>
      <c r="E105" s="2" t="str">
        <f>IF(NOT(ISBLANK(InfoGard!D105)),IF(OR(ISBLANK(InfoGard!E105),InfoGard!E105="N/A"),"no acb code",CONCATENATE(Lookup!F$1,A105,Lookup!G$1,B105,Lookup!H$1,H$1,Lookup!I$1)),"no attestation")</f>
        <v>no attestation</v>
      </c>
      <c r="F105" s="2" t="str">
        <f>IF(AND(NOT(ISBLANK(InfoGard!G105)),InfoGard!G105&lt;&gt;"N/A"),IF(C105="All",CONCATENATE(Lookup!F$2,D105,Lookup!G$2,B105,Lookup!H$2,H$1,Lookup!I$2),CONCATENATE(Lookup!F$3,D105,Lookup!G$3,B105,Lookup!H$3)),"no url")</f>
        <v>no url</v>
      </c>
    </row>
    <row r="106" spans="1:6" hidden="1" x14ac:dyDescent="0.25">
      <c r="A106" s="2" t="b">
        <f>IF(ISBLANK(InfoGard!D106),FALSE,LOOKUP(InfoGard!D106,Lookup!$A$2:$B$4))</f>
        <v>0</v>
      </c>
      <c r="B106" s="2" t="b">
        <f>IF(ISBLANK(InfoGard!E106),FALSE,RIGHT(TRIM(InfoGard!E106),15))</f>
        <v>0</v>
      </c>
      <c r="C106" s="2" t="b">
        <f>IF(ISBLANK(InfoGard!F106),FALSE,LOOKUP(InfoGard!F106,Lookup!$A$6:$B$7))</f>
        <v>0</v>
      </c>
      <c r="D106" s="2" t="b">
        <f>IF(ISBLANK(InfoGard!G106),FALSE,InfoGard!G106)</f>
        <v>0</v>
      </c>
      <c r="E106" s="2" t="str">
        <f>IF(NOT(ISBLANK(InfoGard!D106)),IF(OR(ISBLANK(InfoGard!E106),InfoGard!E106="N/A"),"no acb code",CONCATENATE(Lookup!F$1,A106,Lookup!G$1,B106,Lookup!H$1,H$1,Lookup!I$1)),"no attestation")</f>
        <v>no attestation</v>
      </c>
      <c r="F106" s="2" t="str">
        <f>IF(AND(NOT(ISBLANK(InfoGard!G106)),InfoGard!G106&lt;&gt;"N/A"),IF(C106="All",CONCATENATE(Lookup!F$2,D106,Lookup!G$2,B106,Lookup!H$2,H$1,Lookup!I$2),CONCATENATE(Lookup!F$3,D106,Lookup!G$3,B106,Lookup!H$3)),"no url")</f>
        <v>no url</v>
      </c>
    </row>
    <row r="107" spans="1:6" hidden="1" x14ac:dyDescent="0.25">
      <c r="A107" s="2" t="b">
        <f>IF(ISBLANK(InfoGard!D107),FALSE,LOOKUP(InfoGard!D107,Lookup!$A$2:$B$4))</f>
        <v>0</v>
      </c>
      <c r="B107" s="2" t="b">
        <f>IF(ISBLANK(InfoGard!E107),FALSE,RIGHT(TRIM(InfoGard!E107),15))</f>
        <v>0</v>
      </c>
      <c r="C107" s="2" t="b">
        <f>IF(ISBLANK(InfoGard!F107),FALSE,LOOKUP(InfoGard!F107,Lookup!$A$6:$B$7))</f>
        <v>0</v>
      </c>
      <c r="D107" s="2" t="b">
        <f>IF(ISBLANK(InfoGard!G107),FALSE,InfoGard!G107)</f>
        <v>0</v>
      </c>
      <c r="E107" s="2" t="str">
        <f>IF(NOT(ISBLANK(InfoGard!D107)),IF(OR(ISBLANK(InfoGard!E107),InfoGard!E107="N/A"),"no acb code",CONCATENATE(Lookup!F$1,A107,Lookup!G$1,B107,Lookup!H$1,H$1,Lookup!I$1)),"no attestation")</f>
        <v>no attestation</v>
      </c>
      <c r="F107" s="2" t="str">
        <f>IF(AND(NOT(ISBLANK(InfoGard!G107)),InfoGard!G107&lt;&gt;"N/A"),IF(C107="All",CONCATENATE(Lookup!F$2,D107,Lookup!G$2,B107,Lookup!H$2,H$1,Lookup!I$2),CONCATENATE(Lookup!F$3,D107,Lookup!G$3,B107,Lookup!H$3)),"no url")</f>
        <v>no url</v>
      </c>
    </row>
    <row r="108" spans="1:6" hidden="1" x14ac:dyDescent="0.25">
      <c r="A108" s="2" t="b">
        <f>IF(ISBLANK(InfoGard!D108),FALSE,LOOKUP(InfoGard!D108,Lookup!$A$2:$B$4))</f>
        <v>0</v>
      </c>
      <c r="B108" s="2" t="b">
        <f>IF(ISBLANK(InfoGard!E108),FALSE,RIGHT(TRIM(InfoGard!E108),15))</f>
        <v>0</v>
      </c>
      <c r="C108" s="2" t="b">
        <f>IF(ISBLANK(InfoGard!F108),FALSE,LOOKUP(InfoGard!F108,Lookup!$A$6:$B$7))</f>
        <v>0</v>
      </c>
      <c r="D108" s="2" t="b">
        <f>IF(ISBLANK(InfoGard!G108),FALSE,InfoGard!G108)</f>
        <v>0</v>
      </c>
      <c r="E108" s="2" t="str">
        <f>IF(NOT(ISBLANK(InfoGard!D108)),IF(OR(ISBLANK(InfoGard!E108),InfoGard!E108="N/A"),"no acb code",CONCATENATE(Lookup!F$1,A108,Lookup!G$1,B108,Lookup!H$1,H$1,Lookup!I$1)),"no attestation")</f>
        <v>no attestation</v>
      </c>
      <c r="F108" s="2" t="str">
        <f>IF(AND(NOT(ISBLANK(InfoGard!G108)),InfoGard!G108&lt;&gt;"N/A"),IF(C108="All",CONCATENATE(Lookup!F$2,D108,Lookup!G$2,B108,Lookup!H$2,H$1,Lookup!I$2),CONCATENATE(Lookup!F$3,D108,Lookup!G$3,B108,Lookup!H$3)),"no url")</f>
        <v>no url</v>
      </c>
    </row>
    <row r="109" spans="1:6" hidden="1" x14ac:dyDescent="0.25">
      <c r="A109" s="2" t="b">
        <f>IF(ISBLANK(InfoGard!D109),FALSE,LOOKUP(InfoGard!D109,Lookup!$A$2:$B$4))</f>
        <v>0</v>
      </c>
      <c r="B109" s="2" t="b">
        <f>IF(ISBLANK(InfoGard!E109),FALSE,RIGHT(TRIM(InfoGard!E109),15))</f>
        <v>0</v>
      </c>
      <c r="C109" s="2" t="b">
        <f>IF(ISBLANK(InfoGard!F109),FALSE,LOOKUP(InfoGard!F109,Lookup!$A$6:$B$7))</f>
        <v>0</v>
      </c>
      <c r="D109" s="2" t="b">
        <f>IF(ISBLANK(InfoGard!G109),FALSE,InfoGard!G109)</f>
        <v>0</v>
      </c>
      <c r="E109" s="2" t="str">
        <f>IF(NOT(ISBLANK(InfoGard!D109)),IF(OR(ISBLANK(InfoGard!E109),InfoGard!E109="N/A"),"no acb code",CONCATENATE(Lookup!F$1,A109,Lookup!G$1,B109,Lookup!H$1,H$1,Lookup!I$1)),"no attestation")</f>
        <v>no attestation</v>
      </c>
      <c r="F109" s="2" t="str">
        <f>IF(AND(NOT(ISBLANK(InfoGard!G109)),InfoGard!G109&lt;&gt;"N/A"),IF(C109="All",CONCATENATE(Lookup!F$2,D109,Lookup!G$2,B109,Lookup!H$2,H$1,Lookup!I$2),CONCATENATE(Lookup!F$3,D109,Lookup!G$3,B109,Lookup!H$3)),"no url")</f>
        <v>no url</v>
      </c>
    </row>
    <row r="110" spans="1:6" hidden="1" x14ac:dyDescent="0.25">
      <c r="A110" s="2" t="b">
        <f>IF(ISBLANK(InfoGard!D110),FALSE,LOOKUP(InfoGard!D110,Lookup!$A$2:$B$4))</f>
        <v>0</v>
      </c>
      <c r="B110" s="2" t="b">
        <f>IF(ISBLANK(InfoGard!E110),FALSE,RIGHT(TRIM(InfoGard!E110),15))</f>
        <v>0</v>
      </c>
      <c r="C110" s="2" t="b">
        <f>IF(ISBLANK(InfoGard!F110),FALSE,LOOKUP(InfoGard!F110,Lookup!$A$6:$B$7))</f>
        <v>0</v>
      </c>
      <c r="D110" s="2" t="b">
        <f>IF(ISBLANK(InfoGard!G110),FALSE,InfoGard!G110)</f>
        <v>0</v>
      </c>
      <c r="E110" s="2" t="str">
        <f>IF(NOT(ISBLANK(InfoGard!D110)),IF(OR(ISBLANK(InfoGard!E110),InfoGard!E110="N/A"),"no acb code",CONCATENATE(Lookup!F$1,A110,Lookup!G$1,B110,Lookup!H$1,H$1,Lookup!I$1)),"no attestation")</f>
        <v>no attestation</v>
      </c>
      <c r="F110" s="2" t="str">
        <f>IF(AND(NOT(ISBLANK(InfoGard!G110)),InfoGard!G110&lt;&gt;"N/A"),IF(C110="All",CONCATENATE(Lookup!F$2,D110,Lookup!G$2,B110,Lookup!H$2,H$1,Lookup!I$2),CONCATENATE(Lookup!F$3,D110,Lookup!G$3,B110,Lookup!H$3)),"no url")</f>
        <v>no url</v>
      </c>
    </row>
    <row r="111" spans="1:6" hidden="1" x14ac:dyDescent="0.25">
      <c r="A111" s="2" t="b">
        <f>IF(ISBLANK(InfoGard!D111),FALSE,LOOKUP(InfoGard!D111,Lookup!$A$2:$B$4))</f>
        <v>0</v>
      </c>
      <c r="B111" s="2" t="b">
        <f>IF(ISBLANK(InfoGard!E111),FALSE,RIGHT(TRIM(InfoGard!E111),15))</f>
        <v>0</v>
      </c>
      <c r="C111" s="2" t="b">
        <f>IF(ISBLANK(InfoGard!F111),FALSE,LOOKUP(InfoGard!F111,Lookup!$A$6:$B$7))</f>
        <v>0</v>
      </c>
      <c r="D111" s="2" t="b">
        <f>IF(ISBLANK(InfoGard!G111),FALSE,InfoGard!G111)</f>
        <v>0</v>
      </c>
      <c r="E111" s="2" t="str">
        <f>IF(NOT(ISBLANK(InfoGard!D111)),IF(OR(ISBLANK(InfoGard!E111),InfoGard!E111="N/A"),"no acb code",CONCATENATE(Lookup!F$1,A111,Lookup!G$1,B111,Lookup!H$1,H$1,Lookup!I$1)),"no attestation")</f>
        <v>no attestation</v>
      </c>
      <c r="F111" s="2" t="str">
        <f>IF(AND(NOT(ISBLANK(InfoGard!G111)),InfoGard!G111&lt;&gt;"N/A"),IF(C111="All",CONCATENATE(Lookup!F$2,D111,Lookup!G$2,B111,Lookup!H$2,H$1,Lookup!I$2),CONCATENATE(Lookup!F$3,D111,Lookup!G$3,B111,Lookup!H$3)),"no url")</f>
        <v>no url</v>
      </c>
    </row>
    <row r="112" spans="1:6" hidden="1" x14ac:dyDescent="0.25">
      <c r="A112" s="2" t="b">
        <f>IF(ISBLANK(InfoGard!D112),FALSE,LOOKUP(InfoGard!D112,Lookup!$A$2:$B$4))</f>
        <v>0</v>
      </c>
      <c r="B112" s="2" t="b">
        <f>IF(ISBLANK(InfoGard!E112),FALSE,RIGHT(TRIM(InfoGard!E112),15))</f>
        <v>0</v>
      </c>
      <c r="C112" s="2" t="b">
        <f>IF(ISBLANK(InfoGard!F112),FALSE,LOOKUP(InfoGard!F112,Lookup!$A$6:$B$7))</f>
        <v>0</v>
      </c>
      <c r="D112" s="2" t="b">
        <f>IF(ISBLANK(InfoGard!G112),FALSE,InfoGard!G112)</f>
        <v>0</v>
      </c>
      <c r="E112" s="2" t="str">
        <f>IF(NOT(ISBLANK(InfoGard!D112)),IF(OR(ISBLANK(InfoGard!E112),InfoGard!E112="N/A"),"no acb code",CONCATENATE(Lookup!F$1,A112,Lookup!G$1,B112,Lookup!H$1,H$1,Lookup!I$1)),"no attestation")</f>
        <v>no attestation</v>
      </c>
      <c r="F112" s="2" t="str">
        <f>IF(AND(NOT(ISBLANK(InfoGard!G112)),InfoGard!G112&lt;&gt;"N/A"),IF(C112="All",CONCATENATE(Lookup!F$2,D112,Lookup!G$2,B112,Lookup!H$2,H$1,Lookup!I$2),CONCATENATE(Lookup!F$3,D112,Lookup!G$3,B112,Lookup!H$3)),"no url")</f>
        <v>no url</v>
      </c>
    </row>
    <row r="113" spans="1:6" hidden="1" x14ac:dyDescent="0.25">
      <c r="A113" s="2" t="b">
        <f>IF(ISBLANK(InfoGard!D113),FALSE,LOOKUP(InfoGard!D113,Lookup!$A$2:$B$4))</f>
        <v>0</v>
      </c>
      <c r="B113" s="2" t="b">
        <f>IF(ISBLANK(InfoGard!E113),FALSE,RIGHT(TRIM(InfoGard!E113),15))</f>
        <v>0</v>
      </c>
      <c r="C113" s="2" t="b">
        <f>IF(ISBLANK(InfoGard!F113),FALSE,LOOKUP(InfoGard!F113,Lookup!$A$6:$B$7))</f>
        <v>0</v>
      </c>
      <c r="D113" s="2" t="b">
        <f>IF(ISBLANK(InfoGard!G113),FALSE,InfoGard!G113)</f>
        <v>0</v>
      </c>
      <c r="E113" s="2" t="str">
        <f>IF(NOT(ISBLANK(InfoGard!D113)),IF(OR(ISBLANK(InfoGard!E113),InfoGard!E113="N/A"),"no acb code",CONCATENATE(Lookup!F$1,A113,Lookup!G$1,B113,Lookup!H$1,H$1,Lookup!I$1)),"no attestation")</f>
        <v>no attestation</v>
      </c>
      <c r="F113" s="2" t="str">
        <f>IF(AND(NOT(ISBLANK(InfoGard!G113)),InfoGard!G113&lt;&gt;"N/A"),IF(C113="All",CONCATENATE(Lookup!F$2,D113,Lookup!G$2,B113,Lookup!H$2,H$1,Lookup!I$2),CONCATENATE(Lookup!F$3,D113,Lookup!G$3,B113,Lookup!H$3)),"no url")</f>
        <v>no url</v>
      </c>
    </row>
    <row r="114" spans="1:6" hidden="1" x14ac:dyDescent="0.25">
      <c r="A114" s="2" t="b">
        <f>IF(ISBLANK(InfoGard!D114),FALSE,LOOKUP(InfoGard!D114,Lookup!$A$2:$B$4))</f>
        <v>0</v>
      </c>
      <c r="B114" s="2" t="b">
        <f>IF(ISBLANK(InfoGard!E114),FALSE,RIGHT(TRIM(InfoGard!E114),15))</f>
        <v>0</v>
      </c>
      <c r="C114" s="2" t="b">
        <f>IF(ISBLANK(InfoGard!F114),FALSE,LOOKUP(InfoGard!F114,Lookup!$A$6:$B$7))</f>
        <v>0</v>
      </c>
      <c r="D114" s="2" t="b">
        <f>IF(ISBLANK(InfoGard!G114),FALSE,InfoGard!G114)</f>
        <v>0</v>
      </c>
      <c r="E114" s="2" t="str">
        <f>IF(NOT(ISBLANK(InfoGard!D114)),IF(OR(ISBLANK(InfoGard!E114),InfoGard!E114="N/A"),"no acb code",CONCATENATE(Lookup!F$1,A114,Lookup!G$1,B114,Lookup!H$1,H$1,Lookup!I$1)),"no attestation")</f>
        <v>no attestation</v>
      </c>
      <c r="F114" s="2" t="str">
        <f>IF(AND(NOT(ISBLANK(InfoGard!G114)),InfoGard!G114&lt;&gt;"N/A"),IF(C114="All",CONCATENATE(Lookup!F$2,D114,Lookup!G$2,B114,Lookup!H$2,H$1,Lookup!I$2),CONCATENATE(Lookup!F$3,D114,Lookup!G$3,B114,Lookup!H$3)),"no url")</f>
        <v>no url</v>
      </c>
    </row>
    <row r="115" spans="1:6" hidden="1" x14ac:dyDescent="0.25">
      <c r="A115" s="2" t="b">
        <f>IF(ISBLANK(InfoGard!D115),FALSE,LOOKUP(InfoGard!D115,Lookup!$A$2:$B$4))</f>
        <v>0</v>
      </c>
      <c r="B115" s="2" t="b">
        <f>IF(ISBLANK(InfoGard!E115),FALSE,RIGHT(TRIM(InfoGard!E115),15))</f>
        <v>0</v>
      </c>
      <c r="C115" s="2" t="b">
        <f>IF(ISBLANK(InfoGard!F115),FALSE,LOOKUP(InfoGard!F115,Lookup!$A$6:$B$7))</f>
        <v>0</v>
      </c>
      <c r="D115" s="2" t="b">
        <f>IF(ISBLANK(InfoGard!G115),FALSE,InfoGard!G115)</f>
        <v>0</v>
      </c>
      <c r="E115" s="2" t="str">
        <f>IF(NOT(ISBLANK(InfoGard!D115)),IF(OR(ISBLANK(InfoGard!E115),InfoGard!E115="N/A"),"no acb code",CONCATENATE(Lookup!F$1,A115,Lookup!G$1,B115,Lookup!H$1,H$1,Lookup!I$1)),"no attestation")</f>
        <v>no attestation</v>
      </c>
      <c r="F115" s="2" t="str">
        <f>IF(AND(NOT(ISBLANK(InfoGard!G115)),InfoGard!G115&lt;&gt;"N/A"),IF(C115="All",CONCATENATE(Lookup!F$2,D115,Lookup!G$2,B115,Lookup!H$2,H$1,Lookup!I$2),CONCATENATE(Lookup!F$3,D115,Lookup!G$3,B115,Lookup!H$3)),"no url")</f>
        <v>no url</v>
      </c>
    </row>
    <row r="116" spans="1:6" hidden="1" x14ac:dyDescent="0.25">
      <c r="A116" s="2" t="b">
        <f>IF(ISBLANK(InfoGard!D116),FALSE,LOOKUP(InfoGard!D116,Lookup!$A$2:$B$4))</f>
        <v>0</v>
      </c>
      <c r="B116" s="2" t="b">
        <f>IF(ISBLANK(InfoGard!E116),FALSE,RIGHT(TRIM(InfoGard!E116),15))</f>
        <v>0</v>
      </c>
      <c r="C116" s="2" t="b">
        <f>IF(ISBLANK(InfoGard!F116),FALSE,LOOKUP(InfoGard!F116,Lookup!$A$6:$B$7))</f>
        <v>0</v>
      </c>
      <c r="D116" s="2" t="b">
        <f>IF(ISBLANK(InfoGard!G116),FALSE,InfoGard!G116)</f>
        <v>0</v>
      </c>
      <c r="E116" s="2" t="str">
        <f>IF(NOT(ISBLANK(InfoGard!D116)),IF(OR(ISBLANK(InfoGard!E116),InfoGard!E116="N/A"),"no acb code",CONCATENATE(Lookup!F$1,A116,Lookup!G$1,B116,Lookup!H$1,H$1,Lookup!I$1)),"no attestation")</f>
        <v>no attestation</v>
      </c>
      <c r="F116" s="2" t="str">
        <f>IF(AND(NOT(ISBLANK(InfoGard!G116)),InfoGard!G116&lt;&gt;"N/A"),IF(C116="All",CONCATENATE(Lookup!F$2,D116,Lookup!G$2,B116,Lookup!H$2,H$1,Lookup!I$2),CONCATENATE(Lookup!F$3,D116,Lookup!G$3,B116,Lookup!H$3)),"no url")</f>
        <v>no url</v>
      </c>
    </row>
    <row r="117" spans="1:6" hidden="1" x14ac:dyDescent="0.25">
      <c r="A117" s="2" t="b">
        <f>IF(ISBLANK(InfoGard!D117),FALSE,LOOKUP(InfoGard!D117,Lookup!$A$2:$B$4))</f>
        <v>0</v>
      </c>
      <c r="B117" s="2" t="b">
        <f>IF(ISBLANK(InfoGard!E117),FALSE,RIGHT(TRIM(InfoGard!E117),15))</f>
        <v>0</v>
      </c>
      <c r="C117" s="2" t="b">
        <f>IF(ISBLANK(InfoGard!F117),FALSE,LOOKUP(InfoGard!F117,Lookup!$A$6:$B$7))</f>
        <v>0</v>
      </c>
      <c r="D117" s="2" t="b">
        <f>IF(ISBLANK(InfoGard!G117),FALSE,InfoGard!G117)</f>
        <v>0</v>
      </c>
      <c r="E117" s="2" t="str">
        <f>IF(NOT(ISBLANK(InfoGard!D117)),IF(OR(ISBLANK(InfoGard!E117),InfoGard!E117="N/A"),"no acb code",CONCATENATE(Lookup!F$1,A117,Lookup!G$1,B117,Lookup!H$1,H$1,Lookup!I$1)),"no attestation")</f>
        <v>no attestation</v>
      </c>
      <c r="F117" s="2" t="str">
        <f>IF(AND(NOT(ISBLANK(InfoGard!G117)),InfoGard!G117&lt;&gt;"N/A"),IF(C117="All",CONCATENATE(Lookup!F$2,D117,Lookup!G$2,B117,Lookup!H$2,H$1,Lookup!I$2),CONCATENATE(Lookup!F$3,D117,Lookup!G$3,B117,Lookup!H$3)),"no url")</f>
        <v>no url</v>
      </c>
    </row>
    <row r="118" spans="1:6" hidden="1" x14ac:dyDescent="0.25">
      <c r="A118" s="2" t="b">
        <f>IF(ISBLANK(InfoGard!D118),FALSE,LOOKUP(InfoGard!D118,Lookup!$A$2:$B$4))</f>
        <v>0</v>
      </c>
      <c r="B118" s="2" t="b">
        <f>IF(ISBLANK(InfoGard!E118),FALSE,RIGHT(TRIM(InfoGard!E118),15))</f>
        <v>0</v>
      </c>
      <c r="C118" s="2" t="b">
        <f>IF(ISBLANK(InfoGard!F118),FALSE,LOOKUP(InfoGard!F118,Lookup!$A$6:$B$7))</f>
        <v>0</v>
      </c>
      <c r="D118" s="2" t="b">
        <f>IF(ISBLANK(InfoGard!G118),FALSE,InfoGard!G118)</f>
        <v>0</v>
      </c>
      <c r="E118" s="2" t="str">
        <f>IF(NOT(ISBLANK(InfoGard!D118)),IF(OR(ISBLANK(InfoGard!E118),InfoGard!E118="N/A"),"no acb code",CONCATENATE(Lookup!F$1,A118,Lookup!G$1,B118,Lookup!H$1,H$1,Lookup!I$1)),"no attestation")</f>
        <v>no attestation</v>
      </c>
      <c r="F118" s="2" t="str">
        <f>IF(AND(NOT(ISBLANK(InfoGard!G118)),InfoGard!G118&lt;&gt;"N/A"),IF(C118="All",CONCATENATE(Lookup!F$2,D118,Lookup!G$2,B118,Lookup!H$2,H$1,Lookup!I$2),CONCATENATE(Lookup!F$3,D118,Lookup!G$3,B118,Lookup!H$3)),"no url")</f>
        <v>no url</v>
      </c>
    </row>
    <row r="119" spans="1:6" hidden="1" x14ac:dyDescent="0.25">
      <c r="A119" s="2" t="b">
        <f>IF(ISBLANK(InfoGard!D119),FALSE,LOOKUP(InfoGard!D119,Lookup!$A$2:$B$4))</f>
        <v>0</v>
      </c>
      <c r="B119" s="2" t="b">
        <f>IF(ISBLANK(InfoGard!E119),FALSE,RIGHT(TRIM(InfoGard!E119),15))</f>
        <v>0</v>
      </c>
      <c r="C119" s="2" t="b">
        <f>IF(ISBLANK(InfoGard!F119),FALSE,LOOKUP(InfoGard!F119,Lookup!$A$6:$B$7))</f>
        <v>0</v>
      </c>
      <c r="D119" s="2" t="b">
        <f>IF(ISBLANK(InfoGard!G119),FALSE,InfoGard!G119)</f>
        <v>0</v>
      </c>
      <c r="E119" s="2" t="str">
        <f>IF(NOT(ISBLANK(InfoGard!D119)),IF(OR(ISBLANK(InfoGard!E119),InfoGard!E119="N/A"),"no acb code",CONCATENATE(Lookup!F$1,A119,Lookup!G$1,B119,Lookup!H$1,H$1,Lookup!I$1)),"no attestation")</f>
        <v>no attestation</v>
      </c>
      <c r="F119" s="2" t="str">
        <f>IF(AND(NOT(ISBLANK(InfoGard!G119)),InfoGard!G119&lt;&gt;"N/A"),IF(C119="All",CONCATENATE(Lookup!F$2,D119,Lookup!G$2,B119,Lookup!H$2,H$1,Lookup!I$2),CONCATENATE(Lookup!F$3,D119,Lookup!G$3,B119,Lookup!H$3)),"no url")</f>
        <v>no url</v>
      </c>
    </row>
    <row r="120" spans="1:6" hidden="1" x14ac:dyDescent="0.25">
      <c r="A120" s="2" t="b">
        <f>IF(ISBLANK(InfoGard!D120),FALSE,LOOKUP(InfoGard!D120,Lookup!$A$2:$B$4))</f>
        <v>0</v>
      </c>
      <c r="B120" s="2" t="b">
        <f>IF(ISBLANK(InfoGard!E120),FALSE,RIGHT(TRIM(InfoGard!E120),15))</f>
        <v>0</v>
      </c>
      <c r="C120" s="2" t="b">
        <f>IF(ISBLANK(InfoGard!F120),FALSE,LOOKUP(InfoGard!F120,Lookup!$A$6:$B$7))</f>
        <v>0</v>
      </c>
      <c r="D120" s="2" t="b">
        <f>IF(ISBLANK(InfoGard!G120),FALSE,InfoGard!G120)</f>
        <v>0</v>
      </c>
      <c r="E120" s="2" t="str">
        <f>IF(NOT(ISBLANK(InfoGard!D120)),IF(OR(ISBLANK(InfoGard!E120),InfoGard!E120="N/A"),"no acb code",CONCATENATE(Lookup!F$1,A120,Lookup!G$1,B120,Lookup!H$1,H$1,Lookup!I$1)),"no attestation")</f>
        <v>no attestation</v>
      </c>
      <c r="F120" s="2" t="str">
        <f>IF(AND(NOT(ISBLANK(InfoGard!G120)),InfoGard!G120&lt;&gt;"N/A"),IF(C120="All",CONCATENATE(Lookup!F$2,D120,Lookup!G$2,B120,Lookup!H$2,H$1,Lookup!I$2),CONCATENATE(Lookup!F$3,D120,Lookup!G$3,B120,Lookup!H$3)),"no url")</f>
        <v>no url</v>
      </c>
    </row>
    <row r="121" spans="1:6" hidden="1" x14ac:dyDescent="0.25">
      <c r="A121" s="2" t="b">
        <f>IF(ISBLANK(InfoGard!D121),FALSE,LOOKUP(InfoGard!D121,Lookup!$A$2:$B$4))</f>
        <v>0</v>
      </c>
      <c r="B121" s="2" t="b">
        <f>IF(ISBLANK(InfoGard!E121),FALSE,RIGHT(TRIM(InfoGard!E121),15))</f>
        <v>0</v>
      </c>
      <c r="C121" s="2" t="b">
        <f>IF(ISBLANK(InfoGard!F121),FALSE,LOOKUP(InfoGard!F121,Lookup!$A$6:$B$7))</f>
        <v>0</v>
      </c>
      <c r="D121" s="2" t="b">
        <f>IF(ISBLANK(InfoGard!G121),FALSE,InfoGard!G121)</f>
        <v>0</v>
      </c>
      <c r="E121" s="2" t="str">
        <f>IF(NOT(ISBLANK(InfoGard!D121)),IF(OR(ISBLANK(InfoGard!E121),InfoGard!E121="N/A"),"no acb code",CONCATENATE(Lookup!F$1,A121,Lookup!G$1,B121,Lookup!H$1,H$1,Lookup!I$1)),"no attestation")</f>
        <v>no attestation</v>
      </c>
      <c r="F121" s="2" t="str">
        <f>IF(AND(NOT(ISBLANK(InfoGard!G121)),InfoGard!G121&lt;&gt;"N/A"),IF(C121="All",CONCATENATE(Lookup!F$2,D121,Lookup!G$2,B121,Lookup!H$2,H$1,Lookup!I$2),CONCATENATE(Lookup!F$3,D121,Lookup!G$3,B121,Lookup!H$3)),"no url")</f>
        <v>no url</v>
      </c>
    </row>
    <row r="122" spans="1:6" hidden="1" x14ac:dyDescent="0.25">
      <c r="A122" s="2" t="b">
        <f>IF(ISBLANK(InfoGard!D122),FALSE,LOOKUP(InfoGard!D122,Lookup!$A$2:$B$4))</f>
        <v>0</v>
      </c>
      <c r="B122" s="2" t="b">
        <f>IF(ISBLANK(InfoGard!E122),FALSE,RIGHT(TRIM(InfoGard!E122),15))</f>
        <v>0</v>
      </c>
      <c r="C122" s="2" t="b">
        <f>IF(ISBLANK(InfoGard!F122),FALSE,LOOKUP(InfoGard!F122,Lookup!$A$6:$B$7))</f>
        <v>0</v>
      </c>
      <c r="D122" s="2" t="b">
        <f>IF(ISBLANK(InfoGard!G122),FALSE,InfoGard!G122)</f>
        <v>0</v>
      </c>
      <c r="E122" s="2" t="str">
        <f>IF(NOT(ISBLANK(InfoGard!D122)),IF(OR(ISBLANK(InfoGard!E122),InfoGard!E122="N/A"),"no acb code",CONCATENATE(Lookup!F$1,A122,Lookup!G$1,B122,Lookup!H$1,H$1,Lookup!I$1)),"no attestation")</f>
        <v>no attestation</v>
      </c>
      <c r="F122" s="2" t="str">
        <f>IF(AND(NOT(ISBLANK(InfoGard!G122)),InfoGard!G122&lt;&gt;"N/A"),IF(C122="All",CONCATENATE(Lookup!F$2,D122,Lookup!G$2,B122,Lookup!H$2,H$1,Lookup!I$2),CONCATENATE(Lookup!F$3,D122,Lookup!G$3,B122,Lookup!H$3)),"no url")</f>
        <v>no url</v>
      </c>
    </row>
    <row r="123" spans="1:6" hidden="1" x14ac:dyDescent="0.25">
      <c r="A123" s="2" t="b">
        <f>IF(ISBLANK(InfoGard!D123),FALSE,LOOKUP(InfoGard!D123,Lookup!$A$2:$B$4))</f>
        <v>0</v>
      </c>
      <c r="B123" s="2" t="b">
        <f>IF(ISBLANK(InfoGard!E123),FALSE,RIGHT(TRIM(InfoGard!E123),15))</f>
        <v>0</v>
      </c>
      <c r="C123" s="2" t="b">
        <f>IF(ISBLANK(InfoGard!F123),FALSE,LOOKUP(InfoGard!F123,Lookup!$A$6:$B$7))</f>
        <v>0</v>
      </c>
      <c r="D123" s="2" t="b">
        <f>IF(ISBLANK(InfoGard!G123),FALSE,InfoGard!G123)</f>
        <v>0</v>
      </c>
      <c r="E123" s="2" t="str">
        <f>IF(NOT(ISBLANK(InfoGard!D123)),IF(OR(ISBLANK(InfoGard!E123),InfoGard!E123="N/A"),"no acb code",CONCATENATE(Lookup!F$1,A123,Lookup!G$1,B123,Lookup!H$1,H$1,Lookup!I$1)),"no attestation")</f>
        <v>no attestation</v>
      </c>
      <c r="F123" s="2" t="str">
        <f>IF(AND(NOT(ISBLANK(InfoGard!G123)),InfoGard!G123&lt;&gt;"N/A"),IF(C123="All",CONCATENATE(Lookup!F$2,D123,Lookup!G$2,B123,Lookup!H$2,H$1,Lookup!I$2),CONCATENATE(Lookup!F$3,D123,Lookup!G$3,B123,Lookup!H$3)),"no url")</f>
        <v>no url</v>
      </c>
    </row>
    <row r="124" spans="1:6" hidden="1" x14ac:dyDescent="0.25">
      <c r="A124" s="2" t="b">
        <f>IF(ISBLANK(InfoGard!D124),FALSE,LOOKUP(InfoGard!D124,Lookup!$A$2:$B$4))</f>
        <v>0</v>
      </c>
      <c r="B124" s="2" t="b">
        <f>IF(ISBLANK(InfoGard!E124),FALSE,RIGHT(TRIM(InfoGard!E124),15))</f>
        <v>0</v>
      </c>
      <c r="C124" s="2" t="b">
        <f>IF(ISBLANK(InfoGard!F124),FALSE,LOOKUP(InfoGard!F124,Lookup!$A$6:$B$7))</f>
        <v>0</v>
      </c>
      <c r="D124" s="2" t="b">
        <f>IF(ISBLANK(InfoGard!G124),FALSE,InfoGard!G124)</f>
        <v>0</v>
      </c>
      <c r="E124" s="2" t="str">
        <f>IF(NOT(ISBLANK(InfoGard!D124)),IF(OR(ISBLANK(InfoGard!E124),InfoGard!E124="N/A"),"no acb code",CONCATENATE(Lookup!F$1,A124,Lookup!G$1,B124,Lookup!H$1,H$1,Lookup!I$1)),"no attestation")</f>
        <v>no attestation</v>
      </c>
      <c r="F124" s="2" t="str">
        <f>IF(AND(NOT(ISBLANK(InfoGard!G124)),InfoGard!G124&lt;&gt;"N/A"),IF(C124="All",CONCATENATE(Lookup!F$2,D124,Lookup!G$2,B124,Lookup!H$2,H$1,Lookup!I$2),CONCATENATE(Lookup!F$3,D124,Lookup!G$3,B124,Lookup!H$3)),"no url")</f>
        <v>no url</v>
      </c>
    </row>
    <row r="125" spans="1:6" hidden="1" x14ac:dyDescent="0.25">
      <c r="A125" s="2" t="b">
        <f>IF(ISBLANK(InfoGard!D125),FALSE,LOOKUP(InfoGard!D125,Lookup!$A$2:$B$4))</f>
        <v>0</v>
      </c>
      <c r="B125" s="2" t="b">
        <f>IF(ISBLANK(InfoGard!E125),FALSE,RIGHT(TRIM(InfoGard!E125),15))</f>
        <v>0</v>
      </c>
      <c r="C125" s="2" t="b">
        <f>IF(ISBLANK(InfoGard!F125),FALSE,LOOKUP(InfoGard!F125,Lookup!$A$6:$B$7))</f>
        <v>0</v>
      </c>
      <c r="D125" s="2" t="b">
        <f>IF(ISBLANK(InfoGard!G125),FALSE,InfoGard!G125)</f>
        <v>0</v>
      </c>
      <c r="E125" s="2" t="str">
        <f>IF(NOT(ISBLANK(InfoGard!D125)),IF(OR(ISBLANK(InfoGard!E125),InfoGard!E125="N/A"),"no acb code",CONCATENATE(Lookup!F$1,A125,Lookup!G$1,B125,Lookup!H$1,H$1,Lookup!I$1)),"no attestation")</f>
        <v>no attestation</v>
      </c>
      <c r="F125" s="2" t="str">
        <f>IF(AND(NOT(ISBLANK(InfoGard!G125)),InfoGard!G125&lt;&gt;"N/A"),IF(C125="All",CONCATENATE(Lookup!F$2,D125,Lookup!G$2,B125,Lookup!H$2,H$1,Lookup!I$2),CONCATENATE(Lookup!F$3,D125,Lookup!G$3,B125,Lookup!H$3)),"no url")</f>
        <v>no url</v>
      </c>
    </row>
    <row r="126" spans="1:6" hidden="1" x14ac:dyDescent="0.25">
      <c r="A126" s="2" t="b">
        <f>IF(ISBLANK(InfoGard!D126),FALSE,LOOKUP(InfoGard!D126,Lookup!$A$2:$B$4))</f>
        <v>0</v>
      </c>
      <c r="B126" s="2" t="b">
        <f>IF(ISBLANK(InfoGard!E126),FALSE,RIGHT(TRIM(InfoGard!E126),15))</f>
        <v>0</v>
      </c>
      <c r="C126" s="2" t="b">
        <f>IF(ISBLANK(InfoGard!F126),FALSE,LOOKUP(InfoGard!F126,Lookup!$A$6:$B$7))</f>
        <v>0</v>
      </c>
      <c r="D126" s="2" t="b">
        <f>IF(ISBLANK(InfoGard!G126),FALSE,InfoGard!G126)</f>
        <v>0</v>
      </c>
      <c r="E126" s="2" t="str">
        <f>IF(NOT(ISBLANK(InfoGard!D126)),IF(OR(ISBLANK(InfoGard!E126),InfoGard!E126="N/A"),"no acb code",CONCATENATE(Lookup!F$1,A126,Lookup!G$1,B126,Lookup!H$1,H$1,Lookup!I$1)),"no attestation")</f>
        <v>no attestation</v>
      </c>
      <c r="F126" s="2" t="str">
        <f>IF(AND(NOT(ISBLANK(InfoGard!G126)),InfoGard!G126&lt;&gt;"N/A"),IF(C126="All",CONCATENATE(Lookup!F$2,D126,Lookup!G$2,B126,Lookup!H$2,H$1,Lookup!I$2),CONCATENATE(Lookup!F$3,D126,Lookup!G$3,B126,Lookup!H$3)),"no url")</f>
        <v>no url</v>
      </c>
    </row>
    <row r="127" spans="1:6" hidden="1" x14ac:dyDescent="0.25">
      <c r="A127" s="2" t="b">
        <f>IF(ISBLANK(InfoGard!D127),FALSE,LOOKUP(InfoGard!D127,Lookup!$A$2:$B$4))</f>
        <v>0</v>
      </c>
      <c r="B127" s="2" t="b">
        <f>IF(ISBLANK(InfoGard!E127),FALSE,RIGHT(TRIM(InfoGard!E127),15))</f>
        <v>0</v>
      </c>
      <c r="C127" s="2" t="b">
        <f>IF(ISBLANK(InfoGard!F127),FALSE,LOOKUP(InfoGard!F127,Lookup!$A$6:$B$7))</f>
        <v>0</v>
      </c>
      <c r="D127" s="2" t="b">
        <f>IF(ISBLANK(InfoGard!G127),FALSE,InfoGard!G127)</f>
        <v>0</v>
      </c>
      <c r="E127" s="2" t="str">
        <f>IF(NOT(ISBLANK(InfoGard!D127)),IF(OR(ISBLANK(InfoGard!E127),InfoGard!E127="N/A"),"no acb code",CONCATENATE(Lookup!F$1,A127,Lookup!G$1,B127,Lookup!H$1,H$1,Lookup!I$1)),"no attestation")</f>
        <v>no attestation</v>
      </c>
      <c r="F127" s="2" t="str">
        <f>IF(AND(NOT(ISBLANK(InfoGard!G127)),InfoGard!G127&lt;&gt;"N/A"),IF(C127="All",CONCATENATE(Lookup!F$2,D127,Lookup!G$2,B127,Lookup!H$2,H$1,Lookup!I$2),CONCATENATE(Lookup!F$3,D127,Lookup!G$3,B127,Lookup!H$3)),"no url")</f>
        <v>no url</v>
      </c>
    </row>
    <row r="128" spans="1:6" hidden="1" x14ac:dyDescent="0.25">
      <c r="A128" s="2" t="b">
        <f>IF(ISBLANK(InfoGard!D128),FALSE,LOOKUP(InfoGard!D128,Lookup!$A$2:$B$4))</f>
        <v>0</v>
      </c>
      <c r="B128" s="2" t="b">
        <f>IF(ISBLANK(InfoGard!E128),FALSE,RIGHT(TRIM(InfoGard!E128),15))</f>
        <v>0</v>
      </c>
      <c r="C128" s="2" t="b">
        <f>IF(ISBLANK(InfoGard!F128),FALSE,LOOKUP(InfoGard!F128,Lookup!$A$6:$B$7))</f>
        <v>0</v>
      </c>
      <c r="D128" s="2" t="b">
        <f>IF(ISBLANK(InfoGard!G128),FALSE,InfoGard!G128)</f>
        <v>0</v>
      </c>
      <c r="E128" s="2" t="str">
        <f>IF(NOT(ISBLANK(InfoGard!D128)),IF(OR(ISBLANK(InfoGard!E128),InfoGard!E128="N/A"),"no acb code",CONCATENATE(Lookup!F$1,A128,Lookup!G$1,B128,Lookup!H$1,H$1,Lookup!I$1)),"no attestation")</f>
        <v>no attestation</v>
      </c>
      <c r="F128" s="2" t="str">
        <f>IF(AND(NOT(ISBLANK(InfoGard!G128)),InfoGard!G128&lt;&gt;"N/A"),IF(C128="All",CONCATENATE(Lookup!F$2,D128,Lookup!G$2,B128,Lookup!H$2,H$1,Lookup!I$2),CONCATENATE(Lookup!F$3,D128,Lookup!G$3,B128,Lookup!H$3)),"no url")</f>
        <v>no url</v>
      </c>
    </row>
    <row r="129" spans="1:6" hidden="1" x14ac:dyDescent="0.25">
      <c r="A129" s="2" t="b">
        <f>IF(ISBLANK(InfoGard!D129),FALSE,LOOKUP(InfoGard!D129,Lookup!$A$2:$B$4))</f>
        <v>0</v>
      </c>
      <c r="B129" s="2" t="b">
        <f>IF(ISBLANK(InfoGard!E129),FALSE,RIGHT(TRIM(InfoGard!E129),15))</f>
        <v>0</v>
      </c>
      <c r="C129" s="2" t="b">
        <f>IF(ISBLANK(InfoGard!F129),FALSE,LOOKUP(InfoGard!F129,Lookup!$A$6:$B$7))</f>
        <v>0</v>
      </c>
      <c r="D129" s="2" t="b">
        <f>IF(ISBLANK(InfoGard!G129),FALSE,InfoGard!G129)</f>
        <v>0</v>
      </c>
      <c r="E129" s="2" t="str">
        <f>IF(NOT(ISBLANK(InfoGard!D129)),IF(OR(ISBLANK(InfoGard!E129),InfoGard!E129="N/A"),"no acb code",CONCATENATE(Lookup!F$1,A129,Lookup!G$1,B129,Lookup!H$1,H$1,Lookup!I$1)),"no attestation")</f>
        <v>no attestation</v>
      </c>
      <c r="F129" s="2" t="str">
        <f>IF(AND(NOT(ISBLANK(InfoGard!G129)),InfoGard!G129&lt;&gt;"N/A"),IF(C129="All",CONCATENATE(Lookup!F$2,D129,Lookup!G$2,B129,Lookup!H$2,H$1,Lookup!I$2),CONCATENATE(Lookup!F$3,D129,Lookup!G$3,B129,Lookup!H$3)),"no url")</f>
        <v>no url</v>
      </c>
    </row>
    <row r="130" spans="1:6" hidden="1" x14ac:dyDescent="0.25">
      <c r="A130" s="2" t="b">
        <f>IF(ISBLANK(InfoGard!D130),FALSE,LOOKUP(InfoGard!D130,Lookup!$A$2:$B$4))</f>
        <v>0</v>
      </c>
      <c r="B130" s="2" t="b">
        <f>IF(ISBLANK(InfoGard!E130),FALSE,RIGHT(TRIM(InfoGard!E130),15))</f>
        <v>0</v>
      </c>
      <c r="C130" s="2" t="b">
        <f>IF(ISBLANK(InfoGard!F130),FALSE,LOOKUP(InfoGard!F130,Lookup!$A$6:$B$7))</f>
        <v>0</v>
      </c>
      <c r="D130" s="2" t="b">
        <f>IF(ISBLANK(InfoGard!G130),FALSE,InfoGard!G130)</f>
        <v>0</v>
      </c>
      <c r="E130" s="2" t="str">
        <f>IF(NOT(ISBLANK(InfoGard!D130)),IF(OR(ISBLANK(InfoGard!E130),InfoGard!E130="N/A"),"no acb code",CONCATENATE(Lookup!F$1,A130,Lookup!G$1,B130,Lookup!H$1,H$1,Lookup!I$1)),"no attestation")</f>
        <v>no attestation</v>
      </c>
      <c r="F130" s="2" t="str">
        <f>IF(AND(NOT(ISBLANK(InfoGard!G130)),InfoGard!G130&lt;&gt;"N/A"),IF(C130="All",CONCATENATE(Lookup!F$2,D130,Lookup!G$2,B130,Lookup!H$2,H$1,Lookup!I$2),CONCATENATE(Lookup!F$3,D130,Lookup!G$3,B130,Lookup!H$3)),"no url")</f>
        <v>no url</v>
      </c>
    </row>
    <row r="131" spans="1:6" hidden="1" x14ac:dyDescent="0.25">
      <c r="A131" s="2" t="b">
        <f>IF(ISBLANK(InfoGard!D131),FALSE,LOOKUP(InfoGard!D131,Lookup!$A$2:$B$4))</f>
        <v>0</v>
      </c>
      <c r="B131" s="2" t="b">
        <f>IF(ISBLANK(InfoGard!E131),FALSE,RIGHT(TRIM(InfoGard!E131),15))</f>
        <v>0</v>
      </c>
      <c r="C131" s="2" t="b">
        <f>IF(ISBLANK(InfoGard!F131),FALSE,LOOKUP(InfoGard!F131,Lookup!$A$6:$B$7))</f>
        <v>0</v>
      </c>
      <c r="D131" s="2" t="b">
        <f>IF(ISBLANK(InfoGard!G131),FALSE,InfoGard!G131)</f>
        <v>0</v>
      </c>
      <c r="E131" s="2" t="str">
        <f>IF(NOT(ISBLANK(InfoGard!D131)),IF(OR(ISBLANK(InfoGard!E131),InfoGard!E131="N/A"),"no acb code",CONCATENATE(Lookup!F$1,A131,Lookup!G$1,B131,Lookup!H$1,H$1,Lookup!I$1)),"no attestation")</f>
        <v>no attestation</v>
      </c>
      <c r="F131" s="2" t="str">
        <f>IF(AND(NOT(ISBLANK(InfoGard!G131)),InfoGard!G131&lt;&gt;"N/A"),IF(C131="All",CONCATENATE(Lookup!F$2,D131,Lookup!G$2,B131,Lookup!H$2,H$1,Lookup!I$2),CONCATENATE(Lookup!F$3,D131,Lookup!G$3,B131,Lookup!H$3)),"no url")</f>
        <v>no url</v>
      </c>
    </row>
    <row r="132" spans="1:6" x14ac:dyDescent="0.25">
      <c r="A132" s="2" t="str">
        <f>IF(ISBLANK(InfoGard!D132),FALSE,LOOKUP(InfoGard!D132,Lookup!$A$2:$B$4))</f>
        <v>Affirmative</v>
      </c>
      <c r="B132" s="2" t="str">
        <f>IF(ISBLANK(InfoGard!E132),FALSE,RIGHT(TRIM(InfoGard!E132),15))</f>
        <v>IG-3114-15-0028</v>
      </c>
      <c r="C132" s="2" t="str">
        <f>IF(ISBLANK(InfoGard!F132),FALSE,LOOKUP(InfoGard!F132,Lookup!$A$6:$B$7))</f>
        <v>All</v>
      </c>
      <c r="D132" s="2" t="str">
        <f>IF(ISBLANK(InfoGard!G132),FALSE,InfoGard!G132)</f>
        <v>http://www.azarahealthcare.com/solutions/azara-drvs/reports/meaningful-use-certified-reports/ </v>
      </c>
      <c r="E132" s="2" t="str">
        <f>IF(NOT(ISBLANK(InfoGard!D132)),IF(OR(ISBLANK(InfoGard!E132),InfoGard!E132="N/A"),"no acb code",CONCATENATE(Lookup!F$1,A132,Lookup!G$1,B132,Lookup!H$1,H$1,Lookup!I$1)),"no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'IG-3114-15-0028' and cb."name" = 'InfoGard' and cp.product_version_id = pv.product_version_id and pv.product_id = p.product_id and p.vendor_id = vend.vendor_id;</v>
      </c>
      <c r="F132" s="2" t="str">
        <f>IF(AND(NOT(ISBLANK(InfoGard!G132)),InfoGard!G132&lt;&gt;"N/A"),IF(C132="All",CONCATENATE(Lookup!F$2,D132,Lookup!G$2,B132,Lookup!H$2,H$1,Lookup!I$2),CONCATENATE(Lookup!F$3,D132,Lookup!G$3,B132,Lookup!H$3)),"no url")</f>
        <v>update openchpl.certified_product as cp set transparency_attestation_url = 'http://www.azarahealthcare.com/solutions/azara-drvs/reports/meaningful-use-certified-reports/ ' from (select certified_product_id from (select vend.vendor_code from openchpl.certified_product as cp, openchpl.product_version as pv, openchpl.product as p, openchpl.vendor as vend where cp.acb_certification_id = 'IG-3114-15-0028'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3" spans="1:6" x14ac:dyDescent="0.25">
      <c r="A133" s="2" t="str">
        <f>IF(ISBLANK(InfoGard!D133),FALSE,LOOKUP(InfoGard!D133,Lookup!$A$2:$B$4))</f>
        <v>N/A</v>
      </c>
      <c r="B133" s="2" t="str">
        <f>IF(ISBLANK(InfoGard!E133),FALSE,RIGHT(TRIM(InfoGard!E133),15))</f>
        <v>IG-2865-14-0052</v>
      </c>
      <c r="C133" s="2" t="str">
        <f>IF(ISBLANK(InfoGard!F133),FALSE,LOOKUP(InfoGard!F133,Lookup!$A$6:$B$7))</f>
        <v>All</v>
      </c>
      <c r="D133" s="2" t="str">
        <f>IF(ISBLANK(InfoGard!G133),FALSE,InfoGard!G133)</f>
        <v>N/A</v>
      </c>
      <c r="E133" s="2" t="str">
        <f>IF(NOT(ISBLANK(InfoGard!D133)),IF(OR(ISBLANK(InfoGard!E133),InfoGard!E133="N/A"),"no acb code",CONCATENATE(Lookup!F$1,A133,Lookup!G$1,B133,Lookup!H$1,H$1,Lookup!I$1)),"no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'IG-2865-14-0052' and cb."name" = 'InfoGard' and cp.product_version_id = pv.product_version_id and pv.product_id = p.product_id and p.vendor_id = vend.vendor_id;</v>
      </c>
      <c r="F133" s="2" t="str">
        <f>IF(AND(NOT(ISBLANK(InfoGard!G133)),InfoGard!G133&lt;&gt;"N/A"),IF(C133="All",CONCATENATE(Lookup!F$2,D133,Lookup!G$2,B133,Lookup!H$2,H$1,Lookup!I$2),CONCATENATE(Lookup!F$3,D133,Lookup!G$3,B133,Lookup!H$3)),"no url")</f>
        <v>no url</v>
      </c>
    </row>
    <row r="134" spans="1:6" hidden="1" x14ac:dyDescent="0.25">
      <c r="A134" s="2" t="b">
        <f>IF(ISBLANK(InfoGard!D134),FALSE,LOOKUP(InfoGard!D134,Lookup!$A$2:$B$4))</f>
        <v>0</v>
      </c>
      <c r="B134" s="2" t="b">
        <f>IF(ISBLANK(InfoGard!E134),FALSE,RIGHT(TRIM(InfoGard!E134),15))</f>
        <v>0</v>
      </c>
      <c r="C134" s="2" t="b">
        <f>IF(ISBLANK(InfoGard!F134),FALSE,LOOKUP(InfoGard!F134,Lookup!$A$6:$B$7))</f>
        <v>0</v>
      </c>
      <c r="D134" s="2" t="b">
        <f>IF(ISBLANK(InfoGard!G134),FALSE,InfoGard!G134)</f>
        <v>0</v>
      </c>
      <c r="E134" s="2" t="str">
        <f>IF(NOT(ISBLANK(InfoGard!D134)),IF(OR(ISBLANK(InfoGard!E134),InfoGard!E134="N/A"),"no acb code",CONCATENATE(Lookup!F$1,A134,Lookup!G$1,B134,Lookup!H$1,H$1,Lookup!I$1)),"no attestation")</f>
        <v>no attestation</v>
      </c>
      <c r="F134" s="2" t="str">
        <f>IF(AND(NOT(ISBLANK(InfoGard!G134)),InfoGard!G134&lt;&gt;"N/A"),IF(C134="All",CONCATENATE(Lookup!F$2,D134,Lookup!G$2,B134,Lookup!H$2,H$1,Lookup!I$2),CONCATENATE(Lookup!F$3,D134,Lookup!G$3,B134,Lookup!H$3)),"no url")</f>
        <v>no url</v>
      </c>
    </row>
    <row r="135" spans="1:6" hidden="1" x14ac:dyDescent="0.25">
      <c r="A135" s="2" t="b">
        <f>IF(ISBLANK(InfoGard!D135),FALSE,LOOKUP(InfoGard!D135,Lookup!$A$2:$B$4))</f>
        <v>0</v>
      </c>
      <c r="B135" s="2" t="b">
        <f>IF(ISBLANK(InfoGard!E135),FALSE,RIGHT(TRIM(InfoGard!E135),15))</f>
        <v>0</v>
      </c>
      <c r="C135" s="2" t="b">
        <f>IF(ISBLANK(InfoGard!F135),FALSE,LOOKUP(InfoGard!F135,Lookup!$A$6:$B$7))</f>
        <v>0</v>
      </c>
      <c r="D135" s="2" t="b">
        <f>IF(ISBLANK(InfoGard!G135),FALSE,InfoGard!G135)</f>
        <v>0</v>
      </c>
      <c r="E135" s="2" t="str">
        <f>IF(NOT(ISBLANK(InfoGard!D135)),IF(OR(ISBLANK(InfoGard!E135),InfoGard!E135="N/A"),"no acb code",CONCATENATE(Lookup!F$1,A135,Lookup!G$1,B135,Lookup!H$1,H$1,Lookup!I$1)),"no attestation")</f>
        <v>no attestation</v>
      </c>
      <c r="F135" s="2" t="str">
        <f>IF(AND(NOT(ISBLANK(InfoGard!G135)),InfoGard!G135&lt;&gt;"N/A"),IF(C135="All",CONCATENATE(Lookup!F$2,D135,Lookup!G$2,B135,Lookup!H$2,H$1,Lookup!I$2),CONCATENATE(Lookup!F$3,D135,Lookup!G$3,B135,Lookup!H$3)),"no url")</f>
        <v>no url</v>
      </c>
    </row>
    <row r="136" spans="1:6" hidden="1" x14ac:dyDescent="0.25">
      <c r="A136" s="2" t="b">
        <f>IF(ISBLANK(InfoGard!D136),FALSE,LOOKUP(InfoGard!D136,Lookup!$A$2:$B$4))</f>
        <v>0</v>
      </c>
      <c r="B136" s="2" t="b">
        <f>IF(ISBLANK(InfoGard!E136),FALSE,RIGHT(TRIM(InfoGard!E136),15))</f>
        <v>0</v>
      </c>
      <c r="C136" s="2" t="b">
        <f>IF(ISBLANK(InfoGard!F136),FALSE,LOOKUP(InfoGard!F136,Lookup!$A$6:$B$7))</f>
        <v>0</v>
      </c>
      <c r="D136" s="2" t="b">
        <f>IF(ISBLANK(InfoGard!G136),FALSE,InfoGard!G136)</f>
        <v>0</v>
      </c>
      <c r="E136" s="2" t="str">
        <f>IF(NOT(ISBLANK(InfoGard!D136)),IF(OR(ISBLANK(InfoGard!E136),InfoGard!E136="N/A"),"no acb code",CONCATENATE(Lookup!F$1,A136,Lookup!G$1,B136,Lookup!H$1,H$1,Lookup!I$1)),"no attestation")</f>
        <v>no attestation</v>
      </c>
      <c r="F136" s="2" t="str">
        <f>IF(AND(NOT(ISBLANK(InfoGard!G136)),InfoGard!G136&lt;&gt;"N/A"),IF(C136="All",CONCATENATE(Lookup!F$2,D136,Lookup!G$2,B136,Lookup!H$2,H$1,Lookup!I$2),CONCATENATE(Lookup!F$3,D136,Lookup!G$3,B136,Lookup!H$3)),"no url")</f>
        <v>no url</v>
      </c>
    </row>
    <row r="137" spans="1:6" hidden="1" x14ac:dyDescent="0.25">
      <c r="A137" s="2" t="b">
        <f>IF(ISBLANK(InfoGard!D137),FALSE,LOOKUP(InfoGard!D137,Lookup!$A$2:$B$4))</f>
        <v>0</v>
      </c>
      <c r="B137" s="2" t="b">
        <f>IF(ISBLANK(InfoGard!E137),FALSE,RIGHT(TRIM(InfoGard!E137),15))</f>
        <v>0</v>
      </c>
      <c r="C137" s="2" t="b">
        <f>IF(ISBLANK(InfoGard!F137),FALSE,LOOKUP(InfoGard!F137,Lookup!$A$6:$B$7))</f>
        <v>0</v>
      </c>
      <c r="D137" s="2" t="b">
        <f>IF(ISBLANK(InfoGard!G137),FALSE,InfoGard!G137)</f>
        <v>0</v>
      </c>
      <c r="E137" s="2" t="str">
        <f>IF(NOT(ISBLANK(InfoGard!D137)),IF(OR(ISBLANK(InfoGard!E137),InfoGard!E137="N/A"),"no acb code",CONCATENATE(Lookup!F$1,A137,Lookup!G$1,B137,Lookup!H$1,H$1,Lookup!I$1)),"no attestation")</f>
        <v>no attestation</v>
      </c>
      <c r="F137" s="2" t="str">
        <f>IF(AND(NOT(ISBLANK(InfoGard!G137)),InfoGard!G137&lt;&gt;"N/A"),IF(C137="All",CONCATENATE(Lookup!F$2,D137,Lookup!G$2,B137,Lookup!H$2,H$1,Lookup!I$2),CONCATENATE(Lookup!F$3,D137,Lookup!G$3,B137,Lookup!H$3)),"no url")</f>
        <v>no url</v>
      </c>
    </row>
    <row r="138" spans="1:6" hidden="1" x14ac:dyDescent="0.25">
      <c r="A138" s="2" t="b">
        <f>IF(ISBLANK(InfoGard!D138),FALSE,LOOKUP(InfoGard!D138,Lookup!$A$2:$B$4))</f>
        <v>0</v>
      </c>
      <c r="B138" s="2" t="b">
        <f>IF(ISBLANK(InfoGard!E138),FALSE,RIGHT(TRIM(InfoGard!E138),15))</f>
        <v>0</v>
      </c>
      <c r="C138" s="2" t="b">
        <f>IF(ISBLANK(InfoGard!F138),FALSE,LOOKUP(InfoGard!F138,Lookup!$A$6:$B$7))</f>
        <v>0</v>
      </c>
      <c r="D138" s="2" t="b">
        <f>IF(ISBLANK(InfoGard!G138),FALSE,InfoGard!G138)</f>
        <v>0</v>
      </c>
      <c r="E138" s="2" t="str">
        <f>IF(NOT(ISBLANK(InfoGard!D138)),IF(OR(ISBLANK(InfoGard!E138),InfoGard!E138="N/A"),"no acb code",CONCATENATE(Lookup!F$1,A138,Lookup!G$1,B138,Lookup!H$1,H$1,Lookup!I$1)),"no attestation")</f>
        <v>no attestation</v>
      </c>
      <c r="F138" s="2" t="str">
        <f>IF(AND(NOT(ISBLANK(InfoGard!G138)),InfoGard!G138&lt;&gt;"N/A"),IF(C138="All",CONCATENATE(Lookup!F$2,D138,Lookup!G$2,B138,Lookup!H$2,H$1,Lookup!I$2),CONCATENATE(Lookup!F$3,D138,Lookup!G$3,B138,Lookup!H$3)),"no url")</f>
        <v>no url</v>
      </c>
    </row>
    <row r="139" spans="1:6" hidden="1" x14ac:dyDescent="0.25">
      <c r="A139" s="2" t="b">
        <f>IF(ISBLANK(InfoGard!D139),FALSE,LOOKUP(InfoGard!D139,Lookup!$A$2:$B$4))</f>
        <v>0</v>
      </c>
      <c r="B139" s="2" t="b">
        <f>IF(ISBLANK(InfoGard!E139),FALSE,RIGHT(TRIM(InfoGard!E139),15))</f>
        <v>0</v>
      </c>
      <c r="C139" s="2" t="b">
        <f>IF(ISBLANK(InfoGard!F139),FALSE,LOOKUP(InfoGard!F139,Lookup!$A$6:$B$7))</f>
        <v>0</v>
      </c>
      <c r="D139" s="2" t="b">
        <f>IF(ISBLANK(InfoGard!G139),FALSE,InfoGard!G139)</f>
        <v>0</v>
      </c>
      <c r="E139" s="2" t="str">
        <f>IF(NOT(ISBLANK(InfoGard!D139)),IF(OR(ISBLANK(InfoGard!E139),InfoGard!E139="N/A"),"no acb code",CONCATENATE(Lookup!F$1,A139,Lookup!G$1,B139,Lookup!H$1,H$1,Lookup!I$1)),"no attestation")</f>
        <v>no attestation</v>
      </c>
      <c r="F139" s="2" t="str">
        <f>IF(AND(NOT(ISBLANK(InfoGard!G139)),InfoGard!G139&lt;&gt;"N/A"),IF(C139="All",CONCATENATE(Lookup!F$2,D139,Lookup!G$2,B139,Lookup!H$2,H$1,Lookup!I$2),CONCATENATE(Lookup!F$3,D139,Lookup!G$3,B139,Lookup!H$3)),"no url")</f>
        <v>no url</v>
      </c>
    </row>
    <row r="140" spans="1:6" x14ac:dyDescent="0.25">
      <c r="A140" s="2" t="str">
        <f>IF(ISBLANK(InfoGard!D140),FALSE,LOOKUP(InfoGard!D140,Lookup!$A$2:$B$4))</f>
        <v>Affirmative</v>
      </c>
      <c r="B140" s="2" t="str">
        <f>IF(ISBLANK(InfoGard!E140),FALSE,RIGHT(TRIM(InfoGard!E140),15))</f>
        <v>IG-3279-14-0056</v>
      </c>
      <c r="C140" s="2" t="str">
        <f>IF(ISBLANK(InfoGard!F140),FALSE,LOOKUP(InfoGard!F140,Lookup!$A$6:$B$7))</f>
        <v>All</v>
      </c>
      <c r="D140" s="2" t="str">
        <f>IF(ISBLANK(InfoGard!G140),FALSE,InfoGard!G140)</f>
        <v>https://www.bearhugtech.com/bearhug/mu.html</v>
      </c>
      <c r="E140" s="2" t="str">
        <f>IF(NOT(ISBLANK(InfoGard!D140)),IF(OR(ISBLANK(InfoGard!E140),InfoGard!E140="N/A"),"no acb code",CONCATENATE(Lookup!F$1,A140,Lookup!G$1,B140,Lookup!H$1,H$1,Lookup!I$1)),"no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'IG-3279-14-0056' and cb."name" = 'InfoGard' and cp.product_version_id = pv.product_version_id and pv.product_id = p.product_id and p.vendor_id = vend.vendor_id;</v>
      </c>
      <c r="F140" s="2" t="str">
        <f>IF(AND(NOT(ISBLANK(InfoGard!G140)),InfoGard!G140&lt;&gt;"N/A"),IF(C140="All",CONCATENATE(Lookup!F$2,D140,Lookup!G$2,B140,Lookup!H$2,H$1,Lookup!I$2),CONCATENATE(Lookup!F$3,D140,Lookup!G$3,B140,Lookup!H$3)),"no url")</f>
        <v>update openchpl.certified_product as cp set transparency_attestation_url = 'https://www.bearhugtech.com/bearhug/mu.html' from (select certified_product_id from (select vend.vendor_code from openchpl.certified_product as cp, openchpl.product_version as pv, openchpl.product as p, openchpl.vendor as vend where cp.acb_certification_id = 'IG-3279-14-0056'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1" spans="1:6" hidden="1" x14ac:dyDescent="0.25">
      <c r="A141" s="2" t="b">
        <f>IF(ISBLANK(InfoGard!D141),FALSE,LOOKUP(InfoGard!D141,Lookup!$A$2:$B$4))</f>
        <v>0</v>
      </c>
      <c r="B141" s="2" t="b">
        <f>IF(ISBLANK(InfoGard!E141),FALSE,RIGHT(TRIM(InfoGard!E141),15))</f>
        <v>0</v>
      </c>
      <c r="C141" s="2" t="b">
        <f>IF(ISBLANK(InfoGard!F141),FALSE,LOOKUP(InfoGard!F141,Lookup!$A$6:$B$7))</f>
        <v>0</v>
      </c>
      <c r="D141" s="2" t="b">
        <f>IF(ISBLANK(InfoGard!G141),FALSE,InfoGard!G141)</f>
        <v>0</v>
      </c>
      <c r="E141" s="2" t="str">
        <f>IF(NOT(ISBLANK(InfoGard!D141)),IF(OR(ISBLANK(InfoGard!E141),InfoGard!E141="N/A"),"no acb code",CONCATENATE(Lookup!F$1,A141,Lookup!G$1,B141,Lookup!H$1,H$1,Lookup!I$1)),"no attestation")</f>
        <v>no attestation</v>
      </c>
      <c r="F141" s="2" t="str">
        <f>IF(AND(NOT(ISBLANK(InfoGard!G141)),InfoGard!G141&lt;&gt;"N/A"),IF(C141="All",CONCATENATE(Lookup!F$2,D141,Lookup!G$2,B141,Lookup!H$2,H$1,Lookup!I$2),CONCATENATE(Lookup!F$3,D141,Lookup!G$3,B141,Lookup!H$3)),"no url")</f>
        <v>no url</v>
      </c>
    </row>
    <row r="142" spans="1:6" hidden="1" x14ac:dyDescent="0.25">
      <c r="A142" s="2" t="b">
        <f>IF(ISBLANK(InfoGard!D142),FALSE,LOOKUP(InfoGard!D142,Lookup!$A$2:$B$4))</f>
        <v>0</v>
      </c>
      <c r="B142" s="2" t="b">
        <f>IF(ISBLANK(InfoGard!E142),FALSE,RIGHT(TRIM(InfoGard!E142),15))</f>
        <v>0</v>
      </c>
      <c r="C142" s="2" t="b">
        <f>IF(ISBLANK(InfoGard!F142),FALSE,LOOKUP(InfoGard!F142,Lookup!$A$6:$B$7))</f>
        <v>0</v>
      </c>
      <c r="D142" s="2" t="b">
        <f>IF(ISBLANK(InfoGard!G142),FALSE,InfoGard!G142)</f>
        <v>0</v>
      </c>
      <c r="E142" s="2" t="str">
        <f>IF(NOT(ISBLANK(InfoGard!D142)),IF(OR(ISBLANK(InfoGard!E142),InfoGard!E142="N/A"),"no acb code",CONCATENATE(Lookup!F$1,A142,Lookup!G$1,B142,Lookup!H$1,H$1,Lookup!I$1)),"no attestation")</f>
        <v>no attestation</v>
      </c>
      <c r="F142" s="2" t="str">
        <f>IF(AND(NOT(ISBLANK(InfoGard!G142)),InfoGard!G142&lt;&gt;"N/A"),IF(C142="All",CONCATENATE(Lookup!F$2,D142,Lookup!G$2,B142,Lookup!H$2,H$1,Lookup!I$2),CONCATENATE(Lookup!F$3,D142,Lookup!G$3,B142,Lookup!H$3)),"no url")</f>
        <v>no url</v>
      </c>
    </row>
    <row r="143" spans="1:6" hidden="1" x14ac:dyDescent="0.25">
      <c r="A143" s="2" t="b">
        <f>IF(ISBLANK(InfoGard!D143),FALSE,LOOKUP(InfoGard!D143,Lookup!$A$2:$B$4))</f>
        <v>0</v>
      </c>
      <c r="B143" s="2" t="b">
        <f>IF(ISBLANK(InfoGard!E143),FALSE,RIGHT(TRIM(InfoGard!E143),15))</f>
        <v>0</v>
      </c>
      <c r="C143" s="2" t="b">
        <f>IF(ISBLANK(InfoGard!F143),FALSE,LOOKUP(InfoGard!F143,Lookup!$A$6:$B$7))</f>
        <v>0</v>
      </c>
      <c r="D143" s="2" t="b">
        <f>IF(ISBLANK(InfoGard!G143),FALSE,InfoGard!G143)</f>
        <v>0</v>
      </c>
      <c r="E143" s="2" t="str">
        <f>IF(NOT(ISBLANK(InfoGard!D143)),IF(OR(ISBLANK(InfoGard!E143),InfoGard!E143="N/A"),"no acb code",CONCATENATE(Lookup!F$1,A143,Lookup!G$1,B143,Lookup!H$1,H$1,Lookup!I$1)),"no attestation")</f>
        <v>no attestation</v>
      </c>
      <c r="F143" s="2" t="str">
        <f>IF(AND(NOT(ISBLANK(InfoGard!G143)),InfoGard!G143&lt;&gt;"N/A"),IF(C143="All",CONCATENATE(Lookup!F$2,D143,Lookup!G$2,B143,Lookup!H$2,H$1,Lookup!I$2),CONCATENATE(Lookup!F$3,D143,Lookup!G$3,B143,Lookup!H$3)),"no url")</f>
        <v>no url</v>
      </c>
    </row>
    <row r="144" spans="1:6" hidden="1" x14ac:dyDescent="0.25">
      <c r="A144" s="2" t="b">
        <f>IF(ISBLANK(InfoGard!D144),FALSE,LOOKUP(InfoGard!D144,Lookup!$A$2:$B$4))</f>
        <v>0</v>
      </c>
      <c r="B144" s="2" t="b">
        <f>IF(ISBLANK(InfoGard!E144),FALSE,RIGHT(TRIM(InfoGard!E144),15))</f>
        <v>0</v>
      </c>
      <c r="C144" s="2" t="b">
        <f>IF(ISBLANK(InfoGard!F144),FALSE,LOOKUP(InfoGard!F144,Lookup!$A$6:$B$7))</f>
        <v>0</v>
      </c>
      <c r="D144" s="2" t="b">
        <f>IF(ISBLANK(InfoGard!G144),FALSE,InfoGard!G144)</f>
        <v>0</v>
      </c>
      <c r="E144" s="2" t="str">
        <f>IF(NOT(ISBLANK(InfoGard!D144)),IF(OR(ISBLANK(InfoGard!E144),InfoGard!E144="N/A"),"no acb code",CONCATENATE(Lookup!F$1,A144,Lookup!G$1,B144,Lookup!H$1,H$1,Lookup!I$1)),"no attestation")</f>
        <v>no attestation</v>
      </c>
      <c r="F144" s="2" t="str">
        <f>IF(AND(NOT(ISBLANK(InfoGard!G144)),InfoGard!G144&lt;&gt;"N/A"),IF(C144="All",CONCATENATE(Lookup!F$2,D144,Lookup!G$2,B144,Lookup!H$2,H$1,Lookup!I$2),CONCATENATE(Lookup!F$3,D144,Lookup!G$3,B144,Lookup!H$3)),"no url")</f>
        <v>no url</v>
      </c>
    </row>
    <row r="145" spans="1:6" x14ac:dyDescent="0.25">
      <c r="A145" s="2" t="str">
        <f>IF(ISBLANK(InfoGard!D145),FALSE,LOOKUP(InfoGard!D145,Lookup!$A$2:$B$4))</f>
        <v>Affirmative</v>
      </c>
      <c r="B145" s="2" t="str">
        <f>IF(ISBLANK(InfoGard!E145),FALSE,RIGHT(TRIM(InfoGard!E145),15))</f>
        <v>IG-3150-14-0014</v>
      </c>
      <c r="C145" s="2" t="str">
        <f>IF(ISBLANK(InfoGard!F145),FALSE,LOOKUP(InfoGard!F145,Lookup!$A$6:$B$7))</f>
        <v>All</v>
      </c>
      <c r="D145" s="2" t="str">
        <f>IF(ISBLANK(InfoGard!G145),FALSE,InfoGard!G145)</f>
        <v>http://www.nexgenic.com/onc-certification</v>
      </c>
      <c r="E145" s="2" t="str">
        <f>IF(NOT(ISBLANK(InfoGard!D145)),IF(OR(ISBLANK(InfoGard!E145),InfoGard!E145="N/A"),"no acb code",CONCATENATE(Lookup!F$1,A145,Lookup!G$1,B145,Lookup!H$1,H$1,Lookup!I$1)),"no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'IG-3150-14-0014' and cb."name" = 'InfoGard' and cp.product_version_id = pv.product_version_id and pv.product_id = p.product_id and p.vendor_id = vend.vendor_id;</v>
      </c>
      <c r="F145" s="2" t="str">
        <f>IF(AND(NOT(ISBLANK(InfoGard!G145)),InfoGard!G145&lt;&gt;"N/A"),IF(C145="All",CONCATENATE(Lookup!F$2,D145,Lookup!G$2,B145,Lookup!H$2,H$1,Lookup!I$2),CONCATENATE(Lookup!F$3,D145,Lookup!G$3,B145,Lookup!H$3)),"no url")</f>
        <v>update openchpl.certified_product as cp set transparency_attestation_url = 'http://www.nexgenic.com/onc-certification' from (select certified_product_id from (select vend.vendor_code from openchpl.certified_product as cp, openchpl.product_version as pv, openchpl.product as p, openchpl.vendor as vend where cp.acb_certification_id = 'IG-3150-14-0014'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6" spans="1:6" hidden="1" x14ac:dyDescent="0.25">
      <c r="A146" s="2" t="b">
        <f>IF(ISBLANK(InfoGard!D146),FALSE,LOOKUP(InfoGard!D146,Lookup!$A$2:$B$4))</f>
        <v>0</v>
      </c>
      <c r="B146" s="2" t="b">
        <f>IF(ISBLANK(InfoGard!E146),FALSE,RIGHT(TRIM(InfoGard!E146),15))</f>
        <v>0</v>
      </c>
      <c r="C146" s="2" t="b">
        <f>IF(ISBLANK(InfoGard!F146),FALSE,LOOKUP(InfoGard!F146,Lookup!$A$6:$B$7))</f>
        <v>0</v>
      </c>
      <c r="D146" s="2" t="b">
        <f>IF(ISBLANK(InfoGard!G146),FALSE,InfoGard!G146)</f>
        <v>0</v>
      </c>
      <c r="E146" s="2" t="str">
        <f>IF(NOT(ISBLANK(InfoGard!D146)),IF(OR(ISBLANK(InfoGard!E146),InfoGard!E146="N/A"),"no acb code",CONCATENATE(Lookup!F$1,A146,Lookup!G$1,B146,Lookup!H$1,H$1,Lookup!I$1)),"no attestation")</f>
        <v>no attestation</v>
      </c>
      <c r="F146" s="2" t="str">
        <f>IF(AND(NOT(ISBLANK(InfoGard!G146)),InfoGard!G146&lt;&gt;"N/A"),IF(C146="All",CONCATENATE(Lookup!F$2,D146,Lookup!G$2,B146,Lookup!H$2,H$1,Lookup!I$2),CONCATENATE(Lookup!F$3,D146,Lookup!G$3,B146,Lookup!H$3)),"no url")</f>
        <v>no url</v>
      </c>
    </row>
    <row r="147" spans="1:6" hidden="1" x14ac:dyDescent="0.25">
      <c r="A147" s="2" t="b">
        <f>IF(ISBLANK(InfoGard!D147),FALSE,LOOKUP(InfoGard!D147,Lookup!$A$2:$B$4))</f>
        <v>0</v>
      </c>
      <c r="B147" s="2" t="b">
        <f>IF(ISBLANK(InfoGard!E147),FALSE,RIGHT(TRIM(InfoGard!E147),15))</f>
        <v>0</v>
      </c>
      <c r="C147" s="2" t="b">
        <f>IF(ISBLANK(InfoGard!F147),FALSE,LOOKUP(InfoGard!F147,Lookup!$A$6:$B$7))</f>
        <v>0</v>
      </c>
      <c r="D147" s="2" t="b">
        <f>IF(ISBLANK(InfoGard!G147),FALSE,InfoGard!G147)</f>
        <v>0</v>
      </c>
      <c r="E147" s="2" t="str">
        <f>IF(NOT(ISBLANK(InfoGard!D147)),IF(OR(ISBLANK(InfoGard!E147),InfoGard!E147="N/A"),"no acb code",CONCATENATE(Lookup!F$1,A147,Lookup!G$1,B147,Lookup!H$1,H$1,Lookup!I$1)),"no attestation")</f>
        <v>no attestation</v>
      </c>
      <c r="F147" s="2" t="str">
        <f>IF(AND(NOT(ISBLANK(InfoGard!G147)),InfoGard!G147&lt;&gt;"N/A"),IF(C147="All",CONCATENATE(Lookup!F$2,D147,Lookup!G$2,B147,Lookup!H$2,H$1,Lookup!I$2),CONCATENATE(Lookup!F$3,D147,Lookup!G$3,B147,Lookup!H$3)),"no url")</f>
        <v>no url</v>
      </c>
    </row>
    <row r="148" spans="1:6" hidden="1" x14ac:dyDescent="0.25">
      <c r="A148" s="2" t="b">
        <f>IF(ISBLANK(InfoGard!D148),FALSE,LOOKUP(InfoGard!D148,Lookup!$A$2:$B$4))</f>
        <v>0</v>
      </c>
      <c r="B148" s="2" t="b">
        <f>IF(ISBLANK(InfoGard!E148),FALSE,RIGHT(TRIM(InfoGard!E148),15))</f>
        <v>0</v>
      </c>
      <c r="C148" s="2" t="b">
        <f>IF(ISBLANK(InfoGard!F148),FALSE,LOOKUP(InfoGard!F148,Lookup!$A$6:$B$7))</f>
        <v>0</v>
      </c>
      <c r="D148" s="2" t="b">
        <f>IF(ISBLANK(InfoGard!G148),FALSE,InfoGard!G148)</f>
        <v>0</v>
      </c>
      <c r="E148" s="2" t="str">
        <f>IF(NOT(ISBLANK(InfoGard!D148)),IF(OR(ISBLANK(InfoGard!E148),InfoGard!E148="N/A"),"no acb code",CONCATENATE(Lookup!F$1,A148,Lookup!G$1,B148,Lookup!H$1,H$1,Lookup!I$1)),"no attestation")</f>
        <v>no attestation</v>
      </c>
      <c r="F148" s="2" t="str">
        <f>IF(AND(NOT(ISBLANK(InfoGard!G148)),InfoGard!G148&lt;&gt;"N/A"),IF(C148="All",CONCATENATE(Lookup!F$2,D148,Lookup!G$2,B148,Lookup!H$2,H$1,Lookup!I$2),CONCATENATE(Lookup!F$3,D148,Lookup!G$3,B148,Lookup!H$3)),"no url")</f>
        <v>no url</v>
      </c>
    </row>
    <row r="149" spans="1:6" hidden="1" x14ac:dyDescent="0.25">
      <c r="A149" s="2" t="b">
        <f>IF(ISBLANK(InfoGard!D149),FALSE,LOOKUP(InfoGard!D149,Lookup!$A$2:$B$4))</f>
        <v>0</v>
      </c>
      <c r="B149" s="2" t="b">
        <f>IF(ISBLANK(InfoGard!E149),FALSE,RIGHT(TRIM(InfoGard!E149),15))</f>
        <v>0</v>
      </c>
      <c r="C149" s="2" t="b">
        <f>IF(ISBLANK(InfoGard!F149),FALSE,LOOKUP(InfoGard!F149,Lookup!$A$6:$B$7))</f>
        <v>0</v>
      </c>
      <c r="D149" s="2" t="b">
        <f>IF(ISBLANK(InfoGard!G149),FALSE,InfoGard!G149)</f>
        <v>0</v>
      </c>
      <c r="E149" s="2" t="str">
        <f>IF(NOT(ISBLANK(InfoGard!D149)),IF(OR(ISBLANK(InfoGard!E149),InfoGard!E149="N/A"),"no acb code",CONCATENATE(Lookup!F$1,A149,Lookup!G$1,B149,Lookup!H$1,H$1,Lookup!I$1)),"no attestation")</f>
        <v>no attestation</v>
      </c>
      <c r="F149" s="2" t="str">
        <f>IF(AND(NOT(ISBLANK(InfoGard!G149)),InfoGard!G149&lt;&gt;"N/A"),IF(C149="All",CONCATENATE(Lookup!F$2,D149,Lookup!G$2,B149,Lookup!H$2,H$1,Lookup!I$2),CONCATENATE(Lookup!F$3,D149,Lookup!G$3,B149,Lookup!H$3)),"no url")</f>
        <v>no url</v>
      </c>
    </row>
    <row r="150" spans="1:6" hidden="1" x14ac:dyDescent="0.25">
      <c r="A150" s="2" t="b">
        <f>IF(ISBLANK(InfoGard!D150),FALSE,LOOKUP(InfoGard!D150,Lookup!$A$2:$B$4))</f>
        <v>0</v>
      </c>
      <c r="B150" s="2" t="b">
        <f>IF(ISBLANK(InfoGard!E150),FALSE,RIGHT(TRIM(InfoGard!E150),15))</f>
        <v>0</v>
      </c>
      <c r="C150" s="2" t="b">
        <f>IF(ISBLANK(InfoGard!F150),FALSE,LOOKUP(InfoGard!F150,Lookup!$A$6:$B$7))</f>
        <v>0</v>
      </c>
      <c r="D150" s="2" t="b">
        <f>IF(ISBLANK(InfoGard!G150),FALSE,InfoGard!G150)</f>
        <v>0</v>
      </c>
      <c r="E150" s="2" t="str">
        <f>IF(NOT(ISBLANK(InfoGard!D150)),IF(OR(ISBLANK(InfoGard!E150),InfoGard!E150="N/A"),"no acb code",CONCATENATE(Lookup!F$1,A150,Lookup!G$1,B150,Lookup!H$1,H$1,Lookup!I$1)),"no attestation")</f>
        <v>no attestation</v>
      </c>
      <c r="F150" s="2" t="str">
        <f>IF(AND(NOT(ISBLANK(InfoGard!G150)),InfoGard!G150&lt;&gt;"N/A"),IF(C150="All",CONCATENATE(Lookup!F$2,D150,Lookup!G$2,B150,Lookup!H$2,H$1,Lookup!I$2),CONCATENATE(Lookup!F$3,D150,Lookup!G$3,B150,Lookup!H$3)),"no url")</f>
        <v>no url</v>
      </c>
    </row>
    <row r="151" spans="1:6" hidden="1" x14ac:dyDescent="0.25">
      <c r="A151" s="2" t="b">
        <f>IF(ISBLANK(InfoGard!D151),FALSE,LOOKUP(InfoGard!D151,Lookup!$A$2:$B$4))</f>
        <v>0</v>
      </c>
      <c r="B151" s="2" t="b">
        <f>IF(ISBLANK(InfoGard!E151),FALSE,RIGHT(TRIM(InfoGard!E151),15))</f>
        <v>0</v>
      </c>
      <c r="C151" s="2" t="b">
        <f>IF(ISBLANK(InfoGard!F151),FALSE,LOOKUP(InfoGard!F151,Lookup!$A$6:$B$7))</f>
        <v>0</v>
      </c>
      <c r="D151" s="2" t="b">
        <f>IF(ISBLANK(InfoGard!G151),FALSE,InfoGard!G151)</f>
        <v>0</v>
      </c>
      <c r="E151" s="2" t="str">
        <f>IF(NOT(ISBLANK(InfoGard!D151)),IF(OR(ISBLANK(InfoGard!E151),InfoGard!E151="N/A"),"no acb code",CONCATENATE(Lookup!F$1,A151,Lookup!G$1,B151,Lookup!H$1,H$1,Lookup!I$1)),"no attestation")</f>
        <v>no attestation</v>
      </c>
      <c r="F151" s="2" t="str">
        <f>IF(AND(NOT(ISBLANK(InfoGard!G151)),InfoGard!G151&lt;&gt;"N/A"),IF(C151="All",CONCATENATE(Lookup!F$2,D151,Lookup!G$2,B151,Lookup!H$2,H$1,Lookup!I$2),CONCATENATE(Lookup!F$3,D151,Lookup!G$3,B151,Lookup!H$3)),"no url")</f>
        <v>no url</v>
      </c>
    </row>
    <row r="152" spans="1:6" hidden="1" x14ac:dyDescent="0.25">
      <c r="A152" s="2" t="b">
        <f>IF(ISBLANK(InfoGard!D152),FALSE,LOOKUP(InfoGard!D152,Lookup!$A$2:$B$4))</f>
        <v>0</v>
      </c>
      <c r="B152" s="2" t="b">
        <f>IF(ISBLANK(InfoGard!E152),FALSE,RIGHT(TRIM(InfoGard!E152),15))</f>
        <v>0</v>
      </c>
      <c r="C152" s="2" t="b">
        <f>IF(ISBLANK(InfoGard!F152),FALSE,LOOKUP(InfoGard!F152,Lookup!$A$6:$B$7))</f>
        <v>0</v>
      </c>
      <c r="D152" s="2" t="b">
        <f>IF(ISBLANK(InfoGard!G152),FALSE,InfoGard!G152)</f>
        <v>0</v>
      </c>
      <c r="E152" s="2" t="str">
        <f>IF(NOT(ISBLANK(InfoGard!D152)),IF(OR(ISBLANK(InfoGard!E152),InfoGard!E152="N/A"),"no acb code",CONCATENATE(Lookup!F$1,A152,Lookup!G$1,B152,Lookup!H$1,H$1,Lookup!I$1)),"no attestation")</f>
        <v>no attestation</v>
      </c>
      <c r="F152" s="2" t="str">
        <f>IF(AND(NOT(ISBLANK(InfoGard!G152)),InfoGard!G152&lt;&gt;"N/A"),IF(C152="All",CONCATENATE(Lookup!F$2,D152,Lookup!G$2,B152,Lookup!H$2,H$1,Lookup!I$2),CONCATENATE(Lookup!F$3,D152,Lookup!G$3,B152,Lookup!H$3)),"no url")</f>
        <v>no url</v>
      </c>
    </row>
    <row r="153" spans="1:6" hidden="1" x14ac:dyDescent="0.25">
      <c r="A153" s="2" t="b">
        <f>IF(ISBLANK(InfoGard!D153),FALSE,LOOKUP(InfoGard!D153,Lookup!$A$2:$B$4))</f>
        <v>0</v>
      </c>
      <c r="B153" s="2" t="b">
        <f>IF(ISBLANK(InfoGard!E153),FALSE,RIGHT(TRIM(InfoGard!E153),15))</f>
        <v>0</v>
      </c>
      <c r="C153" s="2" t="b">
        <f>IF(ISBLANK(InfoGard!F153),FALSE,LOOKUP(InfoGard!F153,Lookup!$A$6:$B$7))</f>
        <v>0</v>
      </c>
      <c r="D153" s="2" t="b">
        <f>IF(ISBLANK(InfoGard!G153),FALSE,InfoGard!G153)</f>
        <v>0</v>
      </c>
      <c r="E153" s="2" t="str">
        <f>IF(NOT(ISBLANK(InfoGard!D153)),IF(OR(ISBLANK(InfoGard!E153),InfoGard!E153="N/A"),"no acb code",CONCATENATE(Lookup!F$1,A153,Lookup!G$1,B153,Lookup!H$1,H$1,Lookup!I$1)),"no attestation")</f>
        <v>no attestation</v>
      </c>
      <c r="F153" s="2" t="str">
        <f>IF(AND(NOT(ISBLANK(InfoGard!G153)),InfoGard!G153&lt;&gt;"N/A"),IF(C153="All",CONCATENATE(Lookup!F$2,D153,Lookup!G$2,B153,Lookup!H$2,H$1,Lookup!I$2),CONCATENATE(Lookup!F$3,D153,Lookup!G$3,B153,Lookup!H$3)),"no url")</f>
        <v>no url</v>
      </c>
    </row>
    <row r="154" spans="1:6" x14ac:dyDescent="0.25">
      <c r="A154" s="2" t="str">
        <f>IF(ISBLANK(InfoGard!D154),FALSE,LOOKUP(InfoGard!D154,Lookup!$A$2:$B$4))</f>
        <v>Affirmative</v>
      </c>
      <c r="B154" s="2" t="str">
        <f>IF(ISBLANK(InfoGard!E154),FALSE,RIGHT(TRIM(InfoGard!E154),15))</f>
        <v>IG-3074-13-0050</v>
      </c>
      <c r="C154" s="2" t="str">
        <f>IF(ISBLANK(InfoGard!F154),FALSE,LOOKUP(InfoGard!F154,Lookup!$A$6:$B$7))</f>
        <v>All</v>
      </c>
      <c r="D154" s="2" t="str">
        <f>IF(ISBLANK(InfoGard!G154),FALSE,InfoGard!G154)</f>
        <v>https://mdqws1.medeqmanager.com/meds/ehr</v>
      </c>
      <c r="E154" s="2" t="str">
        <f>IF(NOT(ISBLANK(InfoGard!D154)),IF(OR(ISBLANK(InfoGard!E154),InfoGard!E154="N/A"),"no acb code",CONCATENATE(Lookup!F$1,A154,Lookup!G$1,B154,Lookup!H$1,H$1,Lookup!I$1)),"no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'IG-3074-13-0050' and cb."name" = 'InfoGard' and cp.product_version_id = pv.product_version_id and pv.product_id = p.product_id and p.vendor_id = vend.vendor_id;</v>
      </c>
      <c r="F154" s="2" t="str">
        <f>IF(AND(NOT(ISBLANK(InfoGard!G154)),InfoGard!G154&lt;&gt;"N/A"),IF(C154="All",CONCATENATE(Lookup!F$2,D154,Lookup!G$2,B154,Lookup!H$2,H$1,Lookup!I$2),CONCATENATE(Lookup!F$3,D154,Lookup!G$3,B154,Lookup!H$3)),"no url")</f>
        <v>update openchpl.certified_product as cp set transparency_attestation_url = 'https://mdqws1.medeqmanager.com/meds/ehr' from (select certified_product_id from (select vend.vendor_code from openchpl.certified_product as cp, openchpl.product_version as pv, openchpl.product as p, openchpl.vendor as vend where cp.acb_certification_id = 'IG-3074-13-0050'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5" spans="1:6" hidden="1" x14ac:dyDescent="0.25">
      <c r="A155" s="2" t="b">
        <f>IF(ISBLANK(InfoGard!D155),FALSE,LOOKUP(InfoGard!D155,Lookup!$A$2:$B$4))</f>
        <v>0</v>
      </c>
      <c r="B155" s="2" t="b">
        <f>IF(ISBLANK(InfoGard!E155),FALSE,RIGHT(TRIM(InfoGard!E155),15))</f>
        <v>0</v>
      </c>
      <c r="C155" s="2" t="b">
        <f>IF(ISBLANK(InfoGard!F155),FALSE,LOOKUP(InfoGard!F155,Lookup!$A$6:$B$7))</f>
        <v>0</v>
      </c>
      <c r="D155" s="2" t="b">
        <f>IF(ISBLANK(InfoGard!G155),FALSE,InfoGard!G155)</f>
        <v>0</v>
      </c>
      <c r="E155" s="2" t="str">
        <f>IF(NOT(ISBLANK(InfoGard!D155)),IF(OR(ISBLANK(InfoGard!E155),InfoGard!E155="N/A"),"no acb code",CONCATENATE(Lookup!F$1,A155,Lookup!G$1,B155,Lookup!H$1,H$1,Lookup!I$1)),"no attestation")</f>
        <v>no attestation</v>
      </c>
      <c r="F155" s="2" t="str">
        <f>IF(AND(NOT(ISBLANK(InfoGard!G155)),InfoGard!G155&lt;&gt;"N/A"),IF(C155="All",CONCATENATE(Lookup!F$2,D155,Lookup!G$2,B155,Lookup!H$2,H$1,Lookup!I$2),CONCATENATE(Lookup!F$3,D155,Lookup!G$3,B155,Lookup!H$3)),"no url")</f>
        <v>no url</v>
      </c>
    </row>
    <row r="156" spans="1:6" hidden="1" x14ac:dyDescent="0.25">
      <c r="A156" s="2" t="b">
        <f>IF(ISBLANK(InfoGard!D156),FALSE,LOOKUP(InfoGard!D156,Lookup!$A$2:$B$4))</f>
        <v>0</v>
      </c>
      <c r="B156" s="2" t="b">
        <f>IF(ISBLANK(InfoGard!E156),FALSE,RIGHT(TRIM(InfoGard!E156),15))</f>
        <v>0</v>
      </c>
      <c r="C156" s="2" t="b">
        <f>IF(ISBLANK(InfoGard!F156),FALSE,LOOKUP(InfoGard!F156,Lookup!$A$6:$B$7))</f>
        <v>0</v>
      </c>
      <c r="D156" s="2" t="b">
        <f>IF(ISBLANK(InfoGard!G156),FALSE,InfoGard!G156)</f>
        <v>0</v>
      </c>
      <c r="E156" s="2" t="str">
        <f>IF(NOT(ISBLANK(InfoGard!D156)),IF(OR(ISBLANK(InfoGard!E156),InfoGard!E156="N/A"),"no acb code",CONCATENATE(Lookup!F$1,A156,Lookup!G$1,B156,Lookup!H$1,H$1,Lookup!I$1)),"no attestation")</f>
        <v>no attestation</v>
      </c>
      <c r="F156" s="2" t="str">
        <f>IF(AND(NOT(ISBLANK(InfoGard!G156)),InfoGard!G156&lt;&gt;"N/A"),IF(C156="All",CONCATENATE(Lookup!F$2,D156,Lookup!G$2,B156,Lookup!H$2,H$1,Lookup!I$2),CONCATENATE(Lookup!F$3,D156,Lookup!G$3,B156,Lookup!H$3)),"no url")</f>
        <v>no url</v>
      </c>
    </row>
    <row r="157" spans="1:6" hidden="1" x14ac:dyDescent="0.25">
      <c r="A157" s="2" t="b">
        <f>IF(ISBLANK(InfoGard!D157),FALSE,LOOKUP(InfoGard!D157,Lookup!$A$2:$B$4))</f>
        <v>0</v>
      </c>
      <c r="B157" s="2" t="b">
        <f>IF(ISBLANK(InfoGard!E157),FALSE,RIGHT(TRIM(InfoGard!E157),15))</f>
        <v>0</v>
      </c>
      <c r="C157" s="2" t="b">
        <f>IF(ISBLANK(InfoGard!F157),FALSE,LOOKUP(InfoGard!F157,Lookup!$A$6:$B$7))</f>
        <v>0</v>
      </c>
      <c r="D157" s="2" t="b">
        <f>IF(ISBLANK(InfoGard!G157),FALSE,InfoGard!G157)</f>
        <v>0</v>
      </c>
      <c r="E157" s="2" t="str">
        <f>IF(NOT(ISBLANK(InfoGard!D157)),IF(OR(ISBLANK(InfoGard!E157),InfoGard!E157="N/A"),"no acb code",CONCATENATE(Lookup!F$1,A157,Lookup!G$1,B157,Lookup!H$1,H$1,Lookup!I$1)),"no attestation")</f>
        <v>no attestation</v>
      </c>
      <c r="F157" s="2" t="str">
        <f>IF(AND(NOT(ISBLANK(InfoGard!G157)),InfoGard!G157&lt;&gt;"N/A"),IF(C157="All",CONCATENATE(Lookup!F$2,D157,Lookup!G$2,B157,Lookup!H$2,H$1,Lookup!I$2),CONCATENATE(Lookup!F$3,D157,Lookup!G$3,B157,Lookup!H$3)),"no url")</f>
        <v>no url</v>
      </c>
    </row>
    <row r="158" spans="1:6" hidden="1" x14ac:dyDescent="0.25">
      <c r="A158" s="2" t="b">
        <f>IF(ISBLANK(InfoGard!D158),FALSE,LOOKUP(InfoGard!D158,Lookup!$A$2:$B$4))</f>
        <v>0</v>
      </c>
      <c r="B158" s="2" t="b">
        <f>IF(ISBLANK(InfoGard!E158),FALSE,RIGHT(TRIM(InfoGard!E158),15))</f>
        <v>0</v>
      </c>
      <c r="C158" s="2" t="b">
        <f>IF(ISBLANK(InfoGard!F158),FALSE,LOOKUP(InfoGard!F158,Lookup!$A$6:$B$7))</f>
        <v>0</v>
      </c>
      <c r="D158" s="2" t="b">
        <f>IF(ISBLANK(InfoGard!G158),FALSE,InfoGard!G158)</f>
        <v>0</v>
      </c>
      <c r="E158" s="2" t="str">
        <f>IF(NOT(ISBLANK(InfoGard!D158)),IF(OR(ISBLANK(InfoGard!E158),InfoGard!E158="N/A"),"no acb code",CONCATENATE(Lookup!F$1,A158,Lookup!G$1,B158,Lookup!H$1,H$1,Lookup!I$1)),"no attestation")</f>
        <v>no attestation</v>
      </c>
      <c r="F158" s="2" t="str">
        <f>IF(AND(NOT(ISBLANK(InfoGard!G158)),InfoGard!G158&lt;&gt;"N/A"),IF(C158="All",CONCATENATE(Lookup!F$2,D158,Lookup!G$2,B158,Lookup!H$2,H$1,Lookup!I$2),CONCATENATE(Lookup!F$3,D158,Lookup!G$3,B158,Lookup!H$3)),"no url")</f>
        <v>no url</v>
      </c>
    </row>
    <row r="159" spans="1:6" hidden="1" x14ac:dyDescent="0.25">
      <c r="A159" s="2" t="b">
        <f>IF(ISBLANK(InfoGard!D159),FALSE,LOOKUP(InfoGard!D159,Lookup!$A$2:$B$4))</f>
        <v>0</v>
      </c>
      <c r="B159" s="2" t="b">
        <f>IF(ISBLANK(InfoGard!E159),FALSE,RIGHT(TRIM(InfoGard!E159),15))</f>
        <v>0</v>
      </c>
      <c r="C159" s="2" t="b">
        <f>IF(ISBLANK(InfoGard!F159),FALSE,LOOKUP(InfoGard!F159,Lookup!$A$6:$B$7))</f>
        <v>0</v>
      </c>
      <c r="D159" s="2" t="b">
        <f>IF(ISBLANK(InfoGard!G159),FALSE,InfoGard!G159)</f>
        <v>0</v>
      </c>
      <c r="E159" s="2" t="str">
        <f>IF(NOT(ISBLANK(InfoGard!D159)),IF(OR(ISBLANK(InfoGard!E159),InfoGard!E159="N/A"),"no acb code",CONCATENATE(Lookup!F$1,A159,Lookup!G$1,B159,Lookup!H$1,H$1,Lookup!I$1)),"no attestation")</f>
        <v>no attestation</v>
      </c>
      <c r="F159" s="2" t="str">
        <f>IF(AND(NOT(ISBLANK(InfoGard!G159)),InfoGard!G159&lt;&gt;"N/A"),IF(C159="All",CONCATENATE(Lookup!F$2,D159,Lookup!G$2,B159,Lookup!H$2,H$1,Lookup!I$2),CONCATENATE(Lookup!F$3,D159,Lookup!G$3,B159,Lookup!H$3)),"no url")</f>
        <v>no url</v>
      </c>
    </row>
    <row r="160" spans="1:6" x14ac:dyDescent="0.25">
      <c r="A160" s="2" t="str">
        <f>IF(ISBLANK(InfoGard!D160),FALSE,LOOKUP(InfoGard!D160,Lookup!$A$2:$B$4))</f>
        <v>Affirmative</v>
      </c>
      <c r="B160" s="2" t="str">
        <f>IF(ISBLANK(InfoGard!E160),FALSE,RIGHT(TRIM(InfoGard!E160),15))</f>
        <v>IG-3002-15-0008</v>
      </c>
      <c r="C160" s="2" t="str">
        <f>IF(ISBLANK(InfoGard!F160),FALSE,LOOKUP(InfoGard!F160,Lookup!$A$6:$B$7))</f>
        <v>All</v>
      </c>
      <c r="D160" s="2" t="str">
        <f>IF(ISBLANK(InfoGard!G160),FALSE,InfoGard!G160)</f>
        <v>http://braintreemd.com/website/meaningful_use.php</v>
      </c>
      <c r="E160" s="2" t="str">
        <f>IF(NOT(ISBLANK(InfoGard!D160)),IF(OR(ISBLANK(InfoGard!E160),InfoGard!E160="N/A"),"no acb code",CONCATENATE(Lookup!F$1,A160,Lookup!G$1,B160,Lookup!H$1,H$1,Lookup!I$1)),"no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'IG-3002-15-0008' and cb."name" = 'InfoGard' and cp.product_version_id = pv.product_version_id and pv.product_id = p.product_id and p.vendor_id = vend.vendor_id;</v>
      </c>
      <c r="F160" s="2" t="str">
        <f>IF(AND(NOT(ISBLANK(InfoGard!G160)),InfoGard!G160&lt;&gt;"N/A"),IF(C160="All",CONCATENATE(Lookup!F$2,D160,Lookup!G$2,B160,Lookup!H$2,H$1,Lookup!I$2),CONCATENATE(Lookup!F$3,D160,Lookup!G$3,B160,Lookup!H$3)),"no url")</f>
        <v>update openchpl.certified_product as cp set transparency_attestation_url = 'http://braintreemd.com/website/meaningful_use.php' from (select certified_product_id from (select vend.vendor_code from openchpl.certified_product as cp, openchpl.product_version as pv, openchpl.product as p, openchpl.vendor as vend where cp.acb_certification_id = 'IG-3002-15-0008'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1" spans="1:6" hidden="1" x14ac:dyDescent="0.25">
      <c r="A161" s="2" t="b">
        <f>IF(ISBLANK(InfoGard!D161),FALSE,LOOKUP(InfoGard!D161,Lookup!$A$2:$B$4))</f>
        <v>0</v>
      </c>
      <c r="B161" s="2" t="b">
        <f>IF(ISBLANK(InfoGard!E161),FALSE,RIGHT(TRIM(InfoGard!E161),15))</f>
        <v>0</v>
      </c>
      <c r="C161" s="2" t="b">
        <f>IF(ISBLANK(InfoGard!F161),FALSE,LOOKUP(InfoGard!F161,Lookup!$A$6:$B$7))</f>
        <v>0</v>
      </c>
      <c r="D161" s="2" t="b">
        <f>IF(ISBLANK(InfoGard!G161),FALSE,InfoGard!G161)</f>
        <v>0</v>
      </c>
      <c r="E161" s="2" t="str">
        <f>IF(NOT(ISBLANK(InfoGard!D161)),IF(OR(ISBLANK(InfoGard!E161),InfoGard!E161="N/A"),"no acb code",CONCATENATE(Lookup!F$1,A161,Lookup!G$1,B161,Lookup!H$1,H$1,Lookup!I$1)),"no attestation")</f>
        <v>no attestation</v>
      </c>
      <c r="F161" s="2" t="str">
        <f>IF(AND(NOT(ISBLANK(InfoGard!G161)),InfoGard!G161&lt;&gt;"N/A"),IF(C161="All",CONCATENATE(Lookup!F$2,D161,Lookup!G$2,B161,Lookup!H$2,H$1,Lookup!I$2),CONCATENATE(Lookup!F$3,D161,Lookup!G$3,B161,Lookup!H$3)),"no url")</f>
        <v>no url</v>
      </c>
    </row>
    <row r="162" spans="1:6" hidden="1" x14ac:dyDescent="0.25">
      <c r="A162" s="2" t="b">
        <f>IF(ISBLANK(InfoGard!D162),FALSE,LOOKUP(InfoGard!D162,Lookup!$A$2:$B$4))</f>
        <v>0</v>
      </c>
      <c r="B162" s="2" t="b">
        <f>IF(ISBLANK(InfoGard!E162),FALSE,RIGHT(TRIM(InfoGard!E162),15))</f>
        <v>0</v>
      </c>
      <c r="C162" s="2" t="b">
        <f>IF(ISBLANK(InfoGard!F162),FALSE,LOOKUP(InfoGard!F162,Lookup!$A$6:$B$7))</f>
        <v>0</v>
      </c>
      <c r="D162" s="2" t="b">
        <f>IF(ISBLANK(InfoGard!G162),FALSE,InfoGard!G162)</f>
        <v>0</v>
      </c>
      <c r="E162" s="2" t="str">
        <f>IF(NOT(ISBLANK(InfoGard!D162)),IF(OR(ISBLANK(InfoGard!E162),InfoGard!E162="N/A"),"no acb code",CONCATENATE(Lookup!F$1,A162,Lookup!G$1,B162,Lookup!H$1,H$1,Lookup!I$1)),"no attestation")</f>
        <v>no attestation</v>
      </c>
      <c r="F162" s="2" t="str">
        <f>IF(AND(NOT(ISBLANK(InfoGard!G162)),InfoGard!G162&lt;&gt;"N/A"),IF(C162="All",CONCATENATE(Lookup!F$2,D162,Lookup!G$2,B162,Lookup!H$2,H$1,Lookup!I$2),CONCATENATE(Lookup!F$3,D162,Lookup!G$3,B162,Lookup!H$3)),"no url")</f>
        <v>no url</v>
      </c>
    </row>
    <row r="163" spans="1:6" hidden="1" x14ac:dyDescent="0.25">
      <c r="A163" s="2" t="b">
        <f>IF(ISBLANK(InfoGard!D163),FALSE,LOOKUP(InfoGard!D163,Lookup!$A$2:$B$4))</f>
        <v>0</v>
      </c>
      <c r="B163" s="2" t="b">
        <f>IF(ISBLANK(InfoGard!E163),FALSE,RIGHT(TRIM(InfoGard!E163),15))</f>
        <v>0</v>
      </c>
      <c r="C163" s="2" t="b">
        <f>IF(ISBLANK(InfoGard!F163),FALSE,LOOKUP(InfoGard!F163,Lookup!$A$6:$B$7))</f>
        <v>0</v>
      </c>
      <c r="D163" s="2" t="b">
        <f>IF(ISBLANK(InfoGard!G163),FALSE,InfoGard!G163)</f>
        <v>0</v>
      </c>
      <c r="E163" s="2" t="str">
        <f>IF(NOT(ISBLANK(InfoGard!D163)),IF(OR(ISBLANK(InfoGard!E163),InfoGard!E163="N/A"),"no acb code",CONCATENATE(Lookup!F$1,A163,Lookup!G$1,B163,Lookup!H$1,H$1,Lookup!I$1)),"no attestation")</f>
        <v>no attestation</v>
      </c>
      <c r="F163" s="2" t="str">
        <f>IF(AND(NOT(ISBLANK(InfoGard!G163)),InfoGard!G163&lt;&gt;"N/A"),IF(C163="All",CONCATENATE(Lookup!F$2,D163,Lookup!G$2,B163,Lookup!H$2,H$1,Lookup!I$2),CONCATENATE(Lookup!F$3,D163,Lookup!G$3,B163,Lookup!H$3)),"no url")</f>
        <v>no url</v>
      </c>
    </row>
    <row r="164" spans="1:6" hidden="1" x14ac:dyDescent="0.25">
      <c r="A164" s="2" t="b">
        <f>IF(ISBLANK(InfoGard!D164),FALSE,LOOKUP(InfoGard!D164,Lookup!$A$2:$B$4))</f>
        <v>0</v>
      </c>
      <c r="B164" s="2" t="b">
        <f>IF(ISBLANK(InfoGard!E164),FALSE,RIGHT(TRIM(InfoGard!E164),15))</f>
        <v>0</v>
      </c>
      <c r="C164" s="2" t="b">
        <f>IF(ISBLANK(InfoGard!F164),FALSE,LOOKUP(InfoGard!F164,Lookup!$A$6:$B$7))</f>
        <v>0</v>
      </c>
      <c r="D164" s="2" t="b">
        <f>IF(ISBLANK(InfoGard!G164),FALSE,InfoGard!G164)</f>
        <v>0</v>
      </c>
      <c r="E164" s="2" t="str">
        <f>IF(NOT(ISBLANK(InfoGard!D164)),IF(OR(ISBLANK(InfoGard!E164),InfoGard!E164="N/A"),"no acb code",CONCATENATE(Lookup!F$1,A164,Lookup!G$1,B164,Lookup!H$1,H$1,Lookup!I$1)),"no attestation")</f>
        <v>no attestation</v>
      </c>
      <c r="F164" s="2" t="str">
        <f>IF(AND(NOT(ISBLANK(InfoGard!G164)),InfoGard!G164&lt;&gt;"N/A"),IF(C164="All",CONCATENATE(Lookup!F$2,D164,Lookup!G$2,B164,Lookup!H$2,H$1,Lookup!I$2),CONCATENATE(Lookup!F$3,D164,Lookup!G$3,B164,Lookup!H$3)),"no url")</f>
        <v>no url</v>
      </c>
    </row>
    <row r="165" spans="1:6" hidden="1" x14ac:dyDescent="0.25">
      <c r="A165" s="2" t="b">
        <f>IF(ISBLANK(InfoGard!D165),FALSE,LOOKUP(InfoGard!D165,Lookup!$A$2:$B$4))</f>
        <v>0</v>
      </c>
      <c r="B165" s="2" t="b">
        <f>IF(ISBLANK(InfoGard!E165),FALSE,RIGHT(TRIM(InfoGard!E165),15))</f>
        <v>0</v>
      </c>
      <c r="C165" s="2" t="b">
        <f>IF(ISBLANK(InfoGard!F165),FALSE,LOOKUP(InfoGard!F165,Lookup!$A$6:$B$7))</f>
        <v>0</v>
      </c>
      <c r="D165" s="2" t="b">
        <f>IF(ISBLANK(InfoGard!G165),FALSE,InfoGard!G165)</f>
        <v>0</v>
      </c>
      <c r="E165" s="2" t="str">
        <f>IF(NOT(ISBLANK(InfoGard!D165)),IF(OR(ISBLANK(InfoGard!E165),InfoGard!E165="N/A"),"no acb code",CONCATENATE(Lookup!F$1,A165,Lookup!G$1,B165,Lookup!H$1,H$1,Lookup!I$1)),"no attestation")</f>
        <v>no attestation</v>
      </c>
      <c r="F165" s="2" t="str">
        <f>IF(AND(NOT(ISBLANK(InfoGard!G165)),InfoGard!G165&lt;&gt;"N/A"),IF(C165="All",CONCATENATE(Lookup!F$2,D165,Lookup!G$2,B165,Lookup!H$2,H$1,Lookup!I$2),CONCATENATE(Lookup!F$3,D165,Lookup!G$3,B165,Lookup!H$3)),"no url")</f>
        <v>no url</v>
      </c>
    </row>
    <row r="166" spans="1:6" hidden="1" x14ac:dyDescent="0.25">
      <c r="A166" s="2" t="b">
        <f>IF(ISBLANK(InfoGard!D166),FALSE,LOOKUP(InfoGard!D166,Lookup!$A$2:$B$4))</f>
        <v>0</v>
      </c>
      <c r="B166" s="2" t="b">
        <f>IF(ISBLANK(InfoGard!E166),FALSE,RIGHT(TRIM(InfoGard!E166),15))</f>
        <v>0</v>
      </c>
      <c r="C166" s="2" t="b">
        <f>IF(ISBLANK(InfoGard!F166),FALSE,LOOKUP(InfoGard!F166,Lookup!$A$6:$B$7))</f>
        <v>0</v>
      </c>
      <c r="D166" s="2" t="b">
        <f>IF(ISBLANK(InfoGard!G166),FALSE,InfoGard!G166)</f>
        <v>0</v>
      </c>
      <c r="E166" s="2" t="str">
        <f>IF(NOT(ISBLANK(InfoGard!D166)),IF(OR(ISBLANK(InfoGard!E166),InfoGard!E166="N/A"),"no acb code",CONCATENATE(Lookup!F$1,A166,Lookup!G$1,B166,Lookup!H$1,H$1,Lookup!I$1)),"no attestation")</f>
        <v>no attestation</v>
      </c>
      <c r="F166" s="2" t="str">
        <f>IF(AND(NOT(ISBLANK(InfoGard!G166)),InfoGard!G166&lt;&gt;"N/A"),IF(C166="All",CONCATENATE(Lookup!F$2,D166,Lookup!G$2,B166,Lookup!H$2,H$1,Lookup!I$2),CONCATENATE(Lookup!F$3,D166,Lookup!G$3,B166,Lookup!H$3)),"no url")</f>
        <v>no url</v>
      </c>
    </row>
    <row r="167" spans="1:6" hidden="1" x14ac:dyDescent="0.25">
      <c r="A167" s="2" t="b">
        <f>IF(ISBLANK(InfoGard!D167),FALSE,LOOKUP(InfoGard!D167,Lookup!$A$2:$B$4))</f>
        <v>0</v>
      </c>
      <c r="B167" s="2" t="b">
        <f>IF(ISBLANK(InfoGard!E167),FALSE,RIGHT(TRIM(InfoGard!E167),15))</f>
        <v>0</v>
      </c>
      <c r="C167" s="2" t="b">
        <f>IF(ISBLANK(InfoGard!F167),FALSE,LOOKUP(InfoGard!F167,Lookup!$A$6:$B$7))</f>
        <v>0</v>
      </c>
      <c r="D167" s="2" t="b">
        <f>IF(ISBLANK(InfoGard!G167),FALSE,InfoGard!G167)</f>
        <v>0</v>
      </c>
      <c r="E167" s="2" t="str">
        <f>IF(NOT(ISBLANK(InfoGard!D167)),IF(OR(ISBLANK(InfoGard!E167),InfoGard!E167="N/A"),"no acb code",CONCATENATE(Lookup!F$1,A167,Lookup!G$1,B167,Lookup!H$1,H$1,Lookup!I$1)),"no attestation")</f>
        <v>no attestation</v>
      </c>
      <c r="F167" s="2" t="str">
        <f>IF(AND(NOT(ISBLANK(InfoGard!G167)),InfoGard!G167&lt;&gt;"N/A"),IF(C167="All",CONCATENATE(Lookup!F$2,D167,Lookup!G$2,B167,Lookup!H$2,H$1,Lookup!I$2),CONCATENATE(Lookup!F$3,D167,Lookup!G$3,B167,Lookup!H$3)),"no url")</f>
        <v>no url</v>
      </c>
    </row>
    <row r="168" spans="1:6" hidden="1" x14ac:dyDescent="0.25">
      <c r="A168" s="2" t="b">
        <f>IF(ISBLANK(InfoGard!D168),FALSE,LOOKUP(InfoGard!D168,Lookup!$A$2:$B$4))</f>
        <v>0</v>
      </c>
      <c r="B168" s="2" t="b">
        <f>IF(ISBLANK(InfoGard!E168),FALSE,RIGHT(TRIM(InfoGard!E168),15))</f>
        <v>0</v>
      </c>
      <c r="C168" s="2" t="b">
        <f>IF(ISBLANK(InfoGard!F168),FALSE,LOOKUP(InfoGard!F168,Lookup!$A$6:$B$7))</f>
        <v>0</v>
      </c>
      <c r="D168" s="2" t="b">
        <f>IF(ISBLANK(InfoGard!G168),FALSE,InfoGard!G168)</f>
        <v>0</v>
      </c>
      <c r="E168" s="2" t="str">
        <f>IF(NOT(ISBLANK(InfoGard!D168)),IF(OR(ISBLANK(InfoGard!E168),InfoGard!E168="N/A"),"no acb code",CONCATENATE(Lookup!F$1,A168,Lookup!G$1,B168,Lookup!H$1,H$1,Lookup!I$1)),"no attestation")</f>
        <v>no attestation</v>
      </c>
      <c r="F168" s="2" t="str">
        <f>IF(AND(NOT(ISBLANK(InfoGard!G168)),InfoGard!G168&lt;&gt;"N/A"),IF(C168="All",CONCATENATE(Lookup!F$2,D168,Lookup!G$2,B168,Lookup!H$2,H$1,Lookup!I$2),CONCATENATE(Lookup!F$3,D168,Lookup!G$3,B168,Lookup!H$3)),"no url")</f>
        <v>no url</v>
      </c>
    </row>
    <row r="169" spans="1:6" hidden="1" x14ac:dyDescent="0.25">
      <c r="A169" s="2" t="b">
        <f>IF(ISBLANK(InfoGard!D169),FALSE,LOOKUP(InfoGard!D169,Lookup!$A$2:$B$4))</f>
        <v>0</v>
      </c>
      <c r="B169" s="2" t="b">
        <f>IF(ISBLANK(InfoGard!E169),FALSE,RIGHT(TRIM(InfoGard!E169),15))</f>
        <v>0</v>
      </c>
      <c r="C169" s="2" t="b">
        <f>IF(ISBLANK(InfoGard!F169),FALSE,LOOKUP(InfoGard!F169,Lookup!$A$6:$B$7))</f>
        <v>0</v>
      </c>
      <c r="D169" s="2" t="b">
        <f>IF(ISBLANK(InfoGard!G169),FALSE,InfoGard!G169)</f>
        <v>0</v>
      </c>
      <c r="E169" s="2" t="str">
        <f>IF(NOT(ISBLANK(InfoGard!D169)),IF(OR(ISBLANK(InfoGard!E169),InfoGard!E169="N/A"),"no acb code",CONCATENATE(Lookup!F$1,A169,Lookup!G$1,B169,Lookup!H$1,H$1,Lookup!I$1)),"no attestation")</f>
        <v>no attestation</v>
      </c>
      <c r="F169" s="2" t="str">
        <f>IF(AND(NOT(ISBLANK(InfoGard!G169)),InfoGard!G169&lt;&gt;"N/A"),IF(C169="All",CONCATENATE(Lookup!F$2,D169,Lookup!G$2,B169,Lookup!H$2,H$1,Lookup!I$2),CONCATENATE(Lookup!F$3,D169,Lookup!G$3,B169,Lookup!H$3)),"no url")</f>
        <v>no url</v>
      </c>
    </row>
    <row r="170" spans="1:6" hidden="1" x14ac:dyDescent="0.25">
      <c r="A170" s="2" t="b">
        <f>IF(ISBLANK(InfoGard!D170),FALSE,LOOKUP(InfoGard!D170,Lookup!$A$2:$B$4))</f>
        <v>0</v>
      </c>
      <c r="B170" s="2" t="b">
        <f>IF(ISBLANK(InfoGard!E170),FALSE,RIGHT(TRIM(InfoGard!E170),15))</f>
        <v>0</v>
      </c>
      <c r="C170" s="2" t="b">
        <f>IF(ISBLANK(InfoGard!F170),FALSE,LOOKUP(InfoGard!F170,Lookup!$A$6:$B$7))</f>
        <v>0</v>
      </c>
      <c r="D170" s="2" t="b">
        <f>IF(ISBLANK(InfoGard!G170),FALSE,InfoGard!G170)</f>
        <v>0</v>
      </c>
      <c r="E170" s="2" t="str">
        <f>IF(NOT(ISBLANK(InfoGard!D170)),IF(OR(ISBLANK(InfoGard!E170),InfoGard!E170="N/A"),"no acb code",CONCATENATE(Lookup!F$1,A170,Lookup!G$1,B170,Lookup!H$1,H$1,Lookup!I$1)),"no attestation")</f>
        <v>no attestation</v>
      </c>
      <c r="F170" s="2" t="str">
        <f>IF(AND(NOT(ISBLANK(InfoGard!G170)),InfoGard!G170&lt;&gt;"N/A"),IF(C170="All",CONCATENATE(Lookup!F$2,D170,Lookup!G$2,B170,Lookup!H$2,H$1,Lookup!I$2),CONCATENATE(Lookup!F$3,D170,Lookup!G$3,B170,Lookup!H$3)),"no url")</f>
        <v>no url</v>
      </c>
    </row>
    <row r="171" spans="1:6" hidden="1" x14ac:dyDescent="0.25">
      <c r="A171" s="2" t="b">
        <f>IF(ISBLANK(InfoGard!D171),FALSE,LOOKUP(InfoGard!D171,Lookup!$A$2:$B$4))</f>
        <v>0</v>
      </c>
      <c r="B171" s="2" t="b">
        <f>IF(ISBLANK(InfoGard!E171),FALSE,RIGHT(TRIM(InfoGard!E171),15))</f>
        <v>0</v>
      </c>
      <c r="C171" s="2" t="b">
        <f>IF(ISBLANK(InfoGard!F171),FALSE,LOOKUP(InfoGard!F171,Lookup!$A$6:$B$7))</f>
        <v>0</v>
      </c>
      <c r="D171" s="2" t="b">
        <f>IF(ISBLANK(InfoGard!G171),FALSE,InfoGard!G171)</f>
        <v>0</v>
      </c>
      <c r="E171" s="2" t="str">
        <f>IF(NOT(ISBLANK(InfoGard!D171)),IF(OR(ISBLANK(InfoGard!E171),InfoGard!E171="N/A"),"no acb code",CONCATENATE(Lookup!F$1,A171,Lookup!G$1,B171,Lookup!H$1,H$1,Lookup!I$1)),"no attestation")</f>
        <v>no attestation</v>
      </c>
      <c r="F171" s="2" t="str">
        <f>IF(AND(NOT(ISBLANK(InfoGard!G171)),InfoGard!G171&lt;&gt;"N/A"),IF(C171="All",CONCATENATE(Lookup!F$2,D171,Lookup!G$2,B171,Lookup!H$2,H$1,Lookup!I$2),CONCATENATE(Lookup!F$3,D171,Lookup!G$3,B171,Lookup!H$3)),"no url")</f>
        <v>no url</v>
      </c>
    </row>
    <row r="172" spans="1:6" hidden="1" x14ac:dyDescent="0.25">
      <c r="A172" s="2" t="b">
        <f>IF(ISBLANK(InfoGard!D172),FALSE,LOOKUP(InfoGard!D172,Lookup!$A$2:$B$4))</f>
        <v>0</v>
      </c>
      <c r="B172" s="2" t="b">
        <f>IF(ISBLANK(InfoGard!E172),FALSE,RIGHT(TRIM(InfoGard!E172),15))</f>
        <v>0</v>
      </c>
      <c r="C172" s="2" t="b">
        <f>IF(ISBLANK(InfoGard!F172),FALSE,LOOKUP(InfoGard!F172,Lookup!$A$6:$B$7))</f>
        <v>0</v>
      </c>
      <c r="D172" s="2" t="b">
        <f>IF(ISBLANK(InfoGard!G172),FALSE,InfoGard!G172)</f>
        <v>0</v>
      </c>
      <c r="E172" s="2" t="str">
        <f>IF(NOT(ISBLANK(InfoGard!D172)),IF(OR(ISBLANK(InfoGard!E172),InfoGard!E172="N/A"),"no acb code",CONCATENATE(Lookup!F$1,A172,Lookup!G$1,B172,Lookup!H$1,H$1,Lookup!I$1)),"no attestation")</f>
        <v>no attestation</v>
      </c>
      <c r="F172" s="2" t="str">
        <f>IF(AND(NOT(ISBLANK(InfoGard!G172)),InfoGard!G172&lt;&gt;"N/A"),IF(C172="All",CONCATENATE(Lookup!F$2,D172,Lookup!G$2,B172,Lookup!H$2,H$1,Lookup!I$2),CONCATENATE(Lookup!F$3,D172,Lookup!G$3,B172,Lookup!H$3)),"no url")</f>
        <v>no url</v>
      </c>
    </row>
    <row r="173" spans="1:6" hidden="1" x14ac:dyDescent="0.25">
      <c r="A173" s="2" t="b">
        <f>IF(ISBLANK(InfoGard!D173),FALSE,LOOKUP(InfoGard!D173,Lookup!$A$2:$B$4))</f>
        <v>0</v>
      </c>
      <c r="B173" s="2" t="b">
        <f>IF(ISBLANK(InfoGard!E173),FALSE,RIGHT(TRIM(InfoGard!E173),15))</f>
        <v>0</v>
      </c>
      <c r="C173" s="2" t="b">
        <f>IF(ISBLANK(InfoGard!F173),FALSE,LOOKUP(InfoGard!F173,Lookup!$A$6:$B$7))</f>
        <v>0</v>
      </c>
      <c r="D173" s="2" t="b">
        <f>IF(ISBLANK(InfoGard!G173),FALSE,InfoGard!G173)</f>
        <v>0</v>
      </c>
      <c r="E173" s="2" t="str">
        <f>IF(NOT(ISBLANK(InfoGard!D173)),IF(OR(ISBLANK(InfoGard!E173),InfoGard!E173="N/A"),"no acb code",CONCATENATE(Lookup!F$1,A173,Lookup!G$1,B173,Lookup!H$1,H$1,Lookup!I$1)),"no attestation")</f>
        <v>no attestation</v>
      </c>
      <c r="F173" s="2" t="str">
        <f>IF(AND(NOT(ISBLANK(InfoGard!G173)),InfoGard!G173&lt;&gt;"N/A"),IF(C173="All",CONCATENATE(Lookup!F$2,D173,Lookup!G$2,B173,Lookup!H$2,H$1,Lookup!I$2),CONCATENATE(Lookup!F$3,D173,Lookup!G$3,B173,Lookup!H$3)),"no url")</f>
        <v>no url</v>
      </c>
    </row>
    <row r="174" spans="1:6" hidden="1" x14ac:dyDescent="0.25">
      <c r="A174" s="2" t="b">
        <f>IF(ISBLANK(InfoGard!D174),FALSE,LOOKUP(InfoGard!D174,Lookup!$A$2:$B$4))</f>
        <v>0</v>
      </c>
      <c r="B174" s="2" t="b">
        <f>IF(ISBLANK(InfoGard!E174),FALSE,RIGHT(TRIM(InfoGard!E174),15))</f>
        <v>0</v>
      </c>
      <c r="C174" s="2" t="b">
        <f>IF(ISBLANK(InfoGard!F174),FALSE,LOOKUP(InfoGard!F174,Lookup!$A$6:$B$7))</f>
        <v>0</v>
      </c>
      <c r="D174" s="2" t="b">
        <f>IF(ISBLANK(InfoGard!G174),FALSE,InfoGard!G174)</f>
        <v>0</v>
      </c>
      <c r="E174" s="2" t="str">
        <f>IF(NOT(ISBLANK(InfoGard!D174)),IF(OR(ISBLANK(InfoGard!E174),InfoGard!E174="N/A"),"no acb code",CONCATENATE(Lookup!F$1,A174,Lookup!G$1,B174,Lookup!H$1,H$1,Lookup!I$1)),"no attestation")</f>
        <v>no attestation</v>
      </c>
      <c r="F174" s="2" t="str">
        <f>IF(AND(NOT(ISBLANK(InfoGard!G174)),InfoGard!G174&lt;&gt;"N/A"),IF(C174="All",CONCATENATE(Lookup!F$2,D174,Lookup!G$2,B174,Lookup!H$2,H$1,Lookup!I$2),CONCATENATE(Lookup!F$3,D174,Lookup!G$3,B174,Lookup!H$3)),"no url")</f>
        <v>no url</v>
      </c>
    </row>
    <row r="175" spans="1:6" hidden="1" x14ac:dyDescent="0.25">
      <c r="A175" s="2" t="b">
        <f>IF(ISBLANK(InfoGard!D175),FALSE,LOOKUP(InfoGard!D175,Lookup!$A$2:$B$4))</f>
        <v>0</v>
      </c>
      <c r="B175" s="2" t="b">
        <f>IF(ISBLANK(InfoGard!E175),FALSE,RIGHT(TRIM(InfoGard!E175),15))</f>
        <v>0</v>
      </c>
      <c r="C175" s="2" t="b">
        <f>IF(ISBLANK(InfoGard!F175),FALSE,LOOKUP(InfoGard!F175,Lookup!$A$6:$B$7))</f>
        <v>0</v>
      </c>
      <c r="D175" s="2" t="b">
        <f>IF(ISBLANK(InfoGard!G175),FALSE,InfoGard!G175)</f>
        <v>0</v>
      </c>
      <c r="E175" s="2" t="str">
        <f>IF(NOT(ISBLANK(InfoGard!D175)),IF(OR(ISBLANK(InfoGard!E175),InfoGard!E175="N/A"),"no acb code",CONCATENATE(Lookup!F$1,A175,Lookup!G$1,B175,Lookup!H$1,H$1,Lookup!I$1)),"no attestation")</f>
        <v>no attestation</v>
      </c>
      <c r="F175" s="2" t="str">
        <f>IF(AND(NOT(ISBLANK(InfoGard!G175)),InfoGard!G175&lt;&gt;"N/A"),IF(C175="All",CONCATENATE(Lookup!F$2,D175,Lookup!G$2,B175,Lookup!H$2,H$1,Lookup!I$2),CONCATENATE(Lookup!F$3,D175,Lookup!G$3,B175,Lookup!H$3)),"no url")</f>
        <v>no url</v>
      </c>
    </row>
    <row r="176" spans="1:6" hidden="1" x14ac:dyDescent="0.25">
      <c r="A176" s="2" t="b">
        <f>IF(ISBLANK(InfoGard!D176),FALSE,LOOKUP(InfoGard!D176,Lookup!$A$2:$B$4))</f>
        <v>0</v>
      </c>
      <c r="B176" s="2" t="b">
        <f>IF(ISBLANK(InfoGard!E176),FALSE,RIGHT(TRIM(InfoGard!E176),15))</f>
        <v>0</v>
      </c>
      <c r="C176" s="2" t="b">
        <f>IF(ISBLANK(InfoGard!F176),FALSE,LOOKUP(InfoGard!F176,Lookup!$A$6:$B$7))</f>
        <v>0</v>
      </c>
      <c r="D176" s="2" t="b">
        <f>IF(ISBLANK(InfoGard!G176),FALSE,InfoGard!G176)</f>
        <v>0</v>
      </c>
      <c r="E176" s="2" t="str">
        <f>IF(NOT(ISBLANK(InfoGard!D176)),IF(OR(ISBLANK(InfoGard!E176),InfoGard!E176="N/A"),"no acb code",CONCATENATE(Lookup!F$1,A176,Lookup!G$1,B176,Lookup!H$1,H$1,Lookup!I$1)),"no attestation")</f>
        <v>no attestation</v>
      </c>
      <c r="F176" s="2" t="str">
        <f>IF(AND(NOT(ISBLANK(InfoGard!G176)),InfoGard!G176&lt;&gt;"N/A"),IF(C176="All",CONCATENATE(Lookup!F$2,D176,Lookup!G$2,B176,Lookup!H$2,H$1,Lookup!I$2),CONCATENATE(Lookup!F$3,D176,Lookup!G$3,B176,Lookup!H$3)),"no url")</f>
        <v>no url</v>
      </c>
    </row>
    <row r="177" spans="1:6" hidden="1" x14ac:dyDescent="0.25">
      <c r="A177" s="2" t="b">
        <f>IF(ISBLANK(InfoGard!D177),FALSE,LOOKUP(InfoGard!D177,Lookup!$A$2:$B$4))</f>
        <v>0</v>
      </c>
      <c r="B177" s="2" t="b">
        <f>IF(ISBLANK(InfoGard!E177),FALSE,RIGHT(TRIM(InfoGard!E177),15))</f>
        <v>0</v>
      </c>
      <c r="C177" s="2" t="b">
        <f>IF(ISBLANK(InfoGard!F177),FALSE,LOOKUP(InfoGard!F177,Lookup!$A$6:$B$7))</f>
        <v>0</v>
      </c>
      <c r="D177" s="2" t="b">
        <f>IF(ISBLANK(InfoGard!G177),FALSE,InfoGard!G177)</f>
        <v>0</v>
      </c>
      <c r="E177" s="2" t="str">
        <f>IF(NOT(ISBLANK(InfoGard!D177)),IF(OR(ISBLANK(InfoGard!E177),InfoGard!E177="N/A"),"no acb code",CONCATENATE(Lookup!F$1,A177,Lookup!G$1,B177,Lookup!H$1,H$1,Lookup!I$1)),"no attestation")</f>
        <v>no attestation</v>
      </c>
      <c r="F177" s="2" t="str">
        <f>IF(AND(NOT(ISBLANK(InfoGard!G177)),InfoGard!G177&lt;&gt;"N/A"),IF(C177="All",CONCATENATE(Lookup!F$2,D177,Lookup!G$2,B177,Lookup!H$2,H$1,Lookup!I$2),CONCATENATE(Lookup!F$3,D177,Lookup!G$3,B177,Lookup!H$3)),"no url")</f>
        <v>no url</v>
      </c>
    </row>
    <row r="178" spans="1:6" hidden="1" x14ac:dyDescent="0.25">
      <c r="A178" s="2" t="b">
        <f>IF(ISBLANK(InfoGard!D178),FALSE,LOOKUP(InfoGard!D178,Lookup!$A$2:$B$4))</f>
        <v>0</v>
      </c>
      <c r="B178" s="2" t="b">
        <f>IF(ISBLANK(InfoGard!E178),FALSE,RIGHT(TRIM(InfoGard!E178),15))</f>
        <v>0</v>
      </c>
      <c r="C178" s="2" t="b">
        <f>IF(ISBLANK(InfoGard!F178),FALSE,LOOKUP(InfoGard!F178,Lookup!$A$6:$B$7))</f>
        <v>0</v>
      </c>
      <c r="D178" s="2" t="b">
        <f>IF(ISBLANK(InfoGard!G178),FALSE,InfoGard!G178)</f>
        <v>0</v>
      </c>
      <c r="E178" s="2" t="str">
        <f>IF(NOT(ISBLANK(InfoGard!D178)),IF(OR(ISBLANK(InfoGard!E178),InfoGard!E178="N/A"),"no acb code",CONCATENATE(Lookup!F$1,A178,Lookup!G$1,B178,Lookup!H$1,H$1,Lookup!I$1)),"no attestation")</f>
        <v>no attestation</v>
      </c>
      <c r="F178" s="2" t="str">
        <f>IF(AND(NOT(ISBLANK(InfoGard!G178)),InfoGard!G178&lt;&gt;"N/A"),IF(C178="All",CONCATENATE(Lookup!F$2,D178,Lookup!G$2,B178,Lookup!H$2,H$1,Lookup!I$2),CONCATENATE(Lookup!F$3,D178,Lookup!G$3,B178,Lookup!H$3)),"no url")</f>
        <v>no url</v>
      </c>
    </row>
    <row r="179" spans="1:6" hidden="1" x14ac:dyDescent="0.25">
      <c r="A179" s="2" t="b">
        <f>IF(ISBLANK(InfoGard!D179),FALSE,LOOKUP(InfoGard!D179,Lookup!$A$2:$B$4))</f>
        <v>0</v>
      </c>
      <c r="B179" s="2" t="b">
        <f>IF(ISBLANK(InfoGard!E179),FALSE,RIGHT(TRIM(InfoGard!E179),15))</f>
        <v>0</v>
      </c>
      <c r="C179" s="2" t="b">
        <f>IF(ISBLANK(InfoGard!F179),FALSE,LOOKUP(InfoGard!F179,Lookup!$A$6:$B$7))</f>
        <v>0</v>
      </c>
      <c r="D179" s="2" t="b">
        <f>IF(ISBLANK(InfoGard!G179),FALSE,InfoGard!G179)</f>
        <v>0</v>
      </c>
      <c r="E179" s="2" t="str">
        <f>IF(NOT(ISBLANK(InfoGard!D179)),IF(OR(ISBLANK(InfoGard!E179),InfoGard!E179="N/A"),"no acb code",CONCATENATE(Lookup!F$1,A179,Lookup!G$1,B179,Lookup!H$1,H$1,Lookup!I$1)),"no attestation")</f>
        <v>no attestation</v>
      </c>
      <c r="F179" s="2" t="str">
        <f>IF(AND(NOT(ISBLANK(InfoGard!G179)),InfoGard!G179&lt;&gt;"N/A"),IF(C179="All",CONCATENATE(Lookup!F$2,D179,Lookup!G$2,B179,Lookup!H$2,H$1,Lookup!I$2),CONCATENATE(Lookup!F$3,D179,Lookup!G$3,B179,Lookup!H$3)),"no url")</f>
        <v>no url</v>
      </c>
    </row>
    <row r="180" spans="1:6" hidden="1" x14ac:dyDescent="0.25">
      <c r="A180" s="2" t="b">
        <f>IF(ISBLANK(InfoGard!D180),FALSE,LOOKUP(InfoGard!D180,Lookup!$A$2:$B$4))</f>
        <v>0</v>
      </c>
      <c r="B180" s="2" t="b">
        <f>IF(ISBLANK(InfoGard!E180),FALSE,RIGHT(TRIM(InfoGard!E180),15))</f>
        <v>0</v>
      </c>
      <c r="C180" s="2" t="b">
        <f>IF(ISBLANK(InfoGard!F180),FALSE,LOOKUP(InfoGard!F180,Lookup!$A$6:$B$7))</f>
        <v>0</v>
      </c>
      <c r="D180" s="2" t="b">
        <f>IF(ISBLANK(InfoGard!G180),FALSE,InfoGard!G180)</f>
        <v>0</v>
      </c>
      <c r="E180" s="2" t="str">
        <f>IF(NOT(ISBLANK(InfoGard!D180)),IF(OR(ISBLANK(InfoGard!E180),InfoGard!E180="N/A"),"no acb code",CONCATENATE(Lookup!F$1,A180,Lookup!G$1,B180,Lookup!H$1,H$1,Lookup!I$1)),"no attestation")</f>
        <v>no attestation</v>
      </c>
      <c r="F180" s="2" t="str">
        <f>IF(AND(NOT(ISBLANK(InfoGard!G180)),InfoGard!G180&lt;&gt;"N/A"),IF(C180="All",CONCATENATE(Lookup!F$2,D180,Lookup!G$2,B180,Lookup!H$2,H$1,Lookup!I$2),CONCATENATE(Lookup!F$3,D180,Lookup!G$3,B180,Lookup!H$3)),"no url")</f>
        <v>no url</v>
      </c>
    </row>
    <row r="181" spans="1:6" hidden="1" x14ac:dyDescent="0.25">
      <c r="A181" s="2" t="b">
        <f>IF(ISBLANK(InfoGard!D181),FALSE,LOOKUP(InfoGard!D181,Lookup!$A$2:$B$4))</f>
        <v>0</v>
      </c>
      <c r="B181" s="2" t="b">
        <f>IF(ISBLANK(InfoGard!E181),FALSE,RIGHT(TRIM(InfoGard!E181),15))</f>
        <v>0</v>
      </c>
      <c r="C181" s="2" t="b">
        <f>IF(ISBLANK(InfoGard!F181),FALSE,LOOKUP(InfoGard!F181,Lookup!$A$6:$B$7))</f>
        <v>0</v>
      </c>
      <c r="D181" s="2" t="b">
        <f>IF(ISBLANK(InfoGard!G181),FALSE,InfoGard!G181)</f>
        <v>0</v>
      </c>
      <c r="E181" s="2" t="str">
        <f>IF(NOT(ISBLANK(InfoGard!D181)),IF(OR(ISBLANK(InfoGard!E181),InfoGard!E181="N/A"),"no acb code",CONCATENATE(Lookup!F$1,A181,Lookup!G$1,B181,Lookup!H$1,H$1,Lookup!I$1)),"no attestation")</f>
        <v>no attestation</v>
      </c>
      <c r="F181" s="2" t="str">
        <f>IF(AND(NOT(ISBLANK(InfoGard!G181)),InfoGard!G181&lt;&gt;"N/A"),IF(C181="All",CONCATENATE(Lookup!F$2,D181,Lookup!G$2,B181,Lookup!H$2,H$1,Lookup!I$2),CONCATENATE(Lookup!F$3,D181,Lookup!G$3,B181,Lookup!H$3)),"no url")</f>
        <v>no url</v>
      </c>
    </row>
    <row r="182" spans="1:6" hidden="1" x14ac:dyDescent="0.25">
      <c r="A182" s="2" t="b">
        <f>IF(ISBLANK(InfoGard!D182),FALSE,LOOKUP(InfoGard!D182,Lookup!$A$2:$B$4))</f>
        <v>0</v>
      </c>
      <c r="B182" s="2" t="b">
        <f>IF(ISBLANK(InfoGard!E182),FALSE,RIGHT(TRIM(InfoGard!E182),15))</f>
        <v>0</v>
      </c>
      <c r="C182" s="2" t="b">
        <f>IF(ISBLANK(InfoGard!F182),FALSE,LOOKUP(InfoGard!F182,Lookup!$A$6:$B$7))</f>
        <v>0</v>
      </c>
      <c r="D182" s="2" t="b">
        <f>IF(ISBLANK(InfoGard!G182),FALSE,InfoGard!G182)</f>
        <v>0</v>
      </c>
      <c r="E182" s="2" t="str">
        <f>IF(NOT(ISBLANK(InfoGard!D182)),IF(OR(ISBLANK(InfoGard!E182),InfoGard!E182="N/A"),"no acb code",CONCATENATE(Lookup!F$1,A182,Lookup!G$1,B182,Lookup!H$1,H$1,Lookup!I$1)),"no attestation")</f>
        <v>no attestation</v>
      </c>
      <c r="F182" s="2" t="str">
        <f>IF(AND(NOT(ISBLANK(InfoGard!G182)),InfoGard!G182&lt;&gt;"N/A"),IF(C182="All",CONCATENATE(Lookup!F$2,D182,Lookup!G$2,B182,Lookup!H$2,H$1,Lookup!I$2),CONCATENATE(Lookup!F$3,D182,Lookup!G$3,B182,Lookup!H$3)),"no url")</f>
        <v>no url</v>
      </c>
    </row>
    <row r="183" spans="1:6" hidden="1" x14ac:dyDescent="0.25">
      <c r="A183" s="2" t="b">
        <f>IF(ISBLANK(InfoGard!D183),FALSE,LOOKUP(InfoGard!D183,Lookup!$A$2:$B$4))</f>
        <v>0</v>
      </c>
      <c r="B183" s="2" t="b">
        <f>IF(ISBLANK(InfoGard!E183),FALSE,RIGHT(TRIM(InfoGard!E183),15))</f>
        <v>0</v>
      </c>
      <c r="C183" s="2" t="b">
        <f>IF(ISBLANK(InfoGard!F183),FALSE,LOOKUP(InfoGard!F183,Lookup!$A$6:$B$7))</f>
        <v>0</v>
      </c>
      <c r="D183" s="2" t="b">
        <f>IF(ISBLANK(InfoGard!G183),FALSE,InfoGard!G183)</f>
        <v>0</v>
      </c>
      <c r="E183" s="2" t="str">
        <f>IF(NOT(ISBLANK(InfoGard!D183)),IF(OR(ISBLANK(InfoGard!E183),InfoGard!E183="N/A"),"no acb code",CONCATENATE(Lookup!F$1,A183,Lookup!G$1,B183,Lookup!H$1,H$1,Lookup!I$1)),"no attestation")</f>
        <v>no attestation</v>
      </c>
      <c r="F183" s="2" t="str">
        <f>IF(AND(NOT(ISBLANK(InfoGard!G183)),InfoGard!G183&lt;&gt;"N/A"),IF(C183="All",CONCATENATE(Lookup!F$2,D183,Lookup!G$2,B183,Lookup!H$2,H$1,Lookup!I$2),CONCATENATE(Lookup!F$3,D183,Lookup!G$3,B183,Lookup!H$3)),"no url")</f>
        <v>no url</v>
      </c>
    </row>
    <row r="184" spans="1:6" hidden="1" x14ac:dyDescent="0.25">
      <c r="A184" s="2" t="b">
        <f>IF(ISBLANK(InfoGard!D184),FALSE,LOOKUP(InfoGard!D184,Lookup!$A$2:$B$4))</f>
        <v>0</v>
      </c>
      <c r="B184" s="2" t="b">
        <f>IF(ISBLANK(InfoGard!E184),FALSE,RIGHT(TRIM(InfoGard!E184),15))</f>
        <v>0</v>
      </c>
      <c r="C184" s="2" t="b">
        <f>IF(ISBLANK(InfoGard!F184),FALSE,LOOKUP(InfoGard!F184,Lookup!$A$6:$B$7))</f>
        <v>0</v>
      </c>
      <c r="D184" s="2" t="b">
        <f>IF(ISBLANK(InfoGard!G184),FALSE,InfoGard!G184)</f>
        <v>0</v>
      </c>
      <c r="E184" s="2" t="str">
        <f>IF(NOT(ISBLANK(InfoGard!D184)),IF(OR(ISBLANK(InfoGard!E184),InfoGard!E184="N/A"),"no acb code",CONCATENATE(Lookup!F$1,A184,Lookup!G$1,B184,Lookup!H$1,H$1,Lookup!I$1)),"no attestation")</f>
        <v>no attestation</v>
      </c>
      <c r="F184" s="2" t="str">
        <f>IF(AND(NOT(ISBLANK(InfoGard!G184)),InfoGard!G184&lt;&gt;"N/A"),IF(C184="All",CONCATENATE(Lookup!F$2,D184,Lookup!G$2,B184,Lookup!H$2,H$1,Lookup!I$2),CONCATENATE(Lookup!F$3,D184,Lookup!G$3,B184,Lookup!H$3)),"no url")</f>
        <v>no url</v>
      </c>
    </row>
    <row r="185" spans="1:6" hidden="1" x14ac:dyDescent="0.25">
      <c r="A185" s="2" t="b">
        <f>IF(ISBLANK(InfoGard!D185),FALSE,LOOKUP(InfoGard!D185,Lookup!$A$2:$B$4))</f>
        <v>0</v>
      </c>
      <c r="B185" s="2" t="b">
        <f>IF(ISBLANK(InfoGard!E185),FALSE,RIGHT(TRIM(InfoGard!E185),15))</f>
        <v>0</v>
      </c>
      <c r="C185" s="2" t="b">
        <f>IF(ISBLANK(InfoGard!F185),FALSE,LOOKUP(InfoGard!F185,Lookup!$A$6:$B$7))</f>
        <v>0</v>
      </c>
      <c r="D185" s="2" t="b">
        <f>IF(ISBLANK(InfoGard!G185),FALSE,InfoGard!G185)</f>
        <v>0</v>
      </c>
      <c r="E185" s="2" t="str">
        <f>IF(NOT(ISBLANK(InfoGard!D185)),IF(OR(ISBLANK(InfoGard!E185),InfoGard!E185="N/A"),"no acb code",CONCATENATE(Lookup!F$1,A185,Lookup!G$1,B185,Lookup!H$1,H$1,Lookup!I$1)),"no attestation")</f>
        <v>no attestation</v>
      </c>
      <c r="F185" s="2" t="str">
        <f>IF(AND(NOT(ISBLANK(InfoGard!G185)),InfoGard!G185&lt;&gt;"N/A"),IF(C185="All",CONCATENATE(Lookup!F$2,D185,Lookup!G$2,B185,Lookup!H$2,H$1,Lookup!I$2),CONCATENATE(Lookup!F$3,D185,Lookup!G$3,B185,Lookup!H$3)),"no url")</f>
        <v>no url</v>
      </c>
    </row>
    <row r="186" spans="1:6" hidden="1" x14ac:dyDescent="0.25">
      <c r="A186" s="2" t="b">
        <f>IF(ISBLANK(InfoGard!D186),FALSE,LOOKUP(InfoGard!D186,Lookup!$A$2:$B$4))</f>
        <v>0</v>
      </c>
      <c r="B186" s="2" t="b">
        <f>IF(ISBLANK(InfoGard!E186),FALSE,RIGHT(TRIM(InfoGard!E186),15))</f>
        <v>0</v>
      </c>
      <c r="C186" s="2" t="b">
        <f>IF(ISBLANK(InfoGard!F186),FALSE,LOOKUP(InfoGard!F186,Lookup!$A$6:$B$7))</f>
        <v>0</v>
      </c>
      <c r="D186" s="2" t="b">
        <f>IF(ISBLANK(InfoGard!G186),FALSE,InfoGard!G186)</f>
        <v>0</v>
      </c>
      <c r="E186" s="2" t="str">
        <f>IF(NOT(ISBLANK(InfoGard!D186)),IF(OR(ISBLANK(InfoGard!E186),InfoGard!E186="N/A"),"no acb code",CONCATENATE(Lookup!F$1,A186,Lookup!G$1,B186,Lookup!H$1,H$1,Lookup!I$1)),"no attestation")</f>
        <v>no attestation</v>
      </c>
      <c r="F186" s="2" t="str">
        <f>IF(AND(NOT(ISBLANK(InfoGard!G186)),InfoGard!G186&lt;&gt;"N/A"),IF(C186="All",CONCATENATE(Lookup!F$2,D186,Lookup!G$2,B186,Lookup!H$2,H$1,Lookup!I$2),CONCATENATE(Lookup!F$3,D186,Lookup!G$3,B186,Lookup!H$3)),"no url")</f>
        <v>no url</v>
      </c>
    </row>
    <row r="187" spans="1:6" hidden="1" x14ac:dyDescent="0.25">
      <c r="A187" s="2" t="b">
        <f>IF(ISBLANK(InfoGard!D187),FALSE,LOOKUP(InfoGard!D187,Lookup!$A$2:$B$4))</f>
        <v>0</v>
      </c>
      <c r="B187" s="2" t="b">
        <f>IF(ISBLANK(InfoGard!E187),FALSE,RIGHT(TRIM(InfoGard!E187),15))</f>
        <v>0</v>
      </c>
      <c r="C187" s="2" t="b">
        <f>IF(ISBLANK(InfoGard!F187),FALSE,LOOKUP(InfoGard!F187,Lookup!$A$6:$B$7))</f>
        <v>0</v>
      </c>
      <c r="D187" s="2" t="b">
        <f>IF(ISBLANK(InfoGard!G187),FALSE,InfoGard!G187)</f>
        <v>0</v>
      </c>
      <c r="E187" s="2" t="str">
        <f>IF(NOT(ISBLANK(InfoGard!D187)),IF(OR(ISBLANK(InfoGard!E187),InfoGard!E187="N/A"),"no acb code",CONCATENATE(Lookup!F$1,A187,Lookup!G$1,B187,Lookup!H$1,H$1,Lookup!I$1)),"no attestation")</f>
        <v>no attestation</v>
      </c>
      <c r="F187" s="2" t="str">
        <f>IF(AND(NOT(ISBLANK(InfoGard!G187)),InfoGard!G187&lt;&gt;"N/A"),IF(C187="All",CONCATENATE(Lookup!F$2,D187,Lookup!G$2,B187,Lookup!H$2,H$1,Lookup!I$2),CONCATENATE(Lookup!F$3,D187,Lookup!G$3,B187,Lookup!H$3)),"no url")</f>
        <v>no url</v>
      </c>
    </row>
    <row r="188" spans="1:6" hidden="1" x14ac:dyDescent="0.25">
      <c r="A188" s="2" t="b">
        <f>IF(ISBLANK(InfoGard!D188),FALSE,LOOKUP(InfoGard!D188,Lookup!$A$2:$B$4))</f>
        <v>0</v>
      </c>
      <c r="B188" s="2" t="b">
        <f>IF(ISBLANK(InfoGard!E188),FALSE,RIGHT(TRIM(InfoGard!E188),15))</f>
        <v>0</v>
      </c>
      <c r="C188" s="2" t="b">
        <f>IF(ISBLANK(InfoGard!F188),FALSE,LOOKUP(InfoGard!F188,Lookup!$A$6:$B$7))</f>
        <v>0</v>
      </c>
      <c r="D188" s="2" t="b">
        <f>IF(ISBLANK(InfoGard!G188),FALSE,InfoGard!G188)</f>
        <v>0</v>
      </c>
      <c r="E188" s="2" t="str">
        <f>IF(NOT(ISBLANK(InfoGard!D188)),IF(OR(ISBLANK(InfoGard!E188),InfoGard!E188="N/A"),"no acb code",CONCATENATE(Lookup!F$1,A188,Lookup!G$1,B188,Lookup!H$1,H$1,Lookup!I$1)),"no attestation")</f>
        <v>no attestation</v>
      </c>
      <c r="F188" s="2" t="str">
        <f>IF(AND(NOT(ISBLANK(InfoGard!G188)),InfoGard!G188&lt;&gt;"N/A"),IF(C188="All",CONCATENATE(Lookup!F$2,D188,Lookup!G$2,B188,Lookup!H$2,H$1,Lookup!I$2),CONCATENATE(Lookup!F$3,D188,Lookup!G$3,B188,Lookup!H$3)),"no url")</f>
        <v>no url</v>
      </c>
    </row>
    <row r="189" spans="1:6" hidden="1" x14ac:dyDescent="0.25">
      <c r="A189" s="2" t="b">
        <f>IF(ISBLANK(InfoGard!D189),FALSE,LOOKUP(InfoGard!D189,Lookup!$A$2:$B$4))</f>
        <v>0</v>
      </c>
      <c r="B189" s="2" t="b">
        <f>IF(ISBLANK(InfoGard!E189),FALSE,RIGHT(TRIM(InfoGard!E189),15))</f>
        <v>0</v>
      </c>
      <c r="C189" s="2" t="b">
        <f>IF(ISBLANK(InfoGard!F189),FALSE,LOOKUP(InfoGard!F189,Lookup!$A$6:$B$7))</f>
        <v>0</v>
      </c>
      <c r="D189" s="2" t="b">
        <f>IF(ISBLANK(InfoGard!G189),FALSE,InfoGard!G189)</f>
        <v>0</v>
      </c>
      <c r="E189" s="2" t="str">
        <f>IF(NOT(ISBLANK(InfoGard!D189)),IF(OR(ISBLANK(InfoGard!E189),InfoGard!E189="N/A"),"no acb code",CONCATENATE(Lookup!F$1,A189,Lookup!G$1,B189,Lookup!H$1,H$1,Lookup!I$1)),"no attestation")</f>
        <v>no attestation</v>
      </c>
      <c r="F189" s="2" t="str">
        <f>IF(AND(NOT(ISBLANK(InfoGard!G189)),InfoGard!G189&lt;&gt;"N/A"),IF(C189="All",CONCATENATE(Lookup!F$2,D189,Lookup!G$2,B189,Lookup!H$2,H$1,Lookup!I$2),CONCATENATE(Lookup!F$3,D189,Lookup!G$3,B189,Lookup!H$3)),"no url")</f>
        <v>no url</v>
      </c>
    </row>
    <row r="190" spans="1:6" hidden="1" x14ac:dyDescent="0.25">
      <c r="A190" s="2" t="b">
        <f>IF(ISBLANK(InfoGard!D190),FALSE,LOOKUP(InfoGard!D190,Lookup!$A$2:$B$4))</f>
        <v>0</v>
      </c>
      <c r="B190" s="2" t="b">
        <f>IF(ISBLANK(InfoGard!E190),FALSE,RIGHT(TRIM(InfoGard!E190),15))</f>
        <v>0</v>
      </c>
      <c r="C190" s="2" t="b">
        <f>IF(ISBLANK(InfoGard!F190),FALSE,LOOKUP(InfoGard!F190,Lookup!$A$6:$B$7))</f>
        <v>0</v>
      </c>
      <c r="D190" s="2" t="b">
        <f>IF(ISBLANK(InfoGard!G190),FALSE,InfoGard!G190)</f>
        <v>0</v>
      </c>
      <c r="E190" s="2" t="str">
        <f>IF(NOT(ISBLANK(InfoGard!D190)),IF(OR(ISBLANK(InfoGard!E190),InfoGard!E190="N/A"),"no acb code",CONCATENATE(Lookup!F$1,A190,Lookup!G$1,B190,Lookup!H$1,H$1,Lookup!I$1)),"no attestation")</f>
        <v>no attestation</v>
      </c>
      <c r="F190" s="2" t="str">
        <f>IF(AND(NOT(ISBLANK(InfoGard!G190)),InfoGard!G190&lt;&gt;"N/A"),IF(C190="All",CONCATENATE(Lookup!F$2,D190,Lookup!G$2,B190,Lookup!H$2,H$1,Lookup!I$2),CONCATENATE(Lookup!F$3,D190,Lookup!G$3,B190,Lookup!H$3)),"no url")</f>
        <v>no url</v>
      </c>
    </row>
    <row r="191" spans="1:6" hidden="1" x14ac:dyDescent="0.25">
      <c r="A191" s="2" t="b">
        <f>IF(ISBLANK(InfoGard!D191),FALSE,LOOKUP(InfoGard!D191,Lookup!$A$2:$B$4))</f>
        <v>0</v>
      </c>
      <c r="B191" s="2" t="b">
        <f>IF(ISBLANK(InfoGard!E191),FALSE,RIGHT(TRIM(InfoGard!E191),15))</f>
        <v>0</v>
      </c>
      <c r="C191" s="2" t="b">
        <f>IF(ISBLANK(InfoGard!F191),FALSE,LOOKUP(InfoGard!F191,Lookup!$A$6:$B$7))</f>
        <v>0</v>
      </c>
      <c r="D191" s="2" t="b">
        <f>IF(ISBLANK(InfoGard!G191),FALSE,InfoGard!G191)</f>
        <v>0</v>
      </c>
      <c r="E191" s="2" t="str">
        <f>IF(NOT(ISBLANK(InfoGard!D191)),IF(OR(ISBLANK(InfoGard!E191),InfoGard!E191="N/A"),"no acb code",CONCATENATE(Lookup!F$1,A191,Lookup!G$1,B191,Lookup!H$1,H$1,Lookup!I$1)),"no attestation")</f>
        <v>no attestation</v>
      </c>
      <c r="F191" s="2" t="str">
        <f>IF(AND(NOT(ISBLANK(InfoGard!G191)),InfoGard!G191&lt;&gt;"N/A"),IF(C191="All",CONCATENATE(Lookup!F$2,D191,Lookup!G$2,B191,Lookup!H$2,H$1,Lookup!I$2),CONCATENATE(Lookup!F$3,D191,Lookup!G$3,B191,Lookup!H$3)),"no url")</f>
        <v>no url</v>
      </c>
    </row>
    <row r="192" spans="1:6" hidden="1" x14ac:dyDescent="0.25">
      <c r="A192" s="2" t="b">
        <f>IF(ISBLANK(InfoGard!D192),FALSE,LOOKUP(InfoGard!D192,Lookup!$A$2:$B$4))</f>
        <v>0</v>
      </c>
      <c r="B192" s="2" t="b">
        <f>IF(ISBLANK(InfoGard!E192),FALSE,RIGHT(TRIM(InfoGard!E192),15))</f>
        <v>0</v>
      </c>
      <c r="C192" s="2" t="b">
        <f>IF(ISBLANK(InfoGard!F192),FALSE,LOOKUP(InfoGard!F192,Lookup!$A$6:$B$7))</f>
        <v>0</v>
      </c>
      <c r="D192" s="2" t="b">
        <f>IF(ISBLANK(InfoGard!G192),FALSE,InfoGard!G192)</f>
        <v>0</v>
      </c>
      <c r="E192" s="2" t="str">
        <f>IF(NOT(ISBLANK(InfoGard!D192)),IF(OR(ISBLANK(InfoGard!E192),InfoGard!E192="N/A"),"no acb code",CONCATENATE(Lookup!F$1,A192,Lookup!G$1,B192,Lookup!H$1,H$1,Lookup!I$1)),"no attestation")</f>
        <v>no attestation</v>
      </c>
      <c r="F192" s="2" t="str">
        <f>IF(AND(NOT(ISBLANK(InfoGard!G192)),InfoGard!G192&lt;&gt;"N/A"),IF(C192="All",CONCATENATE(Lookup!F$2,D192,Lookup!G$2,B192,Lookup!H$2,H$1,Lookup!I$2),CONCATENATE(Lookup!F$3,D192,Lookup!G$3,B192,Lookup!H$3)),"no url")</f>
        <v>no url</v>
      </c>
    </row>
    <row r="193" spans="1:6" hidden="1" x14ac:dyDescent="0.25">
      <c r="A193" s="2" t="b">
        <f>IF(ISBLANK(InfoGard!D193),FALSE,LOOKUP(InfoGard!D193,Lookup!$A$2:$B$4))</f>
        <v>0</v>
      </c>
      <c r="B193" s="2" t="b">
        <f>IF(ISBLANK(InfoGard!E193),FALSE,RIGHT(TRIM(InfoGard!E193),15))</f>
        <v>0</v>
      </c>
      <c r="C193" s="2" t="b">
        <f>IF(ISBLANK(InfoGard!F193),FALSE,LOOKUP(InfoGard!F193,Lookup!$A$6:$B$7))</f>
        <v>0</v>
      </c>
      <c r="D193" s="2" t="b">
        <f>IF(ISBLANK(InfoGard!G193),FALSE,InfoGard!G193)</f>
        <v>0</v>
      </c>
      <c r="E193" s="2" t="str">
        <f>IF(NOT(ISBLANK(InfoGard!D193)),IF(OR(ISBLANK(InfoGard!E193),InfoGard!E193="N/A"),"no acb code",CONCATENATE(Lookup!F$1,A193,Lookup!G$1,B193,Lookup!H$1,H$1,Lookup!I$1)),"no attestation")</f>
        <v>no attestation</v>
      </c>
      <c r="F193" s="2" t="str">
        <f>IF(AND(NOT(ISBLANK(InfoGard!G193)),InfoGard!G193&lt;&gt;"N/A"),IF(C193="All",CONCATENATE(Lookup!F$2,D193,Lookup!G$2,B193,Lookup!H$2,H$1,Lookup!I$2),CONCATENATE(Lookup!F$3,D193,Lookup!G$3,B193,Lookup!H$3)),"no url")</f>
        <v>no url</v>
      </c>
    </row>
    <row r="194" spans="1:6" hidden="1" x14ac:dyDescent="0.25">
      <c r="A194" s="2" t="b">
        <f>IF(ISBLANK(InfoGard!D194),FALSE,LOOKUP(InfoGard!D194,Lookup!$A$2:$B$4))</f>
        <v>0</v>
      </c>
      <c r="B194" s="2" t="b">
        <f>IF(ISBLANK(InfoGard!E194),FALSE,RIGHT(TRIM(InfoGard!E194),15))</f>
        <v>0</v>
      </c>
      <c r="C194" s="2" t="b">
        <f>IF(ISBLANK(InfoGard!F194),FALSE,LOOKUP(InfoGard!F194,Lookup!$A$6:$B$7))</f>
        <v>0</v>
      </c>
      <c r="D194" s="2" t="b">
        <f>IF(ISBLANK(InfoGard!G194),FALSE,InfoGard!G194)</f>
        <v>0</v>
      </c>
      <c r="E194" s="2" t="str">
        <f>IF(NOT(ISBLANK(InfoGard!D194)),IF(OR(ISBLANK(InfoGard!E194),InfoGard!E194="N/A"),"no acb code",CONCATENATE(Lookup!F$1,A194,Lookup!G$1,B194,Lookup!H$1,H$1,Lookup!I$1)),"no attestation")</f>
        <v>no attestation</v>
      </c>
      <c r="F194" s="2" t="str">
        <f>IF(AND(NOT(ISBLANK(InfoGard!G194)),InfoGard!G194&lt;&gt;"N/A"),IF(C194="All",CONCATENATE(Lookup!F$2,D194,Lookup!G$2,B194,Lookup!H$2,H$1,Lookup!I$2),CONCATENATE(Lookup!F$3,D194,Lookup!G$3,B194,Lookup!H$3)),"no url")</f>
        <v>no url</v>
      </c>
    </row>
    <row r="195" spans="1:6" hidden="1" x14ac:dyDescent="0.25">
      <c r="A195" s="2" t="b">
        <f>IF(ISBLANK(InfoGard!D195),FALSE,LOOKUP(InfoGard!D195,Lookup!$A$2:$B$4))</f>
        <v>0</v>
      </c>
      <c r="B195" s="2" t="b">
        <f>IF(ISBLANK(InfoGard!E195),FALSE,RIGHT(TRIM(InfoGard!E195),15))</f>
        <v>0</v>
      </c>
      <c r="C195" s="2" t="b">
        <f>IF(ISBLANK(InfoGard!F195),FALSE,LOOKUP(InfoGard!F195,Lookup!$A$6:$B$7))</f>
        <v>0</v>
      </c>
      <c r="D195" s="2" t="b">
        <f>IF(ISBLANK(InfoGard!G195),FALSE,InfoGard!G195)</f>
        <v>0</v>
      </c>
      <c r="E195" s="2" t="str">
        <f>IF(NOT(ISBLANK(InfoGard!D195)),IF(OR(ISBLANK(InfoGard!E195),InfoGard!E195="N/A"),"no acb code",CONCATENATE(Lookup!F$1,A195,Lookup!G$1,B195,Lookup!H$1,H$1,Lookup!I$1)),"no attestation")</f>
        <v>no attestation</v>
      </c>
      <c r="F195" s="2" t="str">
        <f>IF(AND(NOT(ISBLANK(InfoGard!G195)),InfoGard!G195&lt;&gt;"N/A"),IF(C195="All",CONCATENATE(Lookup!F$2,D195,Lookup!G$2,B195,Lookup!H$2,H$1,Lookup!I$2),CONCATENATE(Lookup!F$3,D195,Lookup!G$3,B195,Lookup!H$3)),"no url")</f>
        <v>no url</v>
      </c>
    </row>
    <row r="196" spans="1:6" hidden="1" x14ac:dyDescent="0.25">
      <c r="A196" s="2" t="b">
        <f>IF(ISBLANK(InfoGard!D196),FALSE,LOOKUP(InfoGard!D196,Lookup!$A$2:$B$4))</f>
        <v>0</v>
      </c>
      <c r="B196" s="2" t="b">
        <f>IF(ISBLANK(InfoGard!E196),FALSE,RIGHT(TRIM(InfoGard!E196),15))</f>
        <v>0</v>
      </c>
      <c r="C196" s="2" t="b">
        <f>IF(ISBLANK(InfoGard!F196),FALSE,LOOKUP(InfoGard!F196,Lookup!$A$6:$B$7))</f>
        <v>0</v>
      </c>
      <c r="D196" s="2" t="b">
        <f>IF(ISBLANK(InfoGard!G196),FALSE,InfoGard!G196)</f>
        <v>0</v>
      </c>
      <c r="E196" s="2" t="str">
        <f>IF(NOT(ISBLANK(InfoGard!D196)),IF(OR(ISBLANK(InfoGard!E196),InfoGard!E196="N/A"),"no acb code",CONCATENATE(Lookup!F$1,A196,Lookup!G$1,B196,Lookup!H$1,H$1,Lookup!I$1)),"no attestation")</f>
        <v>no attestation</v>
      </c>
      <c r="F196" s="2" t="str">
        <f>IF(AND(NOT(ISBLANK(InfoGard!G196)),InfoGard!G196&lt;&gt;"N/A"),IF(C196="All",CONCATENATE(Lookup!F$2,D196,Lookup!G$2,B196,Lookup!H$2,H$1,Lookup!I$2),CONCATENATE(Lookup!F$3,D196,Lookup!G$3,B196,Lookup!H$3)),"no url")</f>
        <v>no url</v>
      </c>
    </row>
    <row r="197" spans="1:6" hidden="1" x14ac:dyDescent="0.25">
      <c r="A197" s="2" t="b">
        <f>IF(ISBLANK(InfoGard!D197),FALSE,LOOKUP(InfoGard!D197,Lookup!$A$2:$B$4))</f>
        <v>0</v>
      </c>
      <c r="B197" s="2" t="b">
        <f>IF(ISBLANK(InfoGard!E197),FALSE,RIGHT(TRIM(InfoGard!E197),15))</f>
        <v>0</v>
      </c>
      <c r="C197" s="2" t="b">
        <f>IF(ISBLANK(InfoGard!F197),FALSE,LOOKUP(InfoGard!F197,Lookup!$A$6:$B$7))</f>
        <v>0</v>
      </c>
      <c r="D197" s="2" t="b">
        <f>IF(ISBLANK(InfoGard!G197),FALSE,InfoGard!G197)</f>
        <v>0</v>
      </c>
      <c r="E197" s="2" t="str">
        <f>IF(NOT(ISBLANK(InfoGard!D197)),IF(OR(ISBLANK(InfoGard!E197),InfoGard!E197="N/A"),"no acb code",CONCATENATE(Lookup!F$1,A197,Lookup!G$1,B197,Lookup!H$1,H$1,Lookup!I$1)),"no attestation")</f>
        <v>no attestation</v>
      </c>
      <c r="F197" s="2" t="str">
        <f>IF(AND(NOT(ISBLANK(InfoGard!G197)),InfoGard!G197&lt;&gt;"N/A"),IF(C197="All",CONCATENATE(Lookup!F$2,D197,Lookup!G$2,B197,Lookup!H$2,H$1,Lookup!I$2),CONCATENATE(Lookup!F$3,D197,Lookup!G$3,B197,Lookup!H$3)),"no url")</f>
        <v>no url</v>
      </c>
    </row>
    <row r="198" spans="1:6" x14ac:dyDescent="0.25">
      <c r="A198" s="2" t="str">
        <f>IF(ISBLANK(InfoGard!D198),FALSE,LOOKUP(InfoGard!D198,Lookup!$A$2:$B$4))</f>
        <v>Affirmative</v>
      </c>
      <c r="B198" s="2" t="str">
        <f>IF(ISBLANK(InfoGard!E198),FALSE,RIGHT(TRIM(InfoGard!E198),15))</f>
        <v>IG-3281-15-0019</v>
      </c>
      <c r="C198" s="2" t="str">
        <f>IF(ISBLANK(InfoGard!F198),FALSE,LOOKUP(InfoGard!F198,Lookup!$A$6:$B$7))</f>
        <v>All</v>
      </c>
      <c r="D198" s="2" t="str">
        <f>IF(ISBLANK(InfoGard!G198),FALSE,InfoGard!G198)</f>
        <v>http://www.harriscaretracker.com/en/solutions/electronic-medical-records/; http://www.harriscaretracker.com/en/solutions/plans-and-pricing/</v>
      </c>
      <c r="E198" s="2" t="str">
        <f>IF(NOT(ISBLANK(InfoGard!D198)),IF(OR(ISBLANK(InfoGard!E198),InfoGard!E198="N/A"),"no acb code",CONCATENATE(Lookup!F$1,A198,Lookup!G$1,B198,Lookup!H$1,H$1,Lookup!I$1)),"no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'IG-3281-15-0019' and cb."name" = 'InfoGard' and cp.product_version_id = pv.product_version_id and pv.product_id = p.product_id and p.vendor_id = vend.vendor_id;</v>
      </c>
      <c r="F198" s="2" t="str">
        <f>IF(AND(NOT(ISBLANK(InfoGard!G198)),InfoGard!G198&lt;&gt;"N/A"),IF(C198="All",CONCATENATE(Lookup!F$2,D198,Lookup!G$2,B198,Lookup!H$2,H$1,Lookup!I$2),CONCATENATE(Lookup!F$3,D198,Lookup!G$3,B198,Lookup!H$3)),"no url")</f>
        <v>update openchpl.certified_product as cp set transparency_attestation_url = 'http://www.harriscaretracker.com/en/solutions/electronic-medical-records/; http://www.harriscaretracker.com/en/solutions/plans-and-pricing/' from (select certified_product_id from (select vend.vendor_code from openchpl.certified_product as cp, openchpl.product_version as pv, openchpl.product as p, openchpl.vendor as vend where cp.acb_certification_id = 'IG-3281-15-0019'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9" spans="1:6" hidden="1" x14ac:dyDescent="0.25">
      <c r="A199" s="2" t="b">
        <f>IF(ISBLANK(InfoGard!D199),FALSE,LOOKUP(InfoGard!D199,Lookup!$A$2:$B$4))</f>
        <v>0</v>
      </c>
      <c r="B199" s="2" t="b">
        <f>IF(ISBLANK(InfoGard!E199),FALSE,RIGHT(TRIM(InfoGard!E199),15))</f>
        <v>0</v>
      </c>
      <c r="C199" s="2" t="b">
        <f>IF(ISBLANK(InfoGard!F199),FALSE,LOOKUP(InfoGard!F199,Lookup!$A$6:$B$7))</f>
        <v>0</v>
      </c>
      <c r="D199" s="2" t="b">
        <f>IF(ISBLANK(InfoGard!G199),FALSE,InfoGard!G199)</f>
        <v>0</v>
      </c>
      <c r="E199" s="2" t="str">
        <f>IF(NOT(ISBLANK(InfoGard!D199)),IF(OR(ISBLANK(InfoGard!E199),InfoGard!E199="N/A"),"no acb code",CONCATENATE(Lookup!F$1,A199,Lookup!G$1,B199,Lookup!H$1,H$1,Lookup!I$1)),"no attestation")</f>
        <v>no attestation</v>
      </c>
      <c r="F199" s="2" t="str">
        <f>IF(AND(NOT(ISBLANK(InfoGard!G199)),InfoGard!G199&lt;&gt;"N/A"),IF(C199="All",CONCATENATE(Lookup!F$2,D199,Lookup!G$2,B199,Lookup!H$2,H$1,Lookup!I$2),CONCATENATE(Lookup!F$3,D199,Lookup!G$3,B199,Lookup!H$3)),"no url")</f>
        <v>no url</v>
      </c>
    </row>
    <row r="200" spans="1:6" hidden="1" x14ac:dyDescent="0.25">
      <c r="A200" s="2" t="b">
        <f>IF(ISBLANK(InfoGard!D200),FALSE,LOOKUP(InfoGard!D200,Lookup!$A$2:$B$4))</f>
        <v>0</v>
      </c>
      <c r="B200" s="2" t="b">
        <f>IF(ISBLANK(InfoGard!E200),FALSE,RIGHT(TRIM(InfoGard!E200),15))</f>
        <v>0</v>
      </c>
      <c r="C200" s="2" t="b">
        <f>IF(ISBLANK(InfoGard!F200),FALSE,LOOKUP(InfoGard!F200,Lookup!$A$6:$B$7))</f>
        <v>0</v>
      </c>
      <c r="D200" s="2" t="b">
        <f>IF(ISBLANK(InfoGard!G200),FALSE,InfoGard!G200)</f>
        <v>0</v>
      </c>
      <c r="E200" s="2" t="str">
        <f>IF(NOT(ISBLANK(InfoGard!D200)),IF(OR(ISBLANK(InfoGard!E200),InfoGard!E200="N/A"),"no acb code",CONCATENATE(Lookup!F$1,A200,Lookup!G$1,B200,Lookup!H$1,H$1,Lookup!I$1)),"no attestation")</f>
        <v>no attestation</v>
      </c>
      <c r="F200" s="2" t="str">
        <f>IF(AND(NOT(ISBLANK(InfoGard!G200)),InfoGard!G200&lt;&gt;"N/A"),IF(C200="All",CONCATENATE(Lookup!F$2,D200,Lookup!G$2,B200,Lookup!H$2,H$1,Lookup!I$2),CONCATENATE(Lookup!F$3,D200,Lookup!G$3,B200,Lookup!H$3)),"no url")</f>
        <v>no url</v>
      </c>
    </row>
    <row r="201" spans="1:6" hidden="1" x14ac:dyDescent="0.25">
      <c r="A201" s="2" t="b">
        <f>IF(ISBLANK(InfoGard!D201),FALSE,LOOKUP(InfoGard!D201,Lookup!$A$2:$B$4))</f>
        <v>0</v>
      </c>
      <c r="B201" s="2" t="b">
        <f>IF(ISBLANK(InfoGard!E201),FALSE,RIGHT(TRIM(InfoGard!E201),15))</f>
        <v>0</v>
      </c>
      <c r="C201" s="2" t="b">
        <f>IF(ISBLANK(InfoGard!F201),FALSE,LOOKUP(InfoGard!F201,Lookup!$A$6:$B$7))</f>
        <v>0</v>
      </c>
      <c r="D201" s="2" t="b">
        <f>IF(ISBLANK(InfoGard!G201),FALSE,InfoGard!G201)</f>
        <v>0</v>
      </c>
      <c r="E201" s="2" t="str">
        <f>IF(NOT(ISBLANK(InfoGard!D201)),IF(OR(ISBLANK(InfoGard!E201),InfoGard!E201="N/A"),"no acb code",CONCATENATE(Lookup!F$1,A201,Lookup!G$1,B201,Lookup!H$1,H$1,Lookup!I$1)),"no attestation")</f>
        <v>no attestation</v>
      </c>
      <c r="F201" s="2" t="str">
        <f>IF(AND(NOT(ISBLANK(InfoGard!G201)),InfoGard!G201&lt;&gt;"N/A"),IF(C201="All",CONCATENATE(Lookup!F$2,D201,Lookup!G$2,B201,Lookup!H$2,H$1,Lookup!I$2),CONCATENATE(Lookup!F$3,D201,Lookup!G$3,B201,Lookup!H$3)),"no url")</f>
        <v>no url</v>
      </c>
    </row>
    <row r="202" spans="1:6" hidden="1" x14ac:dyDescent="0.25">
      <c r="A202" s="2" t="b">
        <f>IF(ISBLANK(InfoGard!D202),FALSE,LOOKUP(InfoGard!D202,Lookup!$A$2:$B$4))</f>
        <v>0</v>
      </c>
      <c r="B202" s="2" t="b">
        <f>IF(ISBLANK(InfoGard!E202),FALSE,RIGHT(TRIM(InfoGard!E202),15))</f>
        <v>0</v>
      </c>
      <c r="C202" s="2" t="b">
        <f>IF(ISBLANK(InfoGard!F202),FALSE,LOOKUP(InfoGard!F202,Lookup!$A$6:$B$7))</f>
        <v>0</v>
      </c>
      <c r="D202" s="2" t="b">
        <f>IF(ISBLANK(InfoGard!G202),FALSE,InfoGard!G202)</f>
        <v>0</v>
      </c>
      <c r="E202" s="2" t="str">
        <f>IF(NOT(ISBLANK(InfoGard!D202)),IF(OR(ISBLANK(InfoGard!E202),InfoGard!E202="N/A"),"no acb code",CONCATENATE(Lookup!F$1,A202,Lookup!G$1,B202,Lookup!H$1,H$1,Lookup!I$1)),"no attestation")</f>
        <v>no attestation</v>
      </c>
      <c r="F202" s="2" t="str">
        <f>IF(AND(NOT(ISBLANK(InfoGard!G202)),InfoGard!G202&lt;&gt;"N/A"),IF(C202="All",CONCATENATE(Lookup!F$2,D202,Lookup!G$2,B202,Lookup!H$2,H$1,Lookup!I$2),CONCATENATE(Lookup!F$3,D202,Lookup!G$3,B202,Lookup!H$3)),"no url")</f>
        <v>no url</v>
      </c>
    </row>
    <row r="203" spans="1:6" hidden="1" x14ac:dyDescent="0.25">
      <c r="A203" s="2" t="b">
        <f>IF(ISBLANK(InfoGard!D203),FALSE,LOOKUP(InfoGard!D203,Lookup!$A$2:$B$4))</f>
        <v>0</v>
      </c>
      <c r="B203" s="2" t="b">
        <f>IF(ISBLANK(InfoGard!E203),FALSE,RIGHT(TRIM(InfoGard!E203),15))</f>
        <v>0</v>
      </c>
      <c r="C203" s="2" t="b">
        <f>IF(ISBLANK(InfoGard!F203),FALSE,LOOKUP(InfoGard!F203,Lookup!$A$6:$B$7))</f>
        <v>0</v>
      </c>
      <c r="D203" s="2" t="b">
        <f>IF(ISBLANK(InfoGard!G203),FALSE,InfoGard!G203)</f>
        <v>0</v>
      </c>
      <c r="E203" s="2" t="str">
        <f>IF(NOT(ISBLANK(InfoGard!D203)),IF(OR(ISBLANK(InfoGard!E203),InfoGard!E203="N/A"),"no acb code",CONCATENATE(Lookup!F$1,A203,Lookup!G$1,B203,Lookup!H$1,H$1,Lookup!I$1)),"no attestation")</f>
        <v>no attestation</v>
      </c>
      <c r="F203" s="2" t="str">
        <f>IF(AND(NOT(ISBLANK(InfoGard!G203)),InfoGard!G203&lt;&gt;"N/A"),IF(C203="All",CONCATENATE(Lookup!F$2,D203,Lookup!G$2,B203,Lookup!H$2,H$1,Lookup!I$2),CONCATENATE(Lookup!F$3,D203,Lookup!G$3,B203,Lookup!H$3)),"no url")</f>
        <v>no url</v>
      </c>
    </row>
    <row r="204" spans="1:6" hidden="1" x14ac:dyDescent="0.25">
      <c r="A204" s="2" t="b">
        <f>IF(ISBLANK(InfoGard!D204),FALSE,LOOKUP(InfoGard!D204,Lookup!$A$2:$B$4))</f>
        <v>0</v>
      </c>
      <c r="B204" s="2" t="b">
        <f>IF(ISBLANK(InfoGard!E204),FALSE,RIGHT(TRIM(InfoGard!E204),15))</f>
        <v>0</v>
      </c>
      <c r="C204" s="2" t="b">
        <f>IF(ISBLANK(InfoGard!F204),FALSE,LOOKUP(InfoGard!F204,Lookup!$A$6:$B$7))</f>
        <v>0</v>
      </c>
      <c r="D204" s="2" t="b">
        <f>IF(ISBLANK(InfoGard!G204),FALSE,InfoGard!G204)</f>
        <v>0</v>
      </c>
      <c r="E204" s="2" t="str">
        <f>IF(NOT(ISBLANK(InfoGard!D204)),IF(OR(ISBLANK(InfoGard!E204),InfoGard!E204="N/A"),"no acb code",CONCATENATE(Lookup!F$1,A204,Lookup!G$1,B204,Lookup!H$1,H$1,Lookup!I$1)),"no attestation")</f>
        <v>no attestation</v>
      </c>
      <c r="F204" s="2" t="str">
        <f>IF(AND(NOT(ISBLANK(InfoGard!G204)),InfoGard!G204&lt;&gt;"N/A"),IF(C204="All",CONCATENATE(Lookup!F$2,D204,Lookup!G$2,B204,Lookup!H$2,H$1,Lookup!I$2),CONCATENATE(Lookup!F$3,D204,Lookup!G$3,B204,Lookup!H$3)),"no url")</f>
        <v>no url</v>
      </c>
    </row>
    <row r="205" spans="1:6" hidden="1" x14ac:dyDescent="0.25">
      <c r="A205" s="2" t="b">
        <f>IF(ISBLANK(InfoGard!D205),FALSE,LOOKUP(InfoGard!D205,Lookup!$A$2:$B$4))</f>
        <v>0</v>
      </c>
      <c r="B205" s="2" t="b">
        <f>IF(ISBLANK(InfoGard!E205),FALSE,RIGHT(TRIM(InfoGard!E205),15))</f>
        <v>0</v>
      </c>
      <c r="C205" s="2" t="b">
        <f>IF(ISBLANK(InfoGard!F205),FALSE,LOOKUP(InfoGard!F205,Lookup!$A$6:$B$7))</f>
        <v>0</v>
      </c>
      <c r="D205" s="2" t="b">
        <f>IF(ISBLANK(InfoGard!G205),FALSE,InfoGard!G205)</f>
        <v>0</v>
      </c>
      <c r="E205" s="2" t="str">
        <f>IF(NOT(ISBLANK(InfoGard!D205)),IF(OR(ISBLANK(InfoGard!E205),InfoGard!E205="N/A"),"no acb code",CONCATENATE(Lookup!F$1,A205,Lookup!G$1,B205,Lookup!H$1,H$1,Lookup!I$1)),"no attestation")</f>
        <v>no attestation</v>
      </c>
      <c r="F205" s="2" t="str">
        <f>IF(AND(NOT(ISBLANK(InfoGard!G205)),InfoGard!G205&lt;&gt;"N/A"),IF(C205="All",CONCATENATE(Lookup!F$2,D205,Lookup!G$2,B205,Lookup!H$2,H$1,Lookup!I$2),CONCATENATE(Lookup!F$3,D205,Lookup!G$3,B205,Lookup!H$3)),"no url")</f>
        <v>no url</v>
      </c>
    </row>
    <row r="206" spans="1:6" hidden="1" x14ac:dyDescent="0.25">
      <c r="A206" s="2" t="b">
        <f>IF(ISBLANK(InfoGard!D206),FALSE,LOOKUP(InfoGard!D206,Lookup!$A$2:$B$4))</f>
        <v>0</v>
      </c>
      <c r="B206" s="2" t="b">
        <f>IF(ISBLANK(InfoGard!E206),FALSE,RIGHT(TRIM(InfoGard!E206),15))</f>
        <v>0</v>
      </c>
      <c r="C206" s="2" t="b">
        <f>IF(ISBLANK(InfoGard!F206),FALSE,LOOKUP(InfoGard!F206,Lookup!$A$6:$B$7))</f>
        <v>0</v>
      </c>
      <c r="D206" s="2" t="b">
        <f>IF(ISBLANK(InfoGard!G206),FALSE,InfoGard!G206)</f>
        <v>0</v>
      </c>
      <c r="E206" s="2" t="str">
        <f>IF(NOT(ISBLANK(InfoGard!D206)),IF(OR(ISBLANK(InfoGard!E206),InfoGard!E206="N/A"),"no acb code",CONCATENATE(Lookup!F$1,A206,Lookup!G$1,B206,Lookup!H$1,H$1,Lookup!I$1)),"no attestation")</f>
        <v>no attestation</v>
      </c>
      <c r="F206" s="2" t="str">
        <f>IF(AND(NOT(ISBLANK(InfoGard!G206)),InfoGard!G206&lt;&gt;"N/A"),IF(C206="All",CONCATENATE(Lookup!F$2,D206,Lookup!G$2,B206,Lookup!H$2,H$1,Lookup!I$2),CONCATENATE(Lookup!F$3,D206,Lookup!G$3,B206,Lookup!H$3)),"no url")</f>
        <v>no url</v>
      </c>
    </row>
    <row r="207" spans="1:6" hidden="1" x14ac:dyDescent="0.25">
      <c r="A207" s="2" t="b">
        <f>IF(ISBLANK(InfoGard!D207),FALSE,LOOKUP(InfoGard!D207,Lookup!$A$2:$B$4))</f>
        <v>0</v>
      </c>
      <c r="B207" s="2" t="b">
        <f>IF(ISBLANK(InfoGard!E207),FALSE,RIGHT(TRIM(InfoGard!E207),15))</f>
        <v>0</v>
      </c>
      <c r="C207" s="2" t="b">
        <f>IF(ISBLANK(InfoGard!F207),FALSE,LOOKUP(InfoGard!F207,Lookup!$A$6:$B$7))</f>
        <v>0</v>
      </c>
      <c r="D207" s="2" t="b">
        <f>IF(ISBLANK(InfoGard!G207),FALSE,InfoGard!G207)</f>
        <v>0</v>
      </c>
      <c r="E207" s="2" t="str">
        <f>IF(NOT(ISBLANK(InfoGard!D207)),IF(OR(ISBLANK(InfoGard!E207),InfoGard!E207="N/A"),"no acb code",CONCATENATE(Lookup!F$1,A207,Lookup!G$1,B207,Lookup!H$1,H$1,Lookup!I$1)),"no attestation")</f>
        <v>no attestation</v>
      </c>
      <c r="F207" s="2" t="str">
        <f>IF(AND(NOT(ISBLANK(InfoGard!G207)),InfoGard!G207&lt;&gt;"N/A"),IF(C207="All",CONCATENATE(Lookup!F$2,D207,Lookup!G$2,B207,Lookup!H$2,H$1,Lookup!I$2),CONCATENATE(Lookup!F$3,D207,Lookup!G$3,B207,Lookup!H$3)),"no url")</f>
        <v>no url</v>
      </c>
    </row>
    <row r="208" spans="1:6" hidden="1" x14ac:dyDescent="0.25">
      <c r="A208" s="2" t="b">
        <f>IF(ISBLANK(InfoGard!D208),FALSE,LOOKUP(InfoGard!D208,Lookup!$A$2:$B$4))</f>
        <v>0</v>
      </c>
      <c r="B208" s="2" t="b">
        <f>IF(ISBLANK(InfoGard!E208),FALSE,RIGHT(TRIM(InfoGard!E208),15))</f>
        <v>0</v>
      </c>
      <c r="C208" s="2" t="b">
        <f>IF(ISBLANK(InfoGard!F208),FALSE,LOOKUP(InfoGard!F208,Lookup!$A$6:$B$7))</f>
        <v>0</v>
      </c>
      <c r="D208" s="2" t="b">
        <f>IF(ISBLANK(InfoGard!G208),FALSE,InfoGard!G208)</f>
        <v>0</v>
      </c>
      <c r="E208" s="2" t="str">
        <f>IF(NOT(ISBLANK(InfoGard!D208)),IF(OR(ISBLANK(InfoGard!E208),InfoGard!E208="N/A"),"no acb code",CONCATENATE(Lookup!F$1,A208,Lookup!G$1,B208,Lookup!H$1,H$1,Lookup!I$1)),"no attestation")</f>
        <v>no attestation</v>
      </c>
      <c r="F208" s="2" t="str">
        <f>IF(AND(NOT(ISBLANK(InfoGard!G208)),InfoGard!G208&lt;&gt;"N/A"),IF(C208="All",CONCATENATE(Lookup!F$2,D208,Lookup!G$2,B208,Lookup!H$2,H$1,Lookup!I$2),CONCATENATE(Lookup!F$3,D208,Lookup!G$3,B208,Lookup!H$3)),"no url")</f>
        <v>no url</v>
      </c>
    </row>
    <row r="209" spans="1:6" hidden="1" x14ac:dyDescent="0.25">
      <c r="A209" s="2" t="b">
        <f>IF(ISBLANK(InfoGard!D209),FALSE,LOOKUP(InfoGard!D209,Lookup!$A$2:$B$4))</f>
        <v>0</v>
      </c>
      <c r="B209" s="2" t="b">
        <f>IF(ISBLANK(InfoGard!E209),FALSE,RIGHT(TRIM(InfoGard!E209),15))</f>
        <v>0</v>
      </c>
      <c r="C209" s="2" t="b">
        <f>IF(ISBLANK(InfoGard!F209),FALSE,LOOKUP(InfoGard!F209,Lookup!$A$6:$B$7))</f>
        <v>0</v>
      </c>
      <c r="D209" s="2" t="b">
        <f>IF(ISBLANK(InfoGard!G209),FALSE,InfoGard!G209)</f>
        <v>0</v>
      </c>
      <c r="E209" s="2" t="str">
        <f>IF(NOT(ISBLANK(InfoGard!D209)),IF(OR(ISBLANK(InfoGard!E209),InfoGard!E209="N/A"),"no acb code",CONCATENATE(Lookup!F$1,A209,Lookup!G$1,B209,Lookup!H$1,H$1,Lookup!I$1)),"no attestation")</f>
        <v>no attestation</v>
      </c>
      <c r="F209" s="2" t="str">
        <f>IF(AND(NOT(ISBLANK(InfoGard!G209)),InfoGard!G209&lt;&gt;"N/A"),IF(C209="All",CONCATENATE(Lookup!F$2,D209,Lookup!G$2,B209,Lookup!H$2,H$1,Lookup!I$2),CONCATENATE(Lookup!F$3,D209,Lookup!G$3,B209,Lookup!H$3)),"no url")</f>
        <v>no url</v>
      </c>
    </row>
    <row r="210" spans="1:6" hidden="1" x14ac:dyDescent="0.25">
      <c r="A210" s="2" t="b">
        <f>IF(ISBLANK(InfoGard!D210),FALSE,LOOKUP(InfoGard!D210,Lookup!$A$2:$B$4))</f>
        <v>0</v>
      </c>
      <c r="B210" s="2" t="b">
        <f>IF(ISBLANK(InfoGard!E210),FALSE,RIGHT(TRIM(InfoGard!E210),15))</f>
        <v>0</v>
      </c>
      <c r="C210" s="2" t="b">
        <f>IF(ISBLANK(InfoGard!F210),FALSE,LOOKUP(InfoGard!F210,Lookup!$A$6:$B$7))</f>
        <v>0</v>
      </c>
      <c r="D210" s="2" t="b">
        <f>IF(ISBLANK(InfoGard!G210),FALSE,InfoGard!G210)</f>
        <v>0</v>
      </c>
      <c r="E210" s="2" t="str">
        <f>IF(NOT(ISBLANK(InfoGard!D210)),IF(OR(ISBLANK(InfoGard!E210),InfoGard!E210="N/A"),"no acb code",CONCATENATE(Lookup!F$1,A210,Lookup!G$1,B210,Lookup!H$1,H$1,Lookup!I$1)),"no attestation")</f>
        <v>no attestation</v>
      </c>
      <c r="F210" s="2" t="str">
        <f>IF(AND(NOT(ISBLANK(InfoGard!G210)),InfoGard!G210&lt;&gt;"N/A"),IF(C210="All",CONCATENATE(Lookup!F$2,D210,Lookup!G$2,B210,Lookup!H$2,H$1,Lookup!I$2),CONCATENATE(Lookup!F$3,D210,Lookup!G$3,B210,Lookup!H$3)),"no url")</f>
        <v>no url</v>
      </c>
    </row>
    <row r="211" spans="1:6" hidden="1" x14ac:dyDescent="0.25">
      <c r="A211" s="2" t="b">
        <f>IF(ISBLANK(InfoGard!D211),FALSE,LOOKUP(InfoGard!D211,Lookup!$A$2:$B$4))</f>
        <v>0</v>
      </c>
      <c r="B211" s="2" t="b">
        <f>IF(ISBLANK(InfoGard!E211),FALSE,RIGHT(TRIM(InfoGard!E211),15))</f>
        <v>0</v>
      </c>
      <c r="C211" s="2" t="b">
        <f>IF(ISBLANK(InfoGard!F211),FALSE,LOOKUP(InfoGard!F211,Lookup!$A$6:$B$7))</f>
        <v>0</v>
      </c>
      <c r="D211" s="2" t="b">
        <f>IF(ISBLANK(InfoGard!G211),FALSE,InfoGard!G211)</f>
        <v>0</v>
      </c>
      <c r="E211" s="2" t="str">
        <f>IF(NOT(ISBLANK(InfoGard!D211)),IF(OR(ISBLANK(InfoGard!E211),InfoGard!E211="N/A"),"no acb code",CONCATENATE(Lookup!F$1,A211,Lookup!G$1,B211,Lookup!H$1,H$1,Lookup!I$1)),"no attestation")</f>
        <v>no attestation</v>
      </c>
      <c r="F211" s="2" t="str">
        <f>IF(AND(NOT(ISBLANK(InfoGard!G211)),InfoGard!G211&lt;&gt;"N/A"),IF(C211="All",CONCATENATE(Lookup!F$2,D211,Lookup!G$2,B211,Lookup!H$2,H$1,Lookup!I$2),CONCATENATE(Lookup!F$3,D211,Lookup!G$3,B211,Lookup!H$3)),"no url")</f>
        <v>no url</v>
      </c>
    </row>
    <row r="212" spans="1:6" hidden="1" x14ac:dyDescent="0.25">
      <c r="A212" s="2" t="b">
        <f>IF(ISBLANK(InfoGard!D212),FALSE,LOOKUP(InfoGard!D212,Lookup!$A$2:$B$4))</f>
        <v>0</v>
      </c>
      <c r="B212" s="2" t="b">
        <f>IF(ISBLANK(InfoGard!E212),FALSE,RIGHT(TRIM(InfoGard!E212),15))</f>
        <v>0</v>
      </c>
      <c r="C212" s="2" t="b">
        <f>IF(ISBLANK(InfoGard!F212),FALSE,LOOKUP(InfoGard!F212,Lookup!$A$6:$B$7))</f>
        <v>0</v>
      </c>
      <c r="D212" s="2" t="b">
        <f>IF(ISBLANK(InfoGard!G212),FALSE,InfoGard!G212)</f>
        <v>0</v>
      </c>
      <c r="E212" s="2" t="str">
        <f>IF(NOT(ISBLANK(InfoGard!D212)),IF(OR(ISBLANK(InfoGard!E212),InfoGard!E212="N/A"),"no acb code",CONCATENATE(Lookup!F$1,A212,Lookup!G$1,B212,Lookup!H$1,H$1,Lookup!I$1)),"no attestation")</f>
        <v>no attestation</v>
      </c>
      <c r="F212" s="2" t="str">
        <f>IF(AND(NOT(ISBLANK(InfoGard!G212)),InfoGard!G212&lt;&gt;"N/A"),IF(C212="All",CONCATENATE(Lookup!F$2,D212,Lookup!G$2,B212,Lookup!H$2,H$1,Lookup!I$2),CONCATENATE(Lookup!F$3,D212,Lookup!G$3,B212,Lookup!H$3)),"no url")</f>
        <v>no url</v>
      </c>
    </row>
    <row r="213" spans="1:6" hidden="1" x14ac:dyDescent="0.25">
      <c r="A213" s="2" t="b">
        <f>IF(ISBLANK(InfoGard!D213),FALSE,LOOKUP(InfoGard!D213,Lookup!$A$2:$B$4))</f>
        <v>0</v>
      </c>
      <c r="B213" s="2" t="b">
        <f>IF(ISBLANK(InfoGard!E213),FALSE,RIGHT(TRIM(InfoGard!E213),15))</f>
        <v>0</v>
      </c>
      <c r="C213" s="2" t="b">
        <f>IF(ISBLANK(InfoGard!F213),FALSE,LOOKUP(InfoGard!F213,Lookup!$A$6:$B$7))</f>
        <v>0</v>
      </c>
      <c r="D213" s="2" t="b">
        <f>IF(ISBLANK(InfoGard!G213),FALSE,InfoGard!G213)</f>
        <v>0</v>
      </c>
      <c r="E213" s="2" t="str">
        <f>IF(NOT(ISBLANK(InfoGard!D213)),IF(OR(ISBLANK(InfoGard!E213),InfoGard!E213="N/A"),"no acb code",CONCATENATE(Lookup!F$1,A213,Lookup!G$1,B213,Lookup!H$1,H$1,Lookup!I$1)),"no attestation")</f>
        <v>no attestation</v>
      </c>
      <c r="F213" s="2" t="str">
        <f>IF(AND(NOT(ISBLANK(InfoGard!G213)),InfoGard!G213&lt;&gt;"N/A"),IF(C213="All",CONCATENATE(Lookup!F$2,D213,Lookup!G$2,B213,Lookup!H$2,H$1,Lookup!I$2),CONCATENATE(Lookup!F$3,D213,Lookup!G$3,B213,Lookup!H$3)),"no url")</f>
        <v>no url</v>
      </c>
    </row>
    <row r="214" spans="1:6" hidden="1" x14ac:dyDescent="0.25">
      <c r="A214" s="2" t="b">
        <f>IF(ISBLANK(InfoGard!D214),FALSE,LOOKUP(InfoGard!D214,Lookup!$A$2:$B$4))</f>
        <v>0</v>
      </c>
      <c r="B214" s="2" t="b">
        <f>IF(ISBLANK(InfoGard!E214),FALSE,RIGHT(TRIM(InfoGard!E214),15))</f>
        <v>0</v>
      </c>
      <c r="C214" s="2" t="b">
        <f>IF(ISBLANK(InfoGard!F214),FALSE,LOOKUP(InfoGard!F214,Lookup!$A$6:$B$7))</f>
        <v>0</v>
      </c>
      <c r="D214" s="2" t="b">
        <f>IF(ISBLANK(InfoGard!G214),FALSE,InfoGard!G214)</f>
        <v>0</v>
      </c>
      <c r="E214" s="2" t="str">
        <f>IF(NOT(ISBLANK(InfoGard!D214)),IF(OR(ISBLANK(InfoGard!E214),InfoGard!E214="N/A"),"no acb code",CONCATENATE(Lookup!F$1,A214,Lookup!G$1,B214,Lookup!H$1,H$1,Lookup!I$1)),"no attestation")</f>
        <v>no attestation</v>
      </c>
      <c r="F214" s="2" t="str">
        <f>IF(AND(NOT(ISBLANK(InfoGard!G214)),InfoGard!G214&lt;&gt;"N/A"),IF(C214="All",CONCATENATE(Lookup!F$2,D214,Lookup!G$2,B214,Lookup!H$2,H$1,Lookup!I$2),CONCATENATE(Lookup!F$3,D214,Lookup!G$3,B214,Lookup!H$3)),"no url")</f>
        <v>no url</v>
      </c>
    </row>
    <row r="215" spans="1:6" hidden="1" x14ac:dyDescent="0.25">
      <c r="A215" s="2" t="b">
        <f>IF(ISBLANK(InfoGard!D215),FALSE,LOOKUP(InfoGard!D215,Lookup!$A$2:$B$4))</f>
        <v>0</v>
      </c>
      <c r="B215" s="2" t="b">
        <f>IF(ISBLANK(InfoGard!E215),FALSE,RIGHT(TRIM(InfoGard!E215),15))</f>
        <v>0</v>
      </c>
      <c r="C215" s="2" t="b">
        <f>IF(ISBLANK(InfoGard!F215),FALSE,LOOKUP(InfoGard!F215,Lookup!$A$6:$B$7))</f>
        <v>0</v>
      </c>
      <c r="D215" s="2" t="b">
        <f>IF(ISBLANK(InfoGard!G215),FALSE,InfoGard!G215)</f>
        <v>0</v>
      </c>
      <c r="E215" s="2" t="str">
        <f>IF(NOT(ISBLANK(InfoGard!D215)),IF(OR(ISBLANK(InfoGard!E215),InfoGard!E215="N/A"),"no acb code",CONCATENATE(Lookup!F$1,A215,Lookup!G$1,B215,Lookup!H$1,H$1,Lookup!I$1)),"no attestation")</f>
        <v>no attestation</v>
      </c>
      <c r="F215" s="2" t="str">
        <f>IF(AND(NOT(ISBLANK(InfoGard!G215)),InfoGard!G215&lt;&gt;"N/A"),IF(C215="All",CONCATENATE(Lookup!F$2,D215,Lookup!G$2,B215,Lookup!H$2,H$1,Lookup!I$2),CONCATENATE(Lookup!F$3,D215,Lookup!G$3,B215,Lookup!H$3)),"no url")</f>
        <v>no url</v>
      </c>
    </row>
    <row r="216" spans="1:6" hidden="1" x14ac:dyDescent="0.25">
      <c r="A216" s="2" t="b">
        <f>IF(ISBLANK(InfoGard!D216),FALSE,LOOKUP(InfoGard!D216,Lookup!$A$2:$B$4))</f>
        <v>0</v>
      </c>
      <c r="B216" s="2" t="b">
        <f>IF(ISBLANK(InfoGard!E216),FALSE,RIGHT(TRIM(InfoGard!E216),15))</f>
        <v>0</v>
      </c>
      <c r="C216" s="2" t="b">
        <f>IF(ISBLANK(InfoGard!F216),FALSE,LOOKUP(InfoGard!F216,Lookup!$A$6:$B$7))</f>
        <v>0</v>
      </c>
      <c r="D216" s="2" t="b">
        <f>IF(ISBLANK(InfoGard!G216),FALSE,InfoGard!G216)</f>
        <v>0</v>
      </c>
      <c r="E216" s="2" t="str">
        <f>IF(NOT(ISBLANK(InfoGard!D216)),IF(OR(ISBLANK(InfoGard!E216),InfoGard!E216="N/A"),"no acb code",CONCATENATE(Lookup!F$1,A216,Lookup!G$1,B216,Lookup!H$1,H$1,Lookup!I$1)),"no attestation")</f>
        <v>no attestation</v>
      </c>
      <c r="F216" s="2" t="str">
        <f>IF(AND(NOT(ISBLANK(InfoGard!G216)),InfoGard!G216&lt;&gt;"N/A"),IF(C216="All",CONCATENATE(Lookup!F$2,D216,Lookup!G$2,B216,Lookup!H$2,H$1,Lookup!I$2),CONCATENATE(Lookup!F$3,D216,Lookup!G$3,B216,Lookup!H$3)),"no url")</f>
        <v>no url</v>
      </c>
    </row>
    <row r="217" spans="1:6" hidden="1" x14ac:dyDescent="0.25">
      <c r="A217" s="2" t="b">
        <f>IF(ISBLANK(InfoGard!D217),FALSE,LOOKUP(InfoGard!D217,Lookup!$A$2:$B$4))</f>
        <v>0</v>
      </c>
      <c r="B217" s="2" t="b">
        <f>IF(ISBLANK(InfoGard!E217),FALSE,RIGHT(TRIM(InfoGard!E217),15))</f>
        <v>0</v>
      </c>
      <c r="C217" s="2" t="b">
        <f>IF(ISBLANK(InfoGard!F217),FALSE,LOOKUP(InfoGard!F217,Lookup!$A$6:$B$7))</f>
        <v>0</v>
      </c>
      <c r="D217" s="2" t="b">
        <f>IF(ISBLANK(InfoGard!G217),FALSE,InfoGard!G217)</f>
        <v>0</v>
      </c>
      <c r="E217" s="2" t="str">
        <f>IF(NOT(ISBLANK(InfoGard!D217)),IF(OR(ISBLANK(InfoGard!E217),InfoGard!E217="N/A"),"no acb code",CONCATENATE(Lookup!F$1,A217,Lookup!G$1,B217,Lookup!H$1,H$1,Lookup!I$1)),"no attestation")</f>
        <v>no attestation</v>
      </c>
      <c r="F217" s="2" t="str">
        <f>IF(AND(NOT(ISBLANK(InfoGard!G217)),InfoGard!G217&lt;&gt;"N/A"),IF(C217="All",CONCATENATE(Lookup!F$2,D217,Lookup!G$2,B217,Lookup!H$2,H$1,Lookup!I$2),CONCATENATE(Lookup!F$3,D217,Lookup!G$3,B217,Lookup!H$3)),"no url")</f>
        <v>no url</v>
      </c>
    </row>
    <row r="218" spans="1:6" hidden="1" x14ac:dyDescent="0.25">
      <c r="A218" s="2" t="b">
        <f>IF(ISBLANK(InfoGard!D218),FALSE,LOOKUP(InfoGard!D218,Lookup!$A$2:$B$4))</f>
        <v>0</v>
      </c>
      <c r="B218" s="2" t="b">
        <f>IF(ISBLANK(InfoGard!E218),FALSE,RIGHT(TRIM(InfoGard!E218),15))</f>
        <v>0</v>
      </c>
      <c r="C218" s="2" t="b">
        <f>IF(ISBLANK(InfoGard!F218),FALSE,LOOKUP(InfoGard!F218,Lookup!$A$6:$B$7))</f>
        <v>0</v>
      </c>
      <c r="D218" s="2" t="b">
        <f>IF(ISBLANK(InfoGard!G218),FALSE,InfoGard!G218)</f>
        <v>0</v>
      </c>
      <c r="E218" s="2" t="str">
        <f>IF(NOT(ISBLANK(InfoGard!D218)),IF(OR(ISBLANK(InfoGard!E218),InfoGard!E218="N/A"),"no acb code",CONCATENATE(Lookup!F$1,A218,Lookup!G$1,B218,Lookup!H$1,H$1,Lookup!I$1)),"no attestation")</f>
        <v>no attestation</v>
      </c>
      <c r="F218" s="2" t="str">
        <f>IF(AND(NOT(ISBLANK(InfoGard!G218)),InfoGard!G218&lt;&gt;"N/A"),IF(C218="All",CONCATENATE(Lookup!F$2,D218,Lookup!G$2,B218,Lookup!H$2,H$1,Lookup!I$2),CONCATENATE(Lookup!F$3,D218,Lookup!G$3,B218,Lookup!H$3)),"no url")</f>
        <v>no url</v>
      </c>
    </row>
    <row r="219" spans="1:6" hidden="1" x14ac:dyDescent="0.25">
      <c r="A219" s="2" t="b">
        <f>IF(ISBLANK(InfoGard!D219),FALSE,LOOKUP(InfoGard!D219,Lookup!$A$2:$B$4))</f>
        <v>0</v>
      </c>
      <c r="B219" s="2" t="b">
        <f>IF(ISBLANK(InfoGard!E219),FALSE,RIGHT(TRIM(InfoGard!E219),15))</f>
        <v>0</v>
      </c>
      <c r="C219" s="2" t="b">
        <f>IF(ISBLANK(InfoGard!F219),FALSE,LOOKUP(InfoGard!F219,Lookup!$A$6:$B$7))</f>
        <v>0</v>
      </c>
      <c r="D219" s="2" t="b">
        <f>IF(ISBLANK(InfoGard!G219),FALSE,InfoGard!G219)</f>
        <v>0</v>
      </c>
      <c r="E219" s="2" t="str">
        <f>IF(NOT(ISBLANK(InfoGard!D219)),IF(OR(ISBLANK(InfoGard!E219),InfoGard!E219="N/A"),"no acb code",CONCATENATE(Lookup!F$1,A219,Lookup!G$1,B219,Lookup!H$1,H$1,Lookup!I$1)),"no attestation")</f>
        <v>no attestation</v>
      </c>
      <c r="F219" s="2" t="str">
        <f>IF(AND(NOT(ISBLANK(InfoGard!G219)),InfoGard!G219&lt;&gt;"N/A"),IF(C219="All",CONCATENATE(Lookup!F$2,D219,Lookup!G$2,B219,Lookup!H$2,H$1,Lookup!I$2),CONCATENATE(Lookup!F$3,D219,Lookup!G$3,B219,Lookup!H$3)),"no url")</f>
        <v>no url</v>
      </c>
    </row>
    <row r="220" spans="1:6" hidden="1" x14ac:dyDescent="0.25">
      <c r="A220" s="2" t="b">
        <f>IF(ISBLANK(InfoGard!D220),FALSE,LOOKUP(InfoGard!D220,Lookup!$A$2:$B$4))</f>
        <v>0</v>
      </c>
      <c r="B220" s="2" t="b">
        <f>IF(ISBLANK(InfoGard!E220),FALSE,RIGHT(TRIM(InfoGard!E220),15))</f>
        <v>0</v>
      </c>
      <c r="C220" s="2" t="b">
        <f>IF(ISBLANK(InfoGard!F220),FALSE,LOOKUP(InfoGard!F220,Lookup!$A$6:$B$7))</f>
        <v>0</v>
      </c>
      <c r="D220" s="2" t="b">
        <f>IF(ISBLANK(InfoGard!G220),FALSE,InfoGard!G220)</f>
        <v>0</v>
      </c>
      <c r="E220" s="2" t="str">
        <f>IF(NOT(ISBLANK(InfoGard!D220)),IF(OR(ISBLANK(InfoGard!E220),InfoGard!E220="N/A"),"no acb code",CONCATENATE(Lookup!F$1,A220,Lookup!G$1,B220,Lookup!H$1,H$1,Lookup!I$1)),"no attestation")</f>
        <v>no attestation</v>
      </c>
      <c r="F220" s="2" t="str">
        <f>IF(AND(NOT(ISBLANK(InfoGard!G220)),InfoGard!G220&lt;&gt;"N/A"),IF(C220="All",CONCATENATE(Lookup!F$2,D220,Lookup!G$2,B220,Lookup!H$2,H$1,Lookup!I$2),CONCATENATE(Lookup!F$3,D220,Lookup!G$3,B220,Lookup!H$3)),"no url")</f>
        <v>no url</v>
      </c>
    </row>
    <row r="221" spans="1:6" hidden="1" x14ac:dyDescent="0.25">
      <c r="A221" s="2" t="b">
        <f>IF(ISBLANK(InfoGard!D221),FALSE,LOOKUP(InfoGard!D221,Lookup!$A$2:$B$4))</f>
        <v>0</v>
      </c>
      <c r="B221" s="2" t="b">
        <f>IF(ISBLANK(InfoGard!E221),FALSE,RIGHT(TRIM(InfoGard!E221),15))</f>
        <v>0</v>
      </c>
      <c r="C221" s="2" t="b">
        <f>IF(ISBLANK(InfoGard!F221),FALSE,LOOKUP(InfoGard!F221,Lookup!$A$6:$B$7))</f>
        <v>0</v>
      </c>
      <c r="D221" s="2" t="b">
        <f>IF(ISBLANK(InfoGard!G221),FALSE,InfoGard!G221)</f>
        <v>0</v>
      </c>
      <c r="E221" s="2" t="str">
        <f>IF(NOT(ISBLANK(InfoGard!D221)),IF(OR(ISBLANK(InfoGard!E221),InfoGard!E221="N/A"),"no acb code",CONCATENATE(Lookup!F$1,A221,Lookup!G$1,B221,Lookup!H$1,H$1,Lookup!I$1)),"no attestation")</f>
        <v>no attestation</v>
      </c>
      <c r="F221" s="2" t="str">
        <f>IF(AND(NOT(ISBLANK(InfoGard!G221)),InfoGard!G221&lt;&gt;"N/A"),IF(C221="All",CONCATENATE(Lookup!F$2,D221,Lookup!G$2,B221,Lookup!H$2,H$1,Lookup!I$2),CONCATENATE(Lookup!F$3,D221,Lookup!G$3,B221,Lookup!H$3)),"no url")</f>
        <v>no url</v>
      </c>
    </row>
    <row r="222" spans="1:6" hidden="1" x14ac:dyDescent="0.25">
      <c r="A222" s="2" t="b">
        <f>IF(ISBLANK(InfoGard!D222),FALSE,LOOKUP(InfoGard!D222,Lookup!$A$2:$B$4))</f>
        <v>0</v>
      </c>
      <c r="B222" s="2" t="b">
        <f>IF(ISBLANK(InfoGard!E222),FALSE,RIGHT(TRIM(InfoGard!E222),15))</f>
        <v>0</v>
      </c>
      <c r="C222" s="2" t="b">
        <f>IF(ISBLANK(InfoGard!F222),FALSE,LOOKUP(InfoGard!F222,Lookup!$A$6:$B$7))</f>
        <v>0</v>
      </c>
      <c r="D222" s="2" t="b">
        <f>IF(ISBLANK(InfoGard!G222),FALSE,InfoGard!G222)</f>
        <v>0</v>
      </c>
      <c r="E222" s="2" t="str">
        <f>IF(NOT(ISBLANK(InfoGard!D222)),IF(OR(ISBLANK(InfoGard!E222),InfoGard!E222="N/A"),"no acb code",CONCATENATE(Lookup!F$1,A222,Lookup!G$1,B222,Lookup!H$1,H$1,Lookup!I$1)),"no attestation")</f>
        <v>no attestation</v>
      </c>
      <c r="F222" s="2" t="str">
        <f>IF(AND(NOT(ISBLANK(InfoGard!G222)),InfoGard!G222&lt;&gt;"N/A"),IF(C222="All",CONCATENATE(Lookup!F$2,D222,Lookup!G$2,B222,Lookup!H$2,H$1,Lookup!I$2),CONCATENATE(Lookup!F$3,D222,Lookup!G$3,B222,Lookup!H$3)),"no url")</f>
        <v>no url</v>
      </c>
    </row>
    <row r="223" spans="1:6" hidden="1" x14ac:dyDescent="0.25">
      <c r="A223" s="2" t="b">
        <f>IF(ISBLANK(InfoGard!D223),FALSE,LOOKUP(InfoGard!D223,Lookup!$A$2:$B$4))</f>
        <v>0</v>
      </c>
      <c r="B223" s="2" t="b">
        <f>IF(ISBLANK(InfoGard!E223),FALSE,RIGHT(TRIM(InfoGard!E223),15))</f>
        <v>0</v>
      </c>
      <c r="C223" s="2" t="b">
        <f>IF(ISBLANK(InfoGard!F223),FALSE,LOOKUP(InfoGard!F223,Lookup!$A$6:$B$7))</f>
        <v>0</v>
      </c>
      <c r="D223" s="2" t="b">
        <f>IF(ISBLANK(InfoGard!G223),FALSE,InfoGard!G223)</f>
        <v>0</v>
      </c>
      <c r="E223" s="2" t="str">
        <f>IF(NOT(ISBLANK(InfoGard!D223)),IF(OR(ISBLANK(InfoGard!E223),InfoGard!E223="N/A"),"no acb code",CONCATENATE(Lookup!F$1,A223,Lookup!G$1,B223,Lookup!H$1,H$1,Lookup!I$1)),"no attestation")</f>
        <v>no attestation</v>
      </c>
      <c r="F223" s="2" t="str">
        <f>IF(AND(NOT(ISBLANK(InfoGard!G223)),InfoGard!G223&lt;&gt;"N/A"),IF(C223="All",CONCATENATE(Lookup!F$2,D223,Lookup!G$2,B223,Lookup!H$2,H$1,Lookup!I$2),CONCATENATE(Lookup!F$3,D223,Lookup!G$3,B223,Lookup!H$3)),"no url")</f>
        <v>no url</v>
      </c>
    </row>
    <row r="224" spans="1:6" hidden="1" x14ac:dyDescent="0.25">
      <c r="A224" s="2" t="b">
        <f>IF(ISBLANK(InfoGard!D224),FALSE,LOOKUP(InfoGard!D224,Lookup!$A$2:$B$4))</f>
        <v>0</v>
      </c>
      <c r="B224" s="2" t="b">
        <f>IF(ISBLANK(InfoGard!E224),FALSE,RIGHT(TRIM(InfoGard!E224),15))</f>
        <v>0</v>
      </c>
      <c r="C224" s="2" t="b">
        <f>IF(ISBLANK(InfoGard!F224),FALSE,LOOKUP(InfoGard!F224,Lookup!$A$6:$B$7))</f>
        <v>0</v>
      </c>
      <c r="D224" s="2" t="b">
        <f>IF(ISBLANK(InfoGard!G224),FALSE,InfoGard!G224)</f>
        <v>0</v>
      </c>
      <c r="E224" s="2" t="str">
        <f>IF(NOT(ISBLANK(InfoGard!D224)),IF(OR(ISBLANK(InfoGard!E224),InfoGard!E224="N/A"),"no acb code",CONCATENATE(Lookup!F$1,A224,Lookup!G$1,B224,Lookup!H$1,H$1,Lookup!I$1)),"no attestation")</f>
        <v>no attestation</v>
      </c>
      <c r="F224" s="2" t="str">
        <f>IF(AND(NOT(ISBLANK(InfoGard!G224)),InfoGard!G224&lt;&gt;"N/A"),IF(C224="All",CONCATENATE(Lookup!F$2,D224,Lookup!G$2,B224,Lookup!H$2,H$1,Lookup!I$2),CONCATENATE(Lookup!F$3,D224,Lookup!G$3,B224,Lookup!H$3)),"no url")</f>
        <v>no url</v>
      </c>
    </row>
    <row r="225" spans="1:6" hidden="1" x14ac:dyDescent="0.25">
      <c r="A225" s="2" t="b">
        <f>IF(ISBLANK(InfoGard!D225),FALSE,LOOKUP(InfoGard!D225,Lookup!$A$2:$B$4))</f>
        <v>0</v>
      </c>
      <c r="B225" s="2" t="b">
        <f>IF(ISBLANK(InfoGard!E225),FALSE,RIGHT(TRIM(InfoGard!E225),15))</f>
        <v>0</v>
      </c>
      <c r="C225" s="2" t="b">
        <f>IF(ISBLANK(InfoGard!F225),FALSE,LOOKUP(InfoGard!F225,Lookup!$A$6:$B$7))</f>
        <v>0</v>
      </c>
      <c r="D225" s="2" t="b">
        <f>IF(ISBLANK(InfoGard!G225),FALSE,InfoGard!G225)</f>
        <v>0</v>
      </c>
      <c r="E225" s="2" t="str">
        <f>IF(NOT(ISBLANK(InfoGard!D225)),IF(OR(ISBLANK(InfoGard!E225),InfoGard!E225="N/A"),"no acb code",CONCATENATE(Lookup!F$1,A225,Lookup!G$1,B225,Lookup!H$1,H$1,Lookup!I$1)),"no attestation")</f>
        <v>no attestation</v>
      </c>
      <c r="F225" s="2" t="str">
        <f>IF(AND(NOT(ISBLANK(InfoGard!G225)),InfoGard!G225&lt;&gt;"N/A"),IF(C225="All",CONCATENATE(Lookup!F$2,D225,Lookup!G$2,B225,Lookup!H$2,H$1,Lookup!I$2),CONCATENATE(Lookup!F$3,D225,Lookup!G$3,B225,Lookup!H$3)),"no url")</f>
        <v>no url</v>
      </c>
    </row>
    <row r="226" spans="1:6" hidden="1" x14ac:dyDescent="0.25">
      <c r="A226" s="2" t="b">
        <f>IF(ISBLANK(InfoGard!D226),FALSE,LOOKUP(InfoGard!D226,Lookup!$A$2:$B$4))</f>
        <v>0</v>
      </c>
      <c r="B226" s="2" t="b">
        <f>IF(ISBLANK(InfoGard!E226),FALSE,RIGHT(TRIM(InfoGard!E226),15))</f>
        <v>0</v>
      </c>
      <c r="C226" s="2" t="b">
        <f>IF(ISBLANK(InfoGard!F226),FALSE,LOOKUP(InfoGard!F226,Lookup!$A$6:$B$7))</f>
        <v>0</v>
      </c>
      <c r="D226" s="2" t="b">
        <f>IF(ISBLANK(InfoGard!G226),FALSE,InfoGard!G226)</f>
        <v>0</v>
      </c>
      <c r="E226" s="2" t="str">
        <f>IF(NOT(ISBLANK(InfoGard!D226)),IF(OR(ISBLANK(InfoGard!E226),InfoGard!E226="N/A"),"no acb code",CONCATENATE(Lookup!F$1,A226,Lookup!G$1,B226,Lookup!H$1,H$1,Lookup!I$1)),"no attestation")</f>
        <v>no attestation</v>
      </c>
      <c r="F226" s="2" t="str">
        <f>IF(AND(NOT(ISBLANK(InfoGard!G226)),InfoGard!G226&lt;&gt;"N/A"),IF(C226="All",CONCATENATE(Lookup!F$2,D226,Lookup!G$2,B226,Lookup!H$2,H$1,Lookup!I$2),CONCATENATE(Lookup!F$3,D226,Lookup!G$3,B226,Lookup!H$3)),"no url")</f>
        <v>no url</v>
      </c>
    </row>
    <row r="227" spans="1:6" hidden="1" x14ac:dyDescent="0.25">
      <c r="A227" s="2" t="b">
        <f>IF(ISBLANK(InfoGard!D227),FALSE,LOOKUP(InfoGard!D227,Lookup!$A$2:$B$4))</f>
        <v>0</v>
      </c>
      <c r="B227" s="2" t="b">
        <f>IF(ISBLANK(InfoGard!E227),FALSE,RIGHT(TRIM(InfoGard!E227),15))</f>
        <v>0</v>
      </c>
      <c r="C227" s="2" t="b">
        <f>IF(ISBLANK(InfoGard!F227),FALSE,LOOKUP(InfoGard!F227,Lookup!$A$6:$B$7))</f>
        <v>0</v>
      </c>
      <c r="D227" s="2" t="b">
        <f>IF(ISBLANK(InfoGard!G227),FALSE,InfoGard!G227)</f>
        <v>0</v>
      </c>
      <c r="E227" s="2" t="str">
        <f>IF(NOT(ISBLANK(InfoGard!D227)),IF(OR(ISBLANK(InfoGard!E227),InfoGard!E227="N/A"),"no acb code",CONCATENATE(Lookup!F$1,A227,Lookup!G$1,B227,Lookup!H$1,H$1,Lookup!I$1)),"no attestation")</f>
        <v>no attestation</v>
      </c>
      <c r="F227" s="2" t="str">
        <f>IF(AND(NOT(ISBLANK(InfoGard!G227)),InfoGard!G227&lt;&gt;"N/A"),IF(C227="All",CONCATENATE(Lookup!F$2,D227,Lookup!G$2,B227,Lookup!H$2,H$1,Lookup!I$2),CONCATENATE(Lookup!F$3,D227,Lookup!G$3,B227,Lookup!H$3)),"no url")</f>
        <v>no url</v>
      </c>
    </row>
    <row r="228" spans="1:6" hidden="1" x14ac:dyDescent="0.25">
      <c r="A228" s="2" t="b">
        <f>IF(ISBLANK(InfoGard!D228),FALSE,LOOKUP(InfoGard!D228,Lookup!$A$2:$B$4))</f>
        <v>0</v>
      </c>
      <c r="B228" s="2" t="b">
        <f>IF(ISBLANK(InfoGard!E228),FALSE,RIGHT(TRIM(InfoGard!E228),15))</f>
        <v>0</v>
      </c>
      <c r="C228" s="2" t="b">
        <f>IF(ISBLANK(InfoGard!F228),FALSE,LOOKUP(InfoGard!F228,Lookup!$A$6:$B$7))</f>
        <v>0</v>
      </c>
      <c r="D228" s="2" t="b">
        <f>IF(ISBLANK(InfoGard!G228),FALSE,InfoGard!G228)</f>
        <v>0</v>
      </c>
      <c r="E228" s="2" t="str">
        <f>IF(NOT(ISBLANK(InfoGard!D228)),IF(OR(ISBLANK(InfoGard!E228),InfoGard!E228="N/A"),"no acb code",CONCATENATE(Lookup!F$1,A228,Lookup!G$1,B228,Lookup!H$1,H$1,Lookup!I$1)),"no attestation")</f>
        <v>no attestation</v>
      </c>
      <c r="F228" s="2" t="str">
        <f>IF(AND(NOT(ISBLANK(InfoGard!G228)),InfoGard!G228&lt;&gt;"N/A"),IF(C228="All",CONCATENATE(Lookup!F$2,D228,Lookup!G$2,B228,Lookup!H$2,H$1,Lookup!I$2),CONCATENATE(Lookup!F$3,D228,Lookup!G$3,B228,Lookup!H$3)),"no url")</f>
        <v>no url</v>
      </c>
    </row>
    <row r="229" spans="1:6" hidden="1" x14ac:dyDescent="0.25">
      <c r="A229" s="2" t="b">
        <f>IF(ISBLANK(InfoGard!D229),FALSE,LOOKUP(InfoGard!D229,Lookup!$A$2:$B$4))</f>
        <v>0</v>
      </c>
      <c r="B229" s="2" t="b">
        <f>IF(ISBLANK(InfoGard!E229),FALSE,RIGHT(TRIM(InfoGard!E229),15))</f>
        <v>0</v>
      </c>
      <c r="C229" s="2" t="b">
        <f>IF(ISBLANK(InfoGard!F229),FALSE,LOOKUP(InfoGard!F229,Lookup!$A$6:$B$7))</f>
        <v>0</v>
      </c>
      <c r="D229" s="2" t="b">
        <f>IF(ISBLANK(InfoGard!G229),FALSE,InfoGard!G229)</f>
        <v>0</v>
      </c>
      <c r="E229" s="2" t="str">
        <f>IF(NOT(ISBLANK(InfoGard!D229)),IF(OR(ISBLANK(InfoGard!E229),InfoGard!E229="N/A"),"no acb code",CONCATENATE(Lookup!F$1,A229,Lookup!G$1,B229,Lookup!H$1,H$1,Lookup!I$1)),"no attestation")</f>
        <v>no attestation</v>
      </c>
      <c r="F229" s="2" t="str">
        <f>IF(AND(NOT(ISBLANK(InfoGard!G229)),InfoGard!G229&lt;&gt;"N/A"),IF(C229="All",CONCATENATE(Lookup!F$2,D229,Lookup!G$2,B229,Lookup!H$2,H$1,Lookup!I$2),CONCATENATE(Lookup!F$3,D229,Lookup!G$3,B229,Lookup!H$3)),"no url")</f>
        <v>no url</v>
      </c>
    </row>
    <row r="230" spans="1:6" hidden="1" x14ac:dyDescent="0.25">
      <c r="A230" s="2" t="b">
        <f>IF(ISBLANK(InfoGard!D230),FALSE,LOOKUP(InfoGard!D230,Lookup!$A$2:$B$4))</f>
        <v>0</v>
      </c>
      <c r="B230" s="2" t="b">
        <f>IF(ISBLANK(InfoGard!E230),FALSE,RIGHT(TRIM(InfoGard!E230),15))</f>
        <v>0</v>
      </c>
      <c r="C230" s="2" t="b">
        <f>IF(ISBLANK(InfoGard!F230),FALSE,LOOKUP(InfoGard!F230,Lookup!$A$6:$B$7))</f>
        <v>0</v>
      </c>
      <c r="D230" s="2" t="b">
        <f>IF(ISBLANK(InfoGard!G230),FALSE,InfoGard!G230)</f>
        <v>0</v>
      </c>
      <c r="E230" s="2" t="str">
        <f>IF(NOT(ISBLANK(InfoGard!D230)),IF(OR(ISBLANK(InfoGard!E230),InfoGard!E230="N/A"),"no acb code",CONCATENATE(Lookup!F$1,A230,Lookup!G$1,B230,Lookup!H$1,H$1,Lookup!I$1)),"no attestation")</f>
        <v>no attestation</v>
      </c>
      <c r="F230" s="2" t="str">
        <f>IF(AND(NOT(ISBLANK(InfoGard!G230)),InfoGard!G230&lt;&gt;"N/A"),IF(C230="All",CONCATENATE(Lookup!F$2,D230,Lookup!G$2,B230,Lookup!H$2,H$1,Lookup!I$2),CONCATENATE(Lookup!F$3,D230,Lookup!G$3,B230,Lookup!H$3)),"no url")</f>
        <v>no url</v>
      </c>
    </row>
    <row r="231" spans="1:6" hidden="1" x14ac:dyDescent="0.25">
      <c r="A231" s="2" t="b">
        <f>IF(ISBLANK(InfoGard!D231),FALSE,LOOKUP(InfoGard!D231,Lookup!$A$2:$B$4))</f>
        <v>0</v>
      </c>
      <c r="B231" s="2" t="b">
        <f>IF(ISBLANK(InfoGard!E231),FALSE,RIGHT(TRIM(InfoGard!E231),15))</f>
        <v>0</v>
      </c>
      <c r="C231" s="2" t="b">
        <f>IF(ISBLANK(InfoGard!F231),FALSE,LOOKUP(InfoGard!F231,Lookup!$A$6:$B$7))</f>
        <v>0</v>
      </c>
      <c r="D231" s="2" t="b">
        <f>IF(ISBLANK(InfoGard!G231),FALSE,InfoGard!G231)</f>
        <v>0</v>
      </c>
      <c r="E231" s="2" t="str">
        <f>IF(NOT(ISBLANK(InfoGard!D231)),IF(OR(ISBLANK(InfoGard!E231),InfoGard!E231="N/A"),"no acb code",CONCATENATE(Lookup!F$1,A231,Lookup!G$1,B231,Lookup!H$1,H$1,Lookup!I$1)),"no attestation")</f>
        <v>no attestation</v>
      </c>
      <c r="F231" s="2" t="str">
        <f>IF(AND(NOT(ISBLANK(InfoGard!G231)),InfoGard!G231&lt;&gt;"N/A"),IF(C231="All",CONCATENATE(Lookup!F$2,D231,Lookup!G$2,B231,Lookup!H$2,H$1,Lookup!I$2),CONCATENATE(Lookup!F$3,D231,Lookup!G$3,B231,Lookup!H$3)),"no url")</f>
        <v>no url</v>
      </c>
    </row>
    <row r="232" spans="1:6" hidden="1" x14ac:dyDescent="0.25">
      <c r="A232" s="2" t="b">
        <f>IF(ISBLANK(InfoGard!D232),FALSE,LOOKUP(InfoGard!D232,Lookup!$A$2:$B$4))</f>
        <v>0</v>
      </c>
      <c r="B232" s="2" t="b">
        <f>IF(ISBLANK(InfoGard!E232),FALSE,RIGHT(TRIM(InfoGard!E232),15))</f>
        <v>0</v>
      </c>
      <c r="C232" s="2" t="b">
        <f>IF(ISBLANK(InfoGard!F232),FALSE,LOOKUP(InfoGard!F232,Lookup!$A$6:$B$7))</f>
        <v>0</v>
      </c>
      <c r="D232" s="2" t="b">
        <f>IF(ISBLANK(InfoGard!G232),FALSE,InfoGard!G232)</f>
        <v>0</v>
      </c>
      <c r="E232" s="2" t="str">
        <f>IF(NOT(ISBLANK(InfoGard!D232)),IF(OR(ISBLANK(InfoGard!E232),InfoGard!E232="N/A"),"no acb code",CONCATENATE(Lookup!F$1,A232,Lookup!G$1,B232,Lookup!H$1,H$1,Lookup!I$1)),"no attestation")</f>
        <v>no attestation</v>
      </c>
      <c r="F232" s="2" t="str">
        <f>IF(AND(NOT(ISBLANK(InfoGard!G232)),InfoGard!G232&lt;&gt;"N/A"),IF(C232="All",CONCATENATE(Lookup!F$2,D232,Lookup!G$2,B232,Lookup!H$2,H$1,Lookup!I$2),CONCATENATE(Lookup!F$3,D232,Lookup!G$3,B232,Lookup!H$3)),"no url")</f>
        <v>no url</v>
      </c>
    </row>
    <row r="233" spans="1:6" hidden="1" x14ac:dyDescent="0.25">
      <c r="A233" s="2" t="b">
        <f>IF(ISBLANK(InfoGard!D233),FALSE,LOOKUP(InfoGard!D233,Lookup!$A$2:$B$4))</f>
        <v>0</v>
      </c>
      <c r="B233" s="2" t="b">
        <f>IF(ISBLANK(InfoGard!E233),FALSE,RIGHT(TRIM(InfoGard!E233),15))</f>
        <v>0</v>
      </c>
      <c r="C233" s="2" t="b">
        <f>IF(ISBLANK(InfoGard!F233),FALSE,LOOKUP(InfoGard!F233,Lookup!$A$6:$B$7))</f>
        <v>0</v>
      </c>
      <c r="D233" s="2" t="b">
        <f>IF(ISBLANK(InfoGard!G233),FALSE,InfoGard!G233)</f>
        <v>0</v>
      </c>
      <c r="E233" s="2" t="str">
        <f>IF(NOT(ISBLANK(InfoGard!D233)),IF(OR(ISBLANK(InfoGard!E233),InfoGard!E233="N/A"),"no acb code",CONCATENATE(Lookup!F$1,A233,Lookup!G$1,B233,Lookup!H$1,H$1,Lookup!I$1)),"no attestation")</f>
        <v>no attestation</v>
      </c>
      <c r="F233" s="2" t="str">
        <f>IF(AND(NOT(ISBLANK(InfoGard!G233)),InfoGard!G233&lt;&gt;"N/A"),IF(C233="All",CONCATENATE(Lookup!F$2,D233,Lookup!G$2,B233,Lookup!H$2,H$1,Lookup!I$2),CONCATENATE(Lookup!F$3,D233,Lookup!G$3,B233,Lookup!H$3)),"no url")</f>
        <v>no url</v>
      </c>
    </row>
    <row r="234" spans="1:6" hidden="1" x14ac:dyDescent="0.25">
      <c r="A234" s="2" t="b">
        <f>IF(ISBLANK(InfoGard!D234),FALSE,LOOKUP(InfoGard!D234,Lookup!$A$2:$B$4))</f>
        <v>0</v>
      </c>
      <c r="B234" s="2" t="b">
        <f>IF(ISBLANK(InfoGard!E234),FALSE,RIGHT(TRIM(InfoGard!E234),15))</f>
        <v>0</v>
      </c>
      <c r="C234" s="2" t="b">
        <f>IF(ISBLANK(InfoGard!F234),FALSE,LOOKUP(InfoGard!F234,Lookup!$A$6:$B$7))</f>
        <v>0</v>
      </c>
      <c r="D234" s="2" t="b">
        <f>IF(ISBLANK(InfoGard!G234),FALSE,InfoGard!G234)</f>
        <v>0</v>
      </c>
      <c r="E234" s="2" t="str">
        <f>IF(NOT(ISBLANK(InfoGard!D234)),IF(OR(ISBLANK(InfoGard!E234),InfoGard!E234="N/A"),"no acb code",CONCATENATE(Lookup!F$1,A234,Lookup!G$1,B234,Lookup!H$1,H$1,Lookup!I$1)),"no attestation")</f>
        <v>no attestation</v>
      </c>
      <c r="F234" s="2" t="str">
        <f>IF(AND(NOT(ISBLANK(InfoGard!G234)),InfoGard!G234&lt;&gt;"N/A"),IF(C234="All",CONCATENATE(Lookup!F$2,D234,Lookup!G$2,B234,Lookup!H$2,H$1,Lookup!I$2),CONCATENATE(Lookup!F$3,D234,Lookup!G$3,B234,Lookup!H$3)),"no url")</f>
        <v>no url</v>
      </c>
    </row>
    <row r="235" spans="1:6" hidden="1" x14ac:dyDescent="0.25">
      <c r="A235" s="2" t="b">
        <f>IF(ISBLANK(InfoGard!D235),FALSE,LOOKUP(InfoGard!D235,Lookup!$A$2:$B$4))</f>
        <v>0</v>
      </c>
      <c r="B235" s="2" t="b">
        <f>IF(ISBLANK(InfoGard!E235),FALSE,RIGHT(TRIM(InfoGard!E235),15))</f>
        <v>0</v>
      </c>
      <c r="C235" s="2" t="b">
        <f>IF(ISBLANK(InfoGard!F235),FALSE,LOOKUP(InfoGard!F235,Lookup!$A$6:$B$7))</f>
        <v>0</v>
      </c>
      <c r="D235" s="2" t="b">
        <f>IF(ISBLANK(InfoGard!G235),FALSE,InfoGard!G235)</f>
        <v>0</v>
      </c>
      <c r="E235" s="2" t="str">
        <f>IF(NOT(ISBLANK(InfoGard!D235)),IF(OR(ISBLANK(InfoGard!E235),InfoGard!E235="N/A"),"no acb code",CONCATENATE(Lookup!F$1,A235,Lookup!G$1,B235,Lookup!H$1,H$1,Lookup!I$1)),"no attestation")</f>
        <v>no attestation</v>
      </c>
      <c r="F235" s="2" t="str">
        <f>IF(AND(NOT(ISBLANK(InfoGard!G235)),InfoGard!G235&lt;&gt;"N/A"),IF(C235="All",CONCATENATE(Lookup!F$2,D235,Lookup!G$2,B235,Lookup!H$2,H$1,Lookup!I$2),CONCATENATE(Lookup!F$3,D235,Lookup!G$3,B235,Lookup!H$3)),"no url")</f>
        <v>no url</v>
      </c>
    </row>
    <row r="236" spans="1:6" hidden="1" x14ac:dyDescent="0.25">
      <c r="A236" s="2" t="b">
        <f>IF(ISBLANK(InfoGard!D236),FALSE,LOOKUP(InfoGard!D236,Lookup!$A$2:$B$4))</f>
        <v>0</v>
      </c>
      <c r="B236" s="2" t="b">
        <f>IF(ISBLANK(InfoGard!E236),FALSE,RIGHT(TRIM(InfoGard!E236),15))</f>
        <v>0</v>
      </c>
      <c r="C236" s="2" t="b">
        <f>IF(ISBLANK(InfoGard!F236),FALSE,LOOKUP(InfoGard!F236,Lookup!$A$6:$B$7))</f>
        <v>0</v>
      </c>
      <c r="D236" s="2" t="b">
        <f>IF(ISBLANK(InfoGard!G236),FALSE,InfoGard!G236)</f>
        <v>0</v>
      </c>
      <c r="E236" s="2" t="str">
        <f>IF(NOT(ISBLANK(InfoGard!D236)),IF(OR(ISBLANK(InfoGard!E236),InfoGard!E236="N/A"),"no acb code",CONCATENATE(Lookup!F$1,A236,Lookup!G$1,B236,Lookup!H$1,H$1,Lookup!I$1)),"no attestation")</f>
        <v>no attestation</v>
      </c>
      <c r="F236" s="2" t="str">
        <f>IF(AND(NOT(ISBLANK(InfoGard!G236)),InfoGard!G236&lt;&gt;"N/A"),IF(C236="All",CONCATENATE(Lookup!F$2,D236,Lookup!G$2,B236,Lookup!H$2,H$1,Lookup!I$2),CONCATENATE(Lookup!F$3,D236,Lookup!G$3,B236,Lookup!H$3)),"no url")</f>
        <v>no url</v>
      </c>
    </row>
    <row r="237" spans="1:6" hidden="1" x14ac:dyDescent="0.25">
      <c r="A237" s="2" t="b">
        <f>IF(ISBLANK(InfoGard!D237),FALSE,LOOKUP(InfoGard!D237,Lookup!$A$2:$B$4))</f>
        <v>0</v>
      </c>
      <c r="B237" s="2" t="b">
        <f>IF(ISBLANK(InfoGard!E237),FALSE,RIGHT(TRIM(InfoGard!E237),15))</f>
        <v>0</v>
      </c>
      <c r="C237" s="2" t="b">
        <f>IF(ISBLANK(InfoGard!F237),FALSE,LOOKUP(InfoGard!F237,Lookup!$A$6:$B$7))</f>
        <v>0</v>
      </c>
      <c r="D237" s="2" t="b">
        <f>IF(ISBLANK(InfoGard!G237),FALSE,InfoGard!G237)</f>
        <v>0</v>
      </c>
      <c r="E237" s="2" t="str">
        <f>IF(NOT(ISBLANK(InfoGard!D237)),IF(OR(ISBLANK(InfoGard!E237),InfoGard!E237="N/A"),"no acb code",CONCATENATE(Lookup!F$1,A237,Lookup!G$1,B237,Lookup!H$1,H$1,Lookup!I$1)),"no attestation")</f>
        <v>no attestation</v>
      </c>
      <c r="F237" s="2" t="str">
        <f>IF(AND(NOT(ISBLANK(InfoGard!G237)),InfoGard!G237&lt;&gt;"N/A"),IF(C237="All",CONCATENATE(Lookup!F$2,D237,Lookup!G$2,B237,Lookup!H$2,H$1,Lookup!I$2),CONCATENATE(Lookup!F$3,D237,Lookup!G$3,B237,Lookup!H$3)),"no url")</f>
        <v>no url</v>
      </c>
    </row>
    <row r="238" spans="1:6" hidden="1" x14ac:dyDescent="0.25">
      <c r="A238" s="2" t="b">
        <f>IF(ISBLANK(InfoGard!D238),FALSE,LOOKUP(InfoGard!D238,Lookup!$A$2:$B$4))</f>
        <v>0</v>
      </c>
      <c r="B238" s="2" t="b">
        <f>IF(ISBLANK(InfoGard!E238),FALSE,RIGHT(TRIM(InfoGard!E238),15))</f>
        <v>0</v>
      </c>
      <c r="C238" s="2" t="b">
        <f>IF(ISBLANK(InfoGard!F238),FALSE,LOOKUP(InfoGard!F238,Lookup!$A$6:$B$7))</f>
        <v>0</v>
      </c>
      <c r="D238" s="2" t="b">
        <f>IF(ISBLANK(InfoGard!G238),FALSE,InfoGard!G238)</f>
        <v>0</v>
      </c>
      <c r="E238" s="2" t="str">
        <f>IF(NOT(ISBLANK(InfoGard!D238)),IF(OR(ISBLANK(InfoGard!E238),InfoGard!E238="N/A"),"no acb code",CONCATENATE(Lookup!F$1,A238,Lookup!G$1,B238,Lookup!H$1,H$1,Lookup!I$1)),"no attestation")</f>
        <v>no attestation</v>
      </c>
      <c r="F238" s="2" t="str">
        <f>IF(AND(NOT(ISBLANK(InfoGard!G238)),InfoGard!G238&lt;&gt;"N/A"),IF(C238="All",CONCATENATE(Lookup!F$2,D238,Lookup!G$2,B238,Lookup!H$2,H$1,Lookup!I$2),CONCATENATE(Lookup!F$3,D238,Lookup!G$3,B238,Lookup!H$3)),"no url")</f>
        <v>no url</v>
      </c>
    </row>
    <row r="239" spans="1:6" hidden="1" x14ac:dyDescent="0.25">
      <c r="A239" s="2" t="b">
        <f>IF(ISBLANK(InfoGard!D239),FALSE,LOOKUP(InfoGard!D239,Lookup!$A$2:$B$4))</f>
        <v>0</v>
      </c>
      <c r="B239" s="2" t="b">
        <f>IF(ISBLANK(InfoGard!E239),FALSE,RIGHT(TRIM(InfoGard!E239),15))</f>
        <v>0</v>
      </c>
      <c r="C239" s="2" t="b">
        <f>IF(ISBLANK(InfoGard!F239),FALSE,LOOKUP(InfoGard!F239,Lookup!$A$6:$B$7))</f>
        <v>0</v>
      </c>
      <c r="D239" s="2" t="b">
        <f>IF(ISBLANK(InfoGard!G239),FALSE,InfoGard!G239)</f>
        <v>0</v>
      </c>
      <c r="E239" s="2" t="str">
        <f>IF(NOT(ISBLANK(InfoGard!D239)),IF(OR(ISBLANK(InfoGard!E239),InfoGard!E239="N/A"),"no acb code",CONCATENATE(Lookup!F$1,A239,Lookup!G$1,B239,Lookup!H$1,H$1,Lookup!I$1)),"no attestation")</f>
        <v>no attestation</v>
      </c>
      <c r="F239" s="2" t="str">
        <f>IF(AND(NOT(ISBLANK(InfoGard!G239)),InfoGard!G239&lt;&gt;"N/A"),IF(C239="All",CONCATENATE(Lookup!F$2,D239,Lookup!G$2,B239,Lookup!H$2,H$1,Lookup!I$2),CONCATENATE(Lookup!F$3,D239,Lookup!G$3,B239,Lookup!H$3)),"no url")</f>
        <v>no url</v>
      </c>
    </row>
    <row r="240" spans="1:6" hidden="1" x14ac:dyDescent="0.25">
      <c r="A240" s="2" t="b">
        <f>IF(ISBLANK(InfoGard!D240),FALSE,LOOKUP(InfoGard!D240,Lookup!$A$2:$B$4))</f>
        <v>0</v>
      </c>
      <c r="B240" s="2" t="b">
        <f>IF(ISBLANK(InfoGard!E240),FALSE,RIGHT(TRIM(InfoGard!E240),15))</f>
        <v>0</v>
      </c>
      <c r="C240" s="2" t="b">
        <f>IF(ISBLANK(InfoGard!F240),FALSE,LOOKUP(InfoGard!F240,Lookup!$A$6:$B$7))</f>
        <v>0</v>
      </c>
      <c r="D240" s="2" t="b">
        <f>IF(ISBLANK(InfoGard!G240),FALSE,InfoGard!G240)</f>
        <v>0</v>
      </c>
      <c r="E240" s="2" t="str">
        <f>IF(NOT(ISBLANK(InfoGard!D240)),IF(OR(ISBLANK(InfoGard!E240),InfoGard!E240="N/A"),"no acb code",CONCATENATE(Lookup!F$1,A240,Lookup!G$1,B240,Lookup!H$1,H$1,Lookup!I$1)),"no attestation")</f>
        <v>no attestation</v>
      </c>
      <c r="F240" s="2" t="str">
        <f>IF(AND(NOT(ISBLANK(InfoGard!G240)),InfoGard!G240&lt;&gt;"N/A"),IF(C240="All",CONCATENATE(Lookup!F$2,D240,Lookup!G$2,B240,Lookup!H$2,H$1,Lookup!I$2),CONCATENATE(Lookup!F$3,D240,Lookup!G$3,B240,Lookup!H$3)),"no url")</f>
        <v>no url</v>
      </c>
    </row>
    <row r="241" spans="1:6" hidden="1" x14ac:dyDescent="0.25">
      <c r="A241" s="2" t="b">
        <f>IF(ISBLANK(InfoGard!D241),FALSE,LOOKUP(InfoGard!D241,Lookup!$A$2:$B$4))</f>
        <v>0</v>
      </c>
      <c r="B241" s="2" t="b">
        <f>IF(ISBLANK(InfoGard!E241),FALSE,RIGHT(TRIM(InfoGard!E241),15))</f>
        <v>0</v>
      </c>
      <c r="C241" s="2" t="b">
        <f>IF(ISBLANK(InfoGard!F241),FALSE,LOOKUP(InfoGard!F241,Lookup!$A$6:$B$7))</f>
        <v>0</v>
      </c>
      <c r="D241" s="2" t="b">
        <f>IF(ISBLANK(InfoGard!G241),FALSE,InfoGard!G241)</f>
        <v>0</v>
      </c>
      <c r="E241" s="2" t="str">
        <f>IF(NOT(ISBLANK(InfoGard!D241)),IF(OR(ISBLANK(InfoGard!E241),InfoGard!E241="N/A"),"no acb code",CONCATENATE(Lookup!F$1,A241,Lookup!G$1,B241,Lookup!H$1,H$1,Lookup!I$1)),"no attestation")</f>
        <v>no attestation</v>
      </c>
      <c r="F241" s="2" t="str">
        <f>IF(AND(NOT(ISBLANK(InfoGard!G241)),InfoGard!G241&lt;&gt;"N/A"),IF(C241="All",CONCATENATE(Lookup!F$2,D241,Lookup!G$2,B241,Lookup!H$2,H$1,Lookup!I$2),CONCATENATE(Lookup!F$3,D241,Lookup!G$3,B241,Lookup!H$3)),"no url")</f>
        <v>no url</v>
      </c>
    </row>
    <row r="242" spans="1:6" hidden="1" x14ac:dyDescent="0.25">
      <c r="A242" s="2" t="b">
        <f>IF(ISBLANK(InfoGard!D242),FALSE,LOOKUP(InfoGard!D242,Lookup!$A$2:$B$4))</f>
        <v>0</v>
      </c>
      <c r="B242" s="2" t="b">
        <f>IF(ISBLANK(InfoGard!E242),FALSE,RIGHT(TRIM(InfoGard!E242),15))</f>
        <v>0</v>
      </c>
      <c r="C242" s="2" t="b">
        <f>IF(ISBLANK(InfoGard!F242),FALSE,LOOKUP(InfoGard!F242,Lookup!$A$6:$B$7))</f>
        <v>0</v>
      </c>
      <c r="D242" s="2" t="b">
        <f>IF(ISBLANK(InfoGard!G242),FALSE,InfoGard!G242)</f>
        <v>0</v>
      </c>
      <c r="E242" s="2" t="str">
        <f>IF(NOT(ISBLANK(InfoGard!D242)),IF(OR(ISBLANK(InfoGard!E242),InfoGard!E242="N/A"),"no acb code",CONCATENATE(Lookup!F$1,A242,Lookup!G$1,B242,Lookup!H$1,H$1,Lookup!I$1)),"no attestation")</f>
        <v>no attestation</v>
      </c>
      <c r="F242" s="2" t="str">
        <f>IF(AND(NOT(ISBLANK(InfoGard!G242)),InfoGard!G242&lt;&gt;"N/A"),IF(C242="All",CONCATENATE(Lookup!F$2,D242,Lookup!G$2,B242,Lookup!H$2,H$1,Lookup!I$2),CONCATENATE(Lookup!F$3,D242,Lookup!G$3,B242,Lookup!H$3)),"no url")</f>
        <v>no url</v>
      </c>
    </row>
    <row r="243" spans="1:6" hidden="1" x14ac:dyDescent="0.25">
      <c r="A243" s="2" t="b">
        <f>IF(ISBLANK(InfoGard!D243),FALSE,LOOKUP(InfoGard!D243,Lookup!$A$2:$B$4))</f>
        <v>0</v>
      </c>
      <c r="B243" s="2" t="b">
        <f>IF(ISBLANK(InfoGard!E243),FALSE,RIGHT(TRIM(InfoGard!E243),15))</f>
        <v>0</v>
      </c>
      <c r="C243" s="2" t="b">
        <f>IF(ISBLANK(InfoGard!F243),FALSE,LOOKUP(InfoGard!F243,Lookup!$A$6:$B$7))</f>
        <v>0</v>
      </c>
      <c r="D243" s="2" t="b">
        <f>IF(ISBLANK(InfoGard!G243),FALSE,InfoGard!G243)</f>
        <v>0</v>
      </c>
      <c r="E243" s="2" t="str">
        <f>IF(NOT(ISBLANK(InfoGard!D243)),IF(OR(ISBLANK(InfoGard!E243),InfoGard!E243="N/A"),"no acb code",CONCATENATE(Lookup!F$1,A243,Lookup!G$1,B243,Lookup!H$1,H$1,Lookup!I$1)),"no attestation")</f>
        <v>no attestation</v>
      </c>
      <c r="F243" s="2" t="str">
        <f>IF(AND(NOT(ISBLANK(InfoGard!G243)),InfoGard!G243&lt;&gt;"N/A"),IF(C243="All",CONCATENATE(Lookup!F$2,D243,Lookup!G$2,B243,Lookup!H$2,H$1,Lookup!I$2),CONCATENATE(Lookup!F$3,D243,Lookup!G$3,B243,Lookup!H$3)),"no url")</f>
        <v>no url</v>
      </c>
    </row>
    <row r="244" spans="1:6" hidden="1" x14ac:dyDescent="0.25">
      <c r="A244" s="2" t="b">
        <f>IF(ISBLANK(InfoGard!D244),FALSE,LOOKUP(InfoGard!D244,Lookup!$A$2:$B$4))</f>
        <v>0</v>
      </c>
      <c r="B244" s="2" t="b">
        <f>IF(ISBLANK(InfoGard!E244),FALSE,RIGHT(TRIM(InfoGard!E244),15))</f>
        <v>0</v>
      </c>
      <c r="C244" s="2" t="b">
        <f>IF(ISBLANK(InfoGard!F244),FALSE,LOOKUP(InfoGard!F244,Lookup!$A$6:$B$7))</f>
        <v>0</v>
      </c>
      <c r="D244" s="2" t="b">
        <f>IF(ISBLANK(InfoGard!G244),FALSE,InfoGard!G244)</f>
        <v>0</v>
      </c>
      <c r="E244" s="2" t="str">
        <f>IF(NOT(ISBLANK(InfoGard!D244)),IF(OR(ISBLANK(InfoGard!E244),InfoGard!E244="N/A"),"no acb code",CONCATENATE(Lookup!F$1,A244,Lookup!G$1,B244,Lookup!H$1,H$1,Lookup!I$1)),"no attestation")</f>
        <v>no attestation</v>
      </c>
      <c r="F244" s="2" t="str">
        <f>IF(AND(NOT(ISBLANK(InfoGard!G244)),InfoGard!G244&lt;&gt;"N/A"),IF(C244="All",CONCATENATE(Lookup!F$2,D244,Lookup!G$2,B244,Lookup!H$2,H$1,Lookup!I$2),CONCATENATE(Lookup!F$3,D244,Lookup!G$3,B244,Lookup!H$3)),"no url")</f>
        <v>no url</v>
      </c>
    </row>
    <row r="245" spans="1:6" hidden="1" x14ac:dyDescent="0.25">
      <c r="A245" s="2" t="b">
        <f>IF(ISBLANK(InfoGard!D245),FALSE,LOOKUP(InfoGard!D245,Lookup!$A$2:$B$4))</f>
        <v>0</v>
      </c>
      <c r="B245" s="2" t="b">
        <f>IF(ISBLANK(InfoGard!E245),FALSE,RIGHT(TRIM(InfoGard!E245),15))</f>
        <v>0</v>
      </c>
      <c r="C245" s="2" t="b">
        <f>IF(ISBLANK(InfoGard!F245),FALSE,LOOKUP(InfoGard!F245,Lookup!$A$6:$B$7))</f>
        <v>0</v>
      </c>
      <c r="D245" s="2" t="b">
        <f>IF(ISBLANK(InfoGard!G245),FALSE,InfoGard!G245)</f>
        <v>0</v>
      </c>
      <c r="E245" s="2" t="str">
        <f>IF(NOT(ISBLANK(InfoGard!D245)),IF(OR(ISBLANK(InfoGard!E245),InfoGard!E245="N/A"),"no acb code",CONCATENATE(Lookup!F$1,A245,Lookup!G$1,B245,Lookup!H$1,H$1,Lookup!I$1)),"no attestation")</f>
        <v>no attestation</v>
      </c>
      <c r="F245" s="2" t="str">
        <f>IF(AND(NOT(ISBLANK(InfoGard!G245)),InfoGard!G245&lt;&gt;"N/A"),IF(C245="All",CONCATENATE(Lookup!F$2,D245,Lookup!G$2,B245,Lookup!H$2,H$1,Lookup!I$2),CONCATENATE(Lookup!F$3,D245,Lookup!G$3,B245,Lookup!H$3)),"no url")</f>
        <v>no url</v>
      </c>
    </row>
    <row r="246" spans="1:6" hidden="1" x14ac:dyDescent="0.25">
      <c r="A246" s="2" t="b">
        <f>IF(ISBLANK(InfoGard!D246),FALSE,LOOKUP(InfoGard!D246,Lookup!$A$2:$B$4))</f>
        <v>0</v>
      </c>
      <c r="B246" s="2" t="b">
        <f>IF(ISBLANK(InfoGard!E246),FALSE,RIGHT(TRIM(InfoGard!E246),15))</f>
        <v>0</v>
      </c>
      <c r="C246" s="2" t="b">
        <f>IF(ISBLANK(InfoGard!F246),FALSE,LOOKUP(InfoGard!F246,Lookup!$A$6:$B$7))</f>
        <v>0</v>
      </c>
      <c r="D246" s="2" t="b">
        <f>IF(ISBLANK(InfoGard!G246),FALSE,InfoGard!G246)</f>
        <v>0</v>
      </c>
      <c r="E246" s="2" t="str">
        <f>IF(NOT(ISBLANK(InfoGard!D246)),IF(OR(ISBLANK(InfoGard!E246),InfoGard!E246="N/A"),"no acb code",CONCATENATE(Lookup!F$1,A246,Lookup!G$1,B246,Lookup!H$1,H$1,Lookup!I$1)),"no attestation")</f>
        <v>no attestation</v>
      </c>
      <c r="F246" s="2" t="str">
        <f>IF(AND(NOT(ISBLANK(InfoGard!G246)),InfoGard!G246&lt;&gt;"N/A"),IF(C246="All",CONCATENATE(Lookup!F$2,D246,Lookup!G$2,B246,Lookup!H$2,H$1,Lookup!I$2),CONCATENATE(Lookup!F$3,D246,Lookup!G$3,B246,Lookup!H$3)),"no url")</f>
        <v>no url</v>
      </c>
    </row>
    <row r="247" spans="1:6" hidden="1" x14ac:dyDescent="0.25">
      <c r="A247" s="2" t="b">
        <f>IF(ISBLANK(InfoGard!D247),FALSE,LOOKUP(InfoGard!D247,Lookup!$A$2:$B$4))</f>
        <v>0</v>
      </c>
      <c r="B247" s="2" t="b">
        <f>IF(ISBLANK(InfoGard!E247),FALSE,RIGHT(TRIM(InfoGard!E247),15))</f>
        <v>0</v>
      </c>
      <c r="C247" s="2" t="b">
        <f>IF(ISBLANK(InfoGard!F247),FALSE,LOOKUP(InfoGard!F247,Lookup!$A$6:$B$7))</f>
        <v>0</v>
      </c>
      <c r="D247" s="2" t="b">
        <f>IF(ISBLANK(InfoGard!G247),FALSE,InfoGard!G247)</f>
        <v>0</v>
      </c>
      <c r="E247" s="2" t="str">
        <f>IF(NOT(ISBLANK(InfoGard!D247)),IF(OR(ISBLANK(InfoGard!E247),InfoGard!E247="N/A"),"no acb code",CONCATENATE(Lookup!F$1,A247,Lookup!G$1,B247,Lookup!H$1,H$1,Lookup!I$1)),"no attestation")</f>
        <v>no attestation</v>
      </c>
      <c r="F247" s="2" t="str">
        <f>IF(AND(NOT(ISBLANK(InfoGard!G247)),InfoGard!G247&lt;&gt;"N/A"),IF(C247="All",CONCATENATE(Lookup!F$2,D247,Lookup!G$2,B247,Lookup!H$2,H$1,Lookup!I$2),CONCATENATE(Lookup!F$3,D247,Lookup!G$3,B247,Lookup!H$3)),"no url")</f>
        <v>no url</v>
      </c>
    </row>
    <row r="248" spans="1:6" hidden="1" x14ac:dyDescent="0.25">
      <c r="A248" s="2" t="b">
        <f>IF(ISBLANK(InfoGard!D248),FALSE,LOOKUP(InfoGard!D248,Lookup!$A$2:$B$4))</f>
        <v>0</v>
      </c>
      <c r="B248" s="2" t="b">
        <f>IF(ISBLANK(InfoGard!E248),FALSE,RIGHT(TRIM(InfoGard!E248),15))</f>
        <v>0</v>
      </c>
      <c r="C248" s="2" t="b">
        <f>IF(ISBLANK(InfoGard!F248),FALSE,LOOKUP(InfoGard!F248,Lookup!$A$6:$B$7))</f>
        <v>0</v>
      </c>
      <c r="D248" s="2" t="b">
        <f>IF(ISBLANK(InfoGard!G248),FALSE,InfoGard!G248)</f>
        <v>0</v>
      </c>
      <c r="E248" s="2" t="str">
        <f>IF(NOT(ISBLANK(InfoGard!D248)),IF(OR(ISBLANK(InfoGard!E248),InfoGard!E248="N/A"),"no acb code",CONCATENATE(Lookup!F$1,A248,Lookup!G$1,B248,Lookup!H$1,H$1,Lookup!I$1)),"no attestation")</f>
        <v>no attestation</v>
      </c>
      <c r="F248" s="2" t="str">
        <f>IF(AND(NOT(ISBLANK(InfoGard!G248)),InfoGard!G248&lt;&gt;"N/A"),IF(C248="All",CONCATENATE(Lookup!F$2,D248,Lookup!G$2,B248,Lookup!H$2,H$1,Lookup!I$2),CONCATENATE(Lookup!F$3,D248,Lookup!G$3,B248,Lookup!H$3)),"no url")</f>
        <v>no url</v>
      </c>
    </row>
    <row r="249" spans="1:6" hidden="1" x14ac:dyDescent="0.25">
      <c r="A249" s="2" t="b">
        <f>IF(ISBLANK(InfoGard!D249),FALSE,LOOKUP(InfoGard!D249,Lookup!$A$2:$B$4))</f>
        <v>0</v>
      </c>
      <c r="B249" s="2" t="b">
        <f>IF(ISBLANK(InfoGard!E249),FALSE,RIGHT(TRIM(InfoGard!E249),15))</f>
        <v>0</v>
      </c>
      <c r="C249" s="2" t="b">
        <f>IF(ISBLANK(InfoGard!F249),FALSE,LOOKUP(InfoGard!F249,Lookup!$A$6:$B$7))</f>
        <v>0</v>
      </c>
      <c r="D249" s="2" t="b">
        <f>IF(ISBLANK(InfoGard!G249),FALSE,InfoGard!G249)</f>
        <v>0</v>
      </c>
      <c r="E249" s="2" t="str">
        <f>IF(NOT(ISBLANK(InfoGard!D249)),IF(OR(ISBLANK(InfoGard!E249),InfoGard!E249="N/A"),"no acb code",CONCATENATE(Lookup!F$1,A249,Lookup!G$1,B249,Lookup!H$1,H$1,Lookup!I$1)),"no attestation")</f>
        <v>no attestation</v>
      </c>
      <c r="F249" s="2" t="str">
        <f>IF(AND(NOT(ISBLANK(InfoGard!G249)),InfoGard!G249&lt;&gt;"N/A"),IF(C249="All",CONCATENATE(Lookup!F$2,D249,Lookup!G$2,B249,Lookup!H$2,H$1,Lookup!I$2),CONCATENATE(Lookup!F$3,D249,Lookup!G$3,B249,Lookup!H$3)),"no url")</f>
        <v>no url</v>
      </c>
    </row>
    <row r="250" spans="1:6" hidden="1" x14ac:dyDescent="0.25">
      <c r="A250" s="2" t="b">
        <f>IF(ISBLANK(InfoGard!D250),FALSE,LOOKUP(InfoGard!D250,Lookup!$A$2:$B$4))</f>
        <v>0</v>
      </c>
      <c r="B250" s="2" t="b">
        <f>IF(ISBLANK(InfoGard!E250),FALSE,RIGHT(TRIM(InfoGard!E250),15))</f>
        <v>0</v>
      </c>
      <c r="C250" s="2" t="b">
        <f>IF(ISBLANK(InfoGard!F250),FALSE,LOOKUP(InfoGard!F250,Lookup!$A$6:$B$7))</f>
        <v>0</v>
      </c>
      <c r="D250" s="2" t="b">
        <f>IF(ISBLANK(InfoGard!G250),FALSE,InfoGard!G250)</f>
        <v>0</v>
      </c>
      <c r="E250" s="2" t="str">
        <f>IF(NOT(ISBLANK(InfoGard!D250)),IF(OR(ISBLANK(InfoGard!E250),InfoGard!E250="N/A"),"no acb code",CONCATENATE(Lookup!F$1,A250,Lookup!G$1,B250,Lookup!H$1,H$1,Lookup!I$1)),"no attestation")</f>
        <v>no attestation</v>
      </c>
      <c r="F250" s="2" t="str">
        <f>IF(AND(NOT(ISBLANK(InfoGard!G250)),InfoGard!G250&lt;&gt;"N/A"),IF(C250="All",CONCATENATE(Lookup!F$2,D250,Lookup!G$2,B250,Lookup!H$2,H$1,Lookup!I$2),CONCATENATE(Lookup!F$3,D250,Lookup!G$3,B250,Lookup!H$3)),"no url")</f>
        <v>no url</v>
      </c>
    </row>
    <row r="251" spans="1:6" hidden="1" x14ac:dyDescent="0.25">
      <c r="A251" s="2" t="b">
        <f>IF(ISBLANK(InfoGard!D251),FALSE,LOOKUP(InfoGard!D251,Lookup!$A$2:$B$4))</f>
        <v>0</v>
      </c>
      <c r="B251" s="2" t="b">
        <f>IF(ISBLANK(InfoGard!E251),FALSE,RIGHT(TRIM(InfoGard!E251),15))</f>
        <v>0</v>
      </c>
      <c r="C251" s="2" t="b">
        <f>IF(ISBLANK(InfoGard!F251),FALSE,LOOKUP(InfoGard!F251,Lookup!$A$6:$B$7))</f>
        <v>0</v>
      </c>
      <c r="D251" s="2" t="b">
        <f>IF(ISBLANK(InfoGard!G251),FALSE,InfoGard!G251)</f>
        <v>0</v>
      </c>
      <c r="E251" s="2" t="str">
        <f>IF(NOT(ISBLANK(InfoGard!D251)),IF(OR(ISBLANK(InfoGard!E251),InfoGard!E251="N/A"),"no acb code",CONCATENATE(Lookup!F$1,A251,Lookup!G$1,B251,Lookup!H$1,H$1,Lookup!I$1)),"no attestation")</f>
        <v>no attestation</v>
      </c>
      <c r="F251" s="2" t="str">
        <f>IF(AND(NOT(ISBLANK(InfoGard!G251)),InfoGard!G251&lt;&gt;"N/A"),IF(C251="All",CONCATENATE(Lookup!F$2,D251,Lookup!G$2,B251,Lookup!H$2,H$1,Lookup!I$2),CONCATENATE(Lookup!F$3,D251,Lookup!G$3,B251,Lookup!H$3)),"no url")</f>
        <v>no url</v>
      </c>
    </row>
    <row r="252" spans="1:6" hidden="1" x14ac:dyDescent="0.25">
      <c r="A252" s="2" t="b">
        <f>IF(ISBLANK(InfoGard!D252),FALSE,LOOKUP(InfoGard!D252,Lookup!$A$2:$B$4))</f>
        <v>0</v>
      </c>
      <c r="B252" s="2" t="b">
        <f>IF(ISBLANK(InfoGard!E252),FALSE,RIGHT(TRIM(InfoGard!E252),15))</f>
        <v>0</v>
      </c>
      <c r="C252" s="2" t="b">
        <f>IF(ISBLANK(InfoGard!F252),FALSE,LOOKUP(InfoGard!F252,Lookup!$A$6:$B$7))</f>
        <v>0</v>
      </c>
      <c r="D252" s="2" t="b">
        <f>IF(ISBLANK(InfoGard!G252),FALSE,InfoGard!G252)</f>
        <v>0</v>
      </c>
      <c r="E252" s="2" t="str">
        <f>IF(NOT(ISBLANK(InfoGard!D252)),IF(OR(ISBLANK(InfoGard!E252),InfoGard!E252="N/A"),"no acb code",CONCATENATE(Lookup!F$1,A252,Lookup!G$1,B252,Lookup!H$1,H$1,Lookup!I$1)),"no attestation")</f>
        <v>no attestation</v>
      </c>
      <c r="F252" s="2" t="str">
        <f>IF(AND(NOT(ISBLANK(InfoGard!G252)),InfoGard!G252&lt;&gt;"N/A"),IF(C252="All",CONCATENATE(Lookup!F$2,D252,Lookup!G$2,B252,Lookup!H$2,H$1,Lookup!I$2),CONCATENATE(Lookup!F$3,D252,Lookup!G$3,B252,Lookup!H$3)),"no url")</f>
        <v>no url</v>
      </c>
    </row>
    <row r="253" spans="1:6" hidden="1" x14ac:dyDescent="0.25">
      <c r="A253" s="2" t="b">
        <f>IF(ISBLANK(InfoGard!D253),FALSE,LOOKUP(InfoGard!D253,Lookup!$A$2:$B$4))</f>
        <v>0</v>
      </c>
      <c r="B253" s="2" t="b">
        <f>IF(ISBLANK(InfoGard!E253),FALSE,RIGHT(TRIM(InfoGard!E253),15))</f>
        <v>0</v>
      </c>
      <c r="C253" s="2" t="b">
        <f>IF(ISBLANK(InfoGard!F253),FALSE,LOOKUP(InfoGard!F253,Lookup!$A$6:$B$7))</f>
        <v>0</v>
      </c>
      <c r="D253" s="2" t="b">
        <f>IF(ISBLANK(InfoGard!G253),FALSE,InfoGard!G253)</f>
        <v>0</v>
      </c>
      <c r="E253" s="2" t="str">
        <f>IF(NOT(ISBLANK(InfoGard!D253)),IF(OR(ISBLANK(InfoGard!E253),InfoGard!E253="N/A"),"no acb code",CONCATENATE(Lookup!F$1,A253,Lookup!G$1,B253,Lookup!H$1,H$1,Lookup!I$1)),"no attestation")</f>
        <v>no attestation</v>
      </c>
      <c r="F253" s="2" t="str">
        <f>IF(AND(NOT(ISBLANK(InfoGard!G253)),InfoGard!G253&lt;&gt;"N/A"),IF(C253="All",CONCATENATE(Lookup!F$2,D253,Lookup!G$2,B253,Lookup!H$2,H$1,Lookup!I$2),CONCATENATE(Lookup!F$3,D253,Lookup!G$3,B253,Lookup!H$3)),"no url")</f>
        <v>no url</v>
      </c>
    </row>
    <row r="254" spans="1:6" hidden="1" x14ac:dyDescent="0.25">
      <c r="A254" s="2" t="b">
        <f>IF(ISBLANK(InfoGard!D254),FALSE,LOOKUP(InfoGard!D254,Lookup!$A$2:$B$4))</f>
        <v>0</v>
      </c>
      <c r="B254" s="2" t="b">
        <f>IF(ISBLANK(InfoGard!E254),FALSE,RIGHT(TRIM(InfoGard!E254),15))</f>
        <v>0</v>
      </c>
      <c r="C254" s="2" t="b">
        <f>IF(ISBLANK(InfoGard!F254),FALSE,LOOKUP(InfoGard!F254,Lookup!$A$6:$B$7))</f>
        <v>0</v>
      </c>
      <c r="D254" s="2" t="b">
        <f>IF(ISBLANK(InfoGard!G254),FALSE,InfoGard!G254)</f>
        <v>0</v>
      </c>
      <c r="E254" s="2" t="str">
        <f>IF(NOT(ISBLANK(InfoGard!D254)),IF(OR(ISBLANK(InfoGard!E254),InfoGard!E254="N/A"),"no acb code",CONCATENATE(Lookup!F$1,A254,Lookup!G$1,B254,Lookup!H$1,H$1,Lookup!I$1)),"no attestation")</f>
        <v>no attestation</v>
      </c>
      <c r="F254" s="2" t="str">
        <f>IF(AND(NOT(ISBLANK(InfoGard!G254)),InfoGard!G254&lt;&gt;"N/A"),IF(C254="All",CONCATENATE(Lookup!F$2,D254,Lookup!G$2,B254,Lookup!H$2,H$1,Lookup!I$2),CONCATENATE(Lookup!F$3,D254,Lookup!G$3,B254,Lookup!H$3)),"no url")</f>
        <v>no url</v>
      </c>
    </row>
    <row r="255" spans="1:6" hidden="1" x14ac:dyDescent="0.25">
      <c r="A255" s="2" t="b">
        <f>IF(ISBLANK(InfoGard!D255),FALSE,LOOKUP(InfoGard!D255,Lookup!$A$2:$B$4))</f>
        <v>0</v>
      </c>
      <c r="B255" s="2" t="b">
        <f>IF(ISBLANK(InfoGard!E255),FALSE,RIGHT(TRIM(InfoGard!E255),15))</f>
        <v>0</v>
      </c>
      <c r="C255" s="2" t="b">
        <f>IF(ISBLANK(InfoGard!F255),FALSE,LOOKUP(InfoGard!F255,Lookup!$A$6:$B$7))</f>
        <v>0</v>
      </c>
      <c r="D255" s="2" t="b">
        <f>IF(ISBLANK(InfoGard!G255),FALSE,InfoGard!G255)</f>
        <v>0</v>
      </c>
      <c r="E255" s="2" t="str">
        <f>IF(NOT(ISBLANK(InfoGard!D255)),IF(OR(ISBLANK(InfoGard!E255),InfoGard!E255="N/A"),"no acb code",CONCATENATE(Lookup!F$1,A255,Lookup!G$1,B255,Lookup!H$1,H$1,Lookup!I$1)),"no attestation")</f>
        <v>no attestation</v>
      </c>
      <c r="F255" s="2" t="str">
        <f>IF(AND(NOT(ISBLANK(InfoGard!G255)),InfoGard!G255&lt;&gt;"N/A"),IF(C255="All",CONCATENATE(Lookup!F$2,D255,Lookup!G$2,B255,Lookup!H$2,H$1,Lookup!I$2),CONCATENATE(Lookup!F$3,D255,Lookup!G$3,B255,Lookup!H$3)),"no url")</f>
        <v>no url</v>
      </c>
    </row>
    <row r="256" spans="1:6" hidden="1" x14ac:dyDescent="0.25">
      <c r="A256" s="2" t="b">
        <f>IF(ISBLANK(InfoGard!D256),FALSE,LOOKUP(InfoGard!D256,Lookup!$A$2:$B$4))</f>
        <v>0</v>
      </c>
      <c r="B256" s="2" t="b">
        <f>IF(ISBLANK(InfoGard!E256),FALSE,RIGHT(TRIM(InfoGard!E256),15))</f>
        <v>0</v>
      </c>
      <c r="C256" s="2" t="b">
        <f>IF(ISBLANK(InfoGard!F256),FALSE,LOOKUP(InfoGard!F256,Lookup!$A$6:$B$7))</f>
        <v>0</v>
      </c>
      <c r="D256" s="2" t="b">
        <f>IF(ISBLANK(InfoGard!G256),FALSE,InfoGard!G256)</f>
        <v>0</v>
      </c>
      <c r="E256" s="2" t="str">
        <f>IF(NOT(ISBLANK(InfoGard!D256)),IF(OR(ISBLANK(InfoGard!E256),InfoGard!E256="N/A"),"no acb code",CONCATENATE(Lookup!F$1,A256,Lookup!G$1,B256,Lookup!H$1,H$1,Lookup!I$1)),"no attestation")</f>
        <v>no attestation</v>
      </c>
      <c r="F256" s="2" t="str">
        <f>IF(AND(NOT(ISBLANK(InfoGard!G256)),InfoGard!G256&lt;&gt;"N/A"),IF(C256="All",CONCATENATE(Lookup!F$2,D256,Lookup!G$2,B256,Lookup!H$2,H$1,Lookup!I$2),CONCATENATE(Lookup!F$3,D256,Lookup!G$3,B256,Lookup!H$3)),"no url")</f>
        <v>no url</v>
      </c>
    </row>
    <row r="257" spans="1:6" hidden="1" x14ac:dyDescent="0.25">
      <c r="A257" s="2" t="b">
        <f>IF(ISBLANK(InfoGard!D257),FALSE,LOOKUP(InfoGard!D257,Lookup!$A$2:$B$4))</f>
        <v>0</v>
      </c>
      <c r="B257" s="2" t="b">
        <f>IF(ISBLANK(InfoGard!E257),FALSE,RIGHT(TRIM(InfoGard!E257),15))</f>
        <v>0</v>
      </c>
      <c r="C257" s="2" t="b">
        <f>IF(ISBLANK(InfoGard!F257),FALSE,LOOKUP(InfoGard!F257,Lookup!$A$6:$B$7))</f>
        <v>0</v>
      </c>
      <c r="D257" s="2" t="b">
        <f>IF(ISBLANK(InfoGard!G257),FALSE,InfoGard!G257)</f>
        <v>0</v>
      </c>
      <c r="E257" s="2" t="str">
        <f>IF(NOT(ISBLANK(InfoGard!D257)),IF(OR(ISBLANK(InfoGard!E257),InfoGard!E257="N/A"),"no acb code",CONCATENATE(Lookup!F$1,A257,Lookup!G$1,B257,Lookup!H$1,H$1,Lookup!I$1)),"no attestation")</f>
        <v>no attestation</v>
      </c>
      <c r="F257" s="2" t="str">
        <f>IF(AND(NOT(ISBLANK(InfoGard!G257)),InfoGard!G257&lt;&gt;"N/A"),IF(C257="All",CONCATENATE(Lookup!F$2,D257,Lookup!G$2,B257,Lookup!H$2,H$1,Lookup!I$2),CONCATENATE(Lookup!F$3,D257,Lookup!G$3,B257,Lookup!H$3)),"no url")</f>
        <v>no url</v>
      </c>
    </row>
    <row r="258" spans="1:6" hidden="1" x14ac:dyDescent="0.25">
      <c r="A258" s="2" t="b">
        <f>IF(ISBLANK(InfoGard!D258),FALSE,LOOKUP(InfoGard!D258,Lookup!$A$2:$B$4))</f>
        <v>0</v>
      </c>
      <c r="B258" s="2" t="b">
        <f>IF(ISBLANK(InfoGard!E258),FALSE,RIGHT(TRIM(InfoGard!E258),15))</f>
        <v>0</v>
      </c>
      <c r="C258" s="2" t="b">
        <f>IF(ISBLANK(InfoGard!F258),FALSE,LOOKUP(InfoGard!F258,Lookup!$A$6:$B$7))</f>
        <v>0</v>
      </c>
      <c r="D258" s="2" t="b">
        <f>IF(ISBLANK(InfoGard!G258),FALSE,InfoGard!G258)</f>
        <v>0</v>
      </c>
      <c r="E258" s="2" t="str">
        <f>IF(NOT(ISBLANK(InfoGard!D258)),IF(OR(ISBLANK(InfoGard!E258),InfoGard!E258="N/A"),"no acb code",CONCATENATE(Lookup!F$1,A258,Lookup!G$1,B258,Lookup!H$1,H$1,Lookup!I$1)),"no attestation")</f>
        <v>no attestation</v>
      </c>
      <c r="F258" s="2" t="str">
        <f>IF(AND(NOT(ISBLANK(InfoGard!G258)),InfoGard!G258&lt;&gt;"N/A"),IF(C258="All",CONCATENATE(Lookup!F$2,D258,Lookup!G$2,B258,Lookup!H$2,H$1,Lookup!I$2),CONCATENATE(Lookup!F$3,D258,Lookup!G$3,B258,Lookup!H$3)),"no url")</f>
        <v>no url</v>
      </c>
    </row>
    <row r="259" spans="1:6" hidden="1" x14ac:dyDescent="0.25">
      <c r="A259" s="2" t="b">
        <f>IF(ISBLANK(InfoGard!D259),FALSE,LOOKUP(InfoGard!D259,Lookup!$A$2:$B$4))</f>
        <v>0</v>
      </c>
      <c r="B259" s="2" t="b">
        <f>IF(ISBLANK(InfoGard!E259),FALSE,RIGHT(TRIM(InfoGard!E259),15))</f>
        <v>0</v>
      </c>
      <c r="C259" s="2" t="b">
        <f>IF(ISBLANK(InfoGard!F259),FALSE,LOOKUP(InfoGard!F259,Lookup!$A$6:$B$7))</f>
        <v>0</v>
      </c>
      <c r="D259" s="2" t="b">
        <f>IF(ISBLANK(InfoGard!G259),FALSE,InfoGard!G259)</f>
        <v>0</v>
      </c>
      <c r="E259" s="2" t="str">
        <f>IF(NOT(ISBLANK(InfoGard!D259)),IF(OR(ISBLANK(InfoGard!E259),InfoGard!E259="N/A"),"no acb code",CONCATENATE(Lookup!F$1,A259,Lookup!G$1,B259,Lookup!H$1,H$1,Lookup!I$1)),"no attestation")</f>
        <v>no attestation</v>
      </c>
      <c r="F259" s="2" t="str">
        <f>IF(AND(NOT(ISBLANK(InfoGard!G259)),InfoGard!G259&lt;&gt;"N/A"),IF(C259="All",CONCATENATE(Lookup!F$2,D259,Lookup!G$2,B259,Lookup!H$2,H$1,Lookup!I$2),CONCATENATE(Lookup!F$3,D259,Lookup!G$3,B259,Lookup!H$3)),"no url")</f>
        <v>no url</v>
      </c>
    </row>
    <row r="260" spans="1:6" hidden="1" x14ac:dyDescent="0.25">
      <c r="A260" s="2" t="b">
        <f>IF(ISBLANK(InfoGard!D260),FALSE,LOOKUP(InfoGard!D260,Lookup!$A$2:$B$4))</f>
        <v>0</v>
      </c>
      <c r="B260" s="2" t="b">
        <f>IF(ISBLANK(InfoGard!E260),FALSE,RIGHT(TRIM(InfoGard!E260),15))</f>
        <v>0</v>
      </c>
      <c r="C260" s="2" t="b">
        <f>IF(ISBLANK(InfoGard!F260),FALSE,LOOKUP(InfoGard!F260,Lookup!$A$6:$B$7))</f>
        <v>0</v>
      </c>
      <c r="D260" s="2" t="b">
        <f>IF(ISBLANK(InfoGard!G260),FALSE,InfoGard!G260)</f>
        <v>0</v>
      </c>
      <c r="E260" s="2" t="str">
        <f>IF(NOT(ISBLANK(InfoGard!D260)),IF(OR(ISBLANK(InfoGard!E260),InfoGard!E260="N/A"),"no acb code",CONCATENATE(Lookup!F$1,A260,Lookup!G$1,B260,Lookup!H$1,H$1,Lookup!I$1)),"no attestation")</f>
        <v>no attestation</v>
      </c>
      <c r="F260" s="2" t="str">
        <f>IF(AND(NOT(ISBLANK(InfoGard!G260)),InfoGard!G260&lt;&gt;"N/A"),IF(C260="All",CONCATENATE(Lookup!F$2,D260,Lookup!G$2,B260,Lookup!H$2,H$1,Lookup!I$2),CONCATENATE(Lookup!F$3,D260,Lookup!G$3,B260,Lookup!H$3)),"no url")</f>
        <v>no url</v>
      </c>
    </row>
    <row r="261" spans="1:6" x14ac:dyDescent="0.25">
      <c r="A261" s="2" t="str">
        <f>IF(ISBLANK(InfoGard!D261),FALSE,LOOKUP(InfoGard!D261,Lookup!$A$2:$B$4))</f>
        <v>Affirmative</v>
      </c>
      <c r="B261" s="2" t="str">
        <f>IF(ISBLANK(InfoGard!E261),FALSE,RIGHT(TRIM(InfoGard!E261),15))</f>
        <v>IG-2403-14-0042</v>
      </c>
      <c r="C261" s="2" t="str">
        <f>IF(ISBLANK(InfoGard!F261),FALSE,LOOKUP(InfoGard!F261,Lookup!$A$6:$B$7))</f>
        <v>All</v>
      </c>
      <c r="D261" s="2" t="str">
        <f>IF(ISBLANK(InfoGard!G261),FALSE,InfoGard!G261)</f>
        <v>http://www.doctornetwork.com/products/mywinmed-ehr/</v>
      </c>
      <c r="E261" s="2" t="str">
        <f>IF(NOT(ISBLANK(InfoGard!D261)),IF(OR(ISBLANK(InfoGard!E261),InfoGard!E261="N/A"),"no acb code",CONCATENATE(Lookup!F$1,A261,Lookup!G$1,B261,Lookup!H$1,H$1,Lookup!I$1)),"no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'IG-2403-14-0042' and cb."name" = 'InfoGard' and cp.product_version_id = pv.product_version_id and pv.product_id = p.product_id and p.vendor_id = vend.vendor_id;</v>
      </c>
      <c r="F261" s="2" t="str">
        <f>IF(AND(NOT(ISBLANK(InfoGard!G261)),InfoGard!G261&lt;&gt;"N/A"),IF(C261="All",CONCATENATE(Lookup!F$2,D261,Lookup!G$2,B261,Lookup!H$2,H$1,Lookup!I$2),CONCATENATE(Lookup!F$3,D261,Lookup!G$3,B261,Lookup!H$3)),"no url")</f>
        <v>update openchpl.certified_product as cp set transparency_attestation_url = 'http://www.doctornetwork.com/products/mywinmed-ehr/' from (select certified_product_id from (select vend.vendor_code from openchpl.certified_product as cp, openchpl.product_version as pv, openchpl.product as p, openchpl.vendor as vend where cp.acb_certification_id = 'IG-2403-14-0042'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62" spans="1:6" hidden="1" x14ac:dyDescent="0.25">
      <c r="A262" s="2" t="b">
        <f>IF(ISBLANK(InfoGard!D262),FALSE,LOOKUP(InfoGard!D262,Lookup!$A$2:$B$4))</f>
        <v>0</v>
      </c>
      <c r="B262" s="2" t="b">
        <f>IF(ISBLANK(InfoGard!E262),FALSE,RIGHT(TRIM(InfoGard!E262),15))</f>
        <v>0</v>
      </c>
      <c r="C262" s="2" t="b">
        <f>IF(ISBLANK(InfoGard!F262),FALSE,LOOKUP(InfoGard!F262,Lookup!$A$6:$B$7))</f>
        <v>0</v>
      </c>
      <c r="D262" s="2" t="b">
        <f>IF(ISBLANK(InfoGard!G262),FALSE,InfoGard!G262)</f>
        <v>0</v>
      </c>
      <c r="E262" s="2" t="str">
        <f>IF(NOT(ISBLANK(InfoGard!D262)),IF(OR(ISBLANK(InfoGard!E262),InfoGard!E262="N/A"),"no acb code",CONCATENATE(Lookup!F$1,A262,Lookup!G$1,B262,Lookup!H$1,H$1,Lookup!I$1)),"no attestation")</f>
        <v>no attestation</v>
      </c>
      <c r="F262" s="2" t="str">
        <f>IF(AND(NOT(ISBLANK(InfoGard!G262)),InfoGard!G262&lt;&gt;"N/A"),IF(C262="All",CONCATENATE(Lookup!F$2,D262,Lookup!G$2,B262,Lookup!H$2,H$1,Lookup!I$2),CONCATENATE(Lookup!F$3,D262,Lookup!G$3,B262,Lookup!H$3)),"no url")</f>
        <v>no url</v>
      </c>
    </row>
    <row r="263" spans="1:6" hidden="1" x14ac:dyDescent="0.25">
      <c r="A263" s="2" t="b">
        <f>IF(ISBLANK(InfoGard!D263),FALSE,LOOKUP(InfoGard!D263,Lookup!$A$2:$B$4))</f>
        <v>0</v>
      </c>
      <c r="B263" s="2" t="b">
        <f>IF(ISBLANK(InfoGard!E263),FALSE,RIGHT(TRIM(InfoGard!E263),15))</f>
        <v>0</v>
      </c>
      <c r="C263" s="2" t="b">
        <f>IF(ISBLANK(InfoGard!F263),FALSE,LOOKUP(InfoGard!F263,Lookup!$A$6:$B$7))</f>
        <v>0</v>
      </c>
      <c r="D263" s="2" t="b">
        <f>IF(ISBLANK(InfoGard!G263),FALSE,InfoGard!G263)</f>
        <v>0</v>
      </c>
      <c r="E263" s="2" t="str">
        <f>IF(NOT(ISBLANK(InfoGard!D263)),IF(OR(ISBLANK(InfoGard!E263),InfoGard!E263="N/A"),"no acb code",CONCATENATE(Lookup!F$1,A263,Lookup!G$1,B263,Lookup!H$1,H$1,Lookup!I$1)),"no attestation")</f>
        <v>no attestation</v>
      </c>
      <c r="F263" s="2" t="str">
        <f>IF(AND(NOT(ISBLANK(InfoGard!G263)),InfoGard!G263&lt;&gt;"N/A"),IF(C263="All",CONCATENATE(Lookup!F$2,D263,Lookup!G$2,B263,Lookup!H$2,H$1,Lookup!I$2),CONCATENATE(Lookup!F$3,D263,Lookup!G$3,B263,Lookup!H$3)),"no url")</f>
        <v>no url</v>
      </c>
    </row>
    <row r="264" spans="1:6" x14ac:dyDescent="0.25">
      <c r="A264" s="2" t="str">
        <f>IF(ISBLANK(InfoGard!D264),FALSE,LOOKUP(InfoGard!D264,Lookup!$A$2:$B$4))</f>
        <v>Affirmative</v>
      </c>
      <c r="B264" s="2" t="str">
        <f>IF(ISBLANK(InfoGard!E264),FALSE,RIGHT(TRIM(InfoGard!E264),15))</f>
        <v>IG-3200-15-0047</v>
      </c>
      <c r="C264" s="2" t="str">
        <f>IF(ISBLANK(InfoGard!F264),FALSE,LOOKUP(InfoGard!F264,Lookup!$A$6:$B$7))</f>
        <v>Single</v>
      </c>
      <c r="D264" s="2" t="str">
        <f>IF(ISBLANK(InfoGard!G264),FALSE,InfoGard!G264)</f>
        <v>http://www.cgm.com/us/products___solutions_11/ehr_and_pm_solutions/cgm_enterprise_ehr___pm/ehr_and_pm_solutions.en.jsp</v>
      </c>
      <c r="E264" s="2" t="str">
        <f>IF(NOT(ISBLANK(InfoGard!D264)),IF(OR(ISBLANK(InfoGard!E264),InfoGard!E264="N/A"),"no acb code",CONCATENATE(Lookup!F$1,A264,Lookup!G$1,B264,Lookup!H$1,H$1,Lookup!I$1)),"no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'IG-3200-15-0047' and cb."name" = 'InfoGard' and cp.product_version_id = pv.product_version_id and pv.product_id = p.product_id and p.vendor_id = vend.vendor_id;</v>
      </c>
      <c r="F264" s="2" t="str">
        <f>IF(AND(NOT(ISBLANK(InfoGard!G264)),InfoGard!G264&lt;&gt;"N/A"),IF(C264="All",CONCATENATE(Lookup!F$2,D264,Lookup!G$2,B264,Lookup!H$2,H$1,Lookup!I$2),CONCATENATE(Lookup!F$3,D264,Lookup!G$3,B264,Lookup!H$3)),"no url")</f>
        <v>update openchpl.certified_product as cp set transparency_attestation_url = 'http://www.cgm.com/us/products___solutions_11/ehr_and_pm_solutions/cgm_enterprise_ehr___pm/ehr_and_pm_solutions.en.jsp' from (select certified_product_id from openchpl.certified_product as cp where cp.acb_certification_id = 'IG-3200-15-0047') as subquery where cp.certified_product_id = subquery.certified_product_id;</v>
      </c>
    </row>
    <row r="265" spans="1:6" x14ac:dyDescent="0.25">
      <c r="A265" s="2" t="str">
        <f>IF(ISBLANK(InfoGard!D265),FALSE,LOOKUP(InfoGard!D265,Lookup!$A$2:$B$4))</f>
        <v>Affirmative</v>
      </c>
      <c r="B265" s="2" t="str">
        <f>IF(ISBLANK(InfoGard!E265),FALSE,RIGHT(TRIM(InfoGard!E265),15))</f>
        <v>IG-2351-14-0024</v>
      </c>
      <c r="C265" s="2" t="str">
        <f>IF(ISBLANK(InfoGard!F265),FALSE,LOOKUP(InfoGard!F265,Lookup!$A$6:$B$7))</f>
        <v>Single</v>
      </c>
      <c r="D265" s="2" t="str">
        <f>IF(ISBLANK(InfoGard!G265),FALSE,InfoGard!G265)</f>
        <v>http://www.cgm.com/us/products___solutions_11/ehr_and_pm_solutions/cgm_webehr/CGM-EHRweb.en.jsp</v>
      </c>
      <c r="E265" s="2" t="str">
        <f>IF(NOT(ISBLANK(InfoGard!D265)),IF(OR(ISBLANK(InfoGard!E265),InfoGard!E265="N/A"),"no acb code",CONCATENATE(Lookup!F$1,A265,Lookup!G$1,B265,Lookup!H$1,H$1,Lookup!I$1)),"no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'IG-2351-14-0024' and cb."name" = 'InfoGard' and cp.product_version_id = pv.product_version_id and pv.product_id = p.product_id and p.vendor_id = vend.vendor_id;</v>
      </c>
      <c r="F265" s="2" t="str">
        <f>IF(AND(NOT(ISBLANK(InfoGard!G265)),InfoGard!G265&lt;&gt;"N/A"),IF(C265="All",CONCATENATE(Lookup!F$2,D265,Lookup!G$2,B265,Lookup!H$2,H$1,Lookup!I$2),CONCATENATE(Lookup!F$3,D265,Lookup!G$3,B265,Lookup!H$3)),"no url")</f>
        <v>update openchpl.certified_product as cp set transparency_attestation_url = 'http://www.cgm.com/us/products___solutions_11/ehr_and_pm_solutions/cgm_webehr/CGM-EHRweb.en.jsp' from (select certified_product_id from openchpl.certified_product as cp where cp.acb_certification_id = 'IG-2351-14-0024') as subquery where cp.certified_product_id = subquery.certified_product_id;</v>
      </c>
    </row>
    <row r="266" spans="1:6" x14ac:dyDescent="0.25">
      <c r="A266" s="2" t="str">
        <f>IF(ISBLANK(InfoGard!D266),FALSE,LOOKUP(InfoGard!D266,Lookup!$A$2:$B$4))</f>
        <v>Affirmative</v>
      </c>
      <c r="B266" s="2" t="str">
        <f>IF(ISBLANK(InfoGard!E266),FALSE,RIGHT(TRIM(InfoGard!E266),15))</f>
        <v>IG-3199-14-0025</v>
      </c>
      <c r="C266" s="2" t="str">
        <f>IF(ISBLANK(InfoGard!F266),FALSE,LOOKUP(InfoGard!F266,Lookup!$A$6:$B$7))</f>
        <v>Single</v>
      </c>
      <c r="D266" s="2" t="str">
        <f>IF(ISBLANK(InfoGard!G266),FALSE,InfoGard!G266)</f>
        <v>http://www.cgm.com/us/products___solutions_11/ehr_and_pm_solutions/cgm_clinical/CGM-CLINICAL.en.jsp</v>
      </c>
      <c r="E266" s="2" t="str">
        <f>IF(NOT(ISBLANK(InfoGard!D266)),IF(OR(ISBLANK(InfoGard!E266),InfoGard!E266="N/A"),"no acb code",CONCATENATE(Lookup!F$1,A266,Lookup!G$1,B266,Lookup!H$1,H$1,Lookup!I$1)),"no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'IG-3199-14-0025' and cb."name" = 'InfoGard' and cp.product_version_id = pv.product_version_id and pv.product_id = p.product_id and p.vendor_id = vend.vendor_id;</v>
      </c>
      <c r="F266" s="2" t="str">
        <f>IF(AND(NOT(ISBLANK(InfoGard!G266)),InfoGard!G266&lt;&gt;"N/A"),IF(C266="All",CONCATENATE(Lookup!F$2,D266,Lookup!G$2,B266,Lookup!H$2,H$1,Lookup!I$2),CONCATENATE(Lookup!F$3,D266,Lookup!G$3,B266,Lookup!H$3)),"no url")</f>
        <v>update openchpl.certified_product as cp set transparency_attestation_url = 'http://www.cgm.com/us/products___solutions_11/ehr_and_pm_solutions/cgm_clinical/CGM-CLINICAL.en.jsp' from (select certified_product_id from openchpl.certified_product as cp where cp.acb_certification_id = 'IG-3199-14-0025') as subquery where cp.certified_product_id = subquery.certified_product_id;</v>
      </c>
    </row>
    <row r="267" spans="1:6" hidden="1" x14ac:dyDescent="0.25">
      <c r="A267" s="2" t="b">
        <f>IF(ISBLANK(InfoGard!D267),FALSE,LOOKUP(InfoGard!D267,Lookup!$A$2:$B$4))</f>
        <v>0</v>
      </c>
      <c r="B267" s="2" t="b">
        <f>IF(ISBLANK(InfoGard!E267),FALSE,RIGHT(TRIM(InfoGard!E267),15))</f>
        <v>0</v>
      </c>
      <c r="C267" s="2" t="b">
        <f>IF(ISBLANK(InfoGard!F267),FALSE,LOOKUP(InfoGard!F267,Lookup!$A$6:$B$7))</f>
        <v>0</v>
      </c>
      <c r="D267" s="2" t="b">
        <f>IF(ISBLANK(InfoGard!G267),FALSE,InfoGard!G267)</f>
        <v>0</v>
      </c>
      <c r="E267" s="2" t="str">
        <f>IF(NOT(ISBLANK(InfoGard!D267)),IF(OR(ISBLANK(InfoGard!E267),InfoGard!E267="N/A"),"no acb code",CONCATENATE(Lookup!F$1,A267,Lookup!G$1,B267,Lookup!H$1,H$1,Lookup!I$1)),"no attestation")</f>
        <v>no attestation</v>
      </c>
      <c r="F267" s="2" t="str">
        <f>IF(AND(NOT(ISBLANK(InfoGard!G267)),InfoGard!G267&lt;&gt;"N/A"),IF(C267="All",CONCATENATE(Lookup!F$2,D267,Lookup!G$2,B267,Lookup!H$2,H$1,Lookup!I$2),CONCATENATE(Lookup!F$3,D267,Lookup!G$3,B267,Lookup!H$3)),"no url")</f>
        <v>no url</v>
      </c>
    </row>
    <row r="268" spans="1:6" hidden="1" x14ac:dyDescent="0.25">
      <c r="A268" s="2" t="b">
        <f>IF(ISBLANK(InfoGard!D268),FALSE,LOOKUP(InfoGard!D268,Lookup!$A$2:$B$4))</f>
        <v>0</v>
      </c>
      <c r="B268" s="2" t="b">
        <f>IF(ISBLANK(InfoGard!E268),FALSE,RIGHT(TRIM(InfoGard!E268),15))</f>
        <v>0</v>
      </c>
      <c r="C268" s="2" t="b">
        <f>IF(ISBLANK(InfoGard!F268),FALSE,LOOKUP(InfoGard!F268,Lookup!$A$6:$B$7))</f>
        <v>0</v>
      </c>
      <c r="D268" s="2" t="b">
        <f>IF(ISBLANK(InfoGard!G268),FALSE,InfoGard!G268)</f>
        <v>0</v>
      </c>
      <c r="E268" s="2" t="str">
        <f>IF(NOT(ISBLANK(InfoGard!D268)),IF(OR(ISBLANK(InfoGard!E268),InfoGard!E268="N/A"),"no acb code",CONCATENATE(Lookup!F$1,A268,Lookup!G$1,B268,Lookup!H$1,H$1,Lookup!I$1)),"no attestation")</f>
        <v>no attestation</v>
      </c>
      <c r="F268" s="2" t="str">
        <f>IF(AND(NOT(ISBLANK(InfoGard!G268)),InfoGard!G268&lt;&gt;"N/A"),IF(C268="All",CONCATENATE(Lookup!F$2,D268,Lookup!G$2,B268,Lookup!H$2,H$1,Lookup!I$2),CONCATENATE(Lookup!F$3,D268,Lookup!G$3,B268,Lookup!H$3)),"no url")</f>
        <v>no url</v>
      </c>
    </row>
    <row r="269" spans="1:6" hidden="1" x14ac:dyDescent="0.25">
      <c r="A269" s="2" t="b">
        <f>IF(ISBLANK(InfoGard!D269),FALSE,LOOKUP(InfoGard!D269,Lookup!$A$2:$B$4))</f>
        <v>0</v>
      </c>
      <c r="B269" s="2" t="b">
        <f>IF(ISBLANK(InfoGard!E269),FALSE,RIGHT(TRIM(InfoGard!E269),15))</f>
        <v>0</v>
      </c>
      <c r="C269" s="2" t="b">
        <f>IF(ISBLANK(InfoGard!F269),FALSE,LOOKUP(InfoGard!F269,Lookup!$A$6:$B$7))</f>
        <v>0</v>
      </c>
      <c r="D269" s="2" t="b">
        <f>IF(ISBLANK(InfoGard!G269),FALSE,InfoGard!G269)</f>
        <v>0</v>
      </c>
      <c r="E269" s="2" t="str">
        <f>IF(NOT(ISBLANK(InfoGard!D269)),IF(OR(ISBLANK(InfoGard!E269),InfoGard!E269="N/A"),"no acb code",CONCATENATE(Lookup!F$1,A269,Lookup!G$1,B269,Lookup!H$1,H$1,Lookup!I$1)),"no attestation")</f>
        <v>no attestation</v>
      </c>
      <c r="F269" s="2" t="str">
        <f>IF(AND(NOT(ISBLANK(InfoGard!G269)),InfoGard!G269&lt;&gt;"N/A"),IF(C269="All",CONCATENATE(Lookup!F$2,D269,Lookup!G$2,B269,Lookup!H$2,H$1,Lookup!I$2),CONCATENATE(Lookup!F$3,D269,Lookup!G$3,B269,Lookup!H$3)),"no url")</f>
        <v>no url</v>
      </c>
    </row>
    <row r="270" spans="1:6" hidden="1" x14ac:dyDescent="0.25">
      <c r="A270" s="2" t="b">
        <f>IF(ISBLANK(InfoGard!D270),FALSE,LOOKUP(InfoGard!D270,Lookup!$A$2:$B$4))</f>
        <v>0</v>
      </c>
      <c r="B270" s="2" t="b">
        <f>IF(ISBLANK(InfoGard!E270),FALSE,RIGHT(TRIM(InfoGard!E270),15))</f>
        <v>0</v>
      </c>
      <c r="C270" s="2" t="b">
        <f>IF(ISBLANK(InfoGard!F270),FALSE,LOOKUP(InfoGard!F270,Lookup!$A$6:$B$7))</f>
        <v>0</v>
      </c>
      <c r="D270" s="2" t="b">
        <f>IF(ISBLANK(InfoGard!G270),FALSE,InfoGard!G270)</f>
        <v>0</v>
      </c>
      <c r="E270" s="2" t="str">
        <f>IF(NOT(ISBLANK(InfoGard!D270)),IF(OR(ISBLANK(InfoGard!E270),InfoGard!E270="N/A"),"no acb code",CONCATENATE(Lookup!F$1,A270,Lookup!G$1,B270,Lookup!H$1,H$1,Lookup!I$1)),"no attestation")</f>
        <v>no attestation</v>
      </c>
      <c r="F270" s="2" t="str">
        <f>IF(AND(NOT(ISBLANK(InfoGard!G270)),InfoGard!G270&lt;&gt;"N/A"),IF(C270="All",CONCATENATE(Lookup!F$2,D270,Lookup!G$2,B270,Lookup!H$2,H$1,Lookup!I$2),CONCATENATE(Lookup!F$3,D270,Lookup!G$3,B270,Lookup!H$3)),"no url")</f>
        <v>no url</v>
      </c>
    </row>
    <row r="271" spans="1:6" hidden="1" x14ac:dyDescent="0.25">
      <c r="A271" s="2" t="b">
        <f>IF(ISBLANK(InfoGard!D271),FALSE,LOOKUP(InfoGard!D271,Lookup!$A$2:$B$4))</f>
        <v>0</v>
      </c>
      <c r="B271" s="2" t="b">
        <f>IF(ISBLANK(InfoGard!E271),FALSE,RIGHT(TRIM(InfoGard!E271),15))</f>
        <v>0</v>
      </c>
      <c r="C271" s="2" t="b">
        <f>IF(ISBLANK(InfoGard!F271),FALSE,LOOKUP(InfoGard!F271,Lookup!$A$6:$B$7))</f>
        <v>0</v>
      </c>
      <c r="D271" s="2" t="b">
        <f>IF(ISBLANK(InfoGard!G271),FALSE,InfoGard!G271)</f>
        <v>0</v>
      </c>
      <c r="E271" s="2" t="str">
        <f>IF(NOT(ISBLANK(InfoGard!D271)),IF(OR(ISBLANK(InfoGard!E271),InfoGard!E271="N/A"),"no acb code",CONCATENATE(Lookup!F$1,A271,Lookup!G$1,B271,Lookup!H$1,H$1,Lookup!I$1)),"no attestation")</f>
        <v>no attestation</v>
      </c>
      <c r="F271" s="2" t="str">
        <f>IF(AND(NOT(ISBLANK(InfoGard!G271)),InfoGard!G271&lt;&gt;"N/A"),IF(C271="All",CONCATENATE(Lookup!F$2,D271,Lookup!G$2,B271,Lookup!H$2,H$1,Lookup!I$2),CONCATENATE(Lookup!F$3,D271,Lookup!G$3,B271,Lookup!H$3)),"no url")</f>
        <v>no url</v>
      </c>
    </row>
    <row r="272" spans="1:6" hidden="1" x14ac:dyDescent="0.25">
      <c r="A272" s="2" t="b">
        <f>IF(ISBLANK(InfoGard!D272),FALSE,LOOKUP(InfoGard!D272,Lookup!$A$2:$B$4))</f>
        <v>0</v>
      </c>
      <c r="B272" s="2" t="b">
        <f>IF(ISBLANK(InfoGard!E272),FALSE,RIGHT(TRIM(InfoGard!E272),15))</f>
        <v>0</v>
      </c>
      <c r="C272" s="2" t="b">
        <f>IF(ISBLANK(InfoGard!F272),FALSE,LOOKUP(InfoGard!F272,Lookup!$A$6:$B$7))</f>
        <v>0</v>
      </c>
      <c r="D272" s="2" t="b">
        <f>IF(ISBLANK(InfoGard!G272),FALSE,InfoGard!G272)</f>
        <v>0</v>
      </c>
      <c r="E272" s="2" t="str">
        <f>IF(NOT(ISBLANK(InfoGard!D272)),IF(OR(ISBLANK(InfoGard!E272),InfoGard!E272="N/A"),"no acb code",CONCATENATE(Lookup!F$1,A272,Lookup!G$1,B272,Lookup!H$1,H$1,Lookup!I$1)),"no attestation")</f>
        <v>no attestation</v>
      </c>
      <c r="F272" s="2" t="str">
        <f>IF(AND(NOT(ISBLANK(InfoGard!G272)),InfoGard!G272&lt;&gt;"N/A"),IF(C272="All",CONCATENATE(Lookup!F$2,D272,Lookup!G$2,B272,Lookup!H$2,H$1,Lookup!I$2),CONCATENATE(Lookup!F$3,D272,Lookup!G$3,B272,Lookup!H$3)),"no url")</f>
        <v>no url</v>
      </c>
    </row>
    <row r="273" spans="1:6" x14ac:dyDescent="0.25">
      <c r="A273" s="2" t="str">
        <f>IF(ISBLANK(InfoGard!D273),FALSE,LOOKUP(InfoGard!D273,Lookup!$A$2:$B$4))</f>
        <v>Affirmative</v>
      </c>
      <c r="B273" s="2" t="str">
        <f>IF(ISBLANK(InfoGard!E273),FALSE,RIGHT(TRIM(InfoGard!E273),15))</f>
        <v>IG-3478-14-0108</v>
      </c>
      <c r="C273" s="2" t="str">
        <f>IF(ISBLANK(InfoGard!F273),FALSE,LOOKUP(InfoGard!F273,Lookup!$A$6:$B$7))</f>
        <v>All</v>
      </c>
      <c r="D273" s="2" t="str">
        <f>IF(ISBLANK(InfoGard!G273),FALSE,InfoGard!G273)</f>
        <v>http://healthefilings.com</v>
      </c>
      <c r="E273" s="2" t="str">
        <f>IF(NOT(ISBLANK(InfoGard!D273)),IF(OR(ISBLANK(InfoGard!E273),InfoGard!E273="N/A"),"no acb code",CONCATENATE(Lookup!F$1,A273,Lookup!G$1,B273,Lookup!H$1,H$1,Lookup!I$1)),"no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'IG-3478-14-0108' and cb."name" = 'InfoGard' and cp.product_version_id = pv.product_version_id and pv.product_id = p.product_id and p.vendor_id = vend.vendor_id;</v>
      </c>
      <c r="F273" s="2" t="str">
        <f>IF(AND(NOT(ISBLANK(InfoGard!G273)),InfoGard!G273&lt;&gt;"N/A"),IF(C273="All",CONCATENATE(Lookup!F$2,D273,Lookup!G$2,B273,Lookup!H$2,H$1,Lookup!I$2),CONCATENATE(Lookup!F$3,D273,Lookup!G$3,B273,Lookup!H$3)),"no url")</f>
        <v>update openchpl.certified_product as cp set transparency_attestation_url = 'http://healthefilings.com' from (select certified_product_id from (select vend.vendor_code from openchpl.certified_product as cp, openchpl.product_version as pv, openchpl.product as p, openchpl.vendor as vend where cp.acb_certification_id = 'IG-3478-14-0108'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74" spans="1:6" hidden="1" x14ac:dyDescent="0.25">
      <c r="A274" s="2" t="b">
        <f>IF(ISBLANK(InfoGard!D274),FALSE,LOOKUP(InfoGard!D274,Lookup!$A$2:$B$4))</f>
        <v>0</v>
      </c>
      <c r="B274" s="2" t="b">
        <f>IF(ISBLANK(InfoGard!E274),FALSE,RIGHT(TRIM(InfoGard!E274),15))</f>
        <v>0</v>
      </c>
      <c r="C274" s="2" t="b">
        <f>IF(ISBLANK(InfoGard!F274),FALSE,LOOKUP(InfoGard!F274,Lookup!$A$6:$B$7))</f>
        <v>0</v>
      </c>
      <c r="D274" s="2" t="b">
        <f>IF(ISBLANK(InfoGard!G274),FALSE,InfoGard!G274)</f>
        <v>0</v>
      </c>
      <c r="E274" s="2" t="str">
        <f>IF(NOT(ISBLANK(InfoGard!D274)),IF(OR(ISBLANK(InfoGard!E274),InfoGard!E274="N/A"),"no acb code",CONCATENATE(Lookup!F$1,A274,Lookup!G$1,B274,Lookup!H$1,H$1,Lookup!I$1)),"no attestation")</f>
        <v>no attestation</v>
      </c>
      <c r="F274" s="2" t="str">
        <f>IF(AND(NOT(ISBLANK(InfoGard!G274)),InfoGard!G274&lt;&gt;"N/A"),IF(C274="All",CONCATENATE(Lookup!F$2,D274,Lookup!G$2,B274,Lookup!H$2,H$1,Lookup!I$2),CONCATENATE(Lookup!F$3,D274,Lookup!G$3,B274,Lookup!H$3)),"no url")</f>
        <v>no url</v>
      </c>
    </row>
    <row r="275" spans="1:6" x14ac:dyDescent="0.25">
      <c r="A275" s="2" t="str">
        <f>IF(ISBLANK(InfoGard!D275),FALSE,LOOKUP(InfoGard!D275,Lookup!$A$2:$B$4))</f>
        <v>Affirmative</v>
      </c>
      <c r="B275" s="2" t="str">
        <f>IF(ISBLANK(InfoGard!E275),FALSE,RIGHT(TRIM(InfoGard!E275),15))</f>
        <v>IG-2539-14-0076</v>
      </c>
      <c r="C275" s="2" t="str">
        <f>IF(ISBLANK(InfoGard!F275),FALSE,LOOKUP(InfoGard!F275,Lookup!$A$6:$B$7))</f>
        <v>All</v>
      </c>
      <c r="D275" s="2" t="str">
        <f>IF(ISBLANK(InfoGard!G275),FALSE,InfoGard!G275)</f>
        <v>http://officepracticum.com/about/ratings-awards-accreditations/</v>
      </c>
      <c r="E275" s="2" t="str">
        <f>IF(NOT(ISBLANK(InfoGard!D275)),IF(OR(ISBLANK(InfoGard!E275),InfoGard!E275="N/A"),"no acb code",CONCATENATE(Lookup!F$1,A275,Lookup!G$1,B275,Lookup!H$1,H$1,Lookup!I$1)),"no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'IG-2539-14-0076' and cb."name" = 'InfoGard' and cp.product_version_id = pv.product_version_id and pv.product_id = p.product_id and p.vendor_id = vend.vendor_id;</v>
      </c>
      <c r="F275" s="2" t="str">
        <f>IF(AND(NOT(ISBLANK(InfoGard!G275)),InfoGard!G275&lt;&gt;"N/A"),IF(C275="All",CONCATENATE(Lookup!F$2,D275,Lookup!G$2,B275,Lookup!H$2,H$1,Lookup!I$2),CONCATENATE(Lookup!F$3,D275,Lookup!G$3,B275,Lookup!H$3)),"no url")</f>
        <v>update openchpl.certified_product as cp set transparency_attestation_url = 'http://officepracticum.com/about/ratings-awards-accreditations/' from (select certified_product_id from (select vend.vendor_code from openchpl.certified_product as cp, openchpl.product_version as pv, openchpl.product as p, openchpl.vendor as vend where cp.acb_certification_id = 'IG-2539-14-0076'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76" spans="1:6" hidden="1" x14ac:dyDescent="0.25">
      <c r="A276" s="2" t="b">
        <f>IF(ISBLANK(InfoGard!D276),FALSE,LOOKUP(InfoGard!D276,Lookup!$A$2:$B$4))</f>
        <v>0</v>
      </c>
      <c r="B276" s="2" t="b">
        <f>IF(ISBLANK(InfoGard!E276),FALSE,RIGHT(TRIM(InfoGard!E276),15))</f>
        <v>0</v>
      </c>
      <c r="C276" s="2" t="b">
        <f>IF(ISBLANK(InfoGard!F276),FALSE,LOOKUP(InfoGard!F276,Lookup!$A$6:$B$7))</f>
        <v>0</v>
      </c>
      <c r="D276" s="2" t="b">
        <f>IF(ISBLANK(InfoGard!G276),FALSE,InfoGard!G276)</f>
        <v>0</v>
      </c>
      <c r="E276" s="2" t="str">
        <f>IF(NOT(ISBLANK(InfoGard!D276)),IF(OR(ISBLANK(InfoGard!E276),InfoGard!E276="N/A"),"no acb code",CONCATENATE(Lookup!F$1,A276,Lookup!G$1,B276,Lookup!H$1,H$1,Lookup!I$1)),"no attestation")</f>
        <v>no attestation</v>
      </c>
      <c r="F276" s="2" t="str">
        <f>IF(AND(NOT(ISBLANK(InfoGard!G276)),InfoGard!G276&lt;&gt;"N/A"),IF(C276="All",CONCATENATE(Lookup!F$2,D276,Lookup!G$2,B276,Lookup!H$2,H$1,Lookup!I$2),CONCATENATE(Lookup!F$3,D276,Lookup!G$3,B276,Lookup!H$3)),"no url")</f>
        <v>no url</v>
      </c>
    </row>
    <row r="277" spans="1:6" hidden="1" x14ac:dyDescent="0.25">
      <c r="A277" s="2" t="b">
        <f>IF(ISBLANK(InfoGard!D277),FALSE,LOOKUP(InfoGard!D277,Lookup!$A$2:$B$4))</f>
        <v>0</v>
      </c>
      <c r="B277" s="2" t="b">
        <f>IF(ISBLANK(InfoGard!E277),FALSE,RIGHT(TRIM(InfoGard!E277),15))</f>
        <v>0</v>
      </c>
      <c r="C277" s="2" t="b">
        <f>IF(ISBLANK(InfoGard!F277),FALSE,LOOKUP(InfoGard!F277,Lookup!$A$6:$B$7))</f>
        <v>0</v>
      </c>
      <c r="D277" s="2" t="b">
        <f>IF(ISBLANK(InfoGard!G277),FALSE,InfoGard!G277)</f>
        <v>0</v>
      </c>
      <c r="E277" s="2" t="str">
        <f>IF(NOT(ISBLANK(InfoGard!D277)),IF(OR(ISBLANK(InfoGard!E277),InfoGard!E277="N/A"),"no acb code",CONCATENATE(Lookup!F$1,A277,Lookup!G$1,B277,Lookup!H$1,H$1,Lookup!I$1)),"no attestation")</f>
        <v>no attestation</v>
      </c>
      <c r="F277" s="2" t="str">
        <f>IF(AND(NOT(ISBLANK(InfoGard!G277)),InfoGard!G277&lt;&gt;"N/A"),IF(C277="All",CONCATENATE(Lookup!F$2,D277,Lookup!G$2,B277,Lookup!H$2,H$1,Lookup!I$2),CONCATENATE(Lookup!F$3,D277,Lookup!G$3,B277,Lookup!H$3)),"no url")</f>
        <v>no url</v>
      </c>
    </row>
    <row r="278" spans="1:6" hidden="1" x14ac:dyDescent="0.25">
      <c r="A278" s="2" t="b">
        <f>IF(ISBLANK(InfoGard!D278),FALSE,LOOKUP(InfoGard!D278,Lookup!$A$2:$B$4))</f>
        <v>0</v>
      </c>
      <c r="B278" s="2" t="b">
        <f>IF(ISBLANK(InfoGard!E278),FALSE,RIGHT(TRIM(InfoGard!E278),15))</f>
        <v>0</v>
      </c>
      <c r="C278" s="2" t="b">
        <f>IF(ISBLANK(InfoGard!F278),FALSE,LOOKUP(InfoGard!F278,Lookup!$A$6:$B$7))</f>
        <v>0</v>
      </c>
      <c r="D278" s="2" t="b">
        <f>IF(ISBLANK(InfoGard!G278),FALSE,InfoGard!G278)</f>
        <v>0</v>
      </c>
      <c r="E278" s="2" t="str">
        <f>IF(NOT(ISBLANK(InfoGard!D278)),IF(OR(ISBLANK(InfoGard!E278),InfoGard!E278="N/A"),"no acb code",CONCATENATE(Lookup!F$1,A278,Lookup!G$1,B278,Lookup!H$1,H$1,Lookup!I$1)),"no attestation")</f>
        <v>no attestation</v>
      </c>
      <c r="F278" s="2" t="str">
        <f>IF(AND(NOT(ISBLANK(InfoGard!G278)),InfoGard!G278&lt;&gt;"N/A"),IF(C278="All",CONCATENATE(Lookup!F$2,D278,Lookup!G$2,B278,Lookup!H$2,H$1,Lookup!I$2),CONCATENATE(Lookup!F$3,D278,Lookup!G$3,B278,Lookup!H$3)),"no url")</f>
        <v>no url</v>
      </c>
    </row>
    <row r="279" spans="1:6" hidden="1" x14ac:dyDescent="0.25">
      <c r="A279" s="2" t="b">
        <f>IF(ISBLANK(InfoGard!D279),FALSE,LOOKUP(InfoGard!D279,Lookup!$A$2:$B$4))</f>
        <v>0</v>
      </c>
      <c r="B279" s="2" t="b">
        <f>IF(ISBLANK(InfoGard!E279),FALSE,RIGHT(TRIM(InfoGard!E279),15))</f>
        <v>0</v>
      </c>
      <c r="C279" s="2" t="b">
        <f>IF(ISBLANK(InfoGard!F279),FALSE,LOOKUP(InfoGard!F279,Lookup!$A$6:$B$7))</f>
        <v>0</v>
      </c>
      <c r="D279" s="2" t="b">
        <f>IF(ISBLANK(InfoGard!G279),FALSE,InfoGard!G279)</f>
        <v>0</v>
      </c>
      <c r="E279" s="2" t="str">
        <f>IF(NOT(ISBLANK(InfoGard!D279)),IF(OR(ISBLANK(InfoGard!E279),InfoGard!E279="N/A"),"no acb code",CONCATENATE(Lookup!F$1,A279,Lookup!G$1,B279,Lookup!H$1,H$1,Lookup!I$1)),"no attestation")</f>
        <v>no attestation</v>
      </c>
      <c r="F279" s="2" t="str">
        <f>IF(AND(NOT(ISBLANK(InfoGard!G279)),InfoGard!G279&lt;&gt;"N/A"),IF(C279="All",CONCATENATE(Lookup!F$2,D279,Lookup!G$2,B279,Lookup!H$2,H$1,Lookup!I$2),CONCATENATE(Lookup!F$3,D279,Lookup!G$3,B279,Lookup!H$3)),"no url")</f>
        <v>no url</v>
      </c>
    </row>
    <row r="280" spans="1:6" hidden="1" x14ac:dyDescent="0.25">
      <c r="A280" s="2" t="b">
        <f>IF(ISBLANK(InfoGard!D280),FALSE,LOOKUP(InfoGard!D280,Lookup!$A$2:$B$4))</f>
        <v>0</v>
      </c>
      <c r="B280" s="2" t="b">
        <f>IF(ISBLANK(InfoGard!E280),FALSE,RIGHT(TRIM(InfoGard!E280),15))</f>
        <v>0</v>
      </c>
      <c r="C280" s="2" t="b">
        <f>IF(ISBLANK(InfoGard!F280),FALSE,LOOKUP(InfoGard!F280,Lookup!$A$6:$B$7))</f>
        <v>0</v>
      </c>
      <c r="D280" s="2" t="b">
        <f>IF(ISBLANK(InfoGard!G280),FALSE,InfoGard!G280)</f>
        <v>0</v>
      </c>
      <c r="E280" s="2" t="str">
        <f>IF(NOT(ISBLANK(InfoGard!D280)),IF(OR(ISBLANK(InfoGard!E280),InfoGard!E280="N/A"),"no acb code",CONCATENATE(Lookup!F$1,A280,Lookup!G$1,B280,Lookup!H$1,H$1,Lookup!I$1)),"no attestation")</f>
        <v>no attestation</v>
      </c>
      <c r="F280" s="2" t="str">
        <f>IF(AND(NOT(ISBLANK(InfoGard!G280)),InfoGard!G280&lt;&gt;"N/A"),IF(C280="All",CONCATENATE(Lookup!F$2,D280,Lookup!G$2,B280,Lookup!H$2,H$1,Lookup!I$2),CONCATENATE(Lookup!F$3,D280,Lookup!G$3,B280,Lookup!H$3)),"no url")</f>
        <v>no url</v>
      </c>
    </row>
    <row r="281" spans="1:6" hidden="1" x14ac:dyDescent="0.25">
      <c r="A281" s="2" t="b">
        <f>IF(ISBLANK(InfoGard!D281),FALSE,LOOKUP(InfoGard!D281,Lookup!$A$2:$B$4))</f>
        <v>0</v>
      </c>
      <c r="B281" s="2" t="b">
        <f>IF(ISBLANK(InfoGard!E281),FALSE,RIGHT(TRIM(InfoGard!E281),15))</f>
        <v>0</v>
      </c>
      <c r="C281" s="2" t="b">
        <f>IF(ISBLANK(InfoGard!F281),FALSE,LOOKUP(InfoGard!F281,Lookup!$A$6:$B$7))</f>
        <v>0</v>
      </c>
      <c r="D281" s="2" t="b">
        <f>IF(ISBLANK(InfoGard!G281),FALSE,InfoGard!G281)</f>
        <v>0</v>
      </c>
      <c r="E281" s="2" t="str">
        <f>IF(NOT(ISBLANK(InfoGard!D281)),IF(OR(ISBLANK(InfoGard!E281),InfoGard!E281="N/A"),"no acb code",CONCATENATE(Lookup!F$1,A281,Lookup!G$1,B281,Lookup!H$1,H$1,Lookup!I$1)),"no attestation")</f>
        <v>no attestation</v>
      </c>
      <c r="F281" s="2" t="str">
        <f>IF(AND(NOT(ISBLANK(InfoGard!G281)),InfoGard!G281&lt;&gt;"N/A"),IF(C281="All",CONCATENATE(Lookup!F$2,D281,Lookup!G$2,B281,Lookup!H$2,H$1,Lookup!I$2),CONCATENATE(Lookup!F$3,D281,Lookup!G$3,B281,Lookup!H$3)),"no url")</f>
        <v>no url</v>
      </c>
    </row>
    <row r="282" spans="1:6" hidden="1" x14ac:dyDescent="0.25">
      <c r="A282" s="2" t="b">
        <f>IF(ISBLANK(InfoGard!D282),FALSE,LOOKUP(InfoGard!D282,Lookup!$A$2:$B$4))</f>
        <v>0</v>
      </c>
      <c r="B282" s="2" t="b">
        <f>IF(ISBLANK(InfoGard!E282),FALSE,RIGHT(TRIM(InfoGard!E282),15))</f>
        <v>0</v>
      </c>
      <c r="C282" s="2" t="b">
        <f>IF(ISBLANK(InfoGard!F282),FALSE,LOOKUP(InfoGard!F282,Lookup!$A$6:$B$7))</f>
        <v>0</v>
      </c>
      <c r="D282" s="2" t="b">
        <f>IF(ISBLANK(InfoGard!G282),FALSE,InfoGard!G282)</f>
        <v>0</v>
      </c>
      <c r="E282" s="2" t="str">
        <f>IF(NOT(ISBLANK(InfoGard!D282)),IF(OR(ISBLANK(InfoGard!E282),InfoGard!E282="N/A"),"no acb code",CONCATENATE(Lookup!F$1,A282,Lookup!G$1,B282,Lookup!H$1,H$1,Lookup!I$1)),"no attestation")</f>
        <v>no attestation</v>
      </c>
      <c r="F282" s="2" t="str">
        <f>IF(AND(NOT(ISBLANK(InfoGard!G282)),InfoGard!G282&lt;&gt;"N/A"),IF(C282="All",CONCATENATE(Lookup!F$2,D282,Lookup!G$2,B282,Lookup!H$2,H$1,Lookup!I$2),CONCATENATE(Lookup!F$3,D282,Lookup!G$3,B282,Lookup!H$3)),"no url")</f>
        <v>no url</v>
      </c>
    </row>
    <row r="283" spans="1:6" hidden="1" x14ac:dyDescent="0.25">
      <c r="A283" s="2" t="b">
        <f>IF(ISBLANK(InfoGard!D283),FALSE,LOOKUP(InfoGard!D283,Lookup!$A$2:$B$4))</f>
        <v>0</v>
      </c>
      <c r="B283" s="2" t="b">
        <f>IF(ISBLANK(InfoGard!E283),FALSE,RIGHT(TRIM(InfoGard!E283),15))</f>
        <v>0</v>
      </c>
      <c r="C283" s="2" t="b">
        <f>IF(ISBLANK(InfoGard!F283),FALSE,LOOKUP(InfoGard!F283,Lookup!$A$6:$B$7))</f>
        <v>0</v>
      </c>
      <c r="D283" s="2" t="b">
        <f>IF(ISBLANK(InfoGard!G283),FALSE,InfoGard!G283)</f>
        <v>0</v>
      </c>
      <c r="E283" s="2" t="str">
        <f>IF(NOT(ISBLANK(InfoGard!D283)),IF(OR(ISBLANK(InfoGard!E283),InfoGard!E283="N/A"),"no acb code",CONCATENATE(Lookup!F$1,A283,Lookup!G$1,B283,Lookup!H$1,H$1,Lookup!I$1)),"no attestation")</f>
        <v>no attestation</v>
      </c>
      <c r="F283" s="2" t="str">
        <f>IF(AND(NOT(ISBLANK(InfoGard!G283)),InfoGard!G283&lt;&gt;"N/A"),IF(C283="All",CONCATENATE(Lookup!F$2,D283,Lookup!G$2,B283,Lookup!H$2,H$1,Lookup!I$2),CONCATENATE(Lookup!F$3,D283,Lookup!G$3,B283,Lookup!H$3)),"no url")</f>
        <v>no url</v>
      </c>
    </row>
    <row r="284" spans="1:6" hidden="1" x14ac:dyDescent="0.25">
      <c r="A284" s="2" t="b">
        <f>IF(ISBLANK(InfoGard!D284),FALSE,LOOKUP(InfoGard!D284,Lookup!$A$2:$B$4))</f>
        <v>0</v>
      </c>
      <c r="B284" s="2" t="b">
        <f>IF(ISBLANK(InfoGard!E284),FALSE,RIGHT(TRIM(InfoGard!E284),15))</f>
        <v>0</v>
      </c>
      <c r="C284" s="2" t="b">
        <f>IF(ISBLANK(InfoGard!F284),FALSE,LOOKUP(InfoGard!F284,Lookup!$A$6:$B$7))</f>
        <v>0</v>
      </c>
      <c r="D284" s="2" t="b">
        <f>IF(ISBLANK(InfoGard!G284),FALSE,InfoGard!G284)</f>
        <v>0</v>
      </c>
      <c r="E284" s="2" t="str">
        <f>IF(NOT(ISBLANK(InfoGard!D284)),IF(OR(ISBLANK(InfoGard!E284),InfoGard!E284="N/A"),"no acb code",CONCATENATE(Lookup!F$1,A284,Lookup!G$1,B284,Lookup!H$1,H$1,Lookup!I$1)),"no attestation")</f>
        <v>no attestation</v>
      </c>
      <c r="F284" s="2" t="str">
        <f>IF(AND(NOT(ISBLANK(InfoGard!G284)),InfoGard!G284&lt;&gt;"N/A"),IF(C284="All",CONCATENATE(Lookup!F$2,D284,Lookup!G$2,B284,Lookup!H$2,H$1,Lookup!I$2),CONCATENATE(Lookup!F$3,D284,Lookup!G$3,B284,Lookup!H$3)),"no url")</f>
        <v>no url</v>
      </c>
    </row>
    <row r="285" spans="1:6" hidden="1" x14ac:dyDescent="0.25">
      <c r="A285" s="2" t="b">
        <f>IF(ISBLANK(InfoGard!D285),FALSE,LOOKUP(InfoGard!D285,Lookup!$A$2:$B$4))</f>
        <v>0</v>
      </c>
      <c r="B285" s="2" t="b">
        <f>IF(ISBLANK(InfoGard!E285),FALSE,RIGHT(TRIM(InfoGard!E285),15))</f>
        <v>0</v>
      </c>
      <c r="C285" s="2" t="b">
        <f>IF(ISBLANK(InfoGard!F285),FALSE,LOOKUP(InfoGard!F285,Lookup!$A$6:$B$7))</f>
        <v>0</v>
      </c>
      <c r="D285" s="2" t="b">
        <f>IF(ISBLANK(InfoGard!G285),FALSE,InfoGard!G285)</f>
        <v>0</v>
      </c>
      <c r="E285" s="2" t="str">
        <f>IF(NOT(ISBLANK(InfoGard!D285)),IF(OR(ISBLANK(InfoGard!E285),InfoGard!E285="N/A"),"no acb code",CONCATENATE(Lookup!F$1,A285,Lookup!G$1,B285,Lookup!H$1,H$1,Lookup!I$1)),"no attestation")</f>
        <v>no attestation</v>
      </c>
      <c r="F285" s="2" t="str">
        <f>IF(AND(NOT(ISBLANK(InfoGard!G285)),InfoGard!G285&lt;&gt;"N/A"),IF(C285="All",CONCATENATE(Lookup!F$2,D285,Lookup!G$2,B285,Lookup!H$2,H$1,Lookup!I$2),CONCATENATE(Lookup!F$3,D285,Lookup!G$3,B285,Lookup!H$3)),"no url")</f>
        <v>no url</v>
      </c>
    </row>
    <row r="286" spans="1:6" hidden="1" x14ac:dyDescent="0.25">
      <c r="A286" s="2" t="b">
        <f>IF(ISBLANK(InfoGard!D286),FALSE,LOOKUP(InfoGard!D286,Lookup!$A$2:$B$4))</f>
        <v>0</v>
      </c>
      <c r="B286" s="2" t="b">
        <f>IF(ISBLANK(InfoGard!E286),FALSE,RIGHT(TRIM(InfoGard!E286),15))</f>
        <v>0</v>
      </c>
      <c r="C286" s="2" t="b">
        <f>IF(ISBLANK(InfoGard!F286),FALSE,LOOKUP(InfoGard!F286,Lookup!$A$6:$B$7))</f>
        <v>0</v>
      </c>
      <c r="D286" s="2" t="b">
        <f>IF(ISBLANK(InfoGard!G286),FALSE,InfoGard!G286)</f>
        <v>0</v>
      </c>
      <c r="E286" s="2" t="str">
        <f>IF(NOT(ISBLANK(InfoGard!D286)),IF(OR(ISBLANK(InfoGard!E286),InfoGard!E286="N/A"),"no acb code",CONCATENATE(Lookup!F$1,A286,Lookup!G$1,B286,Lookup!H$1,H$1,Lookup!I$1)),"no attestation")</f>
        <v>no attestation</v>
      </c>
      <c r="F286" s="2" t="str">
        <f>IF(AND(NOT(ISBLANK(InfoGard!G286)),InfoGard!G286&lt;&gt;"N/A"),IF(C286="All",CONCATENATE(Lookup!F$2,D286,Lookup!G$2,B286,Lookup!H$2,H$1,Lookup!I$2),CONCATENATE(Lookup!F$3,D286,Lookup!G$3,B286,Lookup!H$3)),"no url")</f>
        <v>no url</v>
      </c>
    </row>
    <row r="287" spans="1:6" hidden="1" x14ac:dyDescent="0.25">
      <c r="A287" s="2" t="b">
        <f>IF(ISBLANK(InfoGard!D287),FALSE,LOOKUP(InfoGard!D287,Lookup!$A$2:$B$4))</f>
        <v>0</v>
      </c>
      <c r="B287" s="2" t="b">
        <f>IF(ISBLANK(InfoGard!E287),FALSE,RIGHT(TRIM(InfoGard!E287),15))</f>
        <v>0</v>
      </c>
      <c r="C287" s="2" t="b">
        <f>IF(ISBLANK(InfoGard!F287),FALSE,LOOKUP(InfoGard!F287,Lookup!$A$6:$B$7))</f>
        <v>0</v>
      </c>
      <c r="D287" s="2" t="b">
        <f>IF(ISBLANK(InfoGard!G287),FALSE,InfoGard!G287)</f>
        <v>0</v>
      </c>
      <c r="E287" s="2" t="str">
        <f>IF(NOT(ISBLANK(InfoGard!D287)),IF(OR(ISBLANK(InfoGard!E287),InfoGard!E287="N/A"),"no acb code",CONCATENATE(Lookup!F$1,A287,Lookup!G$1,B287,Lookup!H$1,H$1,Lookup!I$1)),"no attestation")</f>
        <v>no attestation</v>
      </c>
      <c r="F287" s="2" t="str">
        <f>IF(AND(NOT(ISBLANK(InfoGard!G287)),InfoGard!G287&lt;&gt;"N/A"),IF(C287="All",CONCATENATE(Lookup!F$2,D287,Lookup!G$2,B287,Lookup!H$2,H$1,Lookup!I$2),CONCATENATE(Lookup!F$3,D287,Lookup!G$3,B287,Lookup!H$3)),"no url")</f>
        <v>no url</v>
      </c>
    </row>
    <row r="288" spans="1:6" hidden="1" x14ac:dyDescent="0.25">
      <c r="A288" s="2" t="b">
        <f>IF(ISBLANK(InfoGard!D288),FALSE,LOOKUP(InfoGard!D288,Lookup!$A$2:$B$4))</f>
        <v>0</v>
      </c>
      <c r="B288" s="2" t="b">
        <f>IF(ISBLANK(InfoGard!E288),FALSE,RIGHT(TRIM(InfoGard!E288),15))</f>
        <v>0</v>
      </c>
      <c r="C288" s="2" t="b">
        <f>IF(ISBLANK(InfoGard!F288),FALSE,LOOKUP(InfoGard!F288,Lookup!$A$6:$B$7))</f>
        <v>0</v>
      </c>
      <c r="D288" s="2" t="b">
        <f>IF(ISBLANK(InfoGard!G288),FALSE,InfoGard!G288)</f>
        <v>0</v>
      </c>
      <c r="E288" s="2" t="str">
        <f>IF(NOT(ISBLANK(InfoGard!D288)),IF(OR(ISBLANK(InfoGard!E288),InfoGard!E288="N/A"),"no acb code",CONCATENATE(Lookup!F$1,A288,Lookup!G$1,B288,Lookup!H$1,H$1,Lookup!I$1)),"no attestation")</f>
        <v>no attestation</v>
      </c>
      <c r="F288" s="2" t="str">
        <f>IF(AND(NOT(ISBLANK(InfoGard!G288)),InfoGard!G288&lt;&gt;"N/A"),IF(C288="All",CONCATENATE(Lookup!F$2,D288,Lookup!G$2,B288,Lookup!H$2,H$1,Lookup!I$2),CONCATENATE(Lookup!F$3,D288,Lookup!G$3,B288,Lookup!H$3)),"no url")</f>
        <v>no url</v>
      </c>
    </row>
    <row r="289" spans="1:6" hidden="1" x14ac:dyDescent="0.25">
      <c r="A289" s="2" t="b">
        <f>IF(ISBLANK(InfoGard!D289),FALSE,LOOKUP(InfoGard!D289,Lookup!$A$2:$B$4))</f>
        <v>0</v>
      </c>
      <c r="B289" s="2" t="b">
        <f>IF(ISBLANK(InfoGard!E289),FALSE,RIGHT(TRIM(InfoGard!E289),15))</f>
        <v>0</v>
      </c>
      <c r="C289" s="2" t="b">
        <f>IF(ISBLANK(InfoGard!F289),FALSE,LOOKUP(InfoGard!F289,Lookup!$A$6:$B$7))</f>
        <v>0</v>
      </c>
      <c r="D289" s="2" t="b">
        <f>IF(ISBLANK(InfoGard!G289),FALSE,InfoGard!G289)</f>
        <v>0</v>
      </c>
      <c r="E289" s="2" t="str">
        <f>IF(NOT(ISBLANK(InfoGard!D289)),IF(OR(ISBLANK(InfoGard!E289),InfoGard!E289="N/A"),"no acb code",CONCATENATE(Lookup!F$1,A289,Lookup!G$1,B289,Lookup!H$1,H$1,Lookup!I$1)),"no attestation")</f>
        <v>no attestation</v>
      </c>
      <c r="F289" s="2" t="str">
        <f>IF(AND(NOT(ISBLANK(InfoGard!G289)),InfoGard!G289&lt;&gt;"N/A"),IF(C289="All",CONCATENATE(Lookup!F$2,D289,Lookup!G$2,B289,Lookup!H$2,H$1,Lookup!I$2),CONCATENATE(Lookup!F$3,D289,Lookup!G$3,B289,Lookup!H$3)),"no url")</f>
        <v>no url</v>
      </c>
    </row>
    <row r="290" spans="1:6" hidden="1" x14ac:dyDescent="0.25">
      <c r="A290" s="2" t="b">
        <f>IF(ISBLANK(InfoGard!D290),FALSE,LOOKUP(InfoGard!D290,Lookup!$A$2:$B$4))</f>
        <v>0</v>
      </c>
      <c r="B290" s="2" t="b">
        <f>IF(ISBLANK(InfoGard!E290),FALSE,RIGHT(TRIM(InfoGard!E290),15))</f>
        <v>0</v>
      </c>
      <c r="C290" s="2" t="b">
        <f>IF(ISBLANK(InfoGard!F290),FALSE,LOOKUP(InfoGard!F290,Lookup!$A$6:$B$7))</f>
        <v>0</v>
      </c>
      <c r="D290" s="2" t="b">
        <f>IF(ISBLANK(InfoGard!G290),FALSE,InfoGard!G290)</f>
        <v>0</v>
      </c>
      <c r="E290" s="2" t="str">
        <f>IF(NOT(ISBLANK(InfoGard!D290)),IF(OR(ISBLANK(InfoGard!E290),InfoGard!E290="N/A"),"no acb code",CONCATENATE(Lookup!F$1,A290,Lookup!G$1,B290,Lookup!H$1,H$1,Lookup!I$1)),"no attestation")</f>
        <v>no attestation</v>
      </c>
      <c r="F290" s="2" t="str">
        <f>IF(AND(NOT(ISBLANK(InfoGard!G290)),InfoGard!G290&lt;&gt;"N/A"),IF(C290="All",CONCATENATE(Lookup!F$2,D290,Lookup!G$2,B290,Lookup!H$2,H$1,Lookup!I$2),CONCATENATE(Lookup!F$3,D290,Lookup!G$3,B290,Lookup!H$3)),"no url")</f>
        <v>no url</v>
      </c>
    </row>
    <row r="291" spans="1:6" hidden="1" x14ac:dyDescent="0.25">
      <c r="A291" s="2" t="b">
        <f>IF(ISBLANK(InfoGard!D291),FALSE,LOOKUP(InfoGard!D291,Lookup!$A$2:$B$4))</f>
        <v>0</v>
      </c>
      <c r="B291" s="2" t="b">
        <f>IF(ISBLANK(InfoGard!E291),FALSE,RIGHT(TRIM(InfoGard!E291),15))</f>
        <v>0</v>
      </c>
      <c r="C291" s="2" t="b">
        <f>IF(ISBLANK(InfoGard!F291),FALSE,LOOKUP(InfoGard!F291,Lookup!$A$6:$B$7))</f>
        <v>0</v>
      </c>
      <c r="D291" s="2" t="b">
        <f>IF(ISBLANK(InfoGard!G291),FALSE,InfoGard!G291)</f>
        <v>0</v>
      </c>
      <c r="E291" s="2" t="str">
        <f>IF(NOT(ISBLANK(InfoGard!D291)),IF(OR(ISBLANK(InfoGard!E291),InfoGard!E291="N/A"),"no acb code",CONCATENATE(Lookup!F$1,A291,Lookup!G$1,B291,Lookup!H$1,H$1,Lookup!I$1)),"no attestation")</f>
        <v>no attestation</v>
      </c>
      <c r="F291" s="2" t="str">
        <f>IF(AND(NOT(ISBLANK(InfoGard!G291)),InfoGard!G291&lt;&gt;"N/A"),IF(C291="All",CONCATENATE(Lookup!F$2,D291,Lookup!G$2,B291,Lookup!H$2,H$1,Lookup!I$2),CONCATENATE(Lookup!F$3,D291,Lookup!G$3,B291,Lookup!H$3)),"no url")</f>
        <v>no url</v>
      </c>
    </row>
    <row r="292" spans="1:6" hidden="1" x14ac:dyDescent="0.25">
      <c r="A292" s="2" t="b">
        <f>IF(ISBLANK(InfoGard!D292),FALSE,LOOKUP(InfoGard!D292,Lookup!$A$2:$B$4))</f>
        <v>0</v>
      </c>
      <c r="B292" s="2" t="b">
        <f>IF(ISBLANK(InfoGard!E292),FALSE,RIGHT(TRIM(InfoGard!E292),15))</f>
        <v>0</v>
      </c>
      <c r="C292" s="2" t="b">
        <f>IF(ISBLANK(InfoGard!F292),FALSE,LOOKUP(InfoGard!F292,Lookup!$A$6:$B$7))</f>
        <v>0</v>
      </c>
      <c r="D292" s="2" t="b">
        <f>IF(ISBLANK(InfoGard!G292),FALSE,InfoGard!G292)</f>
        <v>0</v>
      </c>
      <c r="E292" s="2" t="str">
        <f>IF(NOT(ISBLANK(InfoGard!D292)),IF(OR(ISBLANK(InfoGard!E292),InfoGard!E292="N/A"),"no acb code",CONCATENATE(Lookup!F$1,A292,Lookup!G$1,B292,Lookup!H$1,H$1,Lookup!I$1)),"no attestation")</f>
        <v>no attestation</v>
      </c>
      <c r="F292" s="2" t="str">
        <f>IF(AND(NOT(ISBLANK(InfoGard!G292)),InfoGard!G292&lt;&gt;"N/A"),IF(C292="All",CONCATENATE(Lookup!F$2,D292,Lookup!G$2,B292,Lookup!H$2,H$1,Lookup!I$2),CONCATENATE(Lookup!F$3,D292,Lookup!G$3,B292,Lookup!H$3)),"no url")</f>
        <v>no url</v>
      </c>
    </row>
    <row r="293" spans="1:6" hidden="1" x14ac:dyDescent="0.25">
      <c r="A293" s="2" t="b">
        <f>IF(ISBLANK(InfoGard!D293),FALSE,LOOKUP(InfoGard!D293,Lookup!$A$2:$B$4))</f>
        <v>0</v>
      </c>
      <c r="B293" s="2" t="b">
        <f>IF(ISBLANK(InfoGard!E293),FALSE,RIGHT(TRIM(InfoGard!E293),15))</f>
        <v>0</v>
      </c>
      <c r="C293" s="2" t="b">
        <f>IF(ISBLANK(InfoGard!F293),FALSE,LOOKUP(InfoGard!F293,Lookup!$A$6:$B$7))</f>
        <v>0</v>
      </c>
      <c r="D293" s="2" t="b">
        <f>IF(ISBLANK(InfoGard!G293),FALSE,InfoGard!G293)</f>
        <v>0</v>
      </c>
      <c r="E293" s="2" t="str">
        <f>IF(NOT(ISBLANK(InfoGard!D293)),IF(OR(ISBLANK(InfoGard!E293),InfoGard!E293="N/A"),"no acb code",CONCATENATE(Lookup!F$1,A293,Lookup!G$1,B293,Lookup!H$1,H$1,Lookup!I$1)),"no attestation")</f>
        <v>no attestation</v>
      </c>
      <c r="F293" s="2" t="str">
        <f>IF(AND(NOT(ISBLANK(InfoGard!G293)),InfoGard!G293&lt;&gt;"N/A"),IF(C293="All",CONCATENATE(Lookup!F$2,D293,Lookup!G$2,B293,Lookup!H$2,H$1,Lookup!I$2),CONCATENATE(Lookup!F$3,D293,Lookup!G$3,B293,Lookup!H$3)),"no url")</f>
        <v>no url</v>
      </c>
    </row>
    <row r="294" spans="1:6" hidden="1" x14ac:dyDescent="0.25">
      <c r="A294" s="2" t="b">
        <f>IF(ISBLANK(InfoGard!D294),FALSE,LOOKUP(InfoGard!D294,Lookup!$A$2:$B$4))</f>
        <v>0</v>
      </c>
      <c r="B294" s="2" t="b">
        <f>IF(ISBLANK(InfoGard!E294),FALSE,RIGHT(TRIM(InfoGard!E294),15))</f>
        <v>0</v>
      </c>
      <c r="C294" s="2" t="b">
        <f>IF(ISBLANK(InfoGard!F294),FALSE,LOOKUP(InfoGard!F294,Lookup!$A$6:$B$7))</f>
        <v>0</v>
      </c>
      <c r="D294" s="2" t="b">
        <f>IF(ISBLANK(InfoGard!G294),FALSE,InfoGard!G294)</f>
        <v>0</v>
      </c>
      <c r="E294" s="2" t="str">
        <f>IF(NOT(ISBLANK(InfoGard!D294)),IF(OR(ISBLANK(InfoGard!E294),InfoGard!E294="N/A"),"no acb code",CONCATENATE(Lookup!F$1,A294,Lookup!G$1,B294,Lookup!H$1,H$1,Lookup!I$1)),"no attestation")</f>
        <v>no attestation</v>
      </c>
      <c r="F294" s="2" t="str">
        <f>IF(AND(NOT(ISBLANK(InfoGard!G294)),InfoGard!G294&lt;&gt;"N/A"),IF(C294="All",CONCATENATE(Lookup!F$2,D294,Lookup!G$2,B294,Lookup!H$2,H$1,Lookup!I$2),CONCATENATE(Lookup!F$3,D294,Lookup!G$3,B294,Lookup!H$3)),"no url")</f>
        <v>no url</v>
      </c>
    </row>
    <row r="295" spans="1:6" hidden="1" x14ac:dyDescent="0.25">
      <c r="A295" s="2" t="b">
        <f>IF(ISBLANK(InfoGard!D295),FALSE,LOOKUP(InfoGard!D295,Lookup!$A$2:$B$4))</f>
        <v>0</v>
      </c>
      <c r="B295" s="2" t="b">
        <f>IF(ISBLANK(InfoGard!E295),FALSE,RIGHT(TRIM(InfoGard!E295),15))</f>
        <v>0</v>
      </c>
      <c r="C295" s="2" t="b">
        <f>IF(ISBLANK(InfoGard!F295),FALSE,LOOKUP(InfoGard!F295,Lookup!$A$6:$B$7))</f>
        <v>0</v>
      </c>
      <c r="D295" s="2" t="b">
        <f>IF(ISBLANK(InfoGard!G295),FALSE,InfoGard!G295)</f>
        <v>0</v>
      </c>
      <c r="E295" s="2" t="str">
        <f>IF(NOT(ISBLANK(InfoGard!D295)),IF(OR(ISBLANK(InfoGard!E295),InfoGard!E295="N/A"),"no acb code",CONCATENATE(Lookup!F$1,A295,Lookup!G$1,B295,Lookup!H$1,H$1,Lookup!I$1)),"no attestation")</f>
        <v>no attestation</v>
      </c>
      <c r="F295" s="2" t="str">
        <f>IF(AND(NOT(ISBLANK(InfoGard!G295)),InfoGard!G295&lt;&gt;"N/A"),IF(C295="All",CONCATENATE(Lookup!F$2,D295,Lookup!G$2,B295,Lookup!H$2,H$1,Lookup!I$2),CONCATENATE(Lookup!F$3,D295,Lookup!G$3,B295,Lookup!H$3)),"no url")</f>
        <v>no url</v>
      </c>
    </row>
    <row r="296" spans="1:6" x14ac:dyDescent="0.25">
      <c r="A296" s="2" t="str">
        <f>IF(ISBLANK(InfoGard!D296),FALSE,LOOKUP(InfoGard!D296,Lookup!$A$2:$B$4))</f>
        <v>Affirmative</v>
      </c>
      <c r="B296" s="2" t="str">
        <f>IF(ISBLANK(InfoGard!E296),FALSE,RIGHT(TRIM(InfoGard!E296),15))</f>
        <v>IG-3269-15-0014</v>
      </c>
      <c r="C296" s="2" t="str">
        <f>IF(ISBLANK(InfoGard!F296),FALSE,LOOKUP(InfoGard!F296,Lookup!$A$6:$B$7))</f>
        <v>All</v>
      </c>
      <c r="D296" s="2" t="str">
        <f>IF(ISBLANK(InfoGard!G296),FALSE,InfoGard!G296)</f>
        <v>http://www.ccccorp.com/2014-onc-acb-certification-statement; http://www.ccccorp.com/2014-onc-acb-certification-statement/pricing-transparency</v>
      </c>
      <c r="E296" s="2" t="str">
        <f>IF(NOT(ISBLANK(InfoGard!D296)),IF(OR(ISBLANK(InfoGard!E296),InfoGard!E296="N/A"),"no acb code",CONCATENATE(Lookup!F$1,A296,Lookup!G$1,B296,Lookup!H$1,H$1,Lookup!I$1)),"no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'IG-3269-15-0014' and cb."name" = 'InfoGard' and cp.product_version_id = pv.product_version_id and pv.product_id = p.product_id and p.vendor_id = vend.vendor_id;</v>
      </c>
      <c r="F296" s="2" t="str">
        <f>IF(AND(NOT(ISBLANK(InfoGard!G296)),InfoGard!G296&lt;&gt;"N/A"),IF(C296="All",CONCATENATE(Lookup!F$2,D296,Lookup!G$2,B296,Lookup!H$2,H$1,Lookup!I$2),CONCATENATE(Lookup!F$3,D296,Lookup!G$3,B296,Lookup!H$3)),"no url")</f>
        <v>update openchpl.certified_product as cp set transparency_attestation_url = 'http://www.ccccorp.com/2014-onc-acb-certification-statement; http://www.ccccorp.com/2014-onc-acb-certification-statement/pricing-transparency' from (select certified_product_id from (select vend.vendor_code from openchpl.certified_product as cp, openchpl.product_version as pv, openchpl.product as p, openchpl.vendor as vend where cp.acb_certification_id = 'IG-3269-15-0014'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7" spans="1:6" hidden="1" x14ac:dyDescent="0.25">
      <c r="A297" s="2" t="b">
        <f>IF(ISBLANK(InfoGard!D297),FALSE,LOOKUP(InfoGard!D297,Lookup!$A$2:$B$4))</f>
        <v>0</v>
      </c>
      <c r="B297" s="2" t="b">
        <f>IF(ISBLANK(InfoGard!E297),FALSE,RIGHT(TRIM(InfoGard!E297),15))</f>
        <v>0</v>
      </c>
      <c r="C297" s="2" t="b">
        <f>IF(ISBLANK(InfoGard!F297),FALSE,LOOKUP(InfoGard!F297,Lookup!$A$6:$B$7))</f>
        <v>0</v>
      </c>
      <c r="D297" s="2" t="b">
        <f>IF(ISBLANK(InfoGard!G297),FALSE,InfoGard!G297)</f>
        <v>0</v>
      </c>
      <c r="E297" s="2" t="str">
        <f>IF(NOT(ISBLANK(InfoGard!D297)),IF(OR(ISBLANK(InfoGard!E297),InfoGard!E297="N/A"),"no acb code",CONCATENATE(Lookup!F$1,A297,Lookup!G$1,B297,Lookup!H$1,H$1,Lookup!I$1)),"no attestation")</f>
        <v>no attestation</v>
      </c>
      <c r="F297" s="2" t="str">
        <f>IF(AND(NOT(ISBLANK(InfoGard!G297)),InfoGard!G297&lt;&gt;"N/A"),IF(C297="All",CONCATENATE(Lookup!F$2,D297,Lookup!G$2,B297,Lookup!H$2,H$1,Lookup!I$2),CONCATENATE(Lookup!F$3,D297,Lookup!G$3,B297,Lookup!H$3)),"no url")</f>
        <v>no url</v>
      </c>
    </row>
    <row r="298" spans="1:6" hidden="1" x14ac:dyDescent="0.25">
      <c r="A298" s="2" t="b">
        <f>IF(ISBLANK(InfoGard!D298),FALSE,LOOKUP(InfoGard!D298,Lookup!$A$2:$B$4))</f>
        <v>0</v>
      </c>
      <c r="B298" s="2" t="b">
        <f>IF(ISBLANK(InfoGard!E298),FALSE,RIGHT(TRIM(InfoGard!E298),15))</f>
        <v>0</v>
      </c>
      <c r="C298" s="2" t="b">
        <f>IF(ISBLANK(InfoGard!F298),FALSE,LOOKUP(InfoGard!F298,Lookup!$A$6:$B$7))</f>
        <v>0</v>
      </c>
      <c r="D298" s="2" t="b">
        <f>IF(ISBLANK(InfoGard!G298),FALSE,InfoGard!G298)</f>
        <v>0</v>
      </c>
      <c r="E298" s="2" t="str">
        <f>IF(NOT(ISBLANK(InfoGard!D298)),IF(OR(ISBLANK(InfoGard!E298),InfoGard!E298="N/A"),"no acb code",CONCATENATE(Lookup!F$1,A298,Lookup!G$1,B298,Lookup!H$1,H$1,Lookup!I$1)),"no attestation")</f>
        <v>no attestation</v>
      </c>
      <c r="F298" s="2" t="str">
        <f>IF(AND(NOT(ISBLANK(InfoGard!G298)),InfoGard!G298&lt;&gt;"N/A"),IF(C298="All",CONCATENATE(Lookup!F$2,D298,Lookup!G$2,B298,Lookup!H$2,H$1,Lookup!I$2),CONCATENATE(Lookup!F$3,D298,Lookup!G$3,B298,Lookup!H$3)),"no url")</f>
        <v>no url</v>
      </c>
    </row>
    <row r="299" spans="1:6" hidden="1" x14ac:dyDescent="0.25">
      <c r="A299" s="2" t="b">
        <f>IF(ISBLANK(InfoGard!D299),FALSE,LOOKUP(InfoGard!D299,Lookup!$A$2:$B$4))</f>
        <v>0</v>
      </c>
      <c r="B299" s="2" t="b">
        <f>IF(ISBLANK(InfoGard!E299),FALSE,RIGHT(TRIM(InfoGard!E299),15))</f>
        <v>0</v>
      </c>
      <c r="C299" s="2" t="b">
        <f>IF(ISBLANK(InfoGard!F299),FALSE,LOOKUP(InfoGard!F299,Lookup!$A$6:$B$7))</f>
        <v>0</v>
      </c>
      <c r="D299" s="2" t="b">
        <f>IF(ISBLANK(InfoGard!G299),FALSE,InfoGard!G299)</f>
        <v>0</v>
      </c>
      <c r="E299" s="2" t="str">
        <f>IF(NOT(ISBLANK(InfoGard!D299)),IF(OR(ISBLANK(InfoGard!E299),InfoGard!E299="N/A"),"no acb code",CONCATENATE(Lookup!F$1,A299,Lookup!G$1,B299,Lookup!H$1,H$1,Lookup!I$1)),"no attestation")</f>
        <v>no attestation</v>
      </c>
      <c r="F299" s="2" t="str">
        <f>IF(AND(NOT(ISBLANK(InfoGard!G299)),InfoGard!G299&lt;&gt;"N/A"),IF(C299="All",CONCATENATE(Lookup!F$2,D299,Lookup!G$2,B299,Lookup!H$2,H$1,Lookup!I$2),CONCATENATE(Lookup!F$3,D299,Lookup!G$3,B299,Lookup!H$3)),"no url")</f>
        <v>no url</v>
      </c>
    </row>
    <row r="300" spans="1:6" hidden="1" x14ac:dyDescent="0.25">
      <c r="A300" s="2" t="b">
        <f>IF(ISBLANK(InfoGard!D300),FALSE,LOOKUP(InfoGard!D300,Lookup!$A$2:$B$4))</f>
        <v>0</v>
      </c>
      <c r="B300" s="2" t="b">
        <f>IF(ISBLANK(InfoGard!E300),FALSE,RIGHT(TRIM(InfoGard!E300),15))</f>
        <v>0</v>
      </c>
      <c r="C300" s="2" t="b">
        <f>IF(ISBLANK(InfoGard!F300),FALSE,LOOKUP(InfoGard!F300,Lookup!$A$6:$B$7))</f>
        <v>0</v>
      </c>
      <c r="D300" s="2" t="b">
        <f>IF(ISBLANK(InfoGard!G300),FALSE,InfoGard!G300)</f>
        <v>0</v>
      </c>
      <c r="E300" s="2" t="str">
        <f>IF(NOT(ISBLANK(InfoGard!D300)),IF(OR(ISBLANK(InfoGard!E300),InfoGard!E300="N/A"),"no acb code",CONCATENATE(Lookup!F$1,A300,Lookup!G$1,B300,Lookup!H$1,H$1,Lookup!I$1)),"no attestation")</f>
        <v>no attestation</v>
      </c>
      <c r="F300" s="2" t="str">
        <f>IF(AND(NOT(ISBLANK(InfoGard!G300)),InfoGard!G300&lt;&gt;"N/A"),IF(C300="All",CONCATENATE(Lookup!F$2,D300,Lookup!G$2,B300,Lookup!H$2,H$1,Lookup!I$2),CONCATENATE(Lookup!F$3,D300,Lookup!G$3,B300,Lookup!H$3)),"no url")</f>
        <v>no url</v>
      </c>
    </row>
    <row r="301" spans="1:6" hidden="1" x14ac:dyDescent="0.25">
      <c r="A301" s="2" t="b">
        <f>IF(ISBLANK(InfoGard!D301),FALSE,LOOKUP(InfoGard!D301,Lookup!$A$2:$B$4))</f>
        <v>0</v>
      </c>
      <c r="B301" s="2" t="b">
        <f>IF(ISBLANK(InfoGard!E301),FALSE,RIGHT(TRIM(InfoGard!E301),15))</f>
        <v>0</v>
      </c>
      <c r="C301" s="2" t="b">
        <f>IF(ISBLANK(InfoGard!F301),FALSE,LOOKUP(InfoGard!F301,Lookup!$A$6:$B$7))</f>
        <v>0</v>
      </c>
      <c r="D301" s="2" t="b">
        <f>IF(ISBLANK(InfoGard!G301),FALSE,InfoGard!G301)</f>
        <v>0</v>
      </c>
      <c r="E301" s="2" t="str">
        <f>IF(NOT(ISBLANK(InfoGard!D301)),IF(OR(ISBLANK(InfoGard!E301),InfoGard!E301="N/A"),"no acb code",CONCATENATE(Lookup!F$1,A301,Lookup!G$1,B301,Lookup!H$1,H$1,Lookup!I$1)),"no attestation")</f>
        <v>no attestation</v>
      </c>
      <c r="F301" s="2" t="str">
        <f>IF(AND(NOT(ISBLANK(InfoGard!G301)),InfoGard!G301&lt;&gt;"N/A"),IF(C301="All",CONCATENATE(Lookup!F$2,D301,Lookup!G$2,B301,Lookup!H$2,H$1,Lookup!I$2),CONCATENATE(Lookup!F$3,D301,Lookup!G$3,B301,Lookup!H$3)),"no url")</f>
        <v>no url</v>
      </c>
    </row>
    <row r="302" spans="1:6" hidden="1" x14ac:dyDescent="0.25">
      <c r="A302" s="2" t="b">
        <f>IF(ISBLANK(InfoGard!D302),FALSE,LOOKUP(InfoGard!D302,Lookup!$A$2:$B$4))</f>
        <v>0</v>
      </c>
      <c r="B302" s="2" t="b">
        <f>IF(ISBLANK(InfoGard!E302),FALSE,RIGHT(TRIM(InfoGard!E302),15))</f>
        <v>0</v>
      </c>
      <c r="C302" s="2" t="b">
        <f>IF(ISBLANK(InfoGard!F302),FALSE,LOOKUP(InfoGard!F302,Lookup!$A$6:$B$7))</f>
        <v>0</v>
      </c>
      <c r="D302" s="2" t="b">
        <f>IF(ISBLANK(InfoGard!G302),FALSE,InfoGard!G302)</f>
        <v>0</v>
      </c>
      <c r="E302" s="2" t="str">
        <f>IF(NOT(ISBLANK(InfoGard!D302)),IF(OR(ISBLANK(InfoGard!E302),InfoGard!E302="N/A"),"no acb code",CONCATENATE(Lookup!F$1,A302,Lookup!G$1,B302,Lookup!H$1,H$1,Lookup!I$1)),"no attestation")</f>
        <v>no attestation</v>
      </c>
      <c r="F302" s="2" t="str">
        <f>IF(AND(NOT(ISBLANK(InfoGard!G302)),InfoGard!G302&lt;&gt;"N/A"),IF(C302="All",CONCATENATE(Lookup!F$2,D302,Lookup!G$2,B302,Lookup!H$2,H$1,Lookup!I$2),CONCATENATE(Lookup!F$3,D302,Lookup!G$3,B302,Lookup!H$3)),"no url")</f>
        <v>no url</v>
      </c>
    </row>
    <row r="303" spans="1:6" hidden="1" x14ac:dyDescent="0.25">
      <c r="A303" s="2" t="b">
        <f>IF(ISBLANK(InfoGard!D303),FALSE,LOOKUP(InfoGard!D303,Lookup!$A$2:$B$4))</f>
        <v>0</v>
      </c>
      <c r="B303" s="2" t="b">
        <f>IF(ISBLANK(InfoGard!E303),FALSE,RIGHT(TRIM(InfoGard!E303),15))</f>
        <v>0</v>
      </c>
      <c r="C303" s="2" t="b">
        <f>IF(ISBLANK(InfoGard!F303),FALSE,LOOKUP(InfoGard!F303,Lookup!$A$6:$B$7))</f>
        <v>0</v>
      </c>
      <c r="D303" s="2" t="b">
        <f>IF(ISBLANK(InfoGard!G303),FALSE,InfoGard!G303)</f>
        <v>0</v>
      </c>
      <c r="E303" s="2" t="str">
        <f>IF(NOT(ISBLANK(InfoGard!D303)),IF(OR(ISBLANK(InfoGard!E303),InfoGard!E303="N/A"),"no acb code",CONCATENATE(Lookup!F$1,A303,Lookup!G$1,B303,Lookup!H$1,H$1,Lookup!I$1)),"no attestation")</f>
        <v>no attestation</v>
      </c>
      <c r="F303" s="2" t="str">
        <f>IF(AND(NOT(ISBLANK(InfoGard!G303)),InfoGard!G303&lt;&gt;"N/A"),IF(C303="All",CONCATENATE(Lookup!F$2,D303,Lookup!G$2,B303,Lookup!H$2,H$1,Lookup!I$2),CONCATENATE(Lookup!F$3,D303,Lookup!G$3,B303,Lookup!H$3)),"no url")</f>
        <v>no url</v>
      </c>
    </row>
    <row r="304" spans="1:6" hidden="1" x14ac:dyDescent="0.25">
      <c r="A304" s="2" t="b">
        <f>IF(ISBLANK(InfoGard!D304),FALSE,LOOKUP(InfoGard!D304,Lookup!$A$2:$B$4))</f>
        <v>0</v>
      </c>
      <c r="B304" s="2" t="b">
        <f>IF(ISBLANK(InfoGard!E304),FALSE,RIGHT(TRIM(InfoGard!E304),15))</f>
        <v>0</v>
      </c>
      <c r="C304" s="2" t="b">
        <f>IF(ISBLANK(InfoGard!F304),FALSE,LOOKUP(InfoGard!F304,Lookup!$A$6:$B$7))</f>
        <v>0</v>
      </c>
      <c r="D304" s="2" t="b">
        <f>IF(ISBLANK(InfoGard!G304),FALSE,InfoGard!G304)</f>
        <v>0</v>
      </c>
      <c r="E304" s="2" t="str">
        <f>IF(NOT(ISBLANK(InfoGard!D304)),IF(OR(ISBLANK(InfoGard!E304),InfoGard!E304="N/A"),"no acb code",CONCATENATE(Lookup!F$1,A304,Lookup!G$1,B304,Lookup!H$1,H$1,Lookup!I$1)),"no attestation")</f>
        <v>no attestation</v>
      </c>
      <c r="F304" s="2" t="str">
        <f>IF(AND(NOT(ISBLANK(InfoGard!G304)),InfoGard!G304&lt;&gt;"N/A"),IF(C304="All",CONCATENATE(Lookup!F$2,D304,Lookup!G$2,B304,Lookup!H$2,H$1,Lookup!I$2),CONCATENATE(Lookup!F$3,D304,Lookup!G$3,B304,Lookup!H$3)),"no url")</f>
        <v>no url</v>
      </c>
    </row>
    <row r="305" spans="1:6" hidden="1" x14ac:dyDescent="0.25">
      <c r="A305" s="2" t="b">
        <f>IF(ISBLANK(InfoGard!D305),FALSE,LOOKUP(InfoGard!D305,Lookup!$A$2:$B$4))</f>
        <v>0</v>
      </c>
      <c r="B305" s="2" t="b">
        <f>IF(ISBLANK(InfoGard!E305),FALSE,RIGHT(TRIM(InfoGard!E305),15))</f>
        <v>0</v>
      </c>
      <c r="C305" s="2" t="b">
        <f>IF(ISBLANK(InfoGard!F305),FALSE,LOOKUP(InfoGard!F305,Lookup!$A$6:$B$7))</f>
        <v>0</v>
      </c>
      <c r="D305" s="2" t="b">
        <f>IF(ISBLANK(InfoGard!G305),FALSE,InfoGard!G305)</f>
        <v>0</v>
      </c>
      <c r="E305" s="2" t="str">
        <f>IF(NOT(ISBLANK(InfoGard!D305)),IF(OR(ISBLANK(InfoGard!E305),InfoGard!E305="N/A"),"no acb code",CONCATENATE(Lookup!F$1,A305,Lookup!G$1,B305,Lookup!H$1,H$1,Lookup!I$1)),"no attestation")</f>
        <v>no attestation</v>
      </c>
      <c r="F305" s="2" t="str">
        <f>IF(AND(NOT(ISBLANK(InfoGard!G305)),InfoGard!G305&lt;&gt;"N/A"),IF(C305="All",CONCATENATE(Lookup!F$2,D305,Lookup!G$2,B305,Lookup!H$2,H$1,Lookup!I$2),CONCATENATE(Lookup!F$3,D305,Lookup!G$3,B305,Lookup!H$3)),"no url")</f>
        <v>no url</v>
      </c>
    </row>
    <row r="306" spans="1:6" hidden="1" x14ac:dyDescent="0.25">
      <c r="A306" s="2" t="b">
        <f>IF(ISBLANK(InfoGard!D306),FALSE,LOOKUP(InfoGard!D306,Lookup!$A$2:$B$4))</f>
        <v>0</v>
      </c>
      <c r="B306" s="2" t="b">
        <f>IF(ISBLANK(InfoGard!E306),FALSE,RIGHT(TRIM(InfoGard!E306),15))</f>
        <v>0</v>
      </c>
      <c r="C306" s="2" t="b">
        <f>IF(ISBLANK(InfoGard!F306),FALSE,LOOKUP(InfoGard!F306,Lookup!$A$6:$B$7))</f>
        <v>0</v>
      </c>
      <c r="D306" s="2" t="b">
        <f>IF(ISBLANK(InfoGard!G306),FALSE,InfoGard!G306)</f>
        <v>0</v>
      </c>
      <c r="E306" s="2" t="str">
        <f>IF(NOT(ISBLANK(InfoGard!D306)),IF(OR(ISBLANK(InfoGard!E306),InfoGard!E306="N/A"),"no acb code",CONCATENATE(Lookup!F$1,A306,Lookup!G$1,B306,Lookup!H$1,H$1,Lookup!I$1)),"no attestation")</f>
        <v>no attestation</v>
      </c>
      <c r="F306" s="2" t="str">
        <f>IF(AND(NOT(ISBLANK(InfoGard!G306)),InfoGard!G306&lt;&gt;"N/A"),IF(C306="All",CONCATENATE(Lookup!F$2,D306,Lookup!G$2,B306,Lookup!H$2,H$1,Lookup!I$2),CONCATENATE(Lookup!F$3,D306,Lookup!G$3,B306,Lookup!H$3)),"no url")</f>
        <v>no url</v>
      </c>
    </row>
    <row r="307" spans="1:6" x14ac:dyDescent="0.25">
      <c r="A307" s="2" t="str">
        <f>IF(ISBLANK(InfoGard!D307),FALSE,LOOKUP(InfoGard!D307,Lookup!$A$2:$B$4))</f>
        <v>Affirmative</v>
      </c>
      <c r="B307" s="2" t="str">
        <f>IF(ISBLANK(InfoGard!E307),FALSE,RIGHT(TRIM(InfoGard!E307),15))</f>
        <v>IG-2630-14-0005</v>
      </c>
      <c r="C307" s="2" t="str">
        <f>IF(ISBLANK(InfoGard!F307),FALSE,LOOKUP(InfoGard!F307,Lookup!$A$6:$B$7))</f>
        <v>All</v>
      </c>
      <c r="D307" s="2" t="str">
        <f>IF(ISBLANK(InfoGard!G307),FALSE,InfoGard!G307)</f>
        <v>http://drsysehr.com/price-transparency; http://drsysehr.com/certified-ehr</v>
      </c>
      <c r="E307" s="2" t="str">
        <f>IF(NOT(ISBLANK(InfoGard!D307)),IF(OR(ISBLANK(InfoGard!E307),InfoGard!E307="N/A"),"no acb code",CONCATENATE(Lookup!F$1,A307,Lookup!G$1,B307,Lookup!H$1,H$1,Lookup!I$1)),"no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'IG-2630-14-0005' and cb."name" = 'InfoGard' and cp.product_version_id = pv.product_version_id and pv.product_id = p.product_id and p.vendor_id = vend.vendor_id;</v>
      </c>
      <c r="F307" s="2" t="str">
        <f>IF(AND(NOT(ISBLANK(InfoGard!G307)),InfoGard!G307&lt;&gt;"N/A"),IF(C307="All",CONCATENATE(Lookup!F$2,D307,Lookup!G$2,B307,Lookup!H$2,H$1,Lookup!I$2),CONCATENATE(Lookup!F$3,D307,Lookup!G$3,B307,Lookup!H$3)),"no url")</f>
        <v>update openchpl.certified_product as cp set transparency_attestation_url = 'http://drsysehr.com/price-transparency; http://drsysehr.com/certified-ehr' from (select certified_product_id from (select vend.vendor_code from openchpl.certified_product as cp, openchpl.product_version as pv, openchpl.product as p, openchpl.vendor as vend where cp.acb_certification_id = 'IG-2630-14-0005'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8" spans="1:6" hidden="1" x14ac:dyDescent="0.25">
      <c r="A308" s="2" t="b">
        <f>IF(ISBLANK(InfoGard!D308),FALSE,LOOKUP(InfoGard!D308,Lookup!$A$2:$B$4))</f>
        <v>0</v>
      </c>
      <c r="B308" s="2" t="b">
        <f>IF(ISBLANK(InfoGard!E308),FALSE,RIGHT(TRIM(InfoGard!E308),15))</f>
        <v>0</v>
      </c>
      <c r="C308" s="2" t="b">
        <f>IF(ISBLANK(InfoGard!F308),FALSE,LOOKUP(InfoGard!F308,Lookup!$A$6:$B$7))</f>
        <v>0</v>
      </c>
      <c r="D308" s="2" t="b">
        <f>IF(ISBLANK(InfoGard!G308),FALSE,InfoGard!G308)</f>
        <v>0</v>
      </c>
      <c r="E308" s="2" t="str">
        <f>IF(NOT(ISBLANK(InfoGard!D308)),IF(OR(ISBLANK(InfoGard!E308),InfoGard!E308="N/A"),"no acb code",CONCATENATE(Lookup!F$1,A308,Lookup!G$1,B308,Lookup!H$1,H$1,Lookup!I$1)),"no attestation")</f>
        <v>no attestation</v>
      </c>
      <c r="F308" s="2" t="str">
        <f>IF(AND(NOT(ISBLANK(InfoGard!G308)),InfoGard!G308&lt;&gt;"N/A"),IF(C308="All",CONCATENATE(Lookup!F$2,D308,Lookup!G$2,B308,Lookup!H$2,H$1,Lookup!I$2),CONCATENATE(Lookup!F$3,D308,Lookup!G$3,B308,Lookup!H$3)),"no url")</f>
        <v>no url</v>
      </c>
    </row>
    <row r="309" spans="1:6" hidden="1" x14ac:dyDescent="0.25">
      <c r="A309" s="2" t="b">
        <f>IF(ISBLANK(InfoGard!D309),FALSE,LOOKUP(InfoGard!D309,Lookup!$A$2:$B$4))</f>
        <v>0</v>
      </c>
      <c r="B309" s="2" t="b">
        <f>IF(ISBLANK(InfoGard!E309),FALSE,RIGHT(TRIM(InfoGard!E309),15))</f>
        <v>0</v>
      </c>
      <c r="C309" s="2" t="b">
        <f>IF(ISBLANK(InfoGard!F309),FALSE,LOOKUP(InfoGard!F309,Lookup!$A$6:$B$7))</f>
        <v>0</v>
      </c>
      <c r="D309" s="2" t="b">
        <f>IF(ISBLANK(InfoGard!G309),FALSE,InfoGard!G309)</f>
        <v>0</v>
      </c>
      <c r="E309" s="2" t="str">
        <f>IF(NOT(ISBLANK(InfoGard!D309)),IF(OR(ISBLANK(InfoGard!E309),InfoGard!E309="N/A"),"no acb code",CONCATENATE(Lookup!F$1,A309,Lookup!G$1,B309,Lookup!H$1,H$1,Lookup!I$1)),"no attestation")</f>
        <v>no attestation</v>
      </c>
      <c r="F309" s="2" t="str">
        <f>IF(AND(NOT(ISBLANK(InfoGard!G309)),InfoGard!G309&lt;&gt;"N/A"),IF(C309="All",CONCATENATE(Lookup!F$2,D309,Lookup!G$2,B309,Lookup!H$2,H$1,Lookup!I$2),CONCATENATE(Lookup!F$3,D309,Lookup!G$3,B309,Lookup!H$3)),"no url")</f>
        <v>no url</v>
      </c>
    </row>
    <row r="310" spans="1:6" hidden="1" x14ac:dyDescent="0.25">
      <c r="A310" s="2" t="b">
        <f>IF(ISBLANK(InfoGard!D310),FALSE,LOOKUP(InfoGard!D310,Lookup!$A$2:$B$4))</f>
        <v>0</v>
      </c>
      <c r="B310" s="2" t="b">
        <f>IF(ISBLANK(InfoGard!E310),FALSE,RIGHT(TRIM(InfoGard!E310),15))</f>
        <v>0</v>
      </c>
      <c r="C310" s="2" t="b">
        <f>IF(ISBLANK(InfoGard!F310),FALSE,LOOKUP(InfoGard!F310,Lookup!$A$6:$B$7))</f>
        <v>0</v>
      </c>
      <c r="D310" s="2" t="b">
        <f>IF(ISBLANK(InfoGard!G310),FALSE,InfoGard!G310)</f>
        <v>0</v>
      </c>
      <c r="E310" s="2" t="str">
        <f>IF(NOT(ISBLANK(InfoGard!D310)),IF(OR(ISBLANK(InfoGard!E310),InfoGard!E310="N/A"),"no acb code",CONCATENATE(Lookup!F$1,A310,Lookup!G$1,B310,Lookup!H$1,H$1,Lookup!I$1)),"no attestation")</f>
        <v>no attestation</v>
      </c>
      <c r="F310" s="2" t="str">
        <f>IF(AND(NOT(ISBLANK(InfoGard!G310)),InfoGard!G310&lt;&gt;"N/A"),IF(C310="All",CONCATENATE(Lookup!F$2,D310,Lookup!G$2,B310,Lookup!H$2,H$1,Lookup!I$2),CONCATENATE(Lookup!F$3,D310,Lookup!G$3,B310,Lookup!H$3)),"no url")</f>
        <v>no url</v>
      </c>
    </row>
    <row r="311" spans="1:6" hidden="1" x14ac:dyDescent="0.25">
      <c r="A311" s="2" t="b">
        <f>IF(ISBLANK(InfoGard!D311),FALSE,LOOKUP(InfoGard!D311,Lookup!$A$2:$B$4))</f>
        <v>0</v>
      </c>
      <c r="B311" s="2" t="b">
        <f>IF(ISBLANK(InfoGard!E311),FALSE,RIGHT(TRIM(InfoGard!E311),15))</f>
        <v>0</v>
      </c>
      <c r="C311" s="2" t="b">
        <f>IF(ISBLANK(InfoGard!F311),FALSE,LOOKUP(InfoGard!F311,Lookup!$A$6:$B$7))</f>
        <v>0</v>
      </c>
      <c r="D311" s="2" t="b">
        <f>IF(ISBLANK(InfoGard!G311),FALSE,InfoGard!G311)</f>
        <v>0</v>
      </c>
      <c r="E311" s="2" t="str">
        <f>IF(NOT(ISBLANK(InfoGard!D311)),IF(OR(ISBLANK(InfoGard!E311),InfoGard!E311="N/A"),"no acb code",CONCATENATE(Lookup!F$1,A311,Lookup!G$1,B311,Lookup!H$1,H$1,Lookup!I$1)),"no attestation")</f>
        <v>no attestation</v>
      </c>
      <c r="F311" s="2" t="str">
        <f>IF(AND(NOT(ISBLANK(InfoGard!G311)),InfoGard!G311&lt;&gt;"N/A"),IF(C311="All",CONCATENATE(Lookup!F$2,D311,Lookup!G$2,B311,Lookup!H$2,H$1,Lookup!I$2),CONCATENATE(Lookup!F$3,D311,Lookup!G$3,B311,Lookup!H$3)),"no url")</f>
        <v>no url</v>
      </c>
    </row>
    <row r="312" spans="1:6" x14ac:dyDescent="0.25">
      <c r="A312" s="2" t="str">
        <f>IF(ISBLANK(InfoGard!D312),FALSE,LOOKUP(InfoGard!D312,Lookup!$A$2:$B$4))</f>
        <v>Affirmative</v>
      </c>
      <c r="B312" s="2" t="str">
        <f>IF(ISBLANK(InfoGard!E312),FALSE,RIGHT(TRIM(InfoGard!E312),15))</f>
        <v>IG-2710-14-0026</v>
      </c>
      <c r="C312" s="2" t="str">
        <f>IF(ISBLANK(InfoGard!F312),FALSE,LOOKUP(InfoGard!F312,Lookup!$A$6:$B$7))</f>
        <v>All</v>
      </c>
      <c r="D312" s="2" t="str">
        <f>IF(ISBLANK(InfoGard!G312),FALSE,InfoGard!G312)</f>
        <v>http://www.powersoftmd.com/MU.htm</v>
      </c>
      <c r="E312" s="2" t="str">
        <f>IF(NOT(ISBLANK(InfoGard!D312)),IF(OR(ISBLANK(InfoGard!E312),InfoGard!E312="N/A"),"no acb code",CONCATENATE(Lookup!F$1,A312,Lookup!G$1,B312,Lookup!H$1,H$1,Lookup!I$1)),"no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'IG-2710-14-0026' and cb."name" = 'InfoGard' and cp.product_version_id = pv.product_version_id and pv.product_id = p.product_id and p.vendor_id = vend.vendor_id;</v>
      </c>
      <c r="F312" s="2" t="str">
        <f>IF(AND(NOT(ISBLANK(InfoGard!G312)),InfoGard!G312&lt;&gt;"N/A"),IF(C312="All",CONCATENATE(Lookup!F$2,D312,Lookup!G$2,B312,Lookup!H$2,H$1,Lookup!I$2),CONCATENATE(Lookup!F$3,D312,Lookup!G$3,B312,Lookup!H$3)),"no url")</f>
        <v>update openchpl.certified_product as cp set transparency_attestation_url = 'http://www.powersoftmd.com/MU.htm' from (select certified_product_id from (select vend.vendor_code from openchpl.certified_product as cp, openchpl.product_version as pv, openchpl.product as p, openchpl.vendor as vend where cp.acb_certification_id = 'IG-2710-14-0026'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3" spans="1:6" hidden="1" x14ac:dyDescent="0.25">
      <c r="A313" s="2" t="b">
        <f>IF(ISBLANK(InfoGard!D313),FALSE,LOOKUP(InfoGard!D313,Lookup!$A$2:$B$4))</f>
        <v>0</v>
      </c>
      <c r="B313" s="2" t="b">
        <f>IF(ISBLANK(InfoGard!E313),FALSE,RIGHT(TRIM(InfoGard!E313),15))</f>
        <v>0</v>
      </c>
      <c r="C313" s="2" t="b">
        <f>IF(ISBLANK(InfoGard!F313),FALSE,LOOKUP(InfoGard!F313,Lookup!$A$6:$B$7))</f>
        <v>0</v>
      </c>
      <c r="D313" s="2" t="b">
        <f>IF(ISBLANK(InfoGard!G313),FALSE,InfoGard!G313)</f>
        <v>0</v>
      </c>
      <c r="E313" s="2" t="str">
        <f>IF(NOT(ISBLANK(InfoGard!D313)),IF(OR(ISBLANK(InfoGard!E313),InfoGard!E313="N/A"),"no acb code",CONCATENATE(Lookup!F$1,A313,Lookup!G$1,B313,Lookup!H$1,H$1,Lookup!I$1)),"no attestation")</f>
        <v>no attestation</v>
      </c>
      <c r="F313" s="2" t="str">
        <f>IF(AND(NOT(ISBLANK(InfoGard!G313)),InfoGard!G313&lt;&gt;"N/A"),IF(C313="All",CONCATENATE(Lookup!F$2,D313,Lookup!G$2,B313,Lookup!H$2,H$1,Lookup!I$2),CONCATENATE(Lookup!F$3,D313,Lookup!G$3,B313,Lookup!H$3)),"no url")</f>
        <v>no url</v>
      </c>
    </row>
    <row r="314" spans="1:6" hidden="1" x14ac:dyDescent="0.25">
      <c r="A314" s="2" t="b">
        <f>IF(ISBLANK(InfoGard!D314),FALSE,LOOKUP(InfoGard!D314,Lookup!$A$2:$B$4))</f>
        <v>0</v>
      </c>
      <c r="B314" s="2" t="b">
        <f>IF(ISBLANK(InfoGard!E314),FALSE,RIGHT(TRIM(InfoGard!E314),15))</f>
        <v>0</v>
      </c>
      <c r="C314" s="2" t="b">
        <f>IF(ISBLANK(InfoGard!F314),FALSE,LOOKUP(InfoGard!F314,Lookup!$A$6:$B$7))</f>
        <v>0</v>
      </c>
      <c r="D314" s="2" t="b">
        <f>IF(ISBLANK(InfoGard!G314),FALSE,InfoGard!G314)</f>
        <v>0</v>
      </c>
      <c r="E314" s="2" t="str">
        <f>IF(NOT(ISBLANK(InfoGard!D314)),IF(OR(ISBLANK(InfoGard!E314),InfoGard!E314="N/A"),"no acb code",CONCATENATE(Lookup!F$1,A314,Lookup!G$1,B314,Lookup!H$1,H$1,Lookup!I$1)),"no attestation")</f>
        <v>no attestation</v>
      </c>
      <c r="F314" s="2" t="str">
        <f>IF(AND(NOT(ISBLANK(InfoGard!G314)),InfoGard!G314&lt;&gt;"N/A"),IF(C314="All",CONCATENATE(Lookup!F$2,D314,Lookup!G$2,B314,Lookup!H$2,H$1,Lookup!I$2),CONCATENATE(Lookup!F$3,D314,Lookup!G$3,B314,Lookup!H$3)),"no url")</f>
        <v>no url</v>
      </c>
    </row>
    <row r="315" spans="1:6" hidden="1" x14ac:dyDescent="0.25">
      <c r="A315" s="2" t="b">
        <f>IF(ISBLANK(InfoGard!D315),FALSE,LOOKUP(InfoGard!D315,Lookup!$A$2:$B$4))</f>
        <v>0</v>
      </c>
      <c r="B315" s="2" t="b">
        <f>IF(ISBLANK(InfoGard!E315),FALSE,RIGHT(TRIM(InfoGard!E315),15))</f>
        <v>0</v>
      </c>
      <c r="C315" s="2" t="b">
        <f>IF(ISBLANK(InfoGard!F315),FALSE,LOOKUP(InfoGard!F315,Lookup!$A$6:$B$7))</f>
        <v>0</v>
      </c>
      <c r="D315" s="2" t="b">
        <f>IF(ISBLANK(InfoGard!G315),FALSE,InfoGard!G315)</f>
        <v>0</v>
      </c>
      <c r="E315" s="2" t="str">
        <f>IF(NOT(ISBLANK(InfoGard!D315)),IF(OR(ISBLANK(InfoGard!E315),InfoGard!E315="N/A"),"no acb code",CONCATENATE(Lookup!F$1,A315,Lookup!G$1,B315,Lookup!H$1,H$1,Lookup!I$1)),"no attestation")</f>
        <v>no attestation</v>
      </c>
      <c r="F315" s="2" t="str">
        <f>IF(AND(NOT(ISBLANK(InfoGard!G315)),InfoGard!G315&lt;&gt;"N/A"),IF(C315="All",CONCATENATE(Lookup!F$2,D315,Lookup!G$2,B315,Lookup!H$2,H$1,Lookup!I$2),CONCATENATE(Lookup!F$3,D315,Lookup!G$3,B315,Lookup!H$3)),"no url")</f>
        <v>no url</v>
      </c>
    </row>
    <row r="316" spans="1:6" x14ac:dyDescent="0.25">
      <c r="A316" s="2" t="str">
        <f>IF(ISBLANK(InfoGard!D316),FALSE,LOOKUP(InfoGard!D316,Lookup!$A$2:$B$4))</f>
        <v>Affirmative</v>
      </c>
      <c r="B316" s="2" t="str">
        <f>IF(ISBLANK(InfoGard!E316),FALSE,RIGHT(TRIM(InfoGard!E316),15))</f>
        <v>IG-3424-15-0015</v>
      </c>
      <c r="C316" s="2" t="str">
        <f>IF(ISBLANK(InfoGard!F316),FALSE,LOOKUP(InfoGard!F316,Lookup!$A$6:$B$7))</f>
        <v>All</v>
      </c>
      <c r="D316" s="2" t="str">
        <f>IF(ISBLANK(InfoGard!G316),FALSE,InfoGard!G316)</f>
        <v>http://encounterworks.com/resources/meaningful-use-and-pricing-transparency-statements</v>
      </c>
      <c r="E316" s="2" t="str">
        <f>IF(NOT(ISBLANK(InfoGard!D316)),IF(OR(ISBLANK(InfoGard!E316),InfoGard!E316="N/A"),"no acb code",CONCATENATE(Lookup!F$1,A316,Lookup!G$1,B316,Lookup!H$1,H$1,Lookup!I$1)),"no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'IG-3424-15-0015' and cb."name" = 'InfoGard' and cp.product_version_id = pv.product_version_id and pv.product_id = p.product_id and p.vendor_id = vend.vendor_id;</v>
      </c>
      <c r="F316" s="2" t="str">
        <f>IF(AND(NOT(ISBLANK(InfoGard!G316)),InfoGard!G316&lt;&gt;"N/A"),IF(C316="All",CONCATENATE(Lookup!F$2,D316,Lookup!G$2,B316,Lookup!H$2,H$1,Lookup!I$2),CONCATENATE(Lookup!F$3,D316,Lookup!G$3,B316,Lookup!H$3)),"no url")</f>
        <v>update openchpl.certified_product as cp set transparency_attestation_url = 'http://encounterworks.com/resources/meaningful-use-and-pricing-transparency-statements' from (select certified_product_id from (select vend.vendor_code from openchpl.certified_product as cp, openchpl.product_version as pv, openchpl.product as p, openchpl.vendor as vend where cp.acb_certification_id = 'IG-3424-15-0015'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7" spans="1:6" hidden="1" x14ac:dyDescent="0.25">
      <c r="A317" s="2" t="b">
        <f>IF(ISBLANK(InfoGard!D317),FALSE,LOOKUP(InfoGard!D317,Lookup!$A$2:$B$4))</f>
        <v>0</v>
      </c>
      <c r="B317" s="2" t="b">
        <f>IF(ISBLANK(InfoGard!E317),FALSE,RIGHT(TRIM(InfoGard!E317),15))</f>
        <v>0</v>
      </c>
      <c r="C317" s="2" t="b">
        <f>IF(ISBLANK(InfoGard!F317),FALSE,LOOKUP(InfoGard!F317,Lookup!$A$6:$B$7))</f>
        <v>0</v>
      </c>
      <c r="D317" s="2" t="b">
        <f>IF(ISBLANK(InfoGard!G317),FALSE,InfoGard!G317)</f>
        <v>0</v>
      </c>
      <c r="E317" s="2" t="str">
        <f>IF(NOT(ISBLANK(InfoGard!D317)),IF(OR(ISBLANK(InfoGard!E317),InfoGard!E317="N/A"),"no acb code",CONCATENATE(Lookup!F$1,A317,Lookup!G$1,B317,Lookup!H$1,H$1,Lookup!I$1)),"no attestation")</f>
        <v>no attestation</v>
      </c>
      <c r="F317" s="2" t="str">
        <f>IF(AND(NOT(ISBLANK(InfoGard!G317)),InfoGard!G317&lt;&gt;"N/A"),IF(C317="All",CONCATENATE(Lookup!F$2,D317,Lookup!G$2,B317,Lookup!H$2,H$1,Lookup!I$2),CONCATENATE(Lookup!F$3,D317,Lookup!G$3,B317,Lookup!H$3)),"no url")</f>
        <v>no url</v>
      </c>
    </row>
    <row r="318" spans="1:6" hidden="1" x14ac:dyDescent="0.25">
      <c r="A318" s="2" t="b">
        <f>IF(ISBLANK(InfoGard!D318),FALSE,LOOKUP(InfoGard!D318,Lookup!$A$2:$B$4))</f>
        <v>0</v>
      </c>
      <c r="B318" s="2" t="b">
        <f>IF(ISBLANK(InfoGard!E318),FALSE,RIGHT(TRIM(InfoGard!E318),15))</f>
        <v>0</v>
      </c>
      <c r="C318" s="2" t="b">
        <f>IF(ISBLANK(InfoGard!F318),FALSE,LOOKUP(InfoGard!F318,Lookup!$A$6:$B$7))</f>
        <v>0</v>
      </c>
      <c r="D318" s="2" t="b">
        <f>IF(ISBLANK(InfoGard!G318),FALSE,InfoGard!G318)</f>
        <v>0</v>
      </c>
      <c r="E318" s="2" t="str">
        <f>IF(NOT(ISBLANK(InfoGard!D318)),IF(OR(ISBLANK(InfoGard!E318),InfoGard!E318="N/A"),"no acb code",CONCATENATE(Lookup!F$1,A318,Lookup!G$1,B318,Lookup!H$1,H$1,Lookup!I$1)),"no attestation")</f>
        <v>no attestation</v>
      </c>
      <c r="F318" s="2" t="str">
        <f>IF(AND(NOT(ISBLANK(InfoGard!G318)),InfoGard!G318&lt;&gt;"N/A"),IF(C318="All",CONCATENATE(Lookup!F$2,D318,Lookup!G$2,B318,Lookup!H$2,H$1,Lookup!I$2),CONCATENATE(Lookup!F$3,D318,Lookup!G$3,B318,Lookup!H$3)),"no url")</f>
        <v>no url</v>
      </c>
    </row>
    <row r="319" spans="1:6" hidden="1" x14ac:dyDescent="0.25">
      <c r="A319" s="2" t="b">
        <f>IF(ISBLANK(InfoGard!D319),FALSE,LOOKUP(InfoGard!D319,Lookup!$A$2:$B$4))</f>
        <v>0</v>
      </c>
      <c r="B319" s="2" t="b">
        <f>IF(ISBLANK(InfoGard!E319),FALSE,RIGHT(TRIM(InfoGard!E319),15))</f>
        <v>0</v>
      </c>
      <c r="C319" s="2" t="b">
        <f>IF(ISBLANK(InfoGard!F319),FALSE,LOOKUP(InfoGard!F319,Lookup!$A$6:$B$7))</f>
        <v>0</v>
      </c>
      <c r="D319" s="2" t="b">
        <f>IF(ISBLANK(InfoGard!G319),FALSE,InfoGard!G319)</f>
        <v>0</v>
      </c>
      <c r="E319" s="2" t="str">
        <f>IF(NOT(ISBLANK(InfoGard!D319)),IF(OR(ISBLANK(InfoGard!E319),InfoGard!E319="N/A"),"no acb code",CONCATENATE(Lookup!F$1,A319,Lookup!G$1,B319,Lookup!H$1,H$1,Lookup!I$1)),"no attestation")</f>
        <v>no attestation</v>
      </c>
      <c r="F319" s="2" t="str">
        <f>IF(AND(NOT(ISBLANK(InfoGard!G319)),InfoGard!G319&lt;&gt;"N/A"),IF(C319="All",CONCATENATE(Lookup!F$2,D319,Lookup!G$2,B319,Lookup!H$2,H$1,Lookup!I$2),CONCATENATE(Lookup!F$3,D319,Lookup!G$3,B319,Lookup!H$3)),"no url")</f>
        <v>no url</v>
      </c>
    </row>
    <row r="320" spans="1:6" hidden="1" x14ac:dyDescent="0.25">
      <c r="A320" s="2" t="b">
        <f>IF(ISBLANK(InfoGard!D320),FALSE,LOOKUP(InfoGard!D320,Lookup!$A$2:$B$4))</f>
        <v>0</v>
      </c>
      <c r="B320" s="2" t="b">
        <f>IF(ISBLANK(InfoGard!E320),FALSE,RIGHT(TRIM(InfoGard!E320),15))</f>
        <v>0</v>
      </c>
      <c r="C320" s="2" t="b">
        <f>IF(ISBLANK(InfoGard!F320),FALSE,LOOKUP(InfoGard!F320,Lookup!$A$6:$B$7))</f>
        <v>0</v>
      </c>
      <c r="D320" s="2" t="b">
        <f>IF(ISBLANK(InfoGard!G320),FALSE,InfoGard!G320)</f>
        <v>0</v>
      </c>
      <c r="E320" s="2" t="str">
        <f>IF(NOT(ISBLANK(InfoGard!D320)),IF(OR(ISBLANK(InfoGard!E320),InfoGard!E320="N/A"),"no acb code",CONCATENATE(Lookup!F$1,A320,Lookup!G$1,B320,Lookup!H$1,H$1,Lookup!I$1)),"no attestation")</f>
        <v>no attestation</v>
      </c>
      <c r="F320" s="2" t="str">
        <f>IF(AND(NOT(ISBLANK(InfoGard!G320)),InfoGard!G320&lt;&gt;"N/A"),IF(C320="All",CONCATENATE(Lookup!F$2,D320,Lookup!G$2,B320,Lookup!H$2,H$1,Lookup!I$2),CONCATENATE(Lookup!F$3,D320,Lookup!G$3,B320,Lookup!H$3)),"no url")</f>
        <v>no url</v>
      </c>
    </row>
    <row r="321" spans="1:6" hidden="1" x14ac:dyDescent="0.25">
      <c r="A321" s="2" t="b">
        <f>IF(ISBLANK(InfoGard!D321),FALSE,LOOKUP(InfoGard!D321,Lookup!$A$2:$B$4))</f>
        <v>0</v>
      </c>
      <c r="B321" s="2" t="b">
        <f>IF(ISBLANK(InfoGard!E321),FALSE,RIGHT(TRIM(InfoGard!E321),15))</f>
        <v>0</v>
      </c>
      <c r="C321" s="2" t="b">
        <f>IF(ISBLANK(InfoGard!F321),FALSE,LOOKUP(InfoGard!F321,Lookup!$A$6:$B$7))</f>
        <v>0</v>
      </c>
      <c r="D321" s="2" t="b">
        <f>IF(ISBLANK(InfoGard!G321),FALSE,InfoGard!G321)</f>
        <v>0</v>
      </c>
      <c r="E321" s="2" t="str">
        <f>IF(NOT(ISBLANK(InfoGard!D321)),IF(OR(ISBLANK(InfoGard!E321),InfoGard!E321="N/A"),"no acb code",CONCATENATE(Lookup!F$1,A321,Lookup!G$1,B321,Lookup!H$1,H$1,Lookup!I$1)),"no attestation")</f>
        <v>no attestation</v>
      </c>
      <c r="F321" s="2" t="str">
        <f>IF(AND(NOT(ISBLANK(InfoGard!G321)),InfoGard!G321&lt;&gt;"N/A"),IF(C321="All",CONCATENATE(Lookup!F$2,D321,Lookup!G$2,B321,Lookup!H$2,H$1,Lookup!I$2),CONCATENATE(Lookup!F$3,D321,Lookup!G$3,B321,Lookup!H$3)),"no url")</f>
        <v>no url</v>
      </c>
    </row>
    <row r="322" spans="1:6" hidden="1" x14ac:dyDescent="0.25">
      <c r="A322" s="2" t="b">
        <f>IF(ISBLANK(InfoGard!D322),FALSE,LOOKUP(InfoGard!D322,Lookup!$A$2:$B$4))</f>
        <v>0</v>
      </c>
      <c r="B322" s="2" t="b">
        <f>IF(ISBLANK(InfoGard!E322),FALSE,RIGHT(TRIM(InfoGard!E322),15))</f>
        <v>0</v>
      </c>
      <c r="C322" s="2" t="b">
        <f>IF(ISBLANK(InfoGard!F322),FALSE,LOOKUP(InfoGard!F322,Lookup!$A$6:$B$7))</f>
        <v>0</v>
      </c>
      <c r="D322" s="2" t="b">
        <f>IF(ISBLANK(InfoGard!G322),FALSE,InfoGard!G322)</f>
        <v>0</v>
      </c>
      <c r="E322" s="2" t="str">
        <f>IF(NOT(ISBLANK(InfoGard!D322)),IF(OR(ISBLANK(InfoGard!E322),InfoGard!E322="N/A"),"no acb code",CONCATENATE(Lookup!F$1,A322,Lookup!G$1,B322,Lookup!H$1,H$1,Lookup!I$1)),"no attestation")</f>
        <v>no attestation</v>
      </c>
      <c r="F322" s="2" t="str">
        <f>IF(AND(NOT(ISBLANK(InfoGard!G322)),InfoGard!G322&lt;&gt;"N/A"),IF(C322="All",CONCATENATE(Lookup!F$2,D322,Lookup!G$2,B322,Lookup!H$2,H$1,Lookup!I$2),CONCATENATE(Lookup!F$3,D322,Lookup!G$3,B322,Lookup!H$3)),"no url")</f>
        <v>no url</v>
      </c>
    </row>
    <row r="323" spans="1:6" hidden="1" x14ac:dyDescent="0.25">
      <c r="A323" s="2" t="b">
        <f>IF(ISBLANK(InfoGard!D323),FALSE,LOOKUP(InfoGard!D323,Lookup!$A$2:$B$4))</f>
        <v>0</v>
      </c>
      <c r="B323" s="2" t="b">
        <f>IF(ISBLANK(InfoGard!E323),FALSE,RIGHT(TRIM(InfoGard!E323),15))</f>
        <v>0</v>
      </c>
      <c r="C323" s="2" t="b">
        <f>IF(ISBLANK(InfoGard!F323),FALSE,LOOKUP(InfoGard!F323,Lookup!$A$6:$B$7))</f>
        <v>0</v>
      </c>
      <c r="D323" s="2" t="b">
        <f>IF(ISBLANK(InfoGard!G323),FALSE,InfoGard!G323)</f>
        <v>0</v>
      </c>
      <c r="E323" s="2" t="str">
        <f>IF(NOT(ISBLANK(InfoGard!D323)),IF(OR(ISBLANK(InfoGard!E323),InfoGard!E323="N/A"),"no acb code",CONCATENATE(Lookup!F$1,A323,Lookup!G$1,B323,Lookup!H$1,H$1,Lookup!I$1)),"no attestation")</f>
        <v>no attestation</v>
      </c>
      <c r="F323" s="2" t="str">
        <f>IF(AND(NOT(ISBLANK(InfoGard!G323)),InfoGard!G323&lt;&gt;"N/A"),IF(C323="All",CONCATENATE(Lookup!F$2,D323,Lookup!G$2,B323,Lookup!H$2,H$1,Lookup!I$2),CONCATENATE(Lookup!F$3,D323,Lookup!G$3,B323,Lookup!H$3)),"no url")</f>
        <v>no url</v>
      </c>
    </row>
    <row r="324" spans="1:6" hidden="1" x14ac:dyDescent="0.25">
      <c r="A324" s="2" t="b">
        <f>IF(ISBLANK(InfoGard!D324),FALSE,LOOKUP(InfoGard!D324,Lookup!$A$2:$B$4))</f>
        <v>0</v>
      </c>
      <c r="B324" s="2" t="b">
        <f>IF(ISBLANK(InfoGard!E324),FALSE,RIGHT(TRIM(InfoGard!E324),15))</f>
        <v>0</v>
      </c>
      <c r="C324" s="2" t="b">
        <f>IF(ISBLANK(InfoGard!F324),FALSE,LOOKUP(InfoGard!F324,Lookup!$A$6:$B$7))</f>
        <v>0</v>
      </c>
      <c r="D324" s="2" t="b">
        <f>IF(ISBLANK(InfoGard!G324),FALSE,InfoGard!G324)</f>
        <v>0</v>
      </c>
      <c r="E324" s="2" t="str">
        <f>IF(NOT(ISBLANK(InfoGard!D324)),IF(OR(ISBLANK(InfoGard!E324),InfoGard!E324="N/A"),"no acb code",CONCATENATE(Lookup!F$1,A324,Lookup!G$1,B324,Lookup!H$1,H$1,Lookup!I$1)),"no attestation")</f>
        <v>no attestation</v>
      </c>
      <c r="F324" s="2" t="str">
        <f>IF(AND(NOT(ISBLANK(InfoGard!G324)),InfoGard!G324&lt;&gt;"N/A"),IF(C324="All",CONCATENATE(Lookup!F$2,D324,Lookup!G$2,B324,Lookup!H$2,H$1,Lookup!I$2),CONCATENATE(Lookup!F$3,D324,Lookup!G$3,B324,Lookup!H$3)),"no url")</f>
        <v>no url</v>
      </c>
    </row>
    <row r="325" spans="1:6" hidden="1" x14ac:dyDescent="0.25">
      <c r="A325" s="2" t="b">
        <f>IF(ISBLANK(InfoGard!D325),FALSE,LOOKUP(InfoGard!D325,Lookup!$A$2:$B$4))</f>
        <v>0</v>
      </c>
      <c r="B325" s="2" t="b">
        <f>IF(ISBLANK(InfoGard!E325),FALSE,RIGHT(TRIM(InfoGard!E325),15))</f>
        <v>0</v>
      </c>
      <c r="C325" s="2" t="b">
        <f>IF(ISBLANK(InfoGard!F325),FALSE,LOOKUP(InfoGard!F325,Lookup!$A$6:$B$7))</f>
        <v>0</v>
      </c>
      <c r="D325" s="2" t="b">
        <f>IF(ISBLANK(InfoGard!G325),FALSE,InfoGard!G325)</f>
        <v>0</v>
      </c>
      <c r="E325" s="2" t="str">
        <f>IF(NOT(ISBLANK(InfoGard!D325)),IF(OR(ISBLANK(InfoGard!E325),InfoGard!E325="N/A"),"no acb code",CONCATENATE(Lookup!F$1,A325,Lookup!G$1,B325,Lookup!H$1,H$1,Lookup!I$1)),"no attestation")</f>
        <v>no attestation</v>
      </c>
      <c r="F325" s="2" t="str">
        <f>IF(AND(NOT(ISBLANK(InfoGard!G325)),InfoGard!G325&lt;&gt;"N/A"),IF(C325="All",CONCATENATE(Lookup!F$2,D325,Lookup!G$2,B325,Lookup!H$2,H$1,Lookup!I$2),CONCATENATE(Lookup!F$3,D325,Lookup!G$3,B325,Lookup!H$3)),"no url")</f>
        <v>no url</v>
      </c>
    </row>
    <row r="326" spans="1:6" hidden="1" x14ac:dyDescent="0.25">
      <c r="A326" s="2" t="b">
        <f>IF(ISBLANK(InfoGard!D326),FALSE,LOOKUP(InfoGard!D326,Lookup!$A$2:$B$4))</f>
        <v>0</v>
      </c>
      <c r="B326" s="2" t="b">
        <f>IF(ISBLANK(InfoGard!E326),FALSE,RIGHT(TRIM(InfoGard!E326),15))</f>
        <v>0</v>
      </c>
      <c r="C326" s="2" t="b">
        <f>IF(ISBLANK(InfoGard!F326),FALSE,LOOKUP(InfoGard!F326,Lookup!$A$6:$B$7))</f>
        <v>0</v>
      </c>
      <c r="D326" s="2" t="b">
        <f>IF(ISBLANK(InfoGard!G326),FALSE,InfoGard!G326)</f>
        <v>0</v>
      </c>
      <c r="E326" s="2" t="str">
        <f>IF(NOT(ISBLANK(InfoGard!D326)),IF(OR(ISBLANK(InfoGard!E326),InfoGard!E326="N/A"),"no acb code",CONCATENATE(Lookup!F$1,A326,Lookup!G$1,B326,Lookup!H$1,H$1,Lookup!I$1)),"no attestation")</f>
        <v>no attestation</v>
      </c>
      <c r="F326" s="2" t="str">
        <f>IF(AND(NOT(ISBLANK(InfoGard!G326)),InfoGard!G326&lt;&gt;"N/A"),IF(C326="All",CONCATENATE(Lookup!F$2,D326,Lookup!G$2,B326,Lookup!H$2,H$1,Lookup!I$2),CONCATENATE(Lookup!F$3,D326,Lookup!G$3,B326,Lookup!H$3)),"no url")</f>
        <v>no url</v>
      </c>
    </row>
    <row r="327" spans="1:6" hidden="1" x14ac:dyDescent="0.25">
      <c r="A327" s="2" t="b">
        <f>IF(ISBLANK(InfoGard!D327),FALSE,LOOKUP(InfoGard!D327,Lookup!$A$2:$B$4))</f>
        <v>0</v>
      </c>
      <c r="B327" s="2" t="b">
        <f>IF(ISBLANK(InfoGard!E327),FALSE,RIGHT(TRIM(InfoGard!E327),15))</f>
        <v>0</v>
      </c>
      <c r="C327" s="2" t="b">
        <f>IF(ISBLANK(InfoGard!F327),FALSE,LOOKUP(InfoGard!F327,Lookup!$A$6:$B$7))</f>
        <v>0</v>
      </c>
      <c r="D327" s="2" t="b">
        <f>IF(ISBLANK(InfoGard!G327),FALSE,InfoGard!G327)</f>
        <v>0</v>
      </c>
      <c r="E327" s="2" t="str">
        <f>IF(NOT(ISBLANK(InfoGard!D327)),IF(OR(ISBLANK(InfoGard!E327),InfoGard!E327="N/A"),"no acb code",CONCATENATE(Lookup!F$1,A327,Lookup!G$1,B327,Lookup!H$1,H$1,Lookup!I$1)),"no attestation")</f>
        <v>no attestation</v>
      </c>
      <c r="F327" s="2" t="str">
        <f>IF(AND(NOT(ISBLANK(InfoGard!G327)),InfoGard!G327&lt;&gt;"N/A"),IF(C327="All",CONCATENATE(Lookup!F$2,D327,Lookup!G$2,B327,Lookup!H$2,H$1,Lookup!I$2),CONCATENATE(Lookup!F$3,D327,Lookup!G$3,B327,Lookup!H$3)),"no url")</f>
        <v>no url</v>
      </c>
    </row>
    <row r="328" spans="1:6" hidden="1" x14ac:dyDescent="0.25">
      <c r="A328" s="2" t="b">
        <f>IF(ISBLANK(InfoGard!D328),FALSE,LOOKUP(InfoGard!D328,Lookup!$A$2:$B$4))</f>
        <v>0</v>
      </c>
      <c r="B328" s="2" t="b">
        <f>IF(ISBLANK(InfoGard!E328),FALSE,RIGHT(TRIM(InfoGard!E328),15))</f>
        <v>0</v>
      </c>
      <c r="C328" s="2" t="b">
        <f>IF(ISBLANK(InfoGard!F328),FALSE,LOOKUP(InfoGard!F328,Lookup!$A$6:$B$7))</f>
        <v>0</v>
      </c>
      <c r="D328" s="2" t="b">
        <f>IF(ISBLANK(InfoGard!G328),FALSE,InfoGard!G328)</f>
        <v>0</v>
      </c>
      <c r="E328" s="2" t="str">
        <f>IF(NOT(ISBLANK(InfoGard!D328)),IF(OR(ISBLANK(InfoGard!E328),InfoGard!E328="N/A"),"no acb code",CONCATENATE(Lookup!F$1,A328,Lookup!G$1,B328,Lookup!H$1,H$1,Lookup!I$1)),"no attestation")</f>
        <v>no attestation</v>
      </c>
      <c r="F328" s="2" t="str">
        <f>IF(AND(NOT(ISBLANK(InfoGard!G328)),InfoGard!G328&lt;&gt;"N/A"),IF(C328="All",CONCATENATE(Lookup!F$2,D328,Lookup!G$2,B328,Lookup!H$2,H$1,Lookup!I$2),CONCATENATE(Lookup!F$3,D328,Lookup!G$3,B328,Lookup!H$3)),"no url")</f>
        <v>no url</v>
      </c>
    </row>
    <row r="329" spans="1:6" hidden="1" x14ac:dyDescent="0.25">
      <c r="A329" s="2" t="b">
        <f>IF(ISBLANK(InfoGard!D329),FALSE,LOOKUP(InfoGard!D329,Lookup!$A$2:$B$4))</f>
        <v>0</v>
      </c>
      <c r="B329" s="2" t="b">
        <f>IF(ISBLANK(InfoGard!E329),FALSE,RIGHT(TRIM(InfoGard!E329),15))</f>
        <v>0</v>
      </c>
      <c r="C329" s="2" t="b">
        <f>IF(ISBLANK(InfoGard!F329),FALSE,LOOKUP(InfoGard!F329,Lookup!$A$6:$B$7))</f>
        <v>0</v>
      </c>
      <c r="D329" s="2" t="b">
        <f>IF(ISBLANK(InfoGard!G329),FALSE,InfoGard!G329)</f>
        <v>0</v>
      </c>
      <c r="E329" s="2" t="str">
        <f>IF(NOT(ISBLANK(InfoGard!D329)),IF(OR(ISBLANK(InfoGard!E329),InfoGard!E329="N/A"),"no acb code",CONCATENATE(Lookup!F$1,A329,Lookup!G$1,B329,Lookup!H$1,H$1,Lookup!I$1)),"no attestation")</f>
        <v>no attestation</v>
      </c>
      <c r="F329" s="2" t="str">
        <f>IF(AND(NOT(ISBLANK(InfoGard!G329)),InfoGard!G329&lt;&gt;"N/A"),IF(C329="All",CONCATENATE(Lookup!F$2,D329,Lookup!G$2,B329,Lookup!H$2,H$1,Lookup!I$2),CONCATENATE(Lookup!F$3,D329,Lookup!G$3,B329,Lookup!H$3)),"no url")</f>
        <v>no url</v>
      </c>
    </row>
    <row r="330" spans="1:6" hidden="1" x14ac:dyDescent="0.25">
      <c r="A330" s="2" t="b">
        <f>IF(ISBLANK(InfoGard!D330),FALSE,LOOKUP(InfoGard!D330,Lookup!$A$2:$B$4))</f>
        <v>0</v>
      </c>
      <c r="B330" s="2" t="b">
        <f>IF(ISBLANK(InfoGard!E330),FALSE,RIGHT(TRIM(InfoGard!E330),15))</f>
        <v>0</v>
      </c>
      <c r="C330" s="2" t="b">
        <f>IF(ISBLANK(InfoGard!F330),FALSE,LOOKUP(InfoGard!F330,Lookup!$A$6:$B$7))</f>
        <v>0</v>
      </c>
      <c r="D330" s="2" t="b">
        <f>IF(ISBLANK(InfoGard!G330),FALSE,InfoGard!G330)</f>
        <v>0</v>
      </c>
      <c r="E330" s="2" t="str">
        <f>IF(NOT(ISBLANK(InfoGard!D330)),IF(OR(ISBLANK(InfoGard!E330),InfoGard!E330="N/A"),"no acb code",CONCATENATE(Lookup!F$1,A330,Lookup!G$1,B330,Lookup!H$1,H$1,Lookup!I$1)),"no attestation")</f>
        <v>no attestation</v>
      </c>
      <c r="F330" s="2" t="str">
        <f>IF(AND(NOT(ISBLANK(InfoGard!G330)),InfoGard!G330&lt;&gt;"N/A"),IF(C330="All",CONCATENATE(Lookup!F$2,D330,Lookup!G$2,B330,Lookup!H$2,H$1,Lookup!I$2),CONCATENATE(Lookup!F$3,D330,Lookup!G$3,B330,Lookup!H$3)),"no url")</f>
        <v>no url</v>
      </c>
    </row>
    <row r="331" spans="1:6" x14ac:dyDescent="0.25">
      <c r="A331" s="2" t="str">
        <f>IF(ISBLANK(InfoGard!D331),FALSE,LOOKUP(InfoGard!D331,Lookup!$A$2:$B$4))</f>
        <v>Affirmative</v>
      </c>
      <c r="B331" s="2" t="str">
        <f>IF(ISBLANK(InfoGard!E331),FALSE,RIGHT(TRIM(InfoGard!E331),15))</f>
        <v>IG-2388-14-0046</v>
      </c>
      <c r="C331" s="2" t="str">
        <f>IF(ISBLANK(InfoGard!F331),FALSE,LOOKUP(InfoGard!F331,Lookup!$A$6:$B$7))</f>
        <v>All</v>
      </c>
      <c r="D331" s="2" t="str">
        <f>IF(ISBLANK(InfoGard!G331),FALSE,InfoGard!G331)</f>
        <v>http://www.dexter-solutions.com/index.php/component/content/article/53-slides/105-certification-details</v>
      </c>
      <c r="E331" s="2" t="str">
        <f>IF(NOT(ISBLANK(InfoGard!D331)),IF(OR(ISBLANK(InfoGard!E331),InfoGard!E331="N/A"),"no acb code",CONCATENATE(Lookup!F$1,A331,Lookup!G$1,B331,Lookup!H$1,H$1,Lookup!I$1)),"no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'IG-2388-14-0046' and cb."name" = 'InfoGard' and cp.product_version_id = pv.product_version_id and pv.product_id = p.product_id and p.vendor_id = vend.vendor_id;</v>
      </c>
      <c r="F331" s="2" t="str">
        <f>IF(AND(NOT(ISBLANK(InfoGard!G331)),InfoGard!G331&lt;&gt;"N/A"),IF(C331="All",CONCATENATE(Lookup!F$2,D331,Lookup!G$2,B331,Lookup!H$2,H$1,Lookup!I$2),CONCATENATE(Lookup!F$3,D331,Lookup!G$3,B331,Lookup!H$3)),"no url")</f>
        <v>update openchpl.certified_product as cp set transparency_attestation_url = 'http://www.dexter-solutions.com/index.php/component/content/article/53-slides/105-certification-details' from (select certified_product_id from (select vend.vendor_code from openchpl.certified_product as cp, openchpl.product_version as pv, openchpl.product as p, openchpl.vendor as vend where cp.acb_certification_id = 'IG-2388-14-0046'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2" spans="1:6" hidden="1" x14ac:dyDescent="0.25">
      <c r="A332" s="2" t="b">
        <f>IF(ISBLANK(InfoGard!D332),FALSE,LOOKUP(InfoGard!D332,Lookup!$A$2:$B$4))</f>
        <v>0</v>
      </c>
      <c r="B332" s="2" t="b">
        <f>IF(ISBLANK(InfoGard!E332),FALSE,RIGHT(TRIM(InfoGard!E332),15))</f>
        <v>0</v>
      </c>
      <c r="C332" s="2" t="b">
        <f>IF(ISBLANK(InfoGard!F332),FALSE,LOOKUP(InfoGard!F332,Lookup!$A$6:$B$7))</f>
        <v>0</v>
      </c>
      <c r="D332" s="2" t="b">
        <f>IF(ISBLANK(InfoGard!G332),FALSE,InfoGard!G332)</f>
        <v>0</v>
      </c>
      <c r="E332" s="2" t="str">
        <f>IF(NOT(ISBLANK(InfoGard!D332)),IF(OR(ISBLANK(InfoGard!E332),InfoGard!E332="N/A"),"no acb code",CONCATENATE(Lookup!F$1,A332,Lookup!G$1,B332,Lookup!H$1,H$1,Lookup!I$1)),"no attestation")</f>
        <v>no attestation</v>
      </c>
      <c r="F332" s="2" t="str">
        <f>IF(AND(NOT(ISBLANK(InfoGard!G332)),InfoGard!G332&lt;&gt;"N/A"),IF(C332="All",CONCATENATE(Lookup!F$2,D332,Lookup!G$2,B332,Lookup!H$2,H$1,Lookup!I$2),CONCATENATE(Lookup!F$3,D332,Lookup!G$3,B332,Lookup!H$3)),"no url")</f>
        <v>no url</v>
      </c>
    </row>
    <row r="333" spans="1:6" hidden="1" x14ac:dyDescent="0.25">
      <c r="A333" s="2" t="b">
        <f>IF(ISBLANK(InfoGard!D333),FALSE,LOOKUP(InfoGard!D333,Lookup!$A$2:$B$4))</f>
        <v>0</v>
      </c>
      <c r="B333" s="2" t="b">
        <f>IF(ISBLANK(InfoGard!E333),FALSE,RIGHT(TRIM(InfoGard!E333),15))</f>
        <v>0</v>
      </c>
      <c r="C333" s="2" t="b">
        <f>IF(ISBLANK(InfoGard!F333),FALSE,LOOKUP(InfoGard!F333,Lookup!$A$6:$B$7))</f>
        <v>0</v>
      </c>
      <c r="D333" s="2" t="b">
        <f>IF(ISBLANK(InfoGard!G333),FALSE,InfoGard!G333)</f>
        <v>0</v>
      </c>
      <c r="E333" s="2" t="str">
        <f>IF(NOT(ISBLANK(InfoGard!D333)),IF(OR(ISBLANK(InfoGard!E333),InfoGard!E333="N/A"),"no acb code",CONCATENATE(Lookup!F$1,A333,Lookup!G$1,B333,Lookup!H$1,H$1,Lookup!I$1)),"no attestation")</f>
        <v>no attestation</v>
      </c>
      <c r="F333" s="2" t="str">
        <f>IF(AND(NOT(ISBLANK(InfoGard!G333)),InfoGard!G333&lt;&gt;"N/A"),IF(C333="All",CONCATENATE(Lookup!F$2,D333,Lookup!G$2,B333,Lookup!H$2,H$1,Lookup!I$2),CONCATENATE(Lookup!F$3,D333,Lookup!G$3,B333,Lookup!H$3)),"no url")</f>
        <v>no url</v>
      </c>
    </row>
    <row r="334" spans="1:6" hidden="1" x14ac:dyDescent="0.25">
      <c r="A334" s="2" t="b">
        <f>IF(ISBLANK(InfoGard!D334),FALSE,LOOKUP(InfoGard!D334,Lookup!$A$2:$B$4))</f>
        <v>0</v>
      </c>
      <c r="B334" s="2" t="b">
        <f>IF(ISBLANK(InfoGard!E334),FALSE,RIGHT(TRIM(InfoGard!E334),15))</f>
        <v>0</v>
      </c>
      <c r="C334" s="2" t="b">
        <f>IF(ISBLANK(InfoGard!F334),FALSE,LOOKUP(InfoGard!F334,Lookup!$A$6:$B$7))</f>
        <v>0</v>
      </c>
      <c r="D334" s="2" t="b">
        <f>IF(ISBLANK(InfoGard!G334),FALSE,InfoGard!G334)</f>
        <v>0</v>
      </c>
      <c r="E334" s="2" t="str">
        <f>IF(NOT(ISBLANK(InfoGard!D334)),IF(OR(ISBLANK(InfoGard!E334),InfoGard!E334="N/A"),"no acb code",CONCATENATE(Lookup!F$1,A334,Lookup!G$1,B334,Lookup!H$1,H$1,Lookup!I$1)),"no attestation")</f>
        <v>no attestation</v>
      </c>
      <c r="F334" s="2" t="str">
        <f>IF(AND(NOT(ISBLANK(InfoGard!G334)),InfoGard!G334&lt;&gt;"N/A"),IF(C334="All",CONCATENATE(Lookup!F$2,D334,Lookup!G$2,B334,Lookup!H$2,H$1,Lookup!I$2),CONCATENATE(Lookup!F$3,D334,Lookup!G$3,B334,Lookup!H$3)),"no url")</f>
        <v>no url</v>
      </c>
    </row>
    <row r="335" spans="1:6" hidden="1" x14ac:dyDescent="0.25">
      <c r="A335" s="2" t="b">
        <f>IF(ISBLANK(InfoGard!D335),FALSE,LOOKUP(InfoGard!D335,Lookup!$A$2:$B$4))</f>
        <v>0</v>
      </c>
      <c r="B335" s="2" t="b">
        <f>IF(ISBLANK(InfoGard!E335),FALSE,RIGHT(TRIM(InfoGard!E335),15))</f>
        <v>0</v>
      </c>
      <c r="C335" s="2" t="b">
        <f>IF(ISBLANK(InfoGard!F335),FALSE,LOOKUP(InfoGard!F335,Lookup!$A$6:$B$7))</f>
        <v>0</v>
      </c>
      <c r="D335" s="2" t="b">
        <f>IF(ISBLANK(InfoGard!G335),FALSE,InfoGard!G335)</f>
        <v>0</v>
      </c>
      <c r="E335" s="2" t="str">
        <f>IF(NOT(ISBLANK(InfoGard!D335)),IF(OR(ISBLANK(InfoGard!E335),InfoGard!E335="N/A"),"no acb code",CONCATENATE(Lookup!F$1,A335,Lookup!G$1,B335,Lookup!H$1,H$1,Lookup!I$1)),"no attestation")</f>
        <v>no attestation</v>
      </c>
      <c r="F335" s="2" t="str">
        <f>IF(AND(NOT(ISBLANK(InfoGard!G335)),InfoGard!G335&lt;&gt;"N/A"),IF(C335="All",CONCATENATE(Lookup!F$2,D335,Lookup!G$2,B335,Lookup!H$2,H$1,Lookup!I$2),CONCATENATE(Lookup!F$3,D335,Lookup!G$3,B335,Lookup!H$3)),"no url")</f>
        <v>no url</v>
      </c>
    </row>
    <row r="336" spans="1:6" hidden="1" x14ac:dyDescent="0.25">
      <c r="A336" s="2" t="b">
        <f>IF(ISBLANK(InfoGard!D336),FALSE,LOOKUP(InfoGard!D336,Lookup!$A$2:$B$4))</f>
        <v>0</v>
      </c>
      <c r="B336" s="2" t="b">
        <f>IF(ISBLANK(InfoGard!E336),FALSE,RIGHT(TRIM(InfoGard!E336),15))</f>
        <v>0</v>
      </c>
      <c r="C336" s="2" t="b">
        <f>IF(ISBLANK(InfoGard!F336),FALSE,LOOKUP(InfoGard!F336,Lookup!$A$6:$B$7))</f>
        <v>0</v>
      </c>
      <c r="D336" s="2" t="b">
        <f>IF(ISBLANK(InfoGard!G336),FALSE,InfoGard!G336)</f>
        <v>0</v>
      </c>
      <c r="E336" s="2" t="str">
        <f>IF(NOT(ISBLANK(InfoGard!D336)),IF(OR(ISBLANK(InfoGard!E336),InfoGard!E336="N/A"),"no acb code",CONCATENATE(Lookup!F$1,A336,Lookup!G$1,B336,Lookup!H$1,H$1,Lookup!I$1)),"no attestation")</f>
        <v>no attestation</v>
      </c>
      <c r="F336" s="2" t="str">
        <f>IF(AND(NOT(ISBLANK(InfoGard!G336)),InfoGard!G336&lt;&gt;"N/A"),IF(C336="All",CONCATENATE(Lookup!F$2,D336,Lookup!G$2,B336,Lookup!H$2,H$1,Lookup!I$2),CONCATENATE(Lookup!F$3,D336,Lookup!G$3,B336,Lookup!H$3)),"no url")</f>
        <v>no url</v>
      </c>
    </row>
    <row r="337" spans="1:6" hidden="1" x14ac:dyDescent="0.25">
      <c r="A337" s="2" t="b">
        <f>IF(ISBLANK(InfoGard!D337),FALSE,LOOKUP(InfoGard!D337,Lookup!$A$2:$B$4))</f>
        <v>0</v>
      </c>
      <c r="B337" s="2" t="b">
        <f>IF(ISBLANK(InfoGard!E337),FALSE,RIGHT(TRIM(InfoGard!E337),15))</f>
        <v>0</v>
      </c>
      <c r="C337" s="2" t="b">
        <f>IF(ISBLANK(InfoGard!F337),FALSE,LOOKUP(InfoGard!F337,Lookup!$A$6:$B$7))</f>
        <v>0</v>
      </c>
      <c r="D337" s="2" t="b">
        <f>IF(ISBLANK(InfoGard!G337),FALSE,InfoGard!G337)</f>
        <v>0</v>
      </c>
      <c r="E337" s="2" t="str">
        <f>IF(NOT(ISBLANK(InfoGard!D337)),IF(OR(ISBLANK(InfoGard!E337),InfoGard!E337="N/A"),"no acb code",CONCATENATE(Lookup!F$1,A337,Lookup!G$1,B337,Lookup!H$1,H$1,Lookup!I$1)),"no attestation")</f>
        <v>no attestation</v>
      </c>
      <c r="F337" s="2" t="str">
        <f>IF(AND(NOT(ISBLANK(InfoGard!G337)),InfoGard!G337&lt;&gt;"N/A"),IF(C337="All",CONCATENATE(Lookup!F$2,D337,Lookup!G$2,B337,Lookup!H$2,H$1,Lookup!I$2),CONCATENATE(Lookup!F$3,D337,Lookup!G$3,B337,Lookup!H$3)),"no url")</f>
        <v>no url</v>
      </c>
    </row>
    <row r="338" spans="1:6" x14ac:dyDescent="0.25">
      <c r="A338" s="2" t="str">
        <f>IF(ISBLANK(InfoGard!D338),FALSE,LOOKUP(InfoGard!D338,Lookup!$A$2:$B$4))</f>
        <v>Affirmative</v>
      </c>
      <c r="B338" s="2" t="str">
        <f>IF(ISBLANK(InfoGard!E338),FALSE,RIGHT(TRIM(InfoGard!E338),15))</f>
        <v>IG-2373-14-0095</v>
      </c>
      <c r="C338" s="2" t="str">
        <f>IF(ISBLANK(InfoGard!F338),FALSE,LOOKUP(InfoGard!F338,Lookup!$A$6:$B$7))</f>
        <v>All</v>
      </c>
      <c r="D338" s="2" t="str">
        <f>IF(ISBLANK(InfoGard!G338),FALSE,InfoGard!G338)</f>
        <v>http://officemedicine.com/stage-ii-full-emr-certification-information/</v>
      </c>
      <c r="E338" s="2" t="str">
        <f>IF(NOT(ISBLANK(InfoGard!D338)),IF(OR(ISBLANK(InfoGard!E338),InfoGard!E338="N/A"),"no acb code",CONCATENATE(Lookup!F$1,A338,Lookup!G$1,B338,Lookup!H$1,H$1,Lookup!I$1)),"no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'IG-2373-14-0095' and cb."name" = 'InfoGard' and cp.product_version_id = pv.product_version_id and pv.product_id = p.product_id and p.vendor_id = vend.vendor_id;</v>
      </c>
      <c r="F338" s="2" t="str">
        <f>IF(AND(NOT(ISBLANK(InfoGard!G338)),InfoGard!G338&lt;&gt;"N/A"),IF(C338="All",CONCATENATE(Lookup!F$2,D338,Lookup!G$2,B338,Lookup!H$2,H$1,Lookup!I$2),CONCATENATE(Lookup!F$3,D338,Lookup!G$3,B338,Lookup!H$3)),"no url")</f>
        <v>update openchpl.certified_product as cp set transparency_attestation_url = 'http://officemedicine.com/stage-ii-full-emr-certification-information/' from (select certified_product_id from (select vend.vendor_code from openchpl.certified_product as cp, openchpl.product_version as pv, openchpl.product as p, openchpl.vendor as vend where cp.acb_certification_id = 'IG-2373-14-0095'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9" spans="1:6" hidden="1" x14ac:dyDescent="0.25">
      <c r="A339" s="2" t="b">
        <f>IF(ISBLANK(InfoGard!D339),FALSE,LOOKUP(InfoGard!D339,Lookup!$A$2:$B$4))</f>
        <v>0</v>
      </c>
      <c r="B339" s="2" t="b">
        <f>IF(ISBLANK(InfoGard!E339),FALSE,RIGHT(TRIM(InfoGard!E339),15))</f>
        <v>0</v>
      </c>
      <c r="C339" s="2" t="b">
        <f>IF(ISBLANK(InfoGard!F339),FALSE,LOOKUP(InfoGard!F339,Lookup!$A$6:$B$7))</f>
        <v>0</v>
      </c>
      <c r="D339" s="2" t="b">
        <f>IF(ISBLANK(InfoGard!G339),FALSE,InfoGard!G339)</f>
        <v>0</v>
      </c>
      <c r="E339" s="2" t="str">
        <f>IF(NOT(ISBLANK(InfoGard!D339)),IF(OR(ISBLANK(InfoGard!E339),InfoGard!E339="N/A"),"no acb code",CONCATENATE(Lookup!F$1,A339,Lookup!G$1,B339,Lookup!H$1,H$1,Lookup!I$1)),"no attestation")</f>
        <v>no attestation</v>
      </c>
      <c r="F339" s="2" t="str">
        <f>IF(AND(NOT(ISBLANK(InfoGard!G339)),InfoGard!G339&lt;&gt;"N/A"),IF(C339="All",CONCATENATE(Lookup!F$2,D339,Lookup!G$2,B339,Lookup!H$2,H$1,Lookup!I$2),CONCATENATE(Lookup!F$3,D339,Lookup!G$3,B339,Lookup!H$3)),"no url")</f>
        <v>no url</v>
      </c>
    </row>
    <row r="340" spans="1:6" hidden="1" x14ac:dyDescent="0.25">
      <c r="A340" s="2" t="b">
        <f>IF(ISBLANK(InfoGard!D340),FALSE,LOOKUP(InfoGard!D340,Lookup!$A$2:$B$4))</f>
        <v>0</v>
      </c>
      <c r="B340" s="2" t="b">
        <f>IF(ISBLANK(InfoGard!E340),FALSE,RIGHT(TRIM(InfoGard!E340),15))</f>
        <v>0</v>
      </c>
      <c r="C340" s="2" t="b">
        <f>IF(ISBLANK(InfoGard!F340),FALSE,LOOKUP(InfoGard!F340,Lookup!$A$6:$B$7))</f>
        <v>0</v>
      </c>
      <c r="D340" s="2" t="b">
        <f>IF(ISBLANK(InfoGard!G340),FALSE,InfoGard!G340)</f>
        <v>0</v>
      </c>
      <c r="E340" s="2" t="str">
        <f>IF(NOT(ISBLANK(InfoGard!D340)),IF(OR(ISBLANK(InfoGard!E340),InfoGard!E340="N/A"),"no acb code",CONCATENATE(Lookup!F$1,A340,Lookup!G$1,B340,Lookup!H$1,H$1,Lookup!I$1)),"no attestation")</f>
        <v>no attestation</v>
      </c>
      <c r="F340" s="2" t="str">
        <f>IF(AND(NOT(ISBLANK(InfoGard!G340)),InfoGard!G340&lt;&gt;"N/A"),IF(C340="All",CONCATENATE(Lookup!F$2,D340,Lookup!G$2,B340,Lookup!H$2,H$1,Lookup!I$2),CONCATENATE(Lookup!F$3,D340,Lookup!G$3,B340,Lookup!H$3)),"no url")</f>
        <v>no url</v>
      </c>
    </row>
    <row r="341" spans="1:6" hidden="1" x14ac:dyDescent="0.25">
      <c r="A341" s="2" t="b">
        <f>IF(ISBLANK(InfoGard!D341),FALSE,LOOKUP(InfoGard!D341,Lookup!$A$2:$B$4))</f>
        <v>0</v>
      </c>
      <c r="B341" s="2" t="b">
        <f>IF(ISBLANK(InfoGard!E341),FALSE,RIGHT(TRIM(InfoGard!E341),15))</f>
        <v>0</v>
      </c>
      <c r="C341" s="2" t="b">
        <f>IF(ISBLANK(InfoGard!F341),FALSE,LOOKUP(InfoGard!F341,Lookup!$A$6:$B$7))</f>
        <v>0</v>
      </c>
      <c r="D341" s="2" t="b">
        <f>IF(ISBLANK(InfoGard!G341),FALSE,InfoGard!G341)</f>
        <v>0</v>
      </c>
      <c r="E341" s="2" t="str">
        <f>IF(NOT(ISBLANK(InfoGard!D341)),IF(OR(ISBLANK(InfoGard!E341),InfoGard!E341="N/A"),"no acb code",CONCATENATE(Lookup!F$1,A341,Lookup!G$1,B341,Lookup!H$1,H$1,Lookup!I$1)),"no attestation")</f>
        <v>no attestation</v>
      </c>
      <c r="F341" s="2" t="str">
        <f>IF(AND(NOT(ISBLANK(InfoGard!G341)),InfoGard!G341&lt;&gt;"N/A"),IF(C341="All",CONCATENATE(Lookup!F$2,D341,Lookup!G$2,B341,Lookup!H$2,H$1,Lookup!I$2),CONCATENATE(Lookup!F$3,D341,Lookup!G$3,B341,Lookup!H$3)),"no url")</f>
        <v>no url</v>
      </c>
    </row>
    <row r="342" spans="1:6" hidden="1" x14ac:dyDescent="0.25">
      <c r="A342" s="2" t="b">
        <f>IF(ISBLANK(InfoGard!D342),FALSE,LOOKUP(InfoGard!D342,Lookup!$A$2:$B$4))</f>
        <v>0</v>
      </c>
      <c r="B342" s="2" t="b">
        <f>IF(ISBLANK(InfoGard!E342),FALSE,RIGHT(TRIM(InfoGard!E342),15))</f>
        <v>0</v>
      </c>
      <c r="C342" s="2" t="b">
        <f>IF(ISBLANK(InfoGard!F342),FALSE,LOOKUP(InfoGard!F342,Lookup!$A$6:$B$7))</f>
        <v>0</v>
      </c>
      <c r="D342" s="2" t="b">
        <f>IF(ISBLANK(InfoGard!G342),FALSE,InfoGard!G342)</f>
        <v>0</v>
      </c>
      <c r="E342" s="2" t="str">
        <f>IF(NOT(ISBLANK(InfoGard!D342)),IF(OR(ISBLANK(InfoGard!E342),InfoGard!E342="N/A"),"no acb code",CONCATENATE(Lookup!F$1,A342,Lookup!G$1,B342,Lookup!H$1,H$1,Lookup!I$1)),"no attestation")</f>
        <v>no attestation</v>
      </c>
      <c r="F342" s="2" t="str">
        <f>IF(AND(NOT(ISBLANK(InfoGard!G342)),InfoGard!G342&lt;&gt;"N/A"),IF(C342="All",CONCATENATE(Lookup!F$2,D342,Lookup!G$2,B342,Lookup!H$2,H$1,Lookup!I$2),CONCATENATE(Lookup!F$3,D342,Lookup!G$3,B342,Lookup!H$3)),"no url")</f>
        <v>no url</v>
      </c>
    </row>
    <row r="343" spans="1:6" hidden="1" x14ac:dyDescent="0.25">
      <c r="A343" s="2" t="b">
        <f>IF(ISBLANK(InfoGard!D343),FALSE,LOOKUP(InfoGard!D343,Lookup!$A$2:$B$4))</f>
        <v>0</v>
      </c>
      <c r="B343" s="2" t="b">
        <f>IF(ISBLANK(InfoGard!E343),FALSE,RIGHT(TRIM(InfoGard!E343),15))</f>
        <v>0</v>
      </c>
      <c r="C343" s="2" t="b">
        <f>IF(ISBLANK(InfoGard!F343),FALSE,LOOKUP(InfoGard!F343,Lookup!$A$6:$B$7))</f>
        <v>0</v>
      </c>
      <c r="D343" s="2" t="b">
        <f>IF(ISBLANK(InfoGard!G343),FALSE,InfoGard!G343)</f>
        <v>0</v>
      </c>
      <c r="E343" s="2" t="str">
        <f>IF(NOT(ISBLANK(InfoGard!D343)),IF(OR(ISBLANK(InfoGard!E343),InfoGard!E343="N/A"),"no acb code",CONCATENATE(Lookup!F$1,A343,Lookup!G$1,B343,Lookup!H$1,H$1,Lookup!I$1)),"no attestation")</f>
        <v>no attestation</v>
      </c>
      <c r="F343" s="2" t="str">
        <f>IF(AND(NOT(ISBLANK(InfoGard!G343)),InfoGard!G343&lt;&gt;"N/A"),IF(C343="All",CONCATENATE(Lookup!F$2,D343,Lookup!G$2,B343,Lookup!H$2,H$1,Lookup!I$2),CONCATENATE(Lookup!F$3,D343,Lookup!G$3,B343,Lookup!H$3)),"no url")</f>
        <v>no url</v>
      </c>
    </row>
    <row r="344" spans="1:6" hidden="1" x14ac:dyDescent="0.25">
      <c r="A344" s="2" t="b">
        <f>IF(ISBLANK(InfoGard!D344),FALSE,LOOKUP(InfoGard!D344,Lookup!$A$2:$B$4))</f>
        <v>0</v>
      </c>
      <c r="B344" s="2" t="b">
        <f>IF(ISBLANK(InfoGard!E344),FALSE,RIGHT(TRIM(InfoGard!E344),15))</f>
        <v>0</v>
      </c>
      <c r="C344" s="2" t="b">
        <f>IF(ISBLANK(InfoGard!F344),FALSE,LOOKUP(InfoGard!F344,Lookup!$A$6:$B$7))</f>
        <v>0</v>
      </c>
      <c r="D344" s="2" t="b">
        <f>IF(ISBLANK(InfoGard!G344),FALSE,InfoGard!G344)</f>
        <v>0</v>
      </c>
      <c r="E344" s="2" t="str">
        <f>IF(NOT(ISBLANK(InfoGard!D344)),IF(OR(ISBLANK(InfoGard!E344),InfoGard!E344="N/A"),"no acb code",CONCATENATE(Lookup!F$1,A344,Lookup!G$1,B344,Lookup!H$1,H$1,Lookup!I$1)),"no attestation")</f>
        <v>no attestation</v>
      </c>
      <c r="F344" s="2" t="str">
        <f>IF(AND(NOT(ISBLANK(InfoGard!G344)),InfoGard!G344&lt;&gt;"N/A"),IF(C344="All",CONCATENATE(Lookup!F$2,D344,Lookup!G$2,B344,Lookup!H$2,H$1,Lookup!I$2),CONCATENATE(Lookup!F$3,D344,Lookup!G$3,B344,Lookup!H$3)),"no url")</f>
        <v>no url</v>
      </c>
    </row>
    <row r="345" spans="1:6" hidden="1" x14ac:dyDescent="0.25">
      <c r="A345" s="2" t="b">
        <f>IF(ISBLANK(InfoGard!D345),FALSE,LOOKUP(InfoGard!D345,Lookup!$A$2:$B$4))</f>
        <v>0</v>
      </c>
      <c r="B345" s="2" t="b">
        <f>IF(ISBLANK(InfoGard!E345),FALSE,RIGHT(TRIM(InfoGard!E345),15))</f>
        <v>0</v>
      </c>
      <c r="C345" s="2" t="b">
        <f>IF(ISBLANK(InfoGard!F345),FALSE,LOOKUP(InfoGard!F345,Lookup!$A$6:$B$7))</f>
        <v>0</v>
      </c>
      <c r="D345" s="2" t="b">
        <f>IF(ISBLANK(InfoGard!G345),FALSE,InfoGard!G345)</f>
        <v>0</v>
      </c>
      <c r="E345" s="2" t="str">
        <f>IF(NOT(ISBLANK(InfoGard!D345)),IF(OR(ISBLANK(InfoGard!E345),InfoGard!E345="N/A"),"no acb code",CONCATENATE(Lookup!F$1,A345,Lookup!G$1,B345,Lookup!H$1,H$1,Lookup!I$1)),"no attestation")</f>
        <v>no attestation</v>
      </c>
      <c r="F345" s="2" t="str">
        <f>IF(AND(NOT(ISBLANK(InfoGard!G345)),InfoGard!G345&lt;&gt;"N/A"),IF(C345="All",CONCATENATE(Lookup!F$2,D345,Lookup!G$2,B345,Lookup!H$2,H$1,Lookup!I$2),CONCATENATE(Lookup!F$3,D345,Lookup!G$3,B345,Lookup!H$3)),"no url")</f>
        <v>no url</v>
      </c>
    </row>
    <row r="346" spans="1:6" hidden="1" x14ac:dyDescent="0.25">
      <c r="A346" s="2" t="b">
        <f>IF(ISBLANK(InfoGard!D346),FALSE,LOOKUP(InfoGard!D346,Lookup!$A$2:$B$4))</f>
        <v>0</v>
      </c>
      <c r="B346" s="2" t="b">
        <f>IF(ISBLANK(InfoGard!E346),FALSE,RIGHT(TRIM(InfoGard!E346),15))</f>
        <v>0</v>
      </c>
      <c r="C346" s="2" t="b">
        <f>IF(ISBLANK(InfoGard!F346),FALSE,LOOKUP(InfoGard!F346,Lookup!$A$6:$B$7))</f>
        <v>0</v>
      </c>
      <c r="D346" s="2" t="b">
        <f>IF(ISBLANK(InfoGard!G346),FALSE,InfoGard!G346)</f>
        <v>0</v>
      </c>
      <c r="E346" s="2" t="str">
        <f>IF(NOT(ISBLANK(InfoGard!D346)),IF(OR(ISBLANK(InfoGard!E346),InfoGard!E346="N/A"),"no acb code",CONCATENATE(Lookup!F$1,A346,Lookup!G$1,B346,Lookup!H$1,H$1,Lookup!I$1)),"no attestation")</f>
        <v>no attestation</v>
      </c>
      <c r="F346" s="2" t="str">
        <f>IF(AND(NOT(ISBLANK(InfoGard!G346)),InfoGard!G346&lt;&gt;"N/A"),IF(C346="All",CONCATENATE(Lookup!F$2,D346,Lookup!G$2,B346,Lookup!H$2,H$1,Lookup!I$2),CONCATENATE(Lookup!F$3,D346,Lookup!G$3,B346,Lookup!H$3)),"no url")</f>
        <v>no url</v>
      </c>
    </row>
    <row r="347" spans="1:6" hidden="1" x14ac:dyDescent="0.25">
      <c r="A347" s="2" t="b">
        <f>IF(ISBLANK(InfoGard!D347),FALSE,LOOKUP(InfoGard!D347,Lookup!$A$2:$B$4))</f>
        <v>0</v>
      </c>
      <c r="B347" s="2" t="b">
        <f>IF(ISBLANK(InfoGard!E347),FALSE,RIGHT(TRIM(InfoGard!E347),15))</f>
        <v>0</v>
      </c>
      <c r="C347" s="2" t="b">
        <f>IF(ISBLANK(InfoGard!F347),FALSE,LOOKUP(InfoGard!F347,Lookup!$A$6:$B$7))</f>
        <v>0</v>
      </c>
      <c r="D347" s="2" t="b">
        <f>IF(ISBLANK(InfoGard!G347),FALSE,InfoGard!G347)</f>
        <v>0</v>
      </c>
      <c r="E347" s="2" t="str">
        <f>IF(NOT(ISBLANK(InfoGard!D347)),IF(OR(ISBLANK(InfoGard!E347),InfoGard!E347="N/A"),"no acb code",CONCATENATE(Lookup!F$1,A347,Lookup!G$1,B347,Lookup!H$1,H$1,Lookup!I$1)),"no attestation")</f>
        <v>no attestation</v>
      </c>
      <c r="F347" s="2" t="str">
        <f>IF(AND(NOT(ISBLANK(InfoGard!G347)),InfoGard!G347&lt;&gt;"N/A"),IF(C347="All",CONCATENATE(Lookup!F$2,D347,Lookup!G$2,B347,Lookup!H$2,H$1,Lookup!I$2),CONCATENATE(Lookup!F$3,D347,Lookup!G$3,B347,Lookup!H$3)),"no url")</f>
        <v>no url</v>
      </c>
    </row>
    <row r="348" spans="1:6" hidden="1" x14ac:dyDescent="0.25">
      <c r="A348" s="2" t="b">
        <f>IF(ISBLANK(InfoGard!D348),FALSE,LOOKUP(InfoGard!D348,Lookup!$A$2:$B$4))</f>
        <v>0</v>
      </c>
      <c r="B348" s="2" t="b">
        <f>IF(ISBLANK(InfoGard!E348),FALSE,RIGHT(TRIM(InfoGard!E348),15))</f>
        <v>0</v>
      </c>
      <c r="C348" s="2" t="b">
        <f>IF(ISBLANK(InfoGard!F348),FALSE,LOOKUP(InfoGard!F348,Lookup!$A$6:$B$7))</f>
        <v>0</v>
      </c>
      <c r="D348" s="2" t="b">
        <f>IF(ISBLANK(InfoGard!G348),FALSE,InfoGard!G348)</f>
        <v>0</v>
      </c>
      <c r="E348" s="2" t="str">
        <f>IF(NOT(ISBLANK(InfoGard!D348)),IF(OR(ISBLANK(InfoGard!E348),InfoGard!E348="N/A"),"no acb code",CONCATENATE(Lookup!F$1,A348,Lookup!G$1,B348,Lookup!H$1,H$1,Lookup!I$1)),"no attestation")</f>
        <v>no attestation</v>
      </c>
      <c r="F348" s="2" t="str">
        <f>IF(AND(NOT(ISBLANK(InfoGard!G348)),InfoGard!G348&lt;&gt;"N/A"),IF(C348="All",CONCATENATE(Lookup!F$2,D348,Lookup!G$2,B348,Lookup!H$2,H$1,Lookup!I$2),CONCATENATE(Lookup!F$3,D348,Lookup!G$3,B348,Lookup!H$3)),"no url")</f>
        <v>no url</v>
      </c>
    </row>
    <row r="349" spans="1:6" hidden="1" x14ac:dyDescent="0.25">
      <c r="A349" s="2" t="b">
        <f>IF(ISBLANK(InfoGard!D349),FALSE,LOOKUP(InfoGard!D349,Lookup!$A$2:$B$4))</f>
        <v>0</v>
      </c>
      <c r="B349" s="2" t="b">
        <f>IF(ISBLANK(InfoGard!E349),FALSE,RIGHT(TRIM(InfoGard!E349),15))</f>
        <v>0</v>
      </c>
      <c r="C349" s="2" t="b">
        <f>IF(ISBLANK(InfoGard!F349),FALSE,LOOKUP(InfoGard!F349,Lookup!$A$6:$B$7))</f>
        <v>0</v>
      </c>
      <c r="D349" s="2" t="b">
        <f>IF(ISBLANK(InfoGard!G349),FALSE,InfoGard!G349)</f>
        <v>0</v>
      </c>
      <c r="E349" s="2" t="str">
        <f>IF(NOT(ISBLANK(InfoGard!D349)),IF(OR(ISBLANK(InfoGard!E349),InfoGard!E349="N/A"),"no acb code",CONCATENATE(Lookup!F$1,A349,Lookup!G$1,B349,Lookup!H$1,H$1,Lookup!I$1)),"no attestation")</f>
        <v>no attestation</v>
      </c>
      <c r="F349" s="2" t="str">
        <f>IF(AND(NOT(ISBLANK(InfoGard!G349)),InfoGard!G349&lt;&gt;"N/A"),IF(C349="All",CONCATENATE(Lookup!F$2,D349,Lookup!G$2,B349,Lookup!H$2,H$1,Lookup!I$2),CONCATENATE(Lookup!F$3,D349,Lookup!G$3,B349,Lookup!H$3)),"no url")</f>
        <v>no url</v>
      </c>
    </row>
    <row r="350" spans="1:6" hidden="1" x14ac:dyDescent="0.25">
      <c r="A350" s="2" t="b">
        <f>IF(ISBLANK(InfoGard!D350),FALSE,LOOKUP(InfoGard!D350,Lookup!$A$2:$B$4))</f>
        <v>0</v>
      </c>
      <c r="B350" s="2" t="b">
        <f>IF(ISBLANK(InfoGard!E350),FALSE,RIGHT(TRIM(InfoGard!E350),15))</f>
        <v>0</v>
      </c>
      <c r="C350" s="2" t="b">
        <f>IF(ISBLANK(InfoGard!F350),FALSE,LOOKUP(InfoGard!F350,Lookup!$A$6:$B$7))</f>
        <v>0</v>
      </c>
      <c r="D350" s="2" t="b">
        <f>IF(ISBLANK(InfoGard!G350),FALSE,InfoGard!G350)</f>
        <v>0</v>
      </c>
      <c r="E350" s="2" t="str">
        <f>IF(NOT(ISBLANK(InfoGard!D350)),IF(OR(ISBLANK(InfoGard!E350),InfoGard!E350="N/A"),"no acb code",CONCATENATE(Lookup!F$1,A350,Lookup!G$1,B350,Lookup!H$1,H$1,Lookup!I$1)),"no attestation")</f>
        <v>no attestation</v>
      </c>
      <c r="F350" s="2" t="str">
        <f>IF(AND(NOT(ISBLANK(InfoGard!G350)),InfoGard!G350&lt;&gt;"N/A"),IF(C350="All",CONCATENATE(Lookup!F$2,D350,Lookup!G$2,B350,Lookup!H$2,H$1,Lookup!I$2),CONCATENATE(Lookup!F$3,D350,Lookup!G$3,B350,Lookup!H$3)),"no url")</f>
        <v>no url</v>
      </c>
    </row>
    <row r="351" spans="1:6" hidden="1" x14ac:dyDescent="0.25">
      <c r="A351" s="2" t="b">
        <f>IF(ISBLANK(InfoGard!D351),FALSE,LOOKUP(InfoGard!D351,Lookup!$A$2:$B$4))</f>
        <v>0</v>
      </c>
      <c r="B351" s="2" t="b">
        <f>IF(ISBLANK(InfoGard!E351),FALSE,RIGHT(TRIM(InfoGard!E351),15))</f>
        <v>0</v>
      </c>
      <c r="C351" s="2" t="b">
        <f>IF(ISBLANK(InfoGard!F351),FALSE,LOOKUP(InfoGard!F351,Lookup!$A$6:$B$7))</f>
        <v>0</v>
      </c>
      <c r="D351" s="2" t="b">
        <f>IF(ISBLANK(InfoGard!G351),FALSE,InfoGard!G351)</f>
        <v>0</v>
      </c>
      <c r="E351" s="2" t="str">
        <f>IF(NOT(ISBLANK(InfoGard!D351)),IF(OR(ISBLANK(InfoGard!E351),InfoGard!E351="N/A"),"no acb code",CONCATENATE(Lookup!F$1,A351,Lookup!G$1,B351,Lookup!H$1,H$1,Lookup!I$1)),"no attestation")</f>
        <v>no attestation</v>
      </c>
      <c r="F351" s="2" t="str">
        <f>IF(AND(NOT(ISBLANK(InfoGard!G351)),InfoGard!G351&lt;&gt;"N/A"),IF(C351="All",CONCATENATE(Lookup!F$2,D351,Lookup!G$2,B351,Lookup!H$2,H$1,Lookup!I$2),CONCATENATE(Lookup!F$3,D351,Lookup!G$3,B351,Lookup!H$3)),"no url")</f>
        <v>no url</v>
      </c>
    </row>
    <row r="352" spans="1:6" hidden="1" x14ac:dyDescent="0.25">
      <c r="A352" s="2" t="b">
        <f>IF(ISBLANK(InfoGard!D352),FALSE,LOOKUP(InfoGard!D352,Lookup!$A$2:$B$4))</f>
        <v>0</v>
      </c>
      <c r="B352" s="2" t="b">
        <f>IF(ISBLANK(InfoGard!E352),FALSE,RIGHT(TRIM(InfoGard!E352),15))</f>
        <v>0</v>
      </c>
      <c r="C352" s="2" t="b">
        <f>IF(ISBLANK(InfoGard!F352),FALSE,LOOKUP(InfoGard!F352,Lookup!$A$6:$B$7))</f>
        <v>0</v>
      </c>
      <c r="D352" s="2" t="b">
        <f>IF(ISBLANK(InfoGard!G352),FALSE,InfoGard!G352)</f>
        <v>0</v>
      </c>
      <c r="E352" s="2" t="str">
        <f>IF(NOT(ISBLANK(InfoGard!D352)),IF(OR(ISBLANK(InfoGard!E352),InfoGard!E352="N/A"),"no acb code",CONCATENATE(Lookup!F$1,A352,Lookup!G$1,B352,Lookup!H$1,H$1,Lookup!I$1)),"no attestation")</f>
        <v>no attestation</v>
      </c>
      <c r="F352" s="2" t="str">
        <f>IF(AND(NOT(ISBLANK(InfoGard!G352)),InfoGard!G352&lt;&gt;"N/A"),IF(C352="All",CONCATENATE(Lookup!F$2,D352,Lookup!G$2,B352,Lookup!H$2,H$1,Lookup!I$2),CONCATENATE(Lookup!F$3,D352,Lookup!G$3,B352,Lookup!H$3)),"no url")</f>
        <v>no url</v>
      </c>
    </row>
    <row r="353" spans="1:6" hidden="1" x14ac:dyDescent="0.25">
      <c r="A353" s="2" t="b">
        <f>IF(ISBLANK(InfoGard!D353),FALSE,LOOKUP(InfoGard!D353,Lookup!$A$2:$B$4))</f>
        <v>0</v>
      </c>
      <c r="B353" s="2" t="b">
        <f>IF(ISBLANK(InfoGard!E353),FALSE,RIGHT(TRIM(InfoGard!E353),15))</f>
        <v>0</v>
      </c>
      <c r="C353" s="2" t="b">
        <f>IF(ISBLANK(InfoGard!F353),FALSE,LOOKUP(InfoGard!F353,Lookup!$A$6:$B$7))</f>
        <v>0</v>
      </c>
      <c r="D353" s="2" t="b">
        <f>IF(ISBLANK(InfoGard!G353),FALSE,InfoGard!G353)</f>
        <v>0</v>
      </c>
      <c r="E353" s="2" t="str">
        <f>IF(NOT(ISBLANK(InfoGard!D353)),IF(OR(ISBLANK(InfoGard!E353),InfoGard!E353="N/A"),"no acb code",CONCATENATE(Lookup!F$1,A353,Lookup!G$1,B353,Lookup!H$1,H$1,Lookup!I$1)),"no attestation")</f>
        <v>no attestation</v>
      </c>
      <c r="F353" s="2" t="str">
        <f>IF(AND(NOT(ISBLANK(InfoGard!G353)),InfoGard!G353&lt;&gt;"N/A"),IF(C353="All",CONCATENATE(Lookup!F$2,D353,Lookup!G$2,B353,Lookup!H$2,H$1,Lookup!I$2),CONCATENATE(Lookup!F$3,D353,Lookup!G$3,B353,Lookup!H$3)),"no url")</f>
        <v>no url</v>
      </c>
    </row>
    <row r="354" spans="1:6" hidden="1" x14ac:dyDescent="0.25">
      <c r="A354" s="2" t="b">
        <f>IF(ISBLANK(InfoGard!D354),FALSE,LOOKUP(InfoGard!D354,Lookup!$A$2:$B$4))</f>
        <v>0</v>
      </c>
      <c r="B354" s="2" t="b">
        <f>IF(ISBLANK(InfoGard!E354),FALSE,RIGHT(TRIM(InfoGard!E354),15))</f>
        <v>0</v>
      </c>
      <c r="C354" s="2" t="b">
        <f>IF(ISBLANK(InfoGard!F354),FALSE,LOOKUP(InfoGard!F354,Lookup!$A$6:$B$7))</f>
        <v>0</v>
      </c>
      <c r="D354" s="2" t="b">
        <f>IF(ISBLANK(InfoGard!G354),FALSE,InfoGard!G354)</f>
        <v>0</v>
      </c>
      <c r="E354" s="2" t="str">
        <f>IF(NOT(ISBLANK(InfoGard!D354)),IF(OR(ISBLANK(InfoGard!E354),InfoGard!E354="N/A"),"no acb code",CONCATENATE(Lookup!F$1,A354,Lookup!G$1,B354,Lookup!H$1,H$1,Lookup!I$1)),"no attestation")</f>
        <v>no attestation</v>
      </c>
      <c r="F354" s="2" t="str">
        <f>IF(AND(NOT(ISBLANK(InfoGard!G354)),InfoGard!G354&lt;&gt;"N/A"),IF(C354="All",CONCATENATE(Lookup!F$2,D354,Lookup!G$2,B354,Lookup!H$2,H$1,Lookup!I$2),CONCATENATE(Lookup!F$3,D354,Lookup!G$3,B354,Lookup!H$3)),"no url")</f>
        <v>no url</v>
      </c>
    </row>
    <row r="355" spans="1:6" hidden="1" x14ac:dyDescent="0.25">
      <c r="A355" s="2" t="b">
        <f>IF(ISBLANK(InfoGard!D355),FALSE,LOOKUP(InfoGard!D355,Lookup!$A$2:$B$4))</f>
        <v>0</v>
      </c>
      <c r="B355" s="2" t="b">
        <f>IF(ISBLANK(InfoGard!E355),FALSE,RIGHT(TRIM(InfoGard!E355),15))</f>
        <v>0</v>
      </c>
      <c r="C355" s="2" t="b">
        <f>IF(ISBLANK(InfoGard!F355),FALSE,LOOKUP(InfoGard!F355,Lookup!$A$6:$B$7))</f>
        <v>0</v>
      </c>
      <c r="D355" s="2" t="b">
        <f>IF(ISBLANK(InfoGard!G355),FALSE,InfoGard!G355)</f>
        <v>0</v>
      </c>
      <c r="E355" s="2" t="str">
        <f>IF(NOT(ISBLANK(InfoGard!D355)),IF(OR(ISBLANK(InfoGard!E355),InfoGard!E355="N/A"),"no acb code",CONCATENATE(Lookup!F$1,A355,Lookup!G$1,B355,Lookup!H$1,H$1,Lookup!I$1)),"no attestation")</f>
        <v>no attestation</v>
      </c>
      <c r="F355" s="2" t="str">
        <f>IF(AND(NOT(ISBLANK(InfoGard!G355)),InfoGard!G355&lt;&gt;"N/A"),IF(C355="All",CONCATENATE(Lookup!F$2,D355,Lookup!G$2,B355,Lookup!H$2,H$1,Lookup!I$2),CONCATENATE(Lookup!F$3,D355,Lookup!G$3,B355,Lookup!H$3)),"no url")</f>
        <v>no url</v>
      </c>
    </row>
    <row r="356" spans="1:6" hidden="1" x14ac:dyDescent="0.25">
      <c r="A356" s="2" t="b">
        <f>IF(ISBLANK(InfoGard!D356),FALSE,LOOKUP(InfoGard!D356,Lookup!$A$2:$B$4))</f>
        <v>0</v>
      </c>
      <c r="B356" s="2" t="b">
        <f>IF(ISBLANK(InfoGard!E356),FALSE,RIGHT(TRIM(InfoGard!E356),15))</f>
        <v>0</v>
      </c>
      <c r="C356" s="2" t="b">
        <f>IF(ISBLANK(InfoGard!F356),FALSE,LOOKUP(InfoGard!F356,Lookup!$A$6:$B$7))</f>
        <v>0</v>
      </c>
      <c r="D356" s="2" t="b">
        <f>IF(ISBLANK(InfoGard!G356),FALSE,InfoGard!G356)</f>
        <v>0</v>
      </c>
      <c r="E356" s="2" t="str">
        <f>IF(NOT(ISBLANK(InfoGard!D356)),IF(OR(ISBLANK(InfoGard!E356),InfoGard!E356="N/A"),"no acb code",CONCATENATE(Lookup!F$1,A356,Lookup!G$1,B356,Lookup!H$1,H$1,Lookup!I$1)),"no attestation")</f>
        <v>no attestation</v>
      </c>
      <c r="F356" s="2" t="str">
        <f>IF(AND(NOT(ISBLANK(InfoGard!G356)),InfoGard!G356&lt;&gt;"N/A"),IF(C356="All",CONCATENATE(Lookup!F$2,D356,Lookup!G$2,B356,Lookup!H$2,H$1,Lookup!I$2),CONCATENATE(Lookup!F$3,D356,Lookup!G$3,B356,Lookup!H$3)),"no url")</f>
        <v>no url</v>
      </c>
    </row>
    <row r="357" spans="1:6" hidden="1" x14ac:dyDescent="0.25">
      <c r="A357" s="2" t="b">
        <f>IF(ISBLANK(InfoGard!D357),FALSE,LOOKUP(InfoGard!D357,Lookup!$A$2:$B$4))</f>
        <v>0</v>
      </c>
      <c r="B357" s="2" t="b">
        <f>IF(ISBLANK(InfoGard!E357),FALSE,RIGHT(TRIM(InfoGard!E357),15))</f>
        <v>0</v>
      </c>
      <c r="C357" s="2" t="b">
        <f>IF(ISBLANK(InfoGard!F357),FALSE,LOOKUP(InfoGard!F357,Lookup!$A$6:$B$7))</f>
        <v>0</v>
      </c>
      <c r="D357" s="2" t="b">
        <f>IF(ISBLANK(InfoGard!G357),FALSE,InfoGard!G357)</f>
        <v>0</v>
      </c>
      <c r="E357" s="2" t="str">
        <f>IF(NOT(ISBLANK(InfoGard!D357)),IF(OR(ISBLANK(InfoGard!E357),InfoGard!E357="N/A"),"no acb code",CONCATENATE(Lookup!F$1,A357,Lookup!G$1,B357,Lookup!H$1,H$1,Lookup!I$1)),"no attestation")</f>
        <v>no attestation</v>
      </c>
      <c r="F357" s="2" t="str">
        <f>IF(AND(NOT(ISBLANK(InfoGard!G357)),InfoGard!G357&lt;&gt;"N/A"),IF(C357="All",CONCATENATE(Lookup!F$2,D357,Lookup!G$2,B357,Lookup!H$2,H$1,Lookup!I$2),CONCATENATE(Lookup!F$3,D357,Lookup!G$3,B357,Lookup!H$3)),"no url")</f>
        <v>no url</v>
      </c>
    </row>
    <row r="358" spans="1:6" hidden="1" x14ac:dyDescent="0.25">
      <c r="A358" s="2" t="b">
        <f>IF(ISBLANK(InfoGard!D358),FALSE,LOOKUP(InfoGard!D358,Lookup!$A$2:$B$4))</f>
        <v>0</v>
      </c>
      <c r="B358" s="2" t="b">
        <f>IF(ISBLANK(InfoGard!E358),FALSE,RIGHT(TRIM(InfoGard!E358),15))</f>
        <v>0</v>
      </c>
      <c r="C358" s="2" t="b">
        <f>IF(ISBLANK(InfoGard!F358),FALSE,LOOKUP(InfoGard!F358,Lookup!$A$6:$B$7))</f>
        <v>0</v>
      </c>
      <c r="D358" s="2" t="b">
        <f>IF(ISBLANK(InfoGard!G358),FALSE,InfoGard!G358)</f>
        <v>0</v>
      </c>
      <c r="E358" s="2" t="str">
        <f>IF(NOT(ISBLANK(InfoGard!D358)),IF(OR(ISBLANK(InfoGard!E358),InfoGard!E358="N/A"),"no acb code",CONCATENATE(Lookup!F$1,A358,Lookup!G$1,B358,Lookup!H$1,H$1,Lookup!I$1)),"no attestation")</f>
        <v>no attestation</v>
      </c>
      <c r="F358" s="2" t="str">
        <f>IF(AND(NOT(ISBLANK(InfoGard!G358)),InfoGard!G358&lt;&gt;"N/A"),IF(C358="All",CONCATENATE(Lookup!F$2,D358,Lookup!G$2,B358,Lookup!H$2,H$1,Lookup!I$2),CONCATENATE(Lookup!F$3,D358,Lookup!G$3,B358,Lookup!H$3)),"no url")</f>
        <v>no url</v>
      </c>
    </row>
    <row r="359" spans="1:6" hidden="1" x14ac:dyDescent="0.25">
      <c r="A359" s="2" t="b">
        <f>IF(ISBLANK(InfoGard!D359),FALSE,LOOKUP(InfoGard!D359,Lookup!$A$2:$B$4))</f>
        <v>0</v>
      </c>
      <c r="B359" s="2" t="b">
        <f>IF(ISBLANK(InfoGard!E359),FALSE,RIGHT(TRIM(InfoGard!E359),15))</f>
        <v>0</v>
      </c>
      <c r="C359" s="2" t="b">
        <f>IF(ISBLANK(InfoGard!F359),FALSE,LOOKUP(InfoGard!F359,Lookup!$A$6:$B$7))</f>
        <v>0</v>
      </c>
      <c r="D359" s="2" t="b">
        <f>IF(ISBLANK(InfoGard!G359),FALSE,InfoGard!G359)</f>
        <v>0</v>
      </c>
      <c r="E359" s="2" t="str">
        <f>IF(NOT(ISBLANK(InfoGard!D359)),IF(OR(ISBLANK(InfoGard!E359),InfoGard!E359="N/A"),"no acb code",CONCATENATE(Lookup!F$1,A359,Lookup!G$1,B359,Lookup!H$1,H$1,Lookup!I$1)),"no attestation")</f>
        <v>no attestation</v>
      </c>
      <c r="F359" s="2" t="str">
        <f>IF(AND(NOT(ISBLANK(InfoGard!G359)),InfoGard!G359&lt;&gt;"N/A"),IF(C359="All",CONCATENATE(Lookup!F$2,D359,Lookup!G$2,B359,Lookup!H$2,H$1,Lookup!I$2),CONCATENATE(Lookup!F$3,D359,Lookup!G$3,B359,Lookup!H$3)),"no url")</f>
        <v>no url</v>
      </c>
    </row>
    <row r="360" spans="1:6" hidden="1" x14ac:dyDescent="0.25">
      <c r="A360" s="2" t="b">
        <f>IF(ISBLANK(InfoGard!D360),FALSE,LOOKUP(InfoGard!D360,Lookup!$A$2:$B$4))</f>
        <v>0</v>
      </c>
      <c r="B360" s="2" t="b">
        <f>IF(ISBLANK(InfoGard!E360),FALSE,RIGHT(TRIM(InfoGard!E360),15))</f>
        <v>0</v>
      </c>
      <c r="C360" s="2" t="b">
        <f>IF(ISBLANK(InfoGard!F360),FALSE,LOOKUP(InfoGard!F360,Lookup!$A$6:$B$7))</f>
        <v>0</v>
      </c>
      <c r="D360" s="2" t="b">
        <f>IF(ISBLANK(InfoGard!G360),FALSE,InfoGard!G360)</f>
        <v>0</v>
      </c>
      <c r="E360" s="2" t="str">
        <f>IF(NOT(ISBLANK(InfoGard!D360)),IF(OR(ISBLANK(InfoGard!E360),InfoGard!E360="N/A"),"no acb code",CONCATENATE(Lookup!F$1,A360,Lookup!G$1,B360,Lookup!H$1,H$1,Lookup!I$1)),"no attestation")</f>
        <v>no attestation</v>
      </c>
      <c r="F360" s="2" t="str">
        <f>IF(AND(NOT(ISBLANK(InfoGard!G360)),InfoGard!G360&lt;&gt;"N/A"),IF(C360="All",CONCATENATE(Lookup!F$2,D360,Lookup!G$2,B360,Lookup!H$2,H$1,Lookup!I$2),CONCATENATE(Lookup!F$3,D360,Lookup!G$3,B360,Lookup!H$3)),"no url")</f>
        <v>no url</v>
      </c>
    </row>
    <row r="361" spans="1:6" hidden="1" x14ac:dyDescent="0.25">
      <c r="A361" s="2" t="b">
        <f>IF(ISBLANK(InfoGard!D361),FALSE,LOOKUP(InfoGard!D361,Lookup!$A$2:$B$4))</f>
        <v>0</v>
      </c>
      <c r="B361" s="2" t="b">
        <f>IF(ISBLANK(InfoGard!E361),FALSE,RIGHT(TRIM(InfoGard!E361),15))</f>
        <v>0</v>
      </c>
      <c r="C361" s="2" t="b">
        <f>IF(ISBLANK(InfoGard!F361),FALSE,LOOKUP(InfoGard!F361,Lookup!$A$6:$B$7))</f>
        <v>0</v>
      </c>
      <c r="D361" s="2" t="b">
        <f>IF(ISBLANK(InfoGard!G361),FALSE,InfoGard!G361)</f>
        <v>0</v>
      </c>
      <c r="E361" s="2" t="str">
        <f>IF(NOT(ISBLANK(InfoGard!D361)),IF(OR(ISBLANK(InfoGard!E361),InfoGard!E361="N/A"),"no acb code",CONCATENATE(Lookup!F$1,A361,Lookup!G$1,B361,Lookup!H$1,H$1,Lookup!I$1)),"no attestation")</f>
        <v>no attestation</v>
      </c>
      <c r="F361" s="2" t="str">
        <f>IF(AND(NOT(ISBLANK(InfoGard!G361)),InfoGard!G361&lt;&gt;"N/A"),IF(C361="All",CONCATENATE(Lookup!F$2,D361,Lookup!G$2,B361,Lookup!H$2,H$1,Lookup!I$2),CONCATENATE(Lookup!F$3,D361,Lookup!G$3,B361,Lookup!H$3)),"no url")</f>
        <v>no url</v>
      </c>
    </row>
    <row r="362" spans="1:6" x14ac:dyDescent="0.25">
      <c r="A362" s="2" t="str">
        <f>IF(ISBLANK(InfoGard!D362),FALSE,LOOKUP(InfoGard!D362,Lookup!$A$2:$B$4))</f>
        <v>Affirmative</v>
      </c>
      <c r="B362" s="2" t="str">
        <f>IF(ISBLANK(InfoGard!E362),FALSE,RIGHT(TRIM(InfoGard!E362),15))</f>
        <v>IG-2697-15-0020</v>
      </c>
      <c r="C362" s="2" t="str">
        <f>IF(ISBLANK(InfoGard!F362),FALSE,LOOKUP(InfoGard!F362,Lookup!$A$6:$B$7))</f>
        <v>All</v>
      </c>
      <c r="D362" s="2" t="str">
        <f>IF(ISBLANK(InfoGard!G362),FALSE,InfoGard!G362)</f>
        <v>https://www.drscribe.com/pages/prod_emr.aspx</v>
      </c>
      <c r="E362" s="2" t="str">
        <f>IF(NOT(ISBLANK(InfoGard!D362)),IF(OR(ISBLANK(InfoGard!E362),InfoGard!E362="N/A"),"no acb code",CONCATENATE(Lookup!F$1,A362,Lookup!G$1,B362,Lookup!H$1,H$1,Lookup!I$1)),"no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'IG-2697-15-0020' and cb."name" = 'InfoGard' and cp.product_version_id = pv.product_version_id and pv.product_id = p.product_id and p.vendor_id = vend.vendor_id;</v>
      </c>
      <c r="F362" s="2" t="str">
        <f>IF(AND(NOT(ISBLANK(InfoGard!G362)),InfoGard!G362&lt;&gt;"N/A"),IF(C362="All",CONCATENATE(Lookup!F$2,D362,Lookup!G$2,B362,Lookup!H$2,H$1,Lookup!I$2),CONCATENATE(Lookup!F$3,D362,Lookup!G$3,B362,Lookup!H$3)),"no url")</f>
        <v>update openchpl.certified_product as cp set transparency_attestation_url = 'https://www.drscribe.com/pages/prod_emr.aspx' from (select certified_product_id from (select vend.vendor_code from openchpl.certified_product as cp, openchpl.product_version as pv, openchpl.product as p, openchpl.vendor as vend where cp.acb_certification_id = 'IG-2697-15-0020'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3" spans="1:6" x14ac:dyDescent="0.25">
      <c r="A363" s="2" t="str">
        <f>IF(ISBLANK(InfoGard!D363),FALSE,LOOKUP(InfoGard!D363,Lookup!$A$2:$B$4))</f>
        <v>Affirmative</v>
      </c>
      <c r="B363" s="2" t="str">
        <f>IF(ISBLANK(InfoGard!E363),FALSE,RIGHT(TRIM(InfoGard!E363),15))</f>
        <v>IG-2596-14-0078</v>
      </c>
      <c r="C363" s="2" t="str">
        <f>IF(ISBLANK(InfoGard!F363),FALSE,LOOKUP(InfoGard!F363,Lookup!$A$6:$B$7))</f>
        <v>All</v>
      </c>
      <c r="D363" s="2" t="str">
        <f>IF(ISBLANK(InfoGard!G363),FALSE,InfoGard!G363)</f>
        <v>http://www.draeger.com/sites/assets/PublishingImages/Products/mon_innovian_anesthesia/ENUS/Infoguard%20Web%20Add_Innovian%20Anesthesia.pdf</v>
      </c>
      <c r="E363" s="2" t="str">
        <f>IF(NOT(ISBLANK(InfoGard!D363)),IF(OR(ISBLANK(InfoGard!E363),InfoGard!E363="N/A"),"no acb code",CONCATENATE(Lookup!F$1,A363,Lookup!G$1,B363,Lookup!H$1,H$1,Lookup!I$1)),"no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'IG-2596-14-0078' and cb."name" = 'InfoGard' and cp.product_version_id = pv.product_version_id and pv.product_id = p.product_id and p.vendor_id = vend.vendor_id;</v>
      </c>
      <c r="F363" s="2" t="str">
        <f>IF(AND(NOT(ISBLANK(InfoGard!G363)),InfoGard!G363&lt;&gt;"N/A"),IF(C363="All",CONCATENATE(Lookup!F$2,D363,Lookup!G$2,B363,Lookup!H$2,H$1,Lookup!I$2),CONCATENATE(Lookup!F$3,D363,Lookup!G$3,B363,Lookup!H$3)),"no url")</f>
        <v>update openchpl.certified_product as cp set transparency_attestation_url = 'http://www.draeger.com/sites/assets/PublishingImages/Products/mon_innovian_anesthesia/ENUS/Infoguard%20Web%20Add_Innovian%20Anesthesia.pdf' from (select certified_product_id from (select vend.vendor_code from openchpl.certified_product as cp, openchpl.product_version as pv, openchpl.product as p, openchpl.vendor as vend where cp.acb_certification_id = 'IG-2596-14-0078'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4" spans="1:6" hidden="1" x14ac:dyDescent="0.25">
      <c r="A364" s="2" t="b">
        <f>IF(ISBLANK(InfoGard!D364),FALSE,LOOKUP(InfoGard!D364,Lookup!$A$2:$B$4))</f>
        <v>0</v>
      </c>
      <c r="B364" s="2" t="b">
        <f>IF(ISBLANK(InfoGard!E364),FALSE,RIGHT(TRIM(InfoGard!E364),15))</f>
        <v>0</v>
      </c>
      <c r="C364" s="2" t="b">
        <f>IF(ISBLANK(InfoGard!F364),FALSE,LOOKUP(InfoGard!F364,Lookup!$A$6:$B$7))</f>
        <v>0</v>
      </c>
      <c r="D364" s="2" t="b">
        <f>IF(ISBLANK(InfoGard!G364),FALSE,InfoGard!G364)</f>
        <v>0</v>
      </c>
      <c r="E364" s="2" t="str">
        <f>IF(NOT(ISBLANK(InfoGard!D364)),IF(OR(ISBLANK(InfoGard!E364),InfoGard!E364="N/A"),"no acb code",CONCATENATE(Lookup!F$1,A364,Lookup!G$1,B364,Lookup!H$1,H$1,Lookup!I$1)),"no attestation")</f>
        <v>no attestation</v>
      </c>
      <c r="F364" s="2" t="str">
        <f>IF(AND(NOT(ISBLANK(InfoGard!G364)),InfoGard!G364&lt;&gt;"N/A"),IF(C364="All",CONCATENATE(Lookup!F$2,D364,Lookup!G$2,B364,Lookup!H$2,H$1,Lookup!I$2),CONCATENATE(Lookup!F$3,D364,Lookup!G$3,B364,Lookup!H$3)),"no url")</f>
        <v>no url</v>
      </c>
    </row>
    <row r="365" spans="1:6" hidden="1" x14ac:dyDescent="0.25">
      <c r="A365" s="2" t="b">
        <f>IF(ISBLANK(InfoGard!D365),FALSE,LOOKUP(InfoGard!D365,Lookup!$A$2:$B$4))</f>
        <v>0</v>
      </c>
      <c r="B365" s="2" t="b">
        <f>IF(ISBLANK(InfoGard!E365),FALSE,RIGHT(TRIM(InfoGard!E365),15))</f>
        <v>0</v>
      </c>
      <c r="C365" s="2" t="b">
        <f>IF(ISBLANK(InfoGard!F365),FALSE,LOOKUP(InfoGard!F365,Lookup!$A$6:$B$7))</f>
        <v>0</v>
      </c>
      <c r="D365" s="2" t="b">
        <f>IF(ISBLANK(InfoGard!G365),FALSE,InfoGard!G365)</f>
        <v>0</v>
      </c>
      <c r="E365" s="2" t="str">
        <f>IF(NOT(ISBLANK(InfoGard!D365)),IF(OR(ISBLANK(InfoGard!E365),InfoGard!E365="N/A"),"no acb code",CONCATENATE(Lookup!F$1,A365,Lookup!G$1,B365,Lookup!H$1,H$1,Lookup!I$1)),"no attestation")</f>
        <v>no attestation</v>
      </c>
      <c r="F365" s="2" t="str">
        <f>IF(AND(NOT(ISBLANK(InfoGard!G365)),InfoGard!G365&lt;&gt;"N/A"),IF(C365="All",CONCATENATE(Lookup!F$2,D365,Lookup!G$2,B365,Lookup!H$2,H$1,Lookup!I$2),CONCATENATE(Lookup!F$3,D365,Lookup!G$3,B365,Lookup!H$3)),"no url")</f>
        <v>no url</v>
      </c>
    </row>
    <row r="366" spans="1:6" hidden="1" x14ac:dyDescent="0.25">
      <c r="A366" s="2" t="b">
        <f>IF(ISBLANK(InfoGard!D366),FALSE,LOOKUP(InfoGard!D366,Lookup!$A$2:$B$4))</f>
        <v>0</v>
      </c>
      <c r="B366" s="2" t="b">
        <f>IF(ISBLANK(InfoGard!E366),FALSE,RIGHT(TRIM(InfoGard!E366),15))</f>
        <v>0</v>
      </c>
      <c r="C366" s="2" t="b">
        <f>IF(ISBLANK(InfoGard!F366),FALSE,LOOKUP(InfoGard!F366,Lookup!$A$6:$B$7))</f>
        <v>0</v>
      </c>
      <c r="D366" s="2" t="b">
        <f>IF(ISBLANK(InfoGard!G366),FALSE,InfoGard!G366)</f>
        <v>0</v>
      </c>
      <c r="E366" s="2" t="str">
        <f>IF(NOT(ISBLANK(InfoGard!D366)),IF(OR(ISBLANK(InfoGard!E366),InfoGard!E366="N/A"),"no acb code",CONCATENATE(Lookup!F$1,A366,Lookup!G$1,B366,Lookup!H$1,H$1,Lookup!I$1)),"no attestation")</f>
        <v>no attestation</v>
      </c>
      <c r="F366" s="2" t="str">
        <f>IF(AND(NOT(ISBLANK(InfoGard!G366)),InfoGard!G366&lt;&gt;"N/A"),IF(C366="All",CONCATENATE(Lookup!F$2,D366,Lookup!G$2,B366,Lookup!H$2,H$1,Lookup!I$2),CONCATENATE(Lookup!F$3,D366,Lookup!G$3,B366,Lookup!H$3)),"no url")</f>
        <v>no url</v>
      </c>
    </row>
    <row r="367" spans="1:6" hidden="1" x14ac:dyDescent="0.25">
      <c r="A367" s="2" t="b">
        <f>IF(ISBLANK(InfoGard!D367),FALSE,LOOKUP(InfoGard!D367,Lookup!$A$2:$B$4))</f>
        <v>0</v>
      </c>
      <c r="B367" s="2" t="b">
        <f>IF(ISBLANK(InfoGard!E367),FALSE,RIGHT(TRIM(InfoGard!E367),15))</f>
        <v>0</v>
      </c>
      <c r="C367" s="2" t="b">
        <f>IF(ISBLANK(InfoGard!F367),FALSE,LOOKUP(InfoGard!F367,Lookup!$A$6:$B$7))</f>
        <v>0</v>
      </c>
      <c r="D367" s="2" t="b">
        <f>IF(ISBLANK(InfoGard!G367),FALSE,InfoGard!G367)</f>
        <v>0</v>
      </c>
      <c r="E367" s="2" t="str">
        <f>IF(NOT(ISBLANK(InfoGard!D367)),IF(OR(ISBLANK(InfoGard!E367),InfoGard!E367="N/A"),"no acb code",CONCATENATE(Lookup!F$1,A367,Lookup!G$1,B367,Lookup!H$1,H$1,Lookup!I$1)),"no attestation")</f>
        <v>no attestation</v>
      </c>
      <c r="F367" s="2" t="str">
        <f>IF(AND(NOT(ISBLANK(InfoGard!G367)),InfoGard!G367&lt;&gt;"N/A"),IF(C367="All",CONCATENATE(Lookup!F$2,D367,Lookup!G$2,B367,Lookup!H$2,H$1,Lookup!I$2),CONCATENATE(Lookup!F$3,D367,Lookup!G$3,B367,Lookup!H$3)),"no url")</f>
        <v>no url</v>
      </c>
    </row>
    <row r="368" spans="1:6" hidden="1" x14ac:dyDescent="0.25">
      <c r="A368" s="2" t="b">
        <f>IF(ISBLANK(InfoGard!D368),FALSE,LOOKUP(InfoGard!D368,Lookup!$A$2:$B$4))</f>
        <v>0</v>
      </c>
      <c r="B368" s="2" t="b">
        <f>IF(ISBLANK(InfoGard!E368),FALSE,RIGHT(TRIM(InfoGard!E368),15))</f>
        <v>0</v>
      </c>
      <c r="C368" s="2" t="b">
        <f>IF(ISBLANK(InfoGard!F368),FALSE,LOOKUP(InfoGard!F368,Lookup!$A$6:$B$7))</f>
        <v>0</v>
      </c>
      <c r="D368" s="2" t="b">
        <f>IF(ISBLANK(InfoGard!G368),FALSE,InfoGard!G368)</f>
        <v>0</v>
      </c>
      <c r="E368" s="2" t="str">
        <f>IF(NOT(ISBLANK(InfoGard!D368)),IF(OR(ISBLANK(InfoGard!E368),InfoGard!E368="N/A"),"no acb code",CONCATENATE(Lookup!F$1,A368,Lookup!G$1,B368,Lookup!H$1,H$1,Lookup!I$1)),"no attestation")</f>
        <v>no attestation</v>
      </c>
      <c r="F368" s="2" t="str">
        <f>IF(AND(NOT(ISBLANK(InfoGard!G368)),InfoGard!G368&lt;&gt;"N/A"),IF(C368="All",CONCATENATE(Lookup!F$2,D368,Lookup!G$2,B368,Lookup!H$2,H$1,Lookup!I$2),CONCATENATE(Lookup!F$3,D368,Lookup!G$3,B368,Lookup!H$3)),"no url")</f>
        <v>no url</v>
      </c>
    </row>
    <row r="369" spans="1:6" hidden="1" x14ac:dyDescent="0.25">
      <c r="A369" s="2" t="b">
        <f>IF(ISBLANK(InfoGard!D369),FALSE,LOOKUP(InfoGard!D369,Lookup!$A$2:$B$4))</f>
        <v>0</v>
      </c>
      <c r="B369" s="2" t="b">
        <f>IF(ISBLANK(InfoGard!E369),FALSE,RIGHT(TRIM(InfoGard!E369),15))</f>
        <v>0</v>
      </c>
      <c r="C369" s="2" t="b">
        <f>IF(ISBLANK(InfoGard!F369),FALSE,LOOKUP(InfoGard!F369,Lookup!$A$6:$B$7))</f>
        <v>0</v>
      </c>
      <c r="D369" s="2" t="b">
        <f>IF(ISBLANK(InfoGard!G369),FALSE,InfoGard!G369)</f>
        <v>0</v>
      </c>
      <c r="E369" s="2" t="str">
        <f>IF(NOT(ISBLANK(InfoGard!D369)),IF(OR(ISBLANK(InfoGard!E369),InfoGard!E369="N/A"),"no acb code",CONCATENATE(Lookup!F$1,A369,Lookup!G$1,B369,Lookup!H$1,H$1,Lookup!I$1)),"no attestation")</f>
        <v>no attestation</v>
      </c>
      <c r="F369" s="2" t="str">
        <f>IF(AND(NOT(ISBLANK(InfoGard!G369)),InfoGard!G369&lt;&gt;"N/A"),IF(C369="All",CONCATENATE(Lookup!F$2,D369,Lookup!G$2,B369,Lookup!H$2,H$1,Lookup!I$2),CONCATENATE(Lookup!F$3,D369,Lookup!G$3,B369,Lookup!H$3)),"no url")</f>
        <v>no url</v>
      </c>
    </row>
    <row r="370" spans="1:6" hidden="1" x14ac:dyDescent="0.25">
      <c r="A370" s="2" t="b">
        <f>IF(ISBLANK(InfoGard!D370),FALSE,LOOKUP(InfoGard!D370,Lookup!$A$2:$B$4))</f>
        <v>0</v>
      </c>
      <c r="B370" s="2" t="b">
        <f>IF(ISBLANK(InfoGard!E370),FALSE,RIGHT(TRIM(InfoGard!E370),15))</f>
        <v>0</v>
      </c>
      <c r="C370" s="2" t="b">
        <f>IF(ISBLANK(InfoGard!F370),FALSE,LOOKUP(InfoGard!F370,Lookup!$A$6:$B$7))</f>
        <v>0</v>
      </c>
      <c r="D370" s="2" t="b">
        <f>IF(ISBLANK(InfoGard!G370),FALSE,InfoGard!G370)</f>
        <v>0</v>
      </c>
      <c r="E370" s="2" t="str">
        <f>IF(NOT(ISBLANK(InfoGard!D370)),IF(OR(ISBLANK(InfoGard!E370),InfoGard!E370="N/A"),"no acb code",CONCATENATE(Lookup!F$1,A370,Lookup!G$1,B370,Lookup!H$1,H$1,Lookup!I$1)),"no attestation")</f>
        <v>no attestation</v>
      </c>
      <c r="F370" s="2" t="str">
        <f>IF(AND(NOT(ISBLANK(InfoGard!G370)),InfoGard!G370&lt;&gt;"N/A"),IF(C370="All",CONCATENATE(Lookup!F$2,D370,Lookup!G$2,B370,Lookup!H$2,H$1,Lookup!I$2),CONCATENATE(Lookup!F$3,D370,Lookup!G$3,B370,Lookup!H$3)),"no url")</f>
        <v>no url</v>
      </c>
    </row>
    <row r="371" spans="1:6" hidden="1" x14ac:dyDescent="0.25">
      <c r="A371" s="2" t="b">
        <f>IF(ISBLANK(InfoGard!D371),FALSE,LOOKUP(InfoGard!D371,Lookup!$A$2:$B$4))</f>
        <v>0</v>
      </c>
      <c r="B371" s="2" t="b">
        <f>IF(ISBLANK(InfoGard!E371),FALSE,RIGHT(TRIM(InfoGard!E371),15))</f>
        <v>0</v>
      </c>
      <c r="C371" s="2" t="b">
        <f>IF(ISBLANK(InfoGard!F371),FALSE,LOOKUP(InfoGard!F371,Lookup!$A$6:$B$7))</f>
        <v>0</v>
      </c>
      <c r="D371" s="2" t="b">
        <f>IF(ISBLANK(InfoGard!G371),FALSE,InfoGard!G371)</f>
        <v>0</v>
      </c>
      <c r="E371" s="2" t="str">
        <f>IF(NOT(ISBLANK(InfoGard!D371)),IF(OR(ISBLANK(InfoGard!E371),InfoGard!E371="N/A"),"no acb code",CONCATENATE(Lookup!F$1,A371,Lookup!G$1,B371,Lookup!H$1,H$1,Lookup!I$1)),"no attestation")</f>
        <v>no attestation</v>
      </c>
      <c r="F371" s="2" t="str">
        <f>IF(AND(NOT(ISBLANK(InfoGard!G371)),InfoGard!G371&lt;&gt;"N/A"),IF(C371="All",CONCATENATE(Lookup!F$2,D371,Lookup!G$2,B371,Lookup!H$2,H$1,Lookup!I$2),CONCATENATE(Lookup!F$3,D371,Lookup!G$3,B371,Lookup!H$3)),"no url")</f>
        <v>no url</v>
      </c>
    </row>
    <row r="372" spans="1:6" hidden="1" x14ac:dyDescent="0.25">
      <c r="A372" s="2" t="b">
        <f>IF(ISBLANK(InfoGard!D372),FALSE,LOOKUP(InfoGard!D372,Lookup!$A$2:$B$4))</f>
        <v>0</v>
      </c>
      <c r="B372" s="2" t="b">
        <f>IF(ISBLANK(InfoGard!E372),FALSE,RIGHT(TRIM(InfoGard!E372),15))</f>
        <v>0</v>
      </c>
      <c r="C372" s="2" t="b">
        <f>IF(ISBLANK(InfoGard!F372),FALSE,LOOKUP(InfoGard!F372,Lookup!$A$6:$B$7))</f>
        <v>0</v>
      </c>
      <c r="D372" s="2" t="b">
        <f>IF(ISBLANK(InfoGard!G372),FALSE,InfoGard!G372)</f>
        <v>0</v>
      </c>
      <c r="E372" s="2" t="str">
        <f>IF(NOT(ISBLANK(InfoGard!D372)),IF(OR(ISBLANK(InfoGard!E372),InfoGard!E372="N/A"),"no acb code",CONCATENATE(Lookup!F$1,A372,Lookup!G$1,B372,Lookup!H$1,H$1,Lookup!I$1)),"no attestation")</f>
        <v>no attestation</v>
      </c>
      <c r="F372" s="2" t="str">
        <f>IF(AND(NOT(ISBLANK(InfoGard!G372)),InfoGard!G372&lt;&gt;"N/A"),IF(C372="All",CONCATENATE(Lookup!F$2,D372,Lookup!G$2,B372,Lookup!H$2,H$1,Lookup!I$2),CONCATENATE(Lookup!F$3,D372,Lookup!G$3,B372,Lookup!H$3)),"no url")</f>
        <v>no url</v>
      </c>
    </row>
    <row r="373" spans="1:6" hidden="1" x14ac:dyDescent="0.25">
      <c r="A373" s="2" t="b">
        <f>IF(ISBLANK(InfoGard!D373),FALSE,LOOKUP(InfoGard!D373,Lookup!$A$2:$B$4))</f>
        <v>0</v>
      </c>
      <c r="B373" s="2" t="b">
        <f>IF(ISBLANK(InfoGard!E373),FALSE,RIGHT(TRIM(InfoGard!E373),15))</f>
        <v>0</v>
      </c>
      <c r="C373" s="2" t="b">
        <f>IF(ISBLANK(InfoGard!F373),FALSE,LOOKUP(InfoGard!F373,Lookup!$A$6:$B$7))</f>
        <v>0</v>
      </c>
      <c r="D373" s="2" t="b">
        <f>IF(ISBLANK(InfoGard!G373),FALSE,InfoGard!G373)</f>
        <v>0</v>
      </c>
      <c r="E373" s="2" t="str">
        <f>IF(NOT(ISBLANK(InfoGard!D373)),IF(OR(ISBLANK(InfoGard!E373),InfoGard!E373="N/A"),"no acb code",CONCATENATE(Lookup!F$1,A373,Lookup!G$1,B373,Lookup!H$1,H$1,Lookup!I$1)),"no attestation")</f>
        <v>no attestation</v>
      </c>
      <c r="F373" s="2" t="str">
        <f>IF(AND(NOT(ISBLANK(InfoGard!G373)),InfoGard!G373&lt;&gt;"N/A"),IF(C373="All",CONCATENATE(Lookup!F$2,D373,Lookup!G$2,B373,Lookup!H$2,H$1,Lookup!I$2),CONCATENATE(Lookup!F$3,D373,Lookup!G$3,B373,Lookup!H$3)),"no url")</f>
        <v>no url</v>
      </c>
    </row>
    <row r="374" spans="1:6" hidden="1" x14ac:dyDescent="0.25">
      <c r="A374" s="2" t="b">
        <f>IF(ISBLANK(InfoGard!D374),FALSE,LOOKUP(InfoGard!D374,Lookup!$A$2:$B$4))</f>
        <v>0</v>
      </c>
      <c r="B374" s="2" t="b">
        <f>IF(ISBLANK(InfoGard!E374),FALSE,RIGHT(TRIM(InfoGard!E374),15))</f>
        <v>0</v>
      </c>
      <c r="C374" s="2" t="b">
        <f>IF(ISBLANK(InfoGard!F374),FALSE,LOOKUP(InfoGard!F374,Lookup!$A$6:$B$7))</f>
        <v>0</v>
      </c>
      <c r="D374" s="2" t="b">
        <f>IF(ISBLANK(InfoGard!G374),FALSE,InfoGard!G374)</f>
        <v>0</v>
      </c>
      <c r="E374" s="2" t="str">
        <f>IF(NOT(ISBLANK(InfoGard!D374)),IF(OR(ISBLANK(InfoGard!E374),InfoGard!E374="N/A"),"no acb code",CONCATENATE(Lookup!F$1,A374,Lookup!G$1,B374,Lookup!H$1,H$1,Lookup!I$1)),"no attestation")</f>
        <v>no attestation</v>
      </c>
      <c r="F374" s="2" t="str">
        <f>IF(AND(NOT(ISBLANK(InfoGard!G374)),InfoGard!G374&lt;&gt;"N/A"),IF(C374="All",CONCATENATE(Lookup!F$2,D374,Lookup!G$2,B374,Lookup!H$2,H$1,Lookup!I$2),CONCATENATE(Lookup!F$3,D374,Lookup!G$3,B374,Lookup!H$3)),"no url")</f>
        <v>no url</v>
      </c>
    </row>
    <row r="375" spans="1:6" hidden="1" x14ac:dyDescent="0.25">
      <c r="A375" s="2" t="b">
        <f>IF(ISBLANK(InfoGard!D375),FALSE,LOOKUP(InfoGard!D375,Lookup!$A$2:$B$4))</f>
        <v>0</v>
      </c>
      <c r="B375" s="2" t="b">
        <f>IF(ISBLANK(InfoGard!E375),FALSE,RIGHT(TRIM(InfoGard!E375),15))</f>
        <v>0</v>
      </c>
      <c r="C375" s="2" t="b">
        <f>IF(ISBLANK(InfoGard!F375),FALSE,LOOKUP(InfoGard!F375,Lookup!$A$6:$B$7))</f>
        <v>0</v>
      </c>
      <c r="D375" s="2" t="b">
        <f>IF(ISBLANK(InfoGard!G375),FALSE,InfoGard!G375)</f>
        <v>0</v>
      </c>
      <c r="E375" s="2" t="str">
        <f>IF(NOT(ISBLANK(InfoGard!D375)),IF(OR(ISBLANK(InfoGard!E375),InfoGard!E375="N/A"),"no acb code",CONCATENATE(Lookup!F$1,A375,Lookup!G$1,B375,Lookup!H$1,H$1,Lookup!I$1)),"no attestation")</f>
        <v>no attestation</v>
      </c>
      <c r="F375" s="2" t="str">
        <f>IF(AND(NOT(ISBLANK(InfoGard!G375)),InfoGard!G375&lt;&gt;"N/A"),IF(C375="All",CONCATENATE(Lookup!F$2,D375,Lookup!G$2,B375,Lookup!H$2,H$1,Lookup!I$2),CONCATENATE(Lookup!F$3,D375,Lookup!G$3,B375,Lookup!H$3)),"no url")</f>
        <v>no url</v>
      </c>
    </row>
    <row r="376" spans="1:6" hidden="1" x14ac:dyDescent="0.25">
      <c r="A376" s="2" t="b">
        <f>IF(ISBLANK(InfoGard!D376),FALSE,LOOKUP(InfoGard!D376,Lookup!$A$2:$B$4))</f>
        <v>0</v>
      </c>
      <c r="B376" s="2" t="b">
        <f>IF(ISBLANK(InfoGard!E376),FALSE,RIGHT(TRIM(InfoGard!E376),15))</f>
        <v>0</v>
      </c>
      <c r="C376" s="2" t="b">
        <f>IF(ISBLANK(InfoGard!F376),FALSE,LOOKUP(InfoGard!F376,Lookup!$A$6:$B$7))</f>
        <v>0</v>
      </c>
      <c r="D376" s="2" t="b">
        <f>IF(ISBLANK(InfoGard!G376),FALSE,InfoGard!G376)</f>
        <v>0</v>
      </c>
      <c r="E376" s="2" t="str">
        <f>IF(NOT(ISBLANK(InfoGard!D376)),IF(OR(ISBLANK(InfoGard!E376),InfoGard!E376="N/A"),"no acb code",CONCATENATE(Lookup!F$1,A376,Lookup!G$1,B376,Lookup!H$1,H$1,Lookup!I$1)),"no attestation")</f>
        <v>no attestation</v>
      </c>
      <c r="F376" s="2" t="str">
        <f>IF(AND(NOT(ISBLANK(InfoGard!G376)),InfoGard!G376&lt;&gt;"N/A"),IF(C376="All",CONCATENATE(Lookup!F$2,D376,Lookup!G$2,B376,Lookup!H$2,H$1,Lookup!I$2),CONCATENATE(Lookup!F$3,D376,Lookup!G$3,B376,Lookup!H$3)),"no url")</f>
        <v>no url</v>
      </c>
    </row>
    <row r="377" spans="1:6" hidden="1" x14ac:dyDescent="0.25">
      <c r="A377" s="2" t="b">
        <f>IF(ISBLANK(InfoGard!D377),FALSE,LOOKUP(InfoGard!D377,Lookup!$A$2:$B$4))</f>
        <v>0</v>
      </c>
      <c r="B377" s="2" t="b">
        <f>IF(ISBLANK(InfoGard!E377),FALSE,RIGHT(TRIM(InfoGard!E377),15))</f>
        <v>0</v>
      </c>
      <c r="C377" s="2" t="b">
        <f>IF(ISBLANK(InfoGard!F377),FALSE,LOOKUP(InfoGard!F377,Lookup!$A$6:$B$7))</f>
        <v>0</v>
      </c>
      <c r="D377" s="2" t="b">
        <f>IF(ISBLANK(InfoGard!G377),FALSE,InfoGard!G377)</f>
        <v>0</v>
      </c>
      <c r="E377" s="2" t="str">
        <f>IF(NOT(ISBLANK(InfoGard!D377)),IF(OR(ISBLANK(InfoGard!E377),InfoGard!E377="N/A"),"no acb code",CONCATENATE(Lookup!F$1,A377,Lookup!G$1,B377,Lookup!H$1,H$1,Lookup!I$1)),"no attestation")</f>
        <v>no attestation</v>
      </c>
      <c r="F377" s="2" t="str">
        <f>IF(AND(NOT(ISBLANK(InfoGard!G377)),InfoGard!G377&lt;&gt;"N/A"),IF(C377="All",CONCATENATE(Lookup!F$2,D377,Lookup!G$2,B377,Lookup!H$2,H$1,Lookup!I$2),CONCATENATE(Lookup!F$3,D377,Lookup!G$3,B377,Lookup!H$3)),"no url")</f>
        <v>no url</v>
      </c>
    </row>
    <row r="378" spans="1:6" hidden="1" x14ac:dyDescent="0.25">
      <c r="A378" s="2" t="b">
        <f>IF(ISBLANK(InfoGard!D378),FALSE,LOOKUP(InfoGard!D378,Lookup!$A$2:$B$4))</f>
        <v>0</v>
      </c>
      <c r="B378" s="2" t="b">
        <f>IF(ISBLANK(InfoGard!E378),FALSE,RIGHT(TRIM(InfoGard!E378),15))</f>
        <v>0</v>
      </c>
      <c r="C378" s="2" t="b">
        <f>IF(ISBLANK(InfoGard!F378),FALSE,LOOKUP(InfoGard!F378,Lookup!$A$6:$B$7))</f>
        <v>0</v>
      </c>
      <c r="D378" s="2" t="b">
        <f>IF(ISBLANK(InfoGard!G378),FALSE,InfoGard!G378)</f>
        <v>0</v>
      </c>
      <c r="E378" s="2" t="str">
        <f>IF(NOT(ISBLANK(InfoGard!D378)),IF(OR(ISBLANK(InfoGard!E378),InfoGard!E378="N/A"),"no acb code",CONCATENATE(Lookup!F$1,A378,Lookup!G$1,B378,Lookup!H$1,H$1,Lookup!I$1)),"no attestation")</f>
        <v>no attestation</v>
      </c>
      <c r="F378" s="2" t="str">
        <f>IF(AND(NOT(ISBLANK(InfoGard!G378)),InfoGard!G378&lt;&gt;"N/A"),IF(C378="All",CONCATENATE(Lookup!F$2,D378,Lookup!G$2,B378,Lookup!H$2,H$1,Lookup!I$2),CONCATENATE(Lookup!F$3,D378,Lookup!G$3,B378,Lookup!H$3)),"no url")</f>
        <v>no url</v>
      </c>
    </row>
    <row r="379" spans="1:6" hidden="1" x14ac:dyDescent="0.25">
      <c r="A379" s="2" t="b">
        <f>IF(ISBLANK(InfoGard!D379),FALSE,LOOKUP(InfoGard!D379,Lookup!$A$2:$B$4))</f>
        <v>0</v>
      </c>
      <c r="B379" s="2" t="b">
        <f>IF(ISBLANK(InfoGard!E379),FALSE,RIGHT(TRIM(InfoGard!E379),15))</f>
        <v>0</v>
      </c>
      <c r="C379" s="2" t="b">
        <f>IF(ISBLANK(InfoGard!F379),FALSE,LOOKUP(InfoGard!F379,Lookup!$A$6:$B$7))</f>
        <v>0</v>
      </c>
      <c r="D379" s="2" t="b">
        <f>IF(ISBLANK(InfoGard!G379),FALSE,InfoGard!G379)</f>
        <v>0</v>
      </c>
      <c r="E379" s="2" t="str">
        <f>IF(NOT(ISBLANK(InfoGard!D379)),IF(OR(ISBLANK(InfoGard!E379),InfoGard!E379="N/A"),"no acb code",CONCATENATE(Lookup!F$1,A379,Lookup!G$1,B379,Lookup!H$1,H$1,Lookup!I$1)),"no attestation")</f>
        <v>no attestation</v>
      </c>
      <c r="F379" s="2" t="str">
        <f>IF(AND(NOT(ISBLANK(InfoGard!G379)),InfoGard!G379&lt;&gt;"N/A"),IF(C379="All",CONCATENATE(Lookup!F$2,D379,Lookup!G$2,B379,Lookup!H$2,H$1,Lookup!I$2),CONCATENATE(Lookup!F$3,D379,Lookup!G$3,B379,Lookup!H$3)),"no url")</f>
        <v>no url</v>
      </c>
    </row>
    <row r="380" spans="1:6" hidden="1" x14ac:dyDescent="0.25">
      <c r="A380" s="2" t="b">
        <f>IF(ISBLANK(InfoGard!D380),FALSE,LOOKUP(InfoGard!D380,Lookup!$A$2:$B$4))</f>
        <v>0</v>
      </c>
      <c r="B380" s="2" t="b">
        <f>IF(ISBLANK(InfoGard!E380),FALSE,RIGHT(TRIM(InfoGard!E380),15))</f>
        <v>0</v>
      </c>
      <c r="C380" s="2" t="b">
        <f>IF(ISBLANK(InfoGard!F380),FALSE,LOOKUP(InfoGard!F380,Lookup!$A$6:$B$7))</f>
        <v>0</v>
      </c>
      <c r="D380" s="2" t="b">
        <f>IF(ISBLANK(InfoGard!G380),FALSE,InfoGard!G380)</f>
        <v>0</v>
      </c>
      <c r="E380" s="2" t="str">
        <f>IF(NOT(ISBLANK(InfoGard!D380)),IF(OR(ISBLANK(InfoGard!E380),InfoGard!E380="N/A"),"no acb code",CONCATENATE(Lookup!F$1,A380,Lookup!G$1,B380,Lookup!H$1,H$1,Lookup!I$1)),"no attestation")</f>
        <v>no attestation</v>
      </c>
      <c r="F380" s="2" t="str">
        <f>IF(AND(NOT(ISBLANK(InfoGard!G380)),InfoGard!G380&lt;&gt;"N/A"),IF(C380="All",CONCATENATE(Lookup!F$2,D380,Lookup!G$2,B380,Lookup!H$2,H$1,Lookup!I$2),CONCATENATE(Lookup!F$3,D380,Lookup!G$3,B380,Lookup!H$3)),"no url")</f>
        <v>no url</v>
      </c>
    </row>
    <row r="381" spans="1:6" hidden="1" x14ac:dyDescent="0.25">
      <c r="A381" s="2" t="b">
        <f>IF(ISBLANK(InfoGard!D381),FALSE,LOOKUP(InfoGard!D381,Lookup!$A$2:$B$4))</f>
        <v>0</v>
      </c>
      <c r="B381" s="2" t="b">
        <f>IF(ISBLANK(InfoGard!E381),FALSE,RIGHT(TRIM(InfoGard!E381),15))</f>
        <v>0</v>
      </c>
      <c r="C381" s="2" t="b">
        <f>IF(ISBLANK(InfoGard!F381),FALSE,LOOKUP(InfoGard!F381,Lookup!$A$6:$B$7))</f>
        <v>0</v>
      </c>
      <c r="D381" s="2" t="b">
        <f>IF(ISBLANK(InfoGard!G381),FALSE,InfoGard!G381)</f>
        <v>0</v>
      </c>
      <c r="E381" s="2" t="str">
        <f>IF(NOT(ISBLANK(InfoGard!D381)),IF(OR(ISBLANK(InfoGard!E381),InfoGard!E381="N/A"),"no acb code",CONCATENATE(Lookup!F$1,A381,Lookup!G$1,B381,Lookup!H$1,H$1,Lookup!I$1)),"no attestation")</f>
        <v>no attestation</v>
      </c>
      <c r="F381" s="2" t="str">
        <f>IF(AND(NOT(ISBLANK(InfoGard!G381)),InfoGard!G381&lt;&gt;"N/A"),IF(C381="All",CONCATENATE(Lookup!F$2,D381,Lookup!G$2,B381,Lookup!H$2,H$1,Lookup!I$2),CONCATENATE(Lookup!F$3,D381,Lookup!G$3,B381,Lookup!H$3)),"no url")</f>
        <v>no url</v>
      </c>
    </row>
    <row r="382" spans="1:6" hidden="1" x14ac:dyDescent="0.25">
      <c r="A382" s="2" t="b">
        <f>IF(ISBLANK(InfoGard!D382),FALSE,LOOKUP(InfoGard!D382,Lookup!$A$2:$B$4))</f>
        <v>0</v>
      </c>
      <c r="B382" s="2" t="b">
        <f>IF(ISBLANK(InfoGard!E382),FALSE,RIGHT(TRIM(InfoGard!E382),15))</f>
        <v>0</v>
      </c>
      <c r="C382" s="2" t="b">
        <f>IF(ISBLANK(InfoGard!F382),FALSE,LOOKUP(InfoGard!F382,Lookup!$A$6:$B$7))</f>
        <v>0</v>
      </c>
      <c r="D382" s="2" t="b">
        <f>IF(ISBLANK(InfoGard!G382),FALSE,InfoGard!G382)</f>
        <v>0</v>
      </c>
      <c r="E382" s="2" t="str">
        <f>IF(NOT(ISBLANK(InfoGard!D382)),IF(OR(ISBLANK(InfoGard!E382),InfoGard!E382="N/A"),"no acb code",CONCATENATE(Lookup!F$1,A382,Lookup!G$1,B382,Lookup!H$1,H$1,Lookup!I$1)),"no attestation")</f>
        <v>no attestation</v>
      </c>
      <c r="F382" s="2" t="str">
        <f>IF(AND(NOT(ISBLANK(InfoGard!G382)),InfoGard!G382&lt;&gt;"N/A"),IF(C382="All",CONCATENATE(Lookup!F$2,D382,Lookup!G$2,B382,Lookup!H$2,H$1,Lookup!I$2),CONCATENATE(Lookup!F$3,D382,Lookup!G$3,B382,Lookup!H$3)),"no url")</f>
        <v>no url</v>
      </c>
    </row>
    <row r="383" spans="1:6" hidden="1" x14ac:dyDescent="0.25">
      <c r="A383" s="2" t="b">
        <f>IF(ISBLANK(InfoGard!D383),FALSE,LOOKUP(InfoGard!D383,Lookup!$A$2:$B$4))</f>
        <v>0</v>
      </c>
      <c r="B383" s="2" t="b">
        <f>IF(ISBLANK(InfoGard!E383),FALSE,RIGHT(TRIM(InfoGard!E383),15))</f>
        <v>0</v>
      </c>
      <c r="C383" s="2" t="b">
        <f>IF(ISBLANK(InfoGard!F383),FALSE,LOOKUP(InfoGard!F383,Lookup!$A$6:$B$7))</f>
        <v>0</v>
      </c>
      <c r="D383" s="2" t="b">
        <f>IF(ISBLANK(InfoGard!G383),FALSE,InfoGard!G383)</f>
        <v>0</v>
      </c>
      <c r="E383" s="2" t="str">
        <f>IF(NOT(ISBLANK(InfoGard!D383)),IF(OR(ISBLANK(InfoGard!E383),InfoGard!E383="N/A"),"no acb code",CONCATENATE(Lookup!F$1,A383,Lookup!G$1,B383,Lookup!H$1,H$1,Lookup!I$1)),"no attestation")</f>
        <v>no attestation</v>
      </c>
      <c r="F383" s="2" t="str">
        <f>IF(AND(NOT(ISBLANK(InfoGard!G383)),InfoGard!G383&lt;&gt;"N/A"),IF(C383="All",CONCATENATE(Lookup!F$2,D383,Lookup!G$2,B383,Lookup!H$2,H$1,Lookup!I$2),CONCATENATE(Lookup!F$3,D383,Lookup!G$3,B383,Lookup!H$3)),"no url")</f>
        <v>no url</v>
      </c>
    </row>
    <row r="384" spans="1:6" hidden="1" x14ac:dyDescent="0.25">
      <c r="A384" s="2" t="b">
        <f>IF(ISBLANK(InfoGard!D384),FALSE,LOOKUP(InfoGard!D384,Lookup!$A$2:$B$4))</f>
        <v>0</v>
      </c>
      <c r="B384" s="2" t="b">
        <f>IF(ISBLANK(InfoGard!E384),FALSE,RIGHT(TRIM(InfoGard!E384),15))</f>
        <v>0</v>
      </c>
      <c r="C384" s="2" t="b">
        <f>IF(ISBLANK(InfoGard!F384),FALSE,LOOKUP(InfoGard!F384,Lookup!$A$6:$B$7))</f>
        <v>0</v>
      </c>
      <c r="D384" s="2" t="b">
        <f>IF(ISBLANK(InfoGard!G384),FALSE,InfoGard!G384)</f>
        <v>0</v>
      </c>
      <c r="E384" s="2" t="str">
        <f>IF(NOT(ISBLANK(InfoGard!D384)),IF(OR(ISBLANK(InfoGard!E384),InfoGard!E384="N/A"),"no acb code",CONCATENATE(Lookup!F$1,A384,Lookup!G$1,B384,Lookup!H$1,H$1,Lookup!I$1)),"no attestation")</f>
        <v>no attestation</v>
      </c>
      <c r="F384" s="2" t="str">
        <f>IF(AND(NOT(ISBLANK(InfoGard!G384)),InfoGard!G384&lt;&gt;"N/A"),IF(C384="All",CONCATENATE(Lookup!F$2,D384,Lookup!G$2,B384,Lookup!H$2,H$1,Lookup!I$2),CONCATENATE(Lookup!F$3,D384,Lookup!G$3,B384,Lookup!H$3)),"no url")</f>
        <v>no url</v>
      </c>
    </row>
    <row r="385" spans="1:6" hidden="1" x14ac:dyDescent="0.25">
      <c r="A385" s="2" t="b">
        <f>IF(ISBLANK(InfoGard!D385),FALSE,LOOKUP(InfoGard!D385,Lookup!$A$2:$B$4))</f>
        <v>0</v>
      </c>
      <c r="B385" s="2" t="b">
        <f>IF(ISBLANK(InfoGard!E385),FALSE,RIGHT(TRIM(InfoGard!E385),15))</f>
        <v>0</v>
      </c>
      <c r="C385" s="2" t="b">
        <f>IF(ISBLANK(InfoGard!F385),FALSE,LOOKUP(InfoGard!F385,Lookup!$A$6:$B$7))</f>
        <v>0</v>
      </c>
      <c r="D385" s="2" t="b">
        <f>IF(ISBLANK(InfoGard!G385),FALSE,InfoGard!G385)</f>
        <v>0</v>
      </c>
      <c r="E385" s="2" t="str">
        <f>IF(NOT(ISBLANK(InfoGard!D385)),IF(OR(ISBLANK(InfoGard!E385),InfoGard!E385="N/A"),"no acb code",CONCATENATE(Lookup!F$1,A385,Lookup!G$1,B385,Lookup!H$1,H$1,Lookup!I$1)),"no attestation")</f>
        <v>no attestation</v>
      </c>
      <c r="F385" s="2" t="str">
        <f>IF(AND(NOT(ISBLANK(InfoGard!G385)),InfoGard!G385&lt;&gt;"N/A"),IF(C385="All",CONCATENATE(Lookup!F$2,D385,Lookup!G$2,B385,Lookup!H$2,H$1,Lookup!I$2),CONCATENATE(Lookup!F$3,D385,Lookup!G$3,B385,Lookup!H$3)),"no url")</f>
        <v>no url</v>
      </c>
    </row>
    <row r="386" spans="1:6" hidden="1" x14ac:dyDescent="0.25">
      <c r="A386" s="2" t="b">
        <f>IF(ISBLANK(InfoGard!D386),FALSE,LOOKUP(InfoGard!D386,Lookup!$A$2:$B$4))</f>
        <v>0</v>
      </c>
      <c r="B386" s="2" t="b">
        <f>IF(ISBLANK(InfoGard!E386),FALSE,RIGHT(TRIM(InfoGard!E386),15))</f>
        <v>0</v>
      </c>
      <c r="C386" s="2" t="b">
        <f>IF(ISBLANK(InfoGard!F386),FALSE,LOOKUP(InfoGard!F386,Lookup!$A$6:$B$7))</f>
        <v>0</v>
      </c>
      <c r="D386" s="2" t="b">
        <f>IF(ISBLANK(InfoGard!G386),FALSE,InfoGard!G386)</f>
        <v>0</v>
      </c>
      <c r="E386" s="2" t="str">
        <f>IF(NOT(ISBLANK(InfoGard!D386)),IF(OR(ISBLANK(InfoGard!E386),InfoGard!E386="N/A"),"no acb code",CONCATENATE(Lookup!F$1,A386,Lookup!G$1,B386,Lookup!H$1,H$1,Lookup!I$1)),"no attestation")</f>
        <v>no attestation</v>
      </c>
      <c r="F386" s="2" t="str">
        <f>IF(AND(NOT(ISBLANK(InfoGard!G386)),InfoGard!G386&lt;&gt;"N/A"),IF(C386="All",CONCATENATE(Lookup!F$2,D386,Lookup!G$2,B386,Lookup!H$2,H$1,Lookup!I$2),CONCATENATE(Lookup!F$3,D386,Lookup!G$3,B386,Lookup!H$3)),"no url")</f>
        <v>no url</v>
      </c>
    </row>
    <row r="387" spans="1:6" hidden="1" x14ac:dyDescent="0.25">
      <c r="A387" s="2" t="b">
        <f>IF(ISBLANK(InfoGard!D387),FALSE,LOOKUP(InfoGard!D387,Lookup!$A$2:$B$4))</f>
        <v>0</v>
      </c>
      <c r="B387" s="2" t="b">
        <f>IF(ISBLANK(InfoGard!E387),FALSE,RIGHT(TRIM(InfoGard!E387),15))</f>
        <v>0</v>
      </c>
      <c r="C387" s="2" t="b">
        <f>IF(ISBLANK(InfoGard!F387),FALSE,LOOKUP(InfoGard!F387,Lookup!$A$6:$B$7))</f>
        <v>0</v>
      </c>
      <c r="D387" s="2" t="b">
        <f>IF(ISBLANK(InfoGard!G387),FALSE,InfoGard!G387)</f>
        <v>0</v>
      </c>
      <c r="E387" s="2" t="str">
        <f>IF(NOT(ISBLANK(InfoGard!D387)),IF(OR(ISBLANK(InfoGard!E387),InfoGard!E387="N/A"),"no acb code",CONCATENATE(Lookup!F$1,A387,Lookup!G$1,B387,Lookup!H$1,H$1,Lookup!I$1)),"no attestation")</f>
        <v>no attestation</v>
      </c>
      <c r="F387" s="2" t="str">
        <f>IF(AND(NOT(ISBLANK(InfoGard!G387)),InfoGard!G387&lt;&gt;"N/A"),IF(C387="All",CONCATENATE(Lookup!F$2,D387,Lookup!G$2,B387,Lookup!H$2,H$1,Lookup!I$2),CONCATENATE(Lookup!F$3,D387,Lookup!G$3,B387,Lookup!H$3)),"no url")</f>
        <v>no url</v>
      </c>
    </row>
    <row r="388" spans="1:6" hidden="1" x14ac:dyDescent="0.25">
      <c r="A388" s="2" t="b">
        <f>IF(ISBLANK(InfoGard!D388),FALSE,LOOKUP(InfoGard!D388,Lookup!$A$2:$B$4))</f>
        <v>0</v>
      </c>
      <c r="B388" s="2" t="b">
        <f>IF(ISBLANK(InfoGard!E388),FALSE,RIGHT(TRIM(InfoGard!E388),15))</f>
        <v>0</v>
      </c>
      <c r="C388" s="2" t="b">
        <f>IF(ISBLANK(InfoGard!F388),FALSE,LOOKUP(InfoGard!F388,Lookup!$A$6:$B$7))</f>
        <v>0</v>
      </c>
      <c r="D388" s="2" t="b">
        <f>IF(ISBLANK(InfoGard!G388),FALSE,InfoGard!G388)</f>
        <v>0</v>
      </c>
      <c r="E388" s="2" t="str">
        <f>IF(NOT(ISBLANK(InfoGard!D388)),IF(OR(ISBLANK(InfoGard!E388),InfoGard!E388="N/A"),"no acb code",CONCATENATE(Lookup!F$1,A388,Lookup!G$1,B388,Lookup!H$1,H$1,Lookup!I$1)),"no attestation")</f>
        <v>no attestation</v>
      </c>
      <c r="F388" s="2" t="str">
        <f>IF(AND(NOT(ISBLANK(InfoGard!G388)),InfoGard!G388&lt;&gt;"N/A"),IF(C388="All",CONCATENATE(Lookup!F$2,D388,Lookup!G$2,B388,Lookup!H$2,H$1,Lookup!I$2),CONCATENATE(Lookup!F$3,D388,Lookup!G$3,B388,Lookup!H$3)),"no url")</f>
        <v>no url</v>
      </c>
    </row>
    <row r="389" spans="1:6" hidden="1" x14ac:dyDescent="0.25">
      <c r="A389" s="2" t="b">
        <f>IF(ISBLANK(InfoGard!D389),FALSE,LOOKUP(InfoGard!D389,Lookup!$A$2:$B$4))</f>
        <v>0</v>
      </c>
      <c r="B389" s="2" t="b">
        <f>IF(ISBLANK(InfoGard!E389),FALSE,RIGHT(TRIM(InfoGard!E389),15))</f>
        <v>0</v>
      </c>
      <c r="C389" s="2" t="b">
        <f>IF(ISBLANK(InfoGard!F389),FALSE,LOOKUP(InfoGard!F389,Lookup!$A$6:$B$7))</f>
        <v>0</v>
      </c>
      <c r="D389" s="2" t="b">
        <f>IF(ISBLANK(InfoGard!G389),FALSE,InfoGard!G389)</f>
        <v>0</v>
      </c>
      <c r="E389" s="2" t="str">
        <f>IF(NOT(ISBLANK(InfoGard!D389)),IF(OR(ISBLANK(InfoGard!E389),InfoGard!E389="N/A"),"no acb code",CONCATENATE(Lookup!F$1,A389,Lookup!G$1,B389,Lookup!H$1,H$1,Lookup!I$1)),"no attestation")</f>
        <v>no attestation</v>
      </c>
      <c r="F389" s="2" t="str">
        <f>IF(AND(NOT(ISBLANK(InfoGard!G389)),InfoGard!G389&lt;&gt;"N/A"),IF(C389="All",CONCATENATE(Lookup!F$2,D389,Lookup!G$2,B389,Lookup!H$2,H$1,Lookup!I$2),CONCATENATE(Lookup!F$3,D389,Lookup!G$3,B389,Lookup!H$3)),"no url")</f>
        <v>no url</v>
      </c>
    </row>
    <row r="390" spans="1:6" hidden="1" x14ac:dyDescent="0.25">
      <c r="A390" s="2" t="b">
        <f>IF(ISBLANK(InfoGard!D390),FALSE,LOOKUP(InfoGard!D390,Lookup!$A$2:$B$4))</f>
        <v>0</v>
      </c>
      <c r="B390" s="2" t="b">
        <f>IF(ISBLANK(InfoGard!E390),FALSE,RIGHT(TRIM(InfoGard!E390),15))</f>
        <v>0</v>
      </c>
      <c r="C390" s="2" t="b">
        <f>IF(ISBLANK(InfoGard!F390),FALSE,LOOKUP(InfoGard!F390,Lookup!$A$6:$B$7))</f>
        <v>0</v>
      </c>
      <c r="D390" s="2" t="b">
        <f>IF(ISBLANK(InfoGard!G390),FALSE,InfoGard!G390)</f>
        <v>0</v>
      </c>
      <c r="E390" s="2" t="str">
        <f>IF(NOT(ISBLANK(InfoGard!D390)),IF(OR(ISBLANK(InfoGard!E390),InfoGard!E390="N/A"),"no acb code",CONCATENATE(Lookup!F$1,A390,Lookup!G$1,B390,Lookup!H$1,H$1,Lookup!I$1)),"no attestation")</f>
        <v>no attestation</v>
      </c>
      <c r="F390" s="2" t="str">
        <f>IF(AND(NOT(ISBLANK(InfoGard!G390)),InfoGard!G390&lt;&gt;"N/A"),IF(C390="All",CONCATENATE(Lookup!F$2,D390,Lookup!G$2,B390,Lookup!H$2,H$1,Lookup!I$2),CONCATENATE(Lookup!F$3,D390,Lookup!G$3,B390,Lookup!H$3)),"no url")</f>
        <v>no url</v>
      </c>
    </row>
    <row r="391" spans="1:6" hidden="1" x14ac:dyDescent="0.25">
      <c r="A391" s="2" t="b">
        <f>IF(ISBLANK(InfoGard!D391),FALSE,LOOKUP(InfoGard!D391,Lookup!$A$2:$B$4))</f>
        <v>0</v>
      </c>
      <c r="B391" s="2" t="b">
        <f>IF(ISBLANK(InfoGard!E391),FALSE,RIGHT(TRIM(InfoGard!E391),15))</f>
        <v>0</v>
      </c>
      <c r="C391" s="2" t="b">
        <f>IF(ISBLANK(InfoGard!F391),FALSE,LOOKUP(InfoGard!F391,Lookup!$A$6:$B$7))</f>
        <v>0</v>
      </c>
      <c r="D391" s="2" t="b">
        <f>IF(ISBLANK(InfoGard!G391),FALSE,InfoGard!G391)</f>
        <v>0</v>
      </c>
      <c r="E391" s="2" t="str">
        <f>IF(NOT(ISBLANK(InfoGard!D391)),IF(OR(ISBLANK(InfoGard!E391),InfoGard!E391="N/A"),"no acb code",CONCATENATE(Lookup!F$1,A391,Lookup!G$1,B391,Lookup!H$1,H$1,Lookup!I$1)),"no attestation")</f>
        <v>no attestation</v>
      </c>
      <c r="F391" s="2" t="str">
        <f>IF(AND(NOT(ISBLANK(InfoGard!G391)),InfoGard!G391&lt;&gt;"N/A"),IF(C391="All",CONCATENATE(Lookup!F$2,D391,Lookup!G$2,B391,Lookup!H$2,H$1,Lookup!I$2),CONCATENATE(Lookup!F$3,D391,Lookup!G$3,B391,Lookup!H$3)),"no url")</f>
        <v>no url</v>
      </c>
    </row>
    <row r="392" spans="1:6" hidden="1" x14ac:dyDescent="0.25">
      <c r="A392" s="2" t="b">
        <f>IF(ISBLANK(InfoGard!D392),FALSE,LOOKUP(InfoGard!D392,Lookup!$A$2:$B$4))</f>
        <v>0</v>
      </c>
      <c r="B392" s="2" t="b">
        <f>IF(ISBLANK(InfoGard!E392),FALSE,RIGHT(TRIM(InfoGard!E392),15))</f>
        <v>0</v>
      </c>
      <c r="C392" s="2" t="b">
        <f>IF(ISBLANK(InfoGard!F392),FALSE,LOOKUP(InfoGard!F392,Lookup!$A$6:$B$7))</f>
        <v>0</v>
      </c>
      <c r="D392" s="2" t="b">
        <f>IF(ISBLANK(InfoGard!G392),FALSE,InfoGard!G392)</f>
        <v>0</v>
      </c>
      <c r="E392" s="2" t="str">
        <f>IF(NOT(ISBLANK(InfoGard!D392)),IF(OR(ISBLANK(InfoGard!E392),InfoGard!E392="N/A"),"no acb code",CONCATENATE(Lookup!F$1,A392,Lookup!G$1,B392,Lookup!H$1,H$1,Lookup!I$1)),"no attestation")</f>
        <v>no attestation</v>
      </c>
      <c r="F392" s="2" t="str">
        <f>IF(AND(NOT(ISBLANK(InfoGard!G392)),InfoGard!G392&lt;&gt;"N/A"),IF(C392="All",CONCATENATE(Lookup!F$2,D392,Lookup!G$2,B392,Lookup!H$2,H$1,Lookup!I$2),CONCATENATE(Lookup!F$3,D392,Lookup!G$3,B392,Lookup!H$3)),"no url")</f>
        <v>no url</v>
      </c>
    </row>
    <row r="393" spans="1:6" hidden="1" x14ac:dyDescent="0.25">
      <c r="A393" s="2" t="b">
        <f>IF(ISBLANK(InfoGard!D393),FALSE,LOOKUP(InfoGard!D393,Lookup!$A$2:$B$4))</f>
        <v>0</v>
      </c>
      <c r="B393" s="2" t="b">
        <f>IF(ISBLANK(InfoGard!E393),FALSE,RIGHT(TRIM(InfoGard!E393),15))</f>
        <v>0</v>
      </c>
      <c r="C393" s="2" t="b">
        <f>IF(ISBLANK(InfoGard!F393),FALSE,LOOKUP(InfoGard!F393,Lookup!$A$6:$B$7))</f>
        <v>0</v>
      </c>
      <c r="D393" s="2" t="b">
        <f>IF(ISBLANK(InfoGard!G393),FALSE,InfoGard!G393)</f>
        <v>0</v>
      </c>
      <c r="E393" s="2" t="str">
        <f>IF(NOT(ISBLANK(InfoGard!D393)),IF(OR(ISBLANK(InfoGard!E393),InfoGard!E393="N/A"),"no acb code",CONCATENATE(Lookup!F$1,A393,Lookup!G$1,B393,Lookup!H$1,H$1,Lookup!I$1)),"no attestation")</f>
        <v>no attestation</v>
      </c>
      <c r="F393" s="2" t="str">
        <f>IF(AND(NOT(ISBLANK(InfoGard!G393)),InfoGard!G393&lt;&gt;"N/A"),IF(C393="All",CONCATENATE(Lookup!F$2,D393,Lookup!G$2,B393,Lookup!H$2,H$1,Lookup!I$2),CONCATENATE(Lookup!F$3,D393,Lookup!G$3,B393,Lookup!H$3)),"no url")</f>
        <v>no url</v>
      </c>
    </row>
    <row r="394" spans="1:6" hidden="1" x14ac:dyDescent="0.25">
      <c r="A394" s="2" t="b">
        <f>IF(ISBLANK(InfoGard!D394),FALSE,LOOKUP(InfoGard!D394,Lookup!$A$2:$B$4))</f>
        <v>0</v>
      </c>
      <c r="B394" s="2" t="b">
        <f>IF(ISBLANK(InfoGard!E394),FALSE,RIGHT(TRIM(InfoGard!E394),15))</f>
        <v>0</v>
      </c>
      <c r="C394" s="2" t="b">
        <f>IF(ISBLANK(InfoGard!F394),FALSE,LOOKUP(InfoGard!F394,Lookup!$A$6:$B$7))</f>
        <v>0</v>
      </c>
      <c r="D394" s="2" t="b">
        <f>IF(ISBLANK(InfoGard!G394),FALSE,InfoGard!G394)</f>
        <v>0</v>
      </c>
      <c r="E394" s="2" t="str">
        <f>IF(NOT(ISBLANK(InfoGard!D394)),IF(OR(ISBLANK(InfoGard!E394),InfoGard!E394="N/A"),"no acb code",CONCATENATE(Lookup!F$1,A394,Lookup!G$1,B394,Lookup!H$1,H$1,Lookup!I$1)),"no attestation")</f>
        <v>no attestation</v>
      </c>
      <c r="F394" s="2" t="str">
        <f>IF(AND(NOT(ISBLANK(InfoGard!G394)),InfoGard!G394&lt;&gt;"N/A"),IF(C394="All",CONCATENATE(Lookup!F$2,D394,Lookup!G$2,B394,Lookup!H$2,H$1,Lookup!I$2),CONCATENATE(Lookup!F$3,D394,Lookup!G$3,B394,Lookup!H$3)),"no url")</f>
        <v>no url</v>
      </c>
    </row>
    <row r="395" spans="1:6" hidden="1" x14ac:dyDescent="0.25">
      <c r="A395" s="2" t="b">
        <f>IF(ISBLANK(InfoGard!D395),FALSE,LOOKUP(InfoGard!D395,Lookup!$A$2:$B$4))</f>
        <v>0</v>
      </c>
      <c r="B395" s="2" t="b">
        <f>IF(ISBLANK(InfoGard!E395),FALSE,RIGHT(TRIM(InfoGard!E395),15))</f>
        <v>0</v>
      </c>
      <c r="C395" s="2" t="b">
        <f>IF(ISBLANK(InfoGard!F395),FALSE,LOOKUP(InfoGard!F395,Lookup!$A$6:$B$7))</f>
        <v>0</v>
      </c>
      <c r="D395" s="2" t="b">
        <f>IF(ISBLANK(InfoGard!G395),FALSE,InfoGard!G395)</f>
        <v>0</v>
      </c>
      <c r="E395" s="2" t="str">
        <f>IF(NOT(ISBLANK(InfoGard!D395)),IF(OR(ISBLANK(InfoGard!E395),InfoGard!E395="N/A"),"no acb code",CONCATENATE(Lookup!F$1,A395,Lookup!G$1,B395,Lookup!H$1,H$1,Lookup!I$1)),"no attestation")</f>
        <v>no attestation</v>
      </c>
      <c r="F395" s="2" t="str">
        <f>IF(AND(NOT(ISBLANK(InfoGard!G395)),InfoGard!G395&lt;&gt;"N/A"),IF(C395="All",CONCATENATE(Lookup!F$2,D395,Lookup!G$2,B395,Lookup!H$2,H$1,Lookup!I$2),CONCATENATE(Lookup!F$3,D395,Lookup!G$3,B395,Lookup!H$3)),"no url")</f>
        <v>no url</v>
      </c>
    </row>
    <row r="396" spans="1:6" hidden="1" x14ac:dyDescent="0.25">
      <c r="A396" s="2" t="b">
        <f>IF(ISBLANK(InfoGard!D396),FALSE,LOOKUP(InfoGard!D396,Lookup!$A$2:$B$4))</f>
        <v>0</v>
      </c>
      <c r="B396" s="2" t="b">
        <f>IF(ISBLANK(InfoGard!E396),FALSE,RIGHT(TRIM(InfoGard!E396),15))</f>
        <v>0</v>
      </c>
      <c r="C396" s="2" t="b">
        <f>IF(ISBLANK(InfoGard!F396),FALSE,LOOKUP(InfoGard!F396,Lookup!$A$6:$B$7))</f>
        <v>0</v>
      </c>
      <c r="D396" s="2" t="b">
        <f>IF(ISBLANK(InfoGard!G396),FALSE,InfoGard!G396)</f>
        <v>0</v>
      </c>
      <c r="E396" s="2" t="str">
        <f>IF(NOT(ISBLANK(InfoGard!D396)),IF(OR(ISBLANK(InfoGard!E396),InfoGard!E396="N/A"),"no acb code",CONCATENATE(Lookup!F$1,A396,Lookup!G$1,B396,Lookup!H$1,H$1,Lookup!I$1)),"no attestation")</f>
        <v>no attestation</v>
      </c>
      <c r="F396" s="2" t="str">
        <f>IF(AND(NOT(ISBLANK(InfoGard!G396)),InfoGard!G396&lt;&gt;"N/A"),IF(C396="All",CONCATENATE(Lookup!F$2,D396,Lookup!G$2,B396,Lookup!H$2,H$1,Lookup!I$2),CONCATENATE(Lookup!F$3,D396,Lookup!G$3,B396,Lookup!H$3)),"no url")</f>
        <v>no url</v>
      </c>
    </row>
    <row r="397" spans="1:6" hidden="1" x14ac:dyDescent="0.25">
      <c r="A397" s="2" t="b">
        <f>IF(ISBLANK(InfoGard!D397),FALSE,LOOKUP(InfoGard!D397,Lookup!$A$2:$B$4))</f>
        <v>0</v>
      </c>
      <c r="B397" s="2" t="b">
        <f>IF(ISBLANK(InfoGard!E397),FALSE,RIGHT(TRIM(InfoGard!E397),15))</f>
        <v>0</v>
      </c>
      <c r="C397" s="2" t="b">
        <f>IF(ISBLANK(InfoGard!F397),FALSE,LOOKUP(InfoGard!F397,Lookup!$A$6:$B$7))</f>
        <v>0</v>
      </c>
      <c r="D397" s="2" t="b">
        <f>IF(ISBLANK(InfoGard!G397),FALSE,InfoGard!G397)</f>
        <v>0</v>
      </c>
      <c r="E397" s="2" t="str">
        <f>IF(NOT(ISBLANK(InfoGard!D397)),IF(OR(ISBLANK(InfoGard!E397),InfoGard!E397="N/A"),"no acb code",CONCATENATE(Lookup!F$1,A397,Lookup!G$1,B397,Lookup!H$1,H$1,Lookup!I$1)),"no attestation")</f>
        <v>no attestation</v>
      </c>
      <c r="F397" s="2" t="str">
        <f>IF(AND(NOT(ISBLANK(InfoGard!G397)),InfoGard!G397&lt;&gt;"N/A"),IF(C397="All",CONCATENATE(Lookup!F$2,D397,Lookup!G$2,B397,Lookup!H$2,H$1,Lookup!I$2),CONCATENATE(Lookup!F$3,D397,Lookup!G$3,B397,Lookup!H$3)),"no url")</f>
        <v>no url</v>
      </c>
    </row>
    <row r="398" spans="1:6" hidden="1" x14ac:dyDescent="0.25">
      <c r="A398" s="2" t="b">
        <f>IF(ISBLANK(InfoGard!D398),FALSE,LOOKUP(InfoGard!D398,Lookup!$A$2:$B$4))</f>
        <v>0</v>
      </c>
      <c r="B398" s="2" t="b">
        <f>IF(ISBLANK(InfoGard!E398),FALSE,RIGHT(TRIM(InfoGard!E398),15))</f>
        <v>0</v>
      </c>
      <c r="C398" s="2" t="b">
        <f>IF(ISBLANK(InfoGard!F398),FALSE,LOOKUP(InfoGard!F398,Lookup!$A$6:$B$7))</f>
        <v>0</v>
      </c>
      <c r="D398" s="2" t="b">
        <f>IF(ISBLANK(InfoGard!G398),FALSE,InfoGard!G398)</f>
        <v>0</v>
      </c>
      <c r="E398" s="2" t="str">
        <f>IF(NOT(ISBLANK(InfoGard!D398)),IF(OR(ISBLANK(InfoGard!E398),InfoGard!E398="N/A"),"no acb code",CONCATENATE(Lookup!F$1,A398,Lookup!G$1,B398,Lookup!H$1,H$1,Lookup!I$1)),"no attestation")</f>
        <v>no attestation</v>
      </c>
      <c r="F398" s="2" t="str">
        <f>IF(AND(NOT(ISBLANK(InfoGard!G398)),InfoGard!G398&lt;&gt;"N/A"),IF(C398="All",CONCATENATE(Lookup!F$2,D398,Lookup!G$2,B398,Lookup!H$2,H$1,Lookup!I$2),CONCATENATE(Lookup!F$3,D398,Lookup!G$3,B398,Lookup!H$3)),"no url")</f>
        <v>no url</v>
      </c>
    </row>
    <row r="399" spans="1:6" hidden="1" x14ac:dyDescent="0.25">
      <c r="A399" s="2" t="b">
        <f>IF(ISBLANK(InfoGard!D399),FALSE,LOOKUP(InfoGard!D399,Lookup!$A$2:$B$4))</f>
        <v>0</v>
      </c>
      <c r="B399" s="2" t="b">
        <f>IF(ISBLANK(InfoGard!E399),FALSE,RIGHT(TRIM(InfoGard!E399),15))</f>
        <v>0</v>
      </c>
      <c r="C399" s="2" t="b">
        <f>IF(ISBLANK(InfoGard!F399),FALSE,LOOKUP(InfoGard!F399,Lookup!$A$6:$B$7))</f>
        <v>0</v>
      </c>
      <c r="D399" s="2" t="b">
        <f>IF(ISBLANK(InfoGard!G399),FALSE,InfoGard!G399)</f>
        <v>0</v>
      </c>
      <c r="E399" s="2" t="str">
        <f>IF(NOT(ISBLANK(InfoGard!D399)),IF(OR(ISBLANK(InfoGard!E399),InfoGard!E399="N/A"),"no acb code",CONCATENATE(Lookup!F$1,A399,Lookup!G$1,B399,Lookup!H$1,H$1,Lookup!I$1)),"no attestation")</f>
        <v>no attestation</v>
      </c>
      <c r="F399" s="2" t="str">
        <f>IF(AND(NOT(ISBLANK(InfoGard!G399)),InfoGard!G399&lt;&gt;"N/A"),IF(C399="All",CONCATENATE(Lookup!F$2,D399,Lookup!G$2,B399,Lookup!H$2,H$1,Lookup!I$2),CONCATENATE(Lookup!F$3,D399,Lookup!G$3,B399,Lookup!H$3)),"no url")</f>
        <v>no url</v>
      </c>
    </row>
    <row r="400" spans="1:6" hidden="1" x14ac:dyDescent="0.25">
      <c r="A400" s="2" t="b">
        <f>IF(ISBLANK(InfoGard!D400),FALSE,LOOKUP(InfoGard!D400,Lookup!$A$2:$B$4))</f>
        <v>0</v>
      </c>
      <c r="B400" s="2" t="b">
        <f>IF(ISBLANK(InfoGard!E400),FALSE,RIGHT(TRIM(InfoGard!E400),15))</f>
        <v>0</v>
      </c>
      <c r="C400" s="2" t="b">
        <f>IF(ISBLANK(InfoGard!F400),FALSE,LOOKUP(InfoGard!F400,Lookup!$A$6:$B$7))</f>
        <v>0</v>
      </c>
      <c r="D400" s="2" t="b">
        <f>IF(ISBLANK(InfoGard!G400),FALSE,InfoGard!G400)</f>
        <v>0</v>
      </c>
      <c r="E400" s="2" t="str">
        <f>IF(NOT(ISBLANK(InfoGard!D400)),IF(OR(ISBLANK(InfoGard!E400),InfoGard!E400="N/A"),"no acb code",CONCATENATE(Lookup!F$1,A400,Lookup!G$1,B400,Lookup!H$1,H$1,Lookup!I$1)),"no attestation")</f>
        <v>no attestation</v>
      </c>
      <c r="F400" s="2" t="str">
        <f>IF(AND(NOT(ISBLANK(InfoGard!G400)),InfoGard!G400&lt;&gt;"N/A"),IF(C400="All",CONCATENATE(Lookup!F$2,D400,Lookup!G$2,B400,Lookup!H$2,H$1,Lookup!I$2),CONCATENATE(Lookup!F$3,D400,Lookup!G$3,B400,Lookup!H$3)),"no url")</f>
        <v>no url</v>
      </c>
    </row>
    <row r="401" spans="1:6" hidden="1" x14ac:dyDescent="0.25">
      <c r="A401" s="2" t="b">
        <f>IF(ISBLANK(InfoGard!D401),FALSE,LOOKUP(InfoGard!D401,Lookup!$A$2:$B$4))</f>
        <v>0</v>
      </c>
      <c r="B401" s="2" t="b">
        <f>IF(ISBLANK(InfoGard!E401),FALSE,RIGHT(TRIM(InfoGard!E401),15))</f>
        <v>0</v>
      </c>
      <c r="C401" s="2" t="b">
        <f>IF(ISBLANK(InfoGard!F401),FALSE,LOOKUP(InfoGard!F401,Lookup!$A$6:$B$7))</f>
        <v>0</v>
      </c>
      <c r="D401" s="2" t="b">
        <f>IF(ISBLANK(InfoGard!G401),FALSE,InfoGard!G401)</f>
        <v>0</v>
      </c>
      <c r="E401" s="2" t="str">
        <f>IF(NOT(ISBLANK(InfoGard!D401)),IF(OR(ISBLANK(InfoGard!E401),InfoGard!E401="N/A"),"no acb code",CONCATENATE(Lookup!F$1,A401,Lookup!G$1,B401,Lookup!H$1,H$1,Lookup!I$1)),"no attestation")</f>
        <v>no attestation</v>
      </c>
      <c r="F401" s="2" t="str">
        <f>IF(AND(NOT(ISBLANK(InfoGard!G401)),InfoGard!G401&lt;&gt;"N/A"),IF(C401="All",CONCATENATE(Lookup!F$2,D401,Lookup!G$2,B401,Lookup!H$2,H$1,Lookup!I$2),CONCATENATE(Lookup!F$3,D401,Lookup!G$3,B401,Lookup!H$3)),"no url")</f>
        <v>no url</v>
      </c>
    </row>
    <row r="402" spans="1:6" hidden="1" x14ac:dyDescent="0.25">
      <c r="A402" s="2" t="b">
        <f>IF(ISBLANK(InfoGard!D402),FALSE,LOOKUP(InfoGard!D402,Lookup!$A$2:$B$4))</f>
        <v>0</v>
      </c>
      <c r="B402" s="2" t="b">
        <f>IF(ISBLANK(InfoGard!E402),FALSE,RIGHT(TRIM(InfoGard!E402),15))</f>
        <v>0</v>
      </c>
      <c r="C402" s="2" t="b">
        <f>IF(ISBLANK(InfoGard!F402),FALSE,LOOKUP(InfoGard!F402,Lookup!$A$6:$B$7))</f>
        <v>0</v>
      </c>
      <c r="D402" s="2" t="b">
        <f>IF(ISBLANK(InfoGard!G402),FALSE,InfoGard!G402)</f>
        <v>0</v>
      </c>
      <c r="E402" s="2" t="str">
        <f>IF(NOT(ISBLANK(InfoGard!D402)),IF(OR(ISBLANK(InfoGard!E402),InfoGard!E402="N/A"),"no acb code",CONCATENATE(Lookup!F$1,A402,Lookup!G$1,B402,Lookup!H$1,H$1,Lookup!I$1)),"no attestation")</f>
        <v>no attestation</v>
      </c>
      <c r="F402" s="2" t="str">
        <f>IF(AND(NOT(ISBLANK(InfoGard!G402)),InfoGard!G402&lt;&gt;"N/A"),IF(C402="All",CONCATENATE(Lookup!F$2,D402,Lookup!G$2,B402,Lookup!H$2,H$1,Lookup!I$2),CONCATENATE(Lookup!F$3,D402,Lookup!G$3,B402,Lookup!H$3)),"no url")</f>
        <v>no url</v>
      </c>
    </row>
    <row r="403" spans="1:6" hidden="1" x14ac:dyDescent="0.25">
      <c r="A403" s="2" t="b">
        <f>IF(ISBLANK(InfoGard!D403),FALSE,LOOKUP(InfoGard!D403,Lookup!$A$2:$B$4))</f>
        <v>0</v>
      </c>
      <c r="B403" s="2" t="b">
        <f>IF(ISBLANK(InfoGard!E403),FALSE,RIGHT(TRIM(InfoGard!E403),15))</f>
        <v>0</v>
      </c>
      <c r="C403" s="2" t="b">
        <f>IF(ISBLANK(InfoGard!F403),FALSE,LOOKUP(InfoGard!F403,Lookup!$A$6:$B$7))</f>
        <v>0</v>
      </c>
      <c r="D403" s="2" t="b">
        <f>IF(ISBLANK(InfoGard!G403),FALSE,InfoGard!G403)</f>
        <v>0</v>
      </c>
      <c r="E403" s="2" t="str">
        <f>IF(NOT(ISBLANK(InfoGard!D403)),IF(OR(ISBLANK(InfoGard!E403),InfoGard!E403="N/A"),"no acb code",CONCATENATE(Lookup!F$1,A403,Lookup!G$1,B403,Lookup!H$1,H$1,Lookup!I$1)),"no attestation")</f>
        <v>no attestation</v>
      </c>
      <c r="F403" s="2" t="str">
        <f>IF(AND(NOT(ISBLANK(InfoGard!G403)),InfoGard!G403&lt;&gt;"N/A"),IF(C403="All",CONCATENATE(Lookup!F$2,D403,Lookup!G$2,B403,Lookup!H$2,H$1,Lookup!I$2),CONCATENATE(Lookup!F$3,D403,Lookup!G$3,B403,Lookup!H$3)),"no url")</f>
        <v>no url</v>
      </c>
    </row>
    <row r="404" spans="1:6" hidden="1" x14ac:dyDescent="0.25">
      <c r="A404" s="2" t="b">
        <f>IF(ISBLANK(InfoGard!D404),FALSE,LOOKUP(InfoGard!D404,Lookup!$A$2:$B$4))</f>
        <v>0</v>
      </c>
      <c r="B404" s="2" t="b">
        <f>IF(ISBLANK(InfoGard!E404),FALSE,RIGHT(TRIM(InfoGard!E404),15))</f>
        <v>0</v>
      </c>
      <c r="C404" s="2" t="b">
        <f>IF(ISBLANK(InfoGard!F404),FALSE,LOOKUP(InfoGard!F404,Lookup!$A$6:$B$7))</f>
        <v>0</v>
      </c>
      <c r="D404" s="2" t="b">
        <f>IF(ISBLANK(InfoGard!G404),FALSE,InfoGard!G404)</f>
        <v>0</v>
      </c>
      <c r="E404" s="2" t="str">
        <f>IF(NOT(ISBLANK(InfoGard!D404)),IF(OR(ISBLANK(InfoGard!E404),InfoGard!E404="N/A"),"no acb code",CONCATENATE(Lookup!F$1,A404,Lookup!G$1,B404,Lookup!H$1,H$1,Lookup!I$1)),"no attestation")</f>
        <v>no attestation</v>
      </c>
      <c r="F404" s="2" t="str">
        <f>IF(AND(NOT(ISBLANK(InfoGard!G404)),InfoGard!G404&lt;&gt;"N/A"),IF(C404="All",CONCATENATE(Lookup!F$2,D404,Lookup!G$2,B404,Lookup!H$2,H$1,Lookup!I$2),CONCATENATE(Lookup!F$3,D404,Lookup!G$3,B404,Lookup!H$3)),"no url")</f>
        <v>no url</v>
      </c>
    </row>
    <row r="405" spans="1:6" hidden="1" x14ac:dyDescent="0.25">
      <c r="A405" s="2" t="b">
        <f>IF(ISBLANK(InfoGard!D405),FALSE,LOOKUP(InfoGard!D405,Lookup!$A$2:$B$4))</f>
        <v>0</v>
      </c>
      <c r="B405" s="2" t="b">
        <f>IF(ISBLANK(InfoGard!E405),FALSE,RIGHT(TRIM(InfoGard!E405),15))</f>
        <v>0</v>
      </c>
      <c r="C405" s="2" t="b">
        <f>IF(ISBLANK(InfoGard!F405),FALSE,LOOKUP(InfoGard!F405,Lookup!$A$6:$B$7))</f>
        <v>0</v>
      </c>
      <c r="D405" s="2" t="b">
        <f>IF(ISBLANK(InfoGard!G405),FALSE,InfoGard!G405)</f>
        <v>0</v>
      </c>
      <c r="E405" s="2" t="str">
        <f>IF(NOT(ISBLANK(InfoGard!D405)),IF(OR(ISBLANK(InfoGard!E405),InfoGard!E405="N/A"),"no acb code",CONCATENATE(Lookup!F$1,A405,Lookup!G$1,B405,Lookup!H$1,H$1,Lookup!I$1)),"no attestation")</f>
        <v>no attestation</v>
      </c>
      <c r="F405" s="2" t="str">
        <f>IF(AND(NOT(ISBLANK(InfoGard!G405)),InfoGard!G405&lt;&gt;"N/A"),IF(C405="All",CONCATENATE(Lookup!F$2,D405,Lookup!G$2,B405,Lookup!H$2,H$1,Lookup!I$2),CONCATENATE(Lookup!F$3,D405,Lookup!G$3,B405,Lookup!H$3)),"no url")</f>
        <v>no url</v>
      </c>
    </row>
    <row r="406" spans="1:6" hidden="1" x14ac:dyDescent="0.25">
      <c r="A406" s="2" t="b">
        <f>IF(ISBLANK(InfoGard!D406),FALSE,LOOKUP(InfoGard!D406,Lookup!$A$2:$B$4))</f>
        <v>0</v>
      </c>
      <c r="B406" s="2" t="b">
        <f>IF(ISBLANK(InfoGard!E406),FALSE,RIGHT(TRIM(InfoGard!E406),15))</f>
        <v>0</v>
      </c>
      <c r="C406" s="2" t="b">
        <f>IF(ISBLANK(InfoGard!F406),FALSE,LOOKUP(InfoGard!F406,Lookup!$A$6:$B$7))</f>
        <v>0</v>
      </c>
      <c r="D406" s="2" t="b">
        <f>IF(ISBLANK(InfoGard!G406),FALSE,InfoGard!G406)</f>
        <v>0</v>
      </c>
      <c r="E406" s="2" t="str">
        <f>IF(NOT(ISBLANK(InfoGard!D406)),IF(OR(ISBLANK(InfoGard!E406),InfoGard!E406="N/A"),"no acb code",CONCATENATE(Lookup!F$1,A406,Lookup!G$1,B406,Lookup!H$1,H$1,Lookup!I$1)),"no attestation")</f>
        <v>no attestation</v>
      </c>
      <c r="F406" s="2" t="str">
        <f>IF(AND(NOT(ISBLANK(InfoGard!G406)),InfoGard!G406&lt;&gt;"N/A"),IF(C406="All",CONCATENATE(Lookup!F$2,D406,Lookup!G$2,B406,Lookup!H$2,H$1,Lookup!I$2),CONCATENATE(Lookup!F$3,D406,Lookup!G$3,B406,Lookup!H$3)),"no url")</f>
        <v>no url</v>
      </c>
    </row>
    <row r="407" spans="1:6" hidden="1" x14ac:dyDescent="0.25">
      <c r="A407" s="2" t="b">
        <f>IF(ISBLANK(InfoGard!D407),FALSE,LOOKUP(InfoGard!D407,Lookup!$A$2:$B$4))</f>
        <v>0</v>
      </c>
      <c r="B407" s="2" t="b">
        <f>IF(ISBLANK(InfoGard!E407),FALSE,RIGHT(TRIM(InfoGard!E407),15))</f>
        <v>0</v>
      </c>
      <c r="C407" s="2" t="b">
        <f>IF(ISBLANK(InfoGard!F407),FALSE,LOOKUP(InfoGard!F407,Lookup!$A$6:$B$7))</f>
        <v>0</v>
      </c>
      <c r="D407" s="2" t="b">
        <f>IF(ISBLANK(InfoGard!G407),FALSE,InfoGard!G407)</f>
        <v>0</v>
      </c>
      <c r="E407" s="2" t="str">
        <f>IF(NOT(ISBLANK(InfoGard!D407)),IF(OR(ISBLANK(InfoGard!E407),InfoGard!E407="N/A"),"no acb code",CONCATENATE(Lookup!F$1,A407,Lookup!G$1,B407,Lookup!H$1,H$1,Lookup!I$1)),"no attestation")</f>
        <v>no attestation</v>
      </c>
      <c r="F407" s="2" t="str">
        <f>IF(AND(NOT(ISBLANK(InfoGard!G407)),InfoGard!G407&lt;&gt;"N/A"),IF(C407="All",CONCATENATE(Lookup!F$2,D407,Lookup!G$2,B407,Lookup!H$2,H$1,Lookup!I$2),CONCATENATE(Lookup!F$3,D407,Lookup!G$3,B407,Lookup!H$3)),"no url")</f>
        <v>no url</v>
      </c>
    </row>
    <row r="408" spans="1:6" hidden="1" x14ac:dyDescent="0.25">
      <c r="A408" s="2" t="b">
        <f>IF(ISBLANK(InfoGard!D408),FALSE,LOOKUP(InfoGard!D408,Lookup!$A$2:$B$4))</f>
        <v>0</v>
      </c>
      <c r="B408" s="2" t="b">
        <f>IF(ISBLANK(InfoGard!E408),FALSE,RIGHT(TRIM(InfoGard!E408),15))</f>
        <v>0</v>
      </c>
      <c r="C408" s="2" t="b">
        <f>IF(ISBLANK(InfoGard!F408),FALSE,LOOKUP(InfoGard!F408,Lookup!$A$6:$B$7))</f>
        <v>0</v>
      </c>
      <c r="D408" s="2" t="b">
        <f>IF(ISBLANK(InfoGard!G408),FALSE,InfoGard!G408)</f>
        <v>0</v>
      </c>
      <c r="E408" s="2" t="str">
        <f>IF(NOT(ISBLANK(InfoGard!D408)),IF(OR(ISBLANK(InfoGard!E408),InfoGard!E408="N/A"),"no acb code",CONCATENATE(Lookup!F$1,A408,Lookup!G$1,B408,Lookup!H$1,H$1,Lookup!I$1)),"no attestation")</f>
        <v>no attestation</v>
      </c>
      <c r="F408" s="2" t="str">
        <f>IF(AND(NOT(ISBLANK(InfoGard!G408)),InfoGard!G408&lt;&gt;"N/A"),IF(C408="All",CONCATENATE(Lookup!F$2,D408,Lookup!G$2,B408,Lookup!H$2,H$1,Lookup!I$2),CONCATENATE(Lookup!F$3,D408,Lookup!G$3,B408,Lookup!H$3)),"no url")</f>
        <v>no url</v>
      </c>
    </row>
    <row r="409" spans="1:6" x14ac:dyDescent="0.25">
      <c r="A409" s="2" t="str">
        <f>IF(ISBLANK(InfoGard!D409),FALSE,LOOKUP(InfoGard!D409,Lookup!$A$2:$B$4))</f>
        <v>Affirmative</v>
      </c>
      <c r="B409" s="2" t="str">
        <f>IF(ISBLANK(InfoGard!E409),FALSE,RIGHT(TRIM(InfoGard!E409),15))</f>
        <v>IG-2506-15-0012</v>
      </c>
      <c r="C409" s="2" t="str">
        <f>IF(ISBLANK(InfoGard!F409),FALSE,LOOKUP(InfoGard!F409,Lookup!$A$6:$B$7))</f>
        <v>All</v>
      </c>
      <c r="D409" s="2" t="str">
        <f>IF(ISBLANK(InfoGard!G409),FALSE,InfoGard!G409)</f>
        <v>https://www.emeraldemr.com/EmeraldLiteProduction/LoginManagement/Disclaimer.htm</v>
      </c>
      <c r="E409" s="2" t="str">
        <f>IF(NOT(ISBLANK(InfoGard!D409)),IF(OR(ISBLANK(InfoGard!E409),InfoGard!E409="N/A"),"no acb code",CONCATENATE(Lookup!F$1,A409,Lookup!G$1,B409,Lookup!H$1,H$1,Lookup!I$1)),"no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'IG-2506-15-0012' and cb."name" = 'InfoGard' and cp.product_version_id = pv.product_version_id and pv.product_id = p.product_id and p.vendor_id = vend.vendor_id;</v>
      </c>
      <c r="F409" s="2" t="str">
        <f>IF(AND(NOT(ISBLANK(InfoGard!G409)),InfoGard!G409&lt;&gt;"N/A"),IF(C409="All",CONCATENATE(Lookup!F$2,D409,Lookup!G$2,B409,Lookup!H$2,H$1,Lookup!I$2),CONCATENATE(Lookup!F$3,D409,Lookup!G$3,B409,Lookup!H$3)),"no url")</f>
        <v>update openchpl.certified_product as cp set transparency_attestation_url = 'https://www.emeraldemr.com/EmeraldLiteProduction/LoginManagement/Disclaimer.htm' from (select certified_product_id from (select vend.vendor_code from openchpl.certified_product as cp, openchpl.product_version as pv, openchpl.product as p, openchpl.vendor as vend where cp.acb_certification_id = 'IG-2506-15-0012'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10" spans="1:6" hidden="1" x14ac:dyDescent="0.25">
      <c r="A410" s="2" t="b">
        <f>IF(ISBLANK(InfoGard!D410),FALSE,LOOKUP(InfoGard!D410,Lookup!$A$2:$B$4))</f>
        <v>0</v>
      </c>
      <c r="B410" s="2" t="b">
        <f>IF(ISBLANK(InfoGard!E410),FALSE,RIGHT(TRIM(InfoGard!E410),15))</f>
        <v>0</v>
      </c>
      <c r="C410" s="2" t="b">
        <f>IF(ISBLANK(InfoGard!F410),FALSE,LOOKUP(InfoGard!F410,Lookup!$A$6:$B$7))</f>
        <v>0</v>
      </c>
      <c r="D410" s="2" t="b">
        <f>IF(ISBLANK(InfoGard!G410),FALSE,InfoGard!G410)</f>
        <v>0</v>
      </c>
      <c r="E410" s="2" t="str">
        <f>IF(NOT(ISBLANK(InfoGard!D410)),IF(OR(ISBLANK(InfoGard!E410),InfoGard!E410="N/A"),"no acb code",CONCATENATE(Lookup!F$1,A410,Lookup!G$1,B410,Lookup!H$1,H$1,Lookup!I$1)),"no attestation")</f>
        <v>no attestation</v>
      </c>
      <c r="F410" s="2" t="str">
        <f>IF(AND(NOT(ISBLANK(InfoGard!G410)),InfoGard!G410&lt;&gt;"N/A"),IF(C410="All",CONCATENATE(Lookup!F$2,D410,Lookup!G$2,B410,Lookup!H$2,H$1,Lookup!I$2),CONCATENATE(Lookup!F$3,D410,Lookup!G$3,B410,Lookup!H$3)),"no url")</f>
        <v>no url</v>
      </c>
    </row>
    <row r="411" spans="1:6" hidden="1" x14ac:dyDescent="0.25">
      <c r="A411" s="2" t="b">
        <f>IF(ISBLANK(InfoGard!D411),FALSE,LOOKUP(InfoGard!D411,Lookup!$A$2:$B$4))</f>
        <v>0</v>
      </c>
      <c r="B411" s="2" t="b">
        <f>IF(ISBLANK(InfoGard!E411),FALSE,RIGHT(TRIM(InfoGard!E411),15))</f>
        <v>0</v>
      </c>
      <c r="C411" s="2" t="b">
        <f>IF(ISBLANK(InfoGard!F411),FALSE,LOOKUP(InfoGard!F411,Lookup!$A$6:$B$7))</f>
        <v>0</v>
      </c>
      <c r="D411" s="2" t="b">
        <f>IF(ISBLANK(InfoGard!G411),FALSE,InfoGard!G411)</f>
        <v>0</v>
      </c>
      <c r="E411" s="2" t="str">
        <f>IF(NOT(ISBLANK(InfoGard!D411)),IF(OR(ISBLANK(InfoGard!E411),InfoGard!E411="N/A"),"no acb code",CONCATENATE(Lookup!F$1,A411,Lookup!G$1,B411,Lookup!H$1,H$1,Lookup!I$1)),"no attestation")</f>
        <v>no attestation</v>
      </c>
      <c r="F411" s="2" t="str">
        <f>IF(AND(NOT(ISBLANK(InfoGard!G411)),InfoGard!G411&lt;&gt;"N/A"),IF(C411="All",CONCATENATE(Lookup!F$2,D411,Lookup!G$2,B411,Lookup!H$2,H$1,Lookup!I$2),CONCATENATE(Lookup!F$3,D411,Lookup!G$3,B411,Lookup!H$3)),"no url")</f>
        <v>no url</v>
      </c>
    </row>
    <row r="412" spans="1:6" hidden="1" x14ac:dyDescent="0.25">
      <c r="A412" s="2" t="b">
        <f>IF(ISBLANK(InfoGard!D412),FALSE,LOOKUP(InfoGard!D412,Lookup!$A$2:$B$4))</f>
        <v>0</v>
      </c>
      <c r="B412" s="2" t="b">
        <f>IF(ISBLANK(InfoGard!E412),FALSE,RIGHT(TRIM(InfoGard!E412),15))</f>
        <v>0</v>
      </c>
      <c r="C412" s="2" t="b">
        <f>IF(ISBLANK(InfoGard!F412),FALSE,LOOKUP(InfoGard!F412,Lookup!$A$6:$B$7))</f>
        <v>0</v>
      </c>
      <c r="D412" s="2" t="b">
        <f>IF(ISBLANK(InfoGard!G412),FALSE,InfoGard!G412)</f>
        <v>0</v>
      </c>
      <c r="E412" s="2" t="str">
        <f>IF(NOT(ISBLANK(InfoGard!D412)),IF(OR(ISBLANK(InfoGard!E412),InfoGard!E412="N/A"),"no acb code",CONCATENATE(Lookup!F$1,A412,Lookup!G$1,B412,Lookup!H$1,H$1,Lookup!I$1)),"no attestation")</f>
        <v>no attestation</v>
      </c>
      <c r="F412" s="2" t="str">
        <f>IF(AND(NOT(ISBLANK(InfoGard!G412)),InfoGard!G412&lt;&gt;"N/A"),IF(C412="All",CONCATENATE(Lookup!F$2,D412,Lookup!G$2,B412,Lookup!H$2,H$1,Lookup!I$2),CONCATENATE(Lookup!F$3,D412,Lookup!G$3,B412,Lookup!H$3)),"no url")</f>
        <v>no url</v>
      </c>
    </row>
    <row r="413" spans="1:6" hidden="1" x14ac:dyDescent="0.25">
      <c r="A413" s="2" t="b">
        <f>IF(ISBLANK(InfoGard!D413),FALSE,LOOKUP(InfoGard!D413,Lookup!$A$2:$B$4))</f>
        <v>0</v>
      </c>
      <c r="B413" s="2" t="b">
        <f>IF(ISBLANK(InfoGard!E413),FALSE,RIGHT(TRIM(InfoGard!E413),15))</f>
        <v>0</v>
      </c>
      <c r="C413" s="2" t="b">
        <f>IF(ISBLANK(InfoGard!F413),FALSE,LOOKUP(InfoGard!F413,Lookup!$A$6:$B$7))</f>
        <v>0</v>
      </c>
      <c r="D413" s="2" t="b">
        <f>IF(ISBLANK(InfoGard!G413),FALSE,InfoGard!G413)</f>
        <v>0</v>
      </c>
      <c r="E413" s="2" t="str">
        <f>IF(NOT(ISBLANK(InfoGard!D413)),IF(OR(ISBLANK(InfoGard!E413),InfoGard!E413="N/A"),"no acb code",CONCATENATE(Lookup!F$1,A413,Lookup!G$1,B413,Lookup!H$1,H$1,Lookup!I$1)),"no attestation")</f>
        <v>no attestation</v>
      </c>
      <c r="F413" s="2" t="str">
        <f>IF(AND(NOT(ISBLANK(InfoGard!G413)),InfoGard!G413&lt;&gt;"N/A"),IF(C413="All",CONCATENATE(Lookup!F$2,D413,Lookup!G$2,B413,Lookup!H$2,H$1,Lookup!I$2),CONCATENATE(Lookup!F$3,D413,Lookup!G$3,B413,Lookup!H$3)),"no url")</f>
        <v>no url</v>
      </c>
    </row>
    <row r="414" spans="1:6" hidden="1" x14ac:dyDescent="0.25">
      <c r="A414" s="2" t="b">
        <f>IF(ISBLANK(InfoGard!D414),FALSE,LOOKUP(InfoGard!D414,Lookup!$A$2:$B$4))</f>
        <v>0</v>
      </c>
      <c r="B414" s="2" t="b">
        <f>IF(ISBLANK(InfoGard!E414),FALSE,RIGHT(TRIM(InfoGard!E414),15))</f>
        <v>0</v>
      </c>
      <c r="C414" s="2" t="b">
        <f>IF(ISBLANK(InfoGard!F414),FALSE,LOOKUP(InfoGard!F414,Lookup!$A$6:$B$7))</f>
        <v>0</v>
      </c>
      <c r="D414" s="2" t="b">
        <f>IF(ISBLANK(InfoGard!G414),FALSE,InfoGard!G414)</f>
        <v>0</v>
      </c>
      <c r="E414" s="2" t="str">
        <f>IF(NOT(ISBLANK(InfoGard!D414)),IF(OR(ISBLANK(InfoGard!E414),InfoGard!E414="N/A"),"no acb code",CONCATENATE(Lookup!F$1,A414,Lookup!G$1,B414,Lookup!H$1,H$1,Lookup!I$1)),"no attestation")</f>
        <v>no attestation</v>
      </c>
      <c r="F414" s="2" t="str">
        <f>IF(AND(NOT(ISBLANK(InfoGard!G414)),InfoGard!G414&lt;&gt;"N/A"),IF(C414="All",CONCATENATE(Lookup!F$2,D414,Lookup!G$2,B414,Lookup!H$2,H$1,Lookup!I$2),CONCATENATE(Lookup!F$3,D414,Lookup!G$3,B414,Lookup!H$3)),"no url")</f>
        <v>no url</v>
      </c>
    </row>
    <row r="415" spans="1:6" hidden="1" x14ac:dyDescent="0.25">
      <c r="A415" s="2" t="b">
        <f>IF(ISBLANK(InfoGard!D415),FALSE,LOOKUP(InfoGard!D415,Lookup!$A$2:$B$4))</f>
        <v>0</v>
      </c>
      <c r="B415" s="2" t="b">
        <f>IF(ISBLANK(InfoGard!E415),FALSE,RIGHT(TRIM(InfoGard!E415),15))</f>
        <v>0</v>
      </c>
      <c r="C415" s="2" t="b">
        <f>IF(ISBLANK(InfoGard!F415),FALSE,LOOKUP(InfoGard!F415,Lookup!$A$6:$B$7))</f>
        <v>0</v>
      </c>
      <c r="D415" s="2" t="b">
        <f>IF(ISBLANK(InfoGard!G415),FALSE,InfoGard!G415)</f>
        <v>0</v>
      </c>
      <c r="E415" s="2" t="str">
        <f>IF(NOT(ISBLANK(InfoGard!D415)),IF(OR(ISBLANK(InfoGard!E415),InfoGard!E415="N/A"),"no acb code",CONCATENATE(Lookup!F$1,A415,Lookup!G$1,B415,Lookup!H$1,H$1,Lookup!I$1)),"no attestation")</f>
        <v>no attestation</v>
      </c>
      <c r="F415" s="2" t="str">
        <f>IF(AND(NOT(ISBLANK(InfoGard!G415)),InfoGard!G415&lt;&gt;"N/A"),IF(C415="All",CONCATENATE(Lookup!F$2,D415,Lookup!G$2,B415,Lookup!H$2,H$1,Lookup!I$2),CONCATENATE(Lookup!F$3,D415,Lookup!G$3,B415,Lookup!H$3)),"no url")</f>
        <v>no url</v>
      </c>
    </row>
    <row r="416" spans="1:6" x14ac:dyDescent="0.25">
      <c r="A416" s="2" t="str">
        <f>IF(ISBLANK(InfoGard!D416),FALSE,LOOKUP(InfoGard!D416,Lookup!$A$2:$B$4))</f>
        <v>Affirmative</v>
      </c>
      <c r="B416" s="2" t="str">
        <f>IF(ISBLANK(InfoGard!E416),FALSE,RIGHT(TRIM(InfoGard!E416),15))</f>
        <v>IG-3400-15-0036</v>
      </c>
      <c r="C416" s="2" t="str">
        <f>IF(ISBLANK(InfoGard!F416),FALSE,LOOKUP(InfoGard!F416,Lookup!$A$6:$B$7))</f>
        <v>All</v>
      </c>
      <c r="D416" s="2" t="str">
        <f>IF(ISBLANK(InfoGard!G416),FALSE,InfoGard!G416)</f>
        <v>http://www.drcloudemr.com/meaningful-use-stage-2-transparency-and-disclosure-requirements/</v>
      </c>
      <c r="E416" s="2" t="str">
        <f>IF(NOT(ISBLANK(InfoGard!D416)),IF(OR(ISBLANK(InfoGard!E416),InfoGard!E416="N/A"),"no acb code",CONCATENATE(Lookup!F$1,A416,Lookup!G$1,B416,Lookup!H$1,H$1,Lookup!I$1)),"no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'IG-3400-15-0036' and cb."name" = 'InfoGard' and cp.product_version_id = pv.product_version_id and pv.product_id = p.product_id and p.vendor_id = vend.vendor_id;</v>
      </c>
      <c r="F416" s="2" t="str">
        <f>IF(AND(NOT(ISBLANK(InfoGard!G416)),InfoGard!G416&lt;&gt;"N/A"),IF(C416="All",CONCATENATE(Lookup!F$2,D416,Lookup!G$2,B416,Lookup!H$2,H$1,Lookup!I$2),CONCATENATE(Lookup!F$3,D416,Lookup!G$3,B416,Lookup!H$3)),"no url")</f>
        <v>update openchpl.certified_product as cp set transparency_attestation_url = 'http://www.drcloudemr.com/meaningful-use-stage-2-transparency-and-disclosure-requirements/' from (select certified_product_id from (select vend.vendor_code from openchpl.certified_product as cp, openchpl.product_version as pv, openchpl.product as p, openchpl.vendor as vend where cp.acb_certification_id = 'IG-3400-15-0036'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17" spans="1:6" hidden="1" x14ac:dyDescent="0.25">
      <c r="A417" s="2" t="b">
        <f>IF(ISBLANK(InfoGard!D417),FALSE,LOOKUP(InfoGard!D417,Lookup!$A$2:$B$4))</f>
        <v>0</v>
      </c>
      <c r="B417" s="2" t="b">
        <f>IF(ISBLANK(InfoGard!E417),FALSE,RIGHT(TRIM(InfoGard!E417),15))</f>
        <v>0</v>
      </c>
      <c r="C417" s="2" t="b">
        <f>IF(ISBLANK(InfoGard!F417),FALSE,LOOKUP(InfoGard!F417,Lookup!$A$6:$B$7))</f>
        <v>0</v>
      </c>
      <c r="D417" s="2" t="b">
        <f>IF(ISBLANK(InfoGard!G417),FALSE,InfoGard!G417)</f>
        <v>0</v>
      </c>
      <c r="E417" s="2" t="str">
        <f>IF(NOT(ISBLANK(InfoGard!D417)),IF(OR(ISBLANK(InfoGard!E417),InfoGard!E417="N/A"),"no acb code",CONCATENATE(Lookup!F$1,A417,Lookup!G$1,B417,Lookup!H$1,H$1,Lookup!I$1)),"no attestation")</f>
        <v>no attestation</v>
      </c>
      <c r="F417" s="2" t="str">
        <f>IF(AND(NOT(ISBLANK(InfoGard!G417)),InfoGard!G417&lt;&gt;"N/A"),IF(C417="All",CONCATENATE(Lookup!F$2,D417,Lookup!G$2,B417,Lookup!H$2,H$1,Lookup!I$2),CONCATENATE(Lookup!F$3,D417,Lookup!G$3,B417,Lookup!H$3)),"no url")</f>
        <v>no url</v>
      </c>
    </row>
    <row r="418" spans="1:6" hidden="1" x14ac:dyDescent="0.25">
      <c r="A418" s="2" t="b">
        <f>IF(ISBLANK(InfoGard!D418),FALSE,LOOKUP(InfoGard!D418,Lookup!$A$2:$B$4))</f>
        <v>0</v>
      </c>
      <c r="B418" s="2" t="b">
        <f>IF(ISBLANK(InfoGard!E418),FALSE,RIGHT(TRIM(InfoGard!E418),15))</f>
        <v>0</v>
      </c>
      <c r="C418" s="2" t="b">
        <f>IF(ISBLANK(InfoGard!F418),FALSE,LOOKUP(InfoGard!F418,Lookup!$A$6:$B$7))</f>
        <v>0</v>
      </c>
      <c r="D418" s="2" t="b">
        <f>IF(ISBLANK(InfoGard!G418),FALSE,InfoGard!G418)</f>
        <v>0</v>
      </c>
      <c r="E418" s="2" t="str">
        <f>IF(NOT(ISBLANK(InfoGard!D418)),IF(OR(ISBLANK(InfoGard!E418),InfoGard!E418="N/A"),"no acb code",CONCATENATE(Lookup!F$1,A418,Lookup!G$1,B418,Lookup!H$1,H$1,Lookup!I$1)),"no attestation")</f>
        <v>no attestation</v>
      </c>
      <c r="F418" s="2" t="str">
        <f>IF(AND(NOT(ISBLANK(InfoGard!G418)),InfoGard!G418&lt;&gt;"N/A"),IF(C418="All",CONCATENATE(Lookup!F$2,D418,Lookup!G$2,B418,Lookup!H$2,H$1,Lookup!I$2),CONCATENATE(Lookup!F$3,D418,Lookup!G$3,B418,Lookup!H$3)),"no url")</f>
        <v>no url</v>
      </c>
    </row>
    <row r="419" spans="1:6" hidden="1" x14ac:dyDescent="0.25">
      <c r="A419" s="2" t="b">
        <f>IF(ISBLANK(InfoGard!D419),FALSE,LOOKUP(InfoGard!D419,Lookup!$A$2:$B$4))</f>
        <v>0</v>
      </c>
      <c r="B419" s="2" t="b">
        <f>IF(ISBLANK(InfoGard!E419),FALSE,RIGHT(TRIM(InfoGard!E419),15))</f>
        <v>0</v>
      </c>
      <c r="C419" s="2" t="b">
        <f>IF(ISBLANK(InfoGard!F419),FALSE,LOOKUP(InfoGard!F419,Lookup!$A$6:$B$7))</f>
        <v>0</v>
      </c>
      <c r="D419" s="2" t="b">
        <f>IF(ISBLANK(InfoGard!G419),FALSE,InfoGard!G419)</f>
        <v>0</v>
      </c>
      <c r="E419" s="2" t="str">
        <f>IF(NOT(ISBLANK(InfoGard!D419)),IF(OR(ISBLANK(InfoGard!E419),InfoGard!E419="N/A"),"no acb code",CONCATENATE(Lookup!F$1,A419,Lookup!G$1,B419,Lookup!H$1,H$1,Lookup!I$1)),"no attestation")</f>
        <v>no attestation</v>
      </c>
      <c r="F419" s="2" t="str">
        <f>IF(AND(NOT(ISBLANK(InfoGard!G419)),InfoGard!G419&lt;&gt;"N/A"),IF(C419="All",CONCATENATE(Lookup!F$2,D419,Lookup!G$2,B419,Lookup!H$2,H$1,Lookup!I$2),CONCATENATE(Lookup!F$3,D419,Lookup!G$3,B419,Lookup!H$3)),"no url")</f>
        <v>no url</v>
      </c>
    </row>
    <row r="420" spans="1:6" hidden="1" x14ac:dyDescent="0.25">
      <c r="A420" s="2" t="b">
        <f>IF(ISBLANK(InfoGard!D420),FALSE,LOOKUP(InfoGard!D420,Lookup!$A$2:$B$4))</f>
        <v>0</v>
      </c>
      <c r="B420" s="2" t="b">
        <f>IF(ISBLANK(InfoGard!E420),FALSE,RIGHT(TRIM(InfoGard!E420),15))</f>
        <v>0</v>
      </c>
      <c r="C420" s="2" t="b">
        <f>IF(ISBLANK(InfoGard!F420),FALSE,LOOKUP(InfoGard!F420,Lookup!$A$6:$B$7))</f>
        <v>0</v>
      </c>
      <c r="D420" s="2" t="b">
        <f>IF(ISBLANK(InfoGard!G420),FALSE,InfoGard!G420)</f>
        <v>0</v>
      </c>
      <c r="E420" s="2" t="str">
        <f>IF(NOT(ISBLANK(InfoGard!D420)),IF(OR(ISBLANK(InfoGard!E420),InfoGard!E420="N/A"),"no acb code",CONCATENATE(Lookup!F$1,A420,Lookup!G$1,B420,Lookup!H$1,H$1,Lookup!I$1)),"no attestation")</f>
        <v>no attestation</v>
      </c>
      <c r="F420" s="2" t="str">
        <f>IF(AND(NOT(ISBLANK(InfoGard!G420)),InfoGard!G420&lt;&gt;"N/A"),IF(C420="All",CONCATENATE(Lookup!F$2,D420,Lookup!G$2,B420,Lookup!H$2,H$1,Lookup!I$2),CONCATENATE(Lookup!F$3,D420,Lookup!G$3,B420,Lookup!H$3)),"no url")</f>
        <v>no url</v>
      </c>
    </row>
    <row r="421" spans="1:6" hidden="1" x14ac:dyDescent="0.25">
      <c r="A421" s="2" t="b">
        <f>IF(ISBLANK(InfoGard!D421),FALSE,LOOKUP(InfoGard!D421,Lookup!$A$2:$B$4))</f>
        <v>0</v>
      </c>
      <c r="B421" s="2" t="b">
        <f>IF(ISBLANK(InfoGard!E421),FALSE,RIGHT(TRIM(InfoGard!E421),15))</f>
        <v>0</v>
      </c>
      <c r="C421" s="2" t="b">
        <f>IF(ISBLANK(InfoGard!F421),FALSE,LOOKUP(InfoGard!F421,Lookup!$A$6:$B$7))</f>
        <v>0</v>
      </c>
      <c r="D421" s="2" t="b">
        <f>IF(ISBLANK(InfoGard!G421),FALSE,InfoGard!G421)</f>
        <v>0</v>
      </c>
      <c r="E421" s="2" t="str">
        <f>IF(NOT(ISBLANK(InfoGard!D421)),IF(OR(ISBLANK(InfoGard!E421),InfoGard!E421="N/A"),"no acb code",CONCATENATE(Lookup!F$1,A421,Lookup!G$1,B421,Lookup!H$1,H$1,Lookup!I$1)),"no attestation")</f>
        <v>no attestation</v>
      </c>
      <c r="F421" s="2" t="str">
        <f>IF(AND(NOT(ISBLANK(InfoGard!G421)),InfoGard!G421&lt;&gt;"N/A"),IF(C421="All",CONCATENATE(Lookup!F$2,D421,Lookup!G$2,B421,Lookup!H$2,H$1,Lookup!I$2),CONCATENATE(Lookup!F$3,D421,Lookup!G$3,B421,Lookup!H$3)),"no url")</f>
        <v>no url</v>
      </c>
    </row>
    <row r="422" spans="1:6" hidden="1" x14ac:dyDescent="0.25">
      <c r="A422" s="2" t="b">
        <f>IF(ISBLANK(InfoGard!D422),FALSE,LOOKUP(InfoGard!D422,Lookup!$A$2:$B$4))</f>
        <v>0</v>
      </c>
      <c r="B422" s="2" t="b">
        <f>IF(ISBLANK(InfoGard!E422),FALSE,RIGHT(TRIM(InfoGard!E422),15))</f>
        <v>0</v>
      </c>
      <c r="C422" s="2" t="b">
        <f>IF(ISBLANK(InfoGard!F422),FALSE,LOOKUP(InfoGard!F422,Lookup!$A$6:$B$7))</f>
        <v>0</v>
      </c>
      <c r="D422" s="2" t="b">
        <f>IF(ISBLANK(InfoGard!G422),FALSE,InfoGard!G422)</f>
        <v>0</v>
      </c>
      <c r="E422" s="2" t="str">
        <f>IF(NOT(ISBLANK(InfoGard!D422)),IF(OR(ISBLANK(InfoGard!E422),InfoGard!E422="N/A"),"no acb code",CONCATENATE(Lookup!F$1,A422,Lookup!G$1,B422,Lookup!H$1,H$1,Lookup!I$1)),"no attestation")</f>
        <v>no attestation</v>
      </c>
      <c r="F422" s="2" t="str">
        <f>IF(AND(NOT(ISBLANK(InfoGard!G422)),InfoGard!G422&lt;&gt;"N/A"),IF(C422="All",CONCATENATE(Lookup!F$2,D422,Lookup!G$2,B422,Lookup!H$2,H$1,Lookup!I$2),CONCATENATE(Lookup!F$3,D422,Lookup!G$3,B422,Lookup!H$3)),"no url")</f>
        <v>no url</v>
      </c>
    </row>
    <row r="423" spans="1:6" hidden="1" x14ac:dyDescent="0.25">
      <c r="A423" s="2" t="b">
        <f>IF(ISBLANK(InfoGard!D423),FALSE,LOOKUP(InfoGard!D423,Lookup!$A$2:$B$4))</f>
        <v>0</v>
      </c>
      <c r="B423" s="2" t="b">
        <f>IF(ISBLANK(InfoGard!E423),FALSE,RIGHT(TRIM(InfoGard!E423),15))</f>
        <v>0</v>
      </c>
      <c r="C423" s="2" t="b">
        <f>IF(ISBLANK(InfoGard!F423),FALSE,LOOKUP(InfoGard!F423,Lookup!$A$6:$B$7))</f>
        <v>0</v>
      </c>
      <c r="D423" s="2" t="b">
        <f>IF(ISBLANK(InfoGard!G423),FALSE,InfoGard!G423)</f>
        <v>0</v>
      </c>
      <c r="E423" s="2" t="str">
        <f>IF(NOT(ISBLANK(InfoGard!D423)),IF(OR(ISBLANK(InfoGard!E423),InfoGard!E423="N/A"),"no acb code",CONCATENATE(Lookup!F$1,A423,Lookup!G$1,B423,Lookup!H$1,H$1,Lookup!I$1)),"no attestation")</f>
        <v>no attestation</v>
      </c>
      <c r="F423" s="2" t="str">
        <f>IF(AND(NOT(ISBLANK(InfoGard!G423)),InfoGard!G423&lt;&gt;"N/A"),IF(C423="All",CONCATENATE(Lookup!F$2,D423,Lookup!G$2,B423,Lookup!H$2,H$1,Lookup!I$2),CONCATENATE(Lookup!F$3,D423,Lookup!G$3,B423,Lookup!H$3)),"no url")</f>
        <v>no url</v>
      </c>
    </row>
    <row r="424" spans="1:6" hidden="1" x14ac:dyDescent="0.25">
      <c r="A424" s="2" t="b">
        <f>IF(ISBLANK(InfoGard!D424),FALSE,LOOKUP(InfoGard!D424,Lookup!$A$2:$B$4))</f>
        <v>0</v>
      </c>
      <c r="B424" s="2" t="b">
        <f>IF(ISBLANK(InfoGard!E424),FALSE,RIGHT(TRIM(InfoGard!E424),15))</f>
        <v>0</v>
      </c>
      <c r="C424" s="2" t="b">
        <f>IF(ISBLANK(InfoGard!F424),FALSE,LOOKUP(InfoGard!F424,Lookup!$A$6:$B$7))</f>
        <v>0</v>
      </c>
      <c r="D424" s="2" t="b">
        <f>IF(ISBLANK(InfoGard!G424),FALSE,InfoGard!G424)</f>
        <v>0</v>
      </c>
      <c r="E424" s="2" t="str">
        <f>IF(NOT(ISBLANK(InfoGard!D424)),IF(OR(ISBLANK(InfoGard!E424),InfoGard!E424="N/A"),"no acb code",CONCATENATE(Lookup!F$1,A424,Lookup!G$1,B424,Lookup!H$1,H$1,Lookup!I$1)),"no attestation")</f>
        <v>no attestation</v>
      </c>
      <c r="F424" s="2" t="str">
        <f>IF(AND(NOT(ISBLANK(InfoGard!G424)),InfoGard!G424&lt;&gt;"N/A"),IF(C424="All",CONCATENATE(Lookup!F$2,D424,Lookup!G$2,B424,Lookup!H$2,H$1,Lookup!I$2),CONCATENATE(Lookup!F$3,D424,Lookup!G$3,B424,Lookup!H$3)),"no url")</f>
        <v>no url</v>
      </c>
    </row>
    <row r="425" spans="1:6" x14ac:dyDescent="0.25">
      <c r="A425" s="2" t="str">
        <f>IF(ISBLANK(InfoGard!D425),FALSE,LOOKUP(InfoGard!D425,Lookup!$A$2:$B$4))</f>
        <v>Affirmative</v>
      </c>
      <c r="B425" s="2" t="str">
        <f>IF(ISBLANK(InfoGard!E425),FALSE,RIGHT(TRIM(InfoGard!E425),15))</f>
        <v>IG-3332-15-0021</v>
      </c>
      <c r="C425" s="2" t="str">
        <f>IF(ISBLANK(InfoGard!F425),FALSE,LOOKUP(InfoGard!F425,Lookup!$A$6:$B$7))</f>
        <v>All</v>
      </c>
      <c r="D425" s="2" t="str">
        <f>IF(ISBLANK(InfoGard!G425),FALSE,InfoGard!G425)</f>
        <v xml:space="preserve">http://www.endosoft.com/endovault-ehr-2/ </v>
      </c>
      <c r="E425" s="2" t="str">
        <f>IF(NOT(ISBLANK(InfoGard!D425)),IF(OR(ISBLANK(InfoGard!E425),InfoGard!E425="N/A"),"no acb code",CONCATENATE(Lookup!F$1,A425,Lookup!G$1,B425,Lookup!H$1,H$1,Lookup!I$1)),"no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'IG-3332-15-0021' and cb."name" = 'InfoGard' and cp.product_version_id = pv.product_version_id and pv.product_id = p.product_id and p.vendor_id = vend.vendor_id;</v>
      </c>
      <c r="F425" s="2" t="str">
        <f>IF(AND(NOT(ISBLANK(InfoGard!G425)),InfoGard!G425&lt;&gt;"N/A"),IF(C425="All",CONCATENATE(Lookup!F$2,D425,Lookup!G$2,B425,Lookup!H$2,H$1,Lookup!I$2),CONCATENATE(Lookup!F$3,D425,Lookup!G$3,B425,Lookup!H$3)),"no url")</f>
        <v>update openchpl.certified_product as cp set transparency_attestation_url = 'http://www.endosoft.com/endovault-ehr-2/ ' from (select certified_product_id from (select vend.vendor_code from openchpl.certified_product as cp, openchpl.product_version as pv, openchpl.product as p, openchpl.vendor as vend where cp.acb_certification_id = 'IG-3332-15-0021'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6" spans="1:6" hidden="1" x14ac:dyDescent="0.25">
      <c r="A426" s="2" t="b">
        <f>IF(ISBLANK(InfoGard!D426),FALSE,LOOKUP(InfoGard!D426,Lookup!$A$2:$B$4))</f>
        <v>0</v>
      </c>
      <c r="B426" s="2" t="b">
        <f>IF(ISBLANK(InfoGard!E426),FALSE,RIGHT(TRIM(InfoGard!E426),15))</f>
        <v>0</v>
      </c>
      <c r="C426" s="2" t="b">
        <f>IF(ISBLANK(InfoGard!F426),FALSE,LOOKUP(InfoGard!F426,Lookup!$A$6:$B$7))</f>
        <v>0</v>
      </c>
      <c r="D426" s="2" t="b">
        <f>IF(ISBLANK(InfoGard!G426),FALSE,InfoGard!G426)</f>
        <v>0</v>
      </c>
      <c r="E426" s="2" t="str">
        <f>IF(NOT(ISBLANK(InfoGard!D426)),IF(OR(ISBLANK(InfoGard!E426),InfoGard!E426="N/A"),"no acb code",CONCATENATE(Lookup!F$1,A426,Lookup!G$1,B426,Lookup!H$1,H$1,Lookup!I$1)),"no attestation")</f>
        <v>no attestation</v>
      </c>
      <c r="F426" s="2" t="str">
        <f>IF(AND(NOT(ISBLANK(InfoGard!G426)),InfoGard!G426&lt;&gt;"N/A"),IF(C426="All",CONCATENATE(Lookup!F$2,D426,Lookup!G$2,B426,Lookup!H$2,H$1,Lookup!I$2),CONCATENATE(Lookup!F$3,D426,Lookup!G$3,B426,Lookup!H$3)),"no url")</f>
        <v>no url</v>
      </c>
    </row>
    <row r="427" spans="1:6" hidden="1" x14ac:dyDescent="0.25">
      <c r="A427" s="2" t="b">
        <f>IF(ISBLANK(InfoGard!D427),FALSE,LOOKUP(InfoGard!D427,Lookup!$A$2:$B$4))</f>
        <v>0</v>
      </c>
      <c r="B427" s="2" t="b">
        <f>IF(ISBLANK(InfoGard!E427),FALSE,RIGHT(TRIM(InfoGard!E427),15))</f>
        <v>0</v>
      </c>
      <c r="C427" s="2" t="b">
        <f>IF(ISBLANK(InfoGard!F427),FALSE,LOOKUP(InfoGard!F427,Lookup!$A$6:$B$7))</f>
        <v>0</v>
      </c>
      <c r="D427" s="2" t="b">
        <f>IF(ISBLANK(InfoGard!G427),FALSE,InfoGard!G427)</f>
        <v>0</v>
      </c>
      <c r="E427" s="2" t="str">
        <f>IF(NOT(ISBLANK(InfoGard!D427)),IF(OR(ISBLANK(InfoGard!E427),InfoGard!E427="N/A"),"no acb code",CONCATENATE(Lookup!F$1,A427,Lookup!G$1,B427,Lookup!H$1,H$1,Lookup!I$1)),"no attestation")</f>
        <v>no attestation</v>
      </c>
      <c r="F427" s="2" t="str">
        <f>IF(AND(NOT(ISBLANK(InfoGard!G427)),InfoGard!G427&lt;&gt;"N/A"),IF(C427="All",CONCATENATE(Lookup!F$2,D427,Lookup!G$2,B427,Lookup!H$2,H$1,Lookup!I$2),CONCATENATE(Lookup!F$3,D427,Lookup!G$3,B427,Lookup!H$3)),"no url")</f>
        <v>no url</v>
      </c>
    </row>
    <row r="428" spans="1:6" hidden="1" x14ac:dyDescent="0.25">
      <c r="A428" s="2" t="b">
        <f>IF(ISBLANK(InfoGard!D428),FALSE,LOOKUP(InfoGard!D428,Lookup!$A$2:$B$4))</f>
        <v>0</v>
      </c>
      <c r="B428" s="2" t="b">
        <f>IF(ISBLANK(InfoGard!E428),FALSE,RIGHT(TRIM(InfoGard!E428),15))</f>
        <v>0</v>
      </c>
      <c r="C428" s="2" t="b">
        <f>IF(ISBLANK(InfoGard!F428),FALSE,LOOKUP(InfoGard!F428,Lookup!$A$6:$B$7))</f>
        <v>0</v>
      </c>
      <c r="D428" s="2" t="b">
        <f>IF(ISBLANK(InfoGard!G428),FALSE,InfoGard!G428)</f>
        <v>0</v>
      </c>
      <c r="E428" s="2" t="str">
        <f>IF(NOT(ISBLANK(InfoGard!D428)),IF(OR(ISBLANK(InfoGard!E428),InfoGard!E428="N/A"),"no acb code",CONCATENATE(Lookup!F$1,A428,Lookup!G$1,B428,Lookup!H$1,H$1,Lookup!I$1)),"no attestation")</f>
        <v>no attestation</v>
      </c>
      <c r="F428" s="2" t="str">
        <f>IF(AND(NOT(ISBLANK(InfoGard!G428)),InfoGard!G428&lt;&gt;"N/A"),IF(C428="All",CONCATENATE(Lookup!F$2,D428,Lookup!G$2,B428,Lookup!H$2,H$1,Lookup!I$2),CONCATENATE(Lookup!F$3,D428,Lookup!G$3,B428,Lookup!H$3)),"no url")</f>
        <v>no url</v>
      </c>
    </row>
    <row r="429" spans="1:6" hidden="1" x14ac:dyDescent="0.25">
      <c r="A429" s="2" t="b">
        <f>IF(ISBLANK(InfoGard!D429),FALSE,LOOKUP(InfoGard!D429,Lookup!$A$2:$B$4))</f>
        <v>0</v>
      </c>
      <c r="B429" s="2" t="b">
        <f>IF(ISBLANK(InfoGard!E429),FALSE,RIGHT(TRIM(InfoGard!E429),15))</f>
        <v>0</v>
      </c>
      <c r="C429" s="2" t="b">
        <f>IF(ISBLANK(InfoGard!F429),FALSE,LOOKUP(InfoGard!F429,Lookup!$A$6:$B$7))</f>
        <v>0</v>
      </c>
      <c r="D429" s="2" t="b">
        <f>IF(ISBLANK(InfoGard!G429),FALSE,InfoGard!G429)</f>
        <v>0</v>
      </c>
      <c r="E429" s="2" t="str">
        <f>IF(NOT(ISBLANK(InfoGard!D429)),IF(OR(ISBLANK(InfoGard!E429),InfoGard!E429="N/A"),"no acb code",CONCATENATE(Lookup!F$1,A429,Lookup!G$1,B429,Lookup!H$1,H$1,Lookup!I$1)),"no attestation")</f>
        <v>no attestation</v>
      </c>
      <c r="F429" s="2" t="str">
        <f>IF(AND(NOT(ISBLANK(InfoGard!G429)),InfoGard!G429&lt;&gt;"N/A"),IF(C429="All",CONCATENATE(Lookup!F$2,D429,Lookup!G$2,B429,Lookup!H$2,H$1,Lookup!I$2),CONCATENATE(Lookup!F$3,D429,Lookup!G$3,B429,Lookup!H$3)),"no url")</f>
        <v>no url</v>
      </c>
    </row>
    <row r="430" spans="1:6" hidden="1" x14ac:dyDescent="0.25">
      <c r="A430" s="2" t="b">
        <f>IF(ISBLANK(InfoGard!D430),FALSE,LOOKUP(InfoGard!D430,Lookup!$A$2:$B$4))</f>
        <v>0</v>
      </c>
      <c r="B430" s="2" t="b">
        <f>IF(ISBLANK(InfoGard!E430),FALSE,RIGHT(TRIM(InfoGard!E430),15))</f>
        <v>0</v>
      </c>
      <c r="C430" s="2" t="b">
        <f>IF(ISBLANK(InfoGard!F430),FALSE,LOOKUP(InfoGard!F430,Lookup!$A$6:$B$7))</f>
        <v>0</v>
      </c>
      <c r="D430" s="2" t="b">
        <f>IF(ISBLANK(InfoGard!G430),FALSE,InfoGard!G430)</f>
        <v>0</v>
      </c>
      <c r="E430" s="2" t="str">
        <f>IF(NOT(ISBLANK(InfoGard!D430)),IF(OR(ISBLANK(InfoGard!E430),InfoGard!E430="N/A"),"no acb code",CONCATENATE(Lookup!F$1,A430,Lookup!G$1,B430,Lookup!H$1,H$1,Lookup!I$1)),"no attestation")</f>
        <v>no attestation</v>
      </c>
      <c r="F430" s="2" t="str">
        <f>IF(AND(NOT(ISBLANK(InfoGard!G430)),InfoGard!G430&lt;&gt;"N/A"),IF(C430="All",CONCATENATE(Lookup!F$2,D430,Lookup!G$2,B430,Lookup!H$2,H$1,Lookup!I$2),CONCATENATE(Lookup!F$3,D430,Lookup!G$3,B430,Lookup!H$3)),"no url")</f>
        <v>no url</v>
      </c>
    </row>
    <row r="431" spans="1:6" hidden="1" x14ac:dyDescent="0.25">
      <c r="A431" s="2" t="b">
        <f>IF(ISBLANK(InfoGard!D431),FALSE,LOOKUP(InfoGard!D431,Lookup!$A$2:$B$4))</f>
        <v>0</v>
      </c>
      <c r="B431" s="2" t="b">
        <f>IF(ISBLANK(InfoGard!E431),FALSE,RIGHT(TRIM(InfoGard!E431),15))</f>
        <v>0</v>
      </c>
      <c r="C431" s="2" t="b">
        <f>IF(ISBLANK(InfoGard!F431),FALSE,LOOKUP(InfoGard!F431,Lookup!$A$6:$B$7))</f>
        <v>0</v>
      </c>
      <c r="D431" s="2" t="b">
        <f>IF(ISBLANK(InfoGard!G431),FALSE,InfoGard!G431)</f>
        <v>0</v>
      </c>
      <c r="E431" s="2" t="str">
        <f>IF(NOT(ISBLANK(InfoGard!D431)),IF(OR(ISBLANK(InfoGard!E431),InfoGard!E431="N/A"),"no acb code",CONCATENATE(Lookup!F$1,A431,Lookup!G$1,B431,Lookup!H$1,H$1,Lookup!I$1)),"no attestation")</f>
        <v>no attestation</v>
      </c>
      <c r="F431" s="2" t="str">
        <f>IF(AND(NOT(ISBLANK(InfoGard!G431)),InfoGard!G431&lt;&gt;"N/A"),IF(C431="All",CONCATENATE(Lookup!F$2,D431,Lookup!G$2,B431,Lookup!H$2,H$1,Lookup!I$2),CONCATENATE(Lookup!F$3,D431,Lookup!G$3,B431,Lookup!H$3)),"no url")</f>
        <v>no url</v>
      </c>
    </row>
    <row r="432" spans="1:6" hidden="1" x14ac:dyDescent="0.25">
      <c r="A432" s="2" t="b">
        <f>IF(ISBLANK(InfoGard!D432),FALSE,LOOKUP(InfoGard!D432,Lookup!$A$2:$B$4))</f>
        <v>0</v>
      </c>
      <c r="B432" s="2" t="b">
        <f>IF(ISBLANK(InfoGard!E432),FALSE,RIGHT(TRIM(InfoGard!E432),15))</f>
        <v>0</v>
      </c>
      <c r="C432" s="2" t="b">
        <f>IF(ISBLANK(InfoGard!F432),FALSE,LOOKUP(InfoGard!F432,Lookup!$A$6:$B$7))</f>
        <v>0</v>
      </c>
      <c r="D432" s="2" t="b">
        <f>IF(ISBLANK(InfoGard!G432),FALSE,InfoGard!G432)</f>
        <v>0</v>
      </c>
      <c r="E432" s="2" t="str">
        <f>IF(NOT(ISBLANK(InfoGard!D432)),IF(OR(ISBLANK(InfoGard!E432),InfoGard!E432="N/A"),"no acb code",CONCATENATE(Lookup!F$1,A432,Lookup!G$1,B432,Lookup!H$1,H$1,Lookup!I$1)),"no attestation")</f>
        <v>no attestation</v>
      </c>
      <c r="F432" s="2" t="str">
        <f>IF(AND(NOT(ISBLANK(InfoGard!G432)),InfoGard!G432&lt;&gt;"N/A"),IF(C432="All",CONCATENATE(Lookup!F$2,D432,Lookup!G$2,B432,Lookup!H$2,H$1,Lookup!I$2),CONCATENATE(Lookup!F$3,D432,Lookup!G$3,B432,Lookup!H$3)),"no url")</f>
        <v>no url</v>
      </c>
    </row>
    <row r="433" spans="1:6" hidden="1" x14ac:dyDescent="0.25">
      <c r="A433" s="2" t="b">
        <f>IF(ISBLANK(InfoGard!D433),FALSE,LOOKUP(InfoGard!D433,Lookup!$A$2:$B$4))</f>
        <v>0</v>
      </c>
      <c r="B433" s="2" t="b">
        <f>IF(ISBLANK(InfoGard!E433),FALSE,RIGHT(TRIM(InfoGard!E433),15))</f>
        <v>0</v>
      </c>
      <c r="C433" s="2" t="b">
        <f>IF(ISBLANK(InfoGard!F433),FALSE,LOOKUP(InfoGard!F433,Lookup!$A$6:$B$7))</f>
        <v>0</v>
      </c>
      <c r="D433" s="2" t="b">
        <f>IF(ISBLANK(InfoGard!G433),FALSE,InfoGard!G433)</f>
        <v>0</v>
      </c>
      <c r="E433" s="2" t="str">
        <f>IF(NOT(ISBLANK(InfoGard!D433)),IF(OR(ISBLANK(InfoGard!E433),InfoGard!E433="N/A"),"no acb code",CONCATENATE(Lookup!F$1,A433,Lookup!G$1,B433,Lookup!H$1,H$1,Lookup!I$1)),"no attestation")</f>
        <v>no attestation</v>
      </c>
      <c r="F433" s="2" t="str">
        <f>IF(AND(NOT(ISBLANK(InfoGard!G433)),InfoGard!G433&lt;&gt;"N/A"),IF(C433="All",CONCATENATE(Lookup!F$2,D433,Lookup!G$2,B433,Lookup!H$2,H$1,Lookup!I$2),CONCATENATE(Lookup!F$3,D433,Lookup!G$3,B433,Lookup!H$3)),"no url")</f>
        <v>no url</v>
      </c>
    </row>
    <row r="434" spans="1:6" hidden="1" x14ac:dyDescent="0.25">
      <c r="A434" s="2" t="b">
        <f>IF(ISBLANK(InfoGard!D434),FALSE,LOOKUP(InfoGard!D434,Lookup!$A$2:$B$4))</f>
        <v>0</v>
      </c>
      <c r="B434" s="2" t="b">
        <f>IF(ISBLANK(InfoGard!E434),FALSE,RIGHT(TRIM(InfoGard!E434),15))</f>
        <v>0</v>
      </c>
      <c r="C434" s="2" t="b">
        <f>IF(ISBLANK(InfoGard!F434),FALSE,LOOKUP(InfoGard!F434,Lookup!$A$6:$B$7))</f>
        <v>0</v>
      </c>
      <c r="D434" s="2" t="b">
        <f>IF(ISBLANK(InfoGard!G434),FALSE,InfoGard!G434)</f>
        <v>0</v>
      </c>
      <c r="E434" s="2" t="str">
        <f>IF(NOT(ISBLANK(InfoGard!D434)),IF(OR(ISBLANK(InfoGard!E434),InfoGard!E434="N/A"),"no acb code",CONCATENATE(Lookup!F$1,A434,Lookup!G$1,B434,Lookup!H$1,H$1,Lookup!I$1)),"no attestation")</f>
        <v>no attestation</v>
      </c>
      <c r="F434" s="2" t="str">
        <f>IF(AND(NOT(ISBLANK(InfoGard!G434)),InfoGard!G434&lt;&gt;"N/A"),IF(C434="All",CONCATENATE(Lookup!F$2,D434,Lookup!G$2,B434,Lookup!H$2,H$1,Lookup!I$2),CONCATENATE(Lookup!F$3,D434,Lookup!G$3,B434,Lookup!H$3)),"no url")</f>
        <v>no url</v>
      </c>
    </row>
    <row r="435" spans="1:6" hidden="1" x14ac:dyDescent="0.25">
      <c r="A435" s="2" t="b">
        <f>IF(ISBLANK(InfoGard!D435),FALSE,LOOKUP(InfoGard!D435,Lookup!$A$2:$B$4))</f>
        <v>0</v>
      </c>
      <c r="B435" s="2" t="b">
        <f>IF(ISBLANK(InfoGard!E435),FALSE,RIGHT(TRIM(InfoGard!E435),15))</f>
        <v>0</v>
      </c>
      <c r="C435" s="2" t="b">
        <f>IF(ISBLANK(InfoGard!F435),FALSE,LOOKUP(InfoGard!F435,Lookup!$A$6:$B$7))</f>
        <v>0</v>
      </c>
      <c r="D435" s="2" t="b">
        <f>IF(ISBLANK(InfoGard!G435),FALSE,InfoGard!G435)</f>
        <v>0</v>
      </c>
      <c r="E435" s="2" t="str">
        <f>IF(NOT(ISBLANK(InfoGard!D435)),IF(OR(ISBLANK(InfoGard!E435),InfoGard!E435="N/A"),"no acb code",CONCATENATE(Lookup!F$1,A435,Lookup!G$1,B435,Lookup!H$1,H$1,Lookup!I$1)),"no attestation")</f>
        <v>no attestation</v>
      </c>
      <c r="F435" s="2" t="str">
        <f>IF(AND(NOT(ISBLANK(InfoGard!G435)),InfoGard!G435&lt;&gt;"N/A"),IF(C435="All",CONCATENATE(Lookup!F$2,D435,Lookup!G$2,B435,Lookup!H$2,H$1,Lookup!I$2),CONCATENATE(Lookup!F$3,D435,Lookup!G$3,B435,Lookup!H$3)),"no url")</f>
        <v>no url</v>
      </c>
    </row>
    <row r="436" spans="1:6" hidden="1" x14ac:dyDescent="0.25">
      <c r="A436" s="2" t="b">
        <f>IF(ISBLANK(InfoGard!D436),FALSE,LOOKUP(InfoGard!D436,Lookup!$A$2:$B$4))</f>
        <v>0</v>
      </c>
      <c r="B436" s="2" t="b">
        <f>IF(ISBLANK(InfoGard!E436),FALSE,RIGHT(TRIM(InfoGard!E436),15))</f>
        <v>0</v>
      </c>
      <c r="C436" s="2" t="b">
        <f>IF(ISBLANK(InfoGard!F436),FALSE,LOOKUP(InfoGard!F436,Lookup!$A$6:$B$7))</f>
        <v>0</v>
      </c>
      <c r="D436" s="2" t="b">
        <f>IF(ISBLANK(InfoGard!G436),FALSE,InfoGard!G436)</f>
        <v>0</v>
      </c>
      <c r="E436" s="2" t="str">
        <f>IF(NOT(ISBLANK(InfoGard!D436)),IF(OR(ISBLANK(InfoGard!E436),InfoGard!E436="N/A"),"no acb code",CONCATENATE(Lookup!F$1,A436,Lookup!G$1,B436,Lookup!H$1,H$1,Lookup!I$1)),"no attestation")</f>
        <v>no attestation</v>
      </c>
      <c r="F436" s="2" t="str">
        <f>IF(AND(NOT(ISBLANK(InfoGard!G436)),InfoGard!G436&lt;&gt;"N/A"),IF(C436="All",CONCATENATE(Lookup!F$2,D436,Lookup!G$2,B436,Lookup!H$2,H$1,Lookup!I$2),CONCATENATE(Lookup!F$3,D436,Lookup!G$3,B436,Lookup!H$3)),"no url")</f>
        <v>no url</v>
      </c>
    </row>
    <row r="437" spans="1:6" hidden="1" x14ac:dyDescent="0.25">
      <c r="A437" s="2" t="b">
        <f>IF(ISBLANK(InfoGard!D437),FALSE,LOOKUP(InfoGard!D437,Lookup!$A$2:$B$4))</f>
        <v>0</v>
      </c>
      <c r="B437" s="2" t="b">
        <f>IF(ISBLANK(InfoGard!E437),FALSE,RIGHT(TRIM(InfoGard!E437),15))</f>
        <v>0</v>
      </c>
      <c r="C437" s="2" t="b">
        <f>IF(ISBLANK(InfoGard!F437),FALSE,LOOKUP(InfoGard!F437,Lookup!$A$6:$B$7))</f>
        <v>0</v>
      </c>
      <c r="D437" s="2" t="b">
        <f>IF(ISBLANK(InfoGard!G437),FALSE,InfoGard!G437)</f>
        <v>0</v>
      </c>
      <c r="E437" s="2" t="str">
        <f>IF(NOT(ISBLANK(InfoGard!D437)),IF(OR(ISBLANK(InfoGard!E437),InfoGard!E437="N/A"),"no acb code",CONCATENATE(Lookup!F$1,A437,Lookup!G$1,B437,Lookup!H$1,H$1,Lookup!I$1)),"no attestation")</f>
        <v>no attestation</v>
      </c>
      <c r="F437" s="2" t="str">
        <f>IF(AND(NOT(ISBLANK(InfoGard!G437)),InfoGard!G437&lt;&gt;"N/A"),IF(C437="All",CONCATENATE(Lookup!F$2,D437,Lookup!G$2,B437,Lookup!H$2,H$1,Lookup!I$2),CONCATENATE(Lookup!F$3,D437,Lookup!G$3,B437,Lookup!H$3)),"no url")</f>
        <v>no url</v>
      </c>
    </row>
    <row r="438" spans="1:6" hidden="1" x14ac:dyDescent="0.25">
      <c r="A438" s="2" t="b">
        <f>IF(ISBLANK(InfoGard!D438),FALSE,LOOKUP(InfoGard!D438,Lookup!$A$2:$B$4))</f>
        <v>0</v>
      </c>
      <c r="B438" s="2" t="b">
        <f>IF(ISBLANK(InfoGard!E438),FALSE,RIGHT(TRIM(InfoGard!E438),15))</f>
        <v>0</v>
      </c>
      <c r="C438" s="2" t="b">
        <f>IF(ISBLANK(InfoGard!F438),FALSE,LOOKUP(InfoGard!F438,Lookup!$A$6:$B$7))</f>
        <v>0</v>
      </c>
      <c r="D438" s="2" t="b">
        <f>IF(ISBLANK(InfoGard!G438),FALSE,InfoGard!G438)</f>
        <v>0</v>
      </c>
      <c r="E438" s="2" t="str">
        <f>IF(NOT(ISBLANK(InfoGard!D438)),IF(OR(ISBLANK(InfoGard!E438),InfoGard!E438="N/A"),"no acb code",CONCATENATE(Lookup!F$1,A438,Lookup!G$1,B438,Lookup!H$1,H$1,Lookup!I$1)),"no attestation")</f>
        <v>no attestation</v>
      </c>
      <c r="F438" s="2" t="str">
        <f>IF(AND(NOT(ISBLANK(InfoGard!G438)),InfoGard!G438&lt;&gt;"N/A"),IF(C438="All",CONCATENATE(Lookup!F$2,D438,Lookup!G$2,B438,Lookup!H$2,H$1,Lookup!I$2),CONCATENATE(Lookup!F$3,D438,Lookup!G$3,B438,Lookup!H$3)),"no url")</f>
        <v>no url</v>
      </c>
    </row>
    <row r="439" spans="1:6" hidden="1" x14ac:dyDescent="0.25">
      <c r="A439" s="2" t="b">
        <f>IF(ISBLANK(InfoGard!D439),FALSE,LOOKUP(InfoGard!D439,Lookup!$A$2:$B$4))</f>
        <v>0</v>
      </c>
      <c r="B439" s="2" t="b">
        <f>IF(ISBLANK(InfoGard!E439),FALSE,RIGHT(TRIM(InfoGard!E439),15))</f>
        <v>0</v>
      </c>
      <c r="C439" s="2" t="b">
        <f>IF(ISBLANK(InfoGard!F439),FALSE,LOOKUP(InfoGard!F439,Lookup!$A$6:$B$7))</f>
        <v>0</v>
      </c>
      <c r="D439" s="2" t="b">
        <f>IF(ISBLANK(InfoGard!G439),FALSE,InfoGard!G439)</f>
        <v>0</v>
      </c>
      <c r="E439" s="2" t="str">
        <f>IF(NOT(ISBLANK(InfoGard!D439)),IF(OR(ISBLANK(InfoGard!E439),InfoGard!E439="N/A"),"no acb code",CONCATENATE(Lookup!F$1,A439,Lookup!G$1,B439,Lookup!H$1,H$1,Lookup!I$1)),"no attestation")</f>
        <v>no attestation</v>
      </c>
      <c r="F439" s="2" t="str">
        <f>IF(AND(NOT(ISBLANK(InfoGard!G439)),InfoGard!G439&lt;&gt;"N/A"),IF(C439="All",CONCATENATE(Lookup!F$2,D439,Lookup!G$2,B439,Lookup!H$2,H$1,Lookup!I$2),CONCATENATE(Lookup!F$3,D439,Lookup!G$3,B439,Lookup!H$3)),"no url")</f>
        <v>no url</v>
      </c>
    </row>
    <row r="440" spans="1:6" hidden="1" x14ac:dyDescent="0.25">
      <c r="A440" s="2" t="b">
        <f>IF(ISBLANK(InfoGard!D440),FALSE,LOOKUP(InfoGard!D440,Lookup!$A$2:$B$4))</f>
        <v>0</v>
      </c>
      <c r="B440" s="2" t="b">
        <f>IF(ISBLANK(InfoGard!E440),FALSE,RIGHT(TRIM(InfoGard!E440),15))</f>
        <v>0</v>
      </c>
      <c r="C440" s="2" t="b">
        <f>IF(ISBLANK(InfoGard!F440),FALSE,LOOKUP(InfoGard!F440,Lookup!$A$6:$B$7))</f>
        <v>0</v>
      </c>
      <c r="D440" s="2" t="b">
        <f>IF(ISBLANK(InfoGard!G440),FALSE,InfoGard!G440)</f>
        <v>0</v>
      </c>
      <c r="E440" s="2" t="str">
        <f>IF(NOT(ISBLANK(InfoGard!D440)),IF(OR(ISBLANK(InfoGard!E440),InfoGard!E440="N/A"),"no acb code",CONCATENATE(Lookup!F$1,A440,Lookup!G$1,B440,Lookup!H$1,H$1,Lookup!I$1)),"no attestation")</f>
        <v>no attestation</v>
      </c>
      <c r="F440" s="2" t="str">
        <f>IF(AND(NOT(ISBLANK(InfoGard!G440)),InfoGard!G440&lt;&gt;"N/A"),IF(C440="All",CONCATENATE(Lookup!F$2,D440,Lookup!G$2,B440,Lookup!H$2,H$1,Lookup!I$2),CONCATENATE(Lookup!F$3,D440,Lookup!G$3,B440,Lookup!H$3)),"no url")</f>
        <v>no url</v>
      </c>
    </row>
    <row r="441" spans="1:6" hidden="1" x14ac:dyDescent="0.25">
      <c r="A441" s="2" t="b">
        <f>IF(ISBLANK(InfoGard!D441),FALSE,LOOKUP(InfoGard!D441,Lookup!$A$2:$B$4))</f>
        <v>0</v>
      </c>
      <c r="B441" s="2" t="b">
        <f>IF(ISBLANK(InfoGard!E441),FALSE,RIGHT(TRIM(InfoGard!E441),15))</f>
        <v>0</v>
      </c>
      <c r="C441" s="2" t="b">
        <f>IF(ISBLANK(InfoGard!F441),FALSE,LOOKUP(InfoGard!F441,Lookup!$A$6:$B$7))</f>
        <v>0</v>
      </c>
      <c r="D441" s="2" t="b">
        <f>IF(ISBLANK(InfoGard!G441),FALSE,InfoGard!G441)</f>
        <v>0</v>
      </c>
      <c r="E441" s="2" t="str">
        <f>IF(NOT(ISBLANK(InfoGard!D441)),IF(OR(ISBLANK(InfoGard!E441),InfoGard!E441="N/A"),"no acb code",CONCATENATE(Lookup!F$1,A441,Lookup!G$1,B441,Lookup!H$1,H$1,Lookup!I$1)),"no attestation")</f>
        <v>no attestation</v>
      </c>
      <c r="F441" s="2" t="str">
        <f>IF(AND(NOT(ISBLANK(InfoGard!G441)),InfoGard!G441&lt;&gt;"N/A"),IF(C441="All",CONCATENATE(Lookup!F$2,D441,Lookup!G$2,B441,Lookup!H$2,H$1,Lookup!I$2),CONCATENATE(Lookup!F$3,D441,Lookup!G$3,B441,Lookup!H$3)),"no url")</f>
        <v>no url</v>
      </c>
    </row>
    <row r="442" spans="1:6" hidden="1" x14ac:dyDescent="0.25">
      <c r="A442" s="2" t="b">
        <f>IF(ISBLANK(InfoGard!D442),FALSE,LOOKUP(InfoGard!D442,Lookup!$A$2:$B$4))</f>
        <v>0</v>
      </c>
      <c r="B442" s="2" t="b">
        <f>IF(ISBLANK(InfoGard!E442),FALSE,RIGHT(TRIM(InfoGard!E442),15))</f>
        <v>0</v>
      </c>
      <c r="C442" s="2" t="b">
        <f>IF(ISBLANK(InfoGard!F442),FALSE,LOOKUP(InfoGard!F442,Lookup!$A$6:$B$7))</f>
        <v>0</v>
      </c>
      <c r="D442" s="2" t="b">
        <f>IF(ISBLANK(InfoGard!G442),FALSE,InfoGard!G442)</f>
        <v>0</v>
      </c>
      <c r="E442" s="2" t="str">
        <f>IF(NOT(ISBLANK(InfoGard!D442)),IF(OR(ISBLANK(InfoGard!E442),InfoGard!E442="N/A"),"no acb code",CONCATENATE(Lookup!F$1,A442,Lookup!G$1,B442,Lookup!H$1,H$1,Lookup!I$1)),"no attestation")</f>
        <v>no attestation</v>
      </c>
      <c r="F442" s="2" t="str">
        <f>IF(AND(NOT(ISBLANK(InfoGard!G442)),InfoGard!G442&lt;&gt;"N/A"),IF(C442="All",CONCATENATE(Lookup!F$2,D442,Lookup!G$2,B442,Lookup!H$2,H$1,Lookup!I$2),CONCATENATE(Lookup!F$3,D442,Lookup!G$3,B442,Lookup!H$3)),"no url")</f>
        <v>no url</v>
      </c>
    </row>
    <row r="443" spans="1:6" hidden="1" x14ac:dyDescent="0.25">
      <c r="A443" s="2" t="b">
        <f>IF(ISBLANK(InfoGard!D443),FALSE,LOOKUP(InfoGard!D443,Lookup!$A$2:$B$4))</f>
        <v>0</v>
      </c>
      <c r="B443" s="2" t="b">
        <f>IF(ISBLANK(InfoGard!E443),FALSE,RIGHT(TRIM(InfoGard!E443),15))</f>
        <v>0</v>
      </c>
      <c r="C443" s="2" t="b">
        <f>IF(ISBLANK(InfoGard!F443),FALSE,LOOKUP(InfoGard!F443,Lookup!$A$6:$B$7))</f>
        <v>0</v>
      </c>
      <c r="D443" s="2" t="b">
        <f>IF(ISBLANK(InfoGard!G443),FALSE,InfoGard!G443)</f>
        <v>0</v>
      </c>
      <c r="E443" s="2" t="str">
        <f>IF(NOT(ISBLANK(InfoGard!D443)),IF(OR(ISBLANK(InfoGard!E443),InfoGard!E443="N/A"),"no acb code",CONCATENATE(Lookup!F$1,A443,Lookup!G$1,B443,Lookup!H$1,H$1,Lookup!I$1)),"no attestation")</f>
        <v>no attestation</v>
      </c>
      <c r="F443" s="2" t="str">
        <f>IF(AND(NOT(ISBLANK(InfoGard!G443)),InfoGard!G443&lt;&gt;"N/A"),IF(C443="All",CONCATENATE(Lookup!F$2,D443,Lookup!G$2,B443,Lookup!H$2,H$1,Lookup!I$2),CONCATENATE(Lookup!F$3,D443,Lookup!G$3,B443,Lookup!H$3)),"no url")</f>
        <v>no url</v>
      </c>
    </row>
    <row r="444" spans="1:6" hidden="1" x14ac:dyDescent="0.25">
      <c r="A444" s="2" t="b">
        <f>IF(ISBLANK(InfoGard!D444),FALSE,LOOKUP(InfoGard!D444,Lookup!$A$2:$B$4))</f>
        <v>0</v>
      </c>
      <c r="B444" s="2" t="b">
        <f>IF(ISBLANK(InfoGard!E444),FALSE,RIGHT(TRIM(InfoGard!E444),15))</f>
        <v>0</v>
      </c>
      <c r="C444" s="2" t="b">
        <f>IF(ISBLANK(InfoGard!F444),FALSE,LOOKUP(InfoGard!F444,Lookup!$A$6:$B$7))</f>
        <v>0</v>
      </c>
      <c r="D444" s="2" t="b">
        <f>IF(ISBLANK(InfoGard!G444),FALSE,InfoGard!G444)</f>
        <v>0</v>
      </c>
      <c r="E444" s="2" t="str">
        <f>IF(NOT(ISBLANK(InfoGard!D444)),IF(OR(ISBLANK(InfoGard!E444),InfoGard!E444="N/A"),"no acb code",CONCATENATE(Lookup!F$1,A444,Lookup!G$1,B444,Lookup!H$1,H$1,Lookup!I$1)),"no attestation")</f>
        <v>no attestation</v>
      </c>
      <c r="F444" s="2" t="str">
        <f>IF(AND(NOT(ISBLANK(InfoGard!G444)),InfoGard!G444&lt;&gt;"N/A"),IF(C444="All",CONCATENATE(Lookup!F$2,D444,Lookup!G$2,B444,Lookup!H$2,H$1,Lookup!I$2),CONCATENATE(Lookup!F$3,D444,Lookup!G$3,B444,Lookup!H$3)),"no url")</f>
        <v>no url</v>
      </c>
    </row>
    <row r="445" spans="1:6" hidden="1" x14ac:dyDescent="0.25">
      <c r="A445" s="2" t="b">
        <f>IF(ISBLANK(InfoGard!D445),FALSE,LOOKUP(InfoGard!D445,Lookup!$A$2:$B$4))</f>
        <v>0</v>
      </c>
      <c r="B445" s="2" t="b">
        <f>IF(ISBLANK(InfoGard!E445),FALSE,RIGHT(TRIM(InfoGard!E445),15))</f>
        <v>0</v>
      </c>
      <c r="C445" s="2" t="b">
        <f>IF(ISBLANK(InfoGard!F445),FALSE,LOOKUP(InfoGard!F445,Lookup!$A$6:$B$7))</f>
        <v>0</v>
      </c>
      <c r="D445" s="2" t="b">
        <f>IF(ISBLANK(InfoGard!G445),FALSE,InfoGard!G445)</f>
        <v>0</v>
      </c>
      <c r="E445" s="2" t="str">
        <f>IF(NOT(ISBLANK(InfoGard!D445)),IF(OR(ISBLANK(InfoGard!E445),InfoGard!E445="N/A"),"no acb code",CONCATENATE(Lookup!F$1,A445,Lookup!G$1,B445,Lookup!H$1,H$1,Lookup!I$1)),"no attestation")</f>
        <v>no attestation</v>
      </c>
      <c r="F445" s="2" t="str">
        <f>IF(AND(NOT(ISBLANK(InfoGard!G445)),InfoGard!G445&lt;&gt;"N/A"),IF(C445="All",CONCATENATE(Lookup!F$2,D445,Lookup!G$2,B445,Lookup!H$2,H$1,Lookup!I$2),CONCATENATE(Lookup!F$3,D445,Lookup!G$3,B445,Lookup!H$3)),"no url")</f>
        <v>no url</v>
      </c>
    </row>
    <row r="446" spans="1:6" hidden="1" x14ac:dyDescent="0.25">
      <c r="A446" s="2" t="b">
        <f>IF(ISBLANK(InfoGard!D446),FALSE,LOOKUP(InfoGard!D446,Lookup!$A$2:$B$4))</f>
        <v>0</v>
      </c>
      <c r="B446" s="2" t="b">
        <f>IF(ISBLANK(InfoGard!E446),FALSE,RIGHT(TRIM(InfoGard!E446),15))</f>
        <v>0</v>
      </c>
      <c r="C446" s="2" t="b">
        <f>IF(ISBLANK(InfoGard!F446),FALSE,LOOKUP(InfoGard!F446,Lookup!$A$6:$B$7))</f>
        <v>0</v>
      </c>
      <c r="D446" s="2" t="b">
        <f>IF(ISBLANK(InfoGard!G446),FALSE,InfoGard!G446)</f>
        <v>0</v>
      </c>
      <c r="E446" s="2" t="str">
        <f>IF(NOT(ISBLANK(InfoGard!D446)),IF(OR(ISBLANK(InfoGard!E446),InfoGard!E446="N/A"),"no acb code",CONCATENATE(Lookup!F$1,A446,Lookup!G$1,B446,Lookup!H$1,H$1,Lookup!I$1)),"no attestation")</f>
        <v>no attestation</v>
      </c>
      <c r="F446" s="2" t="str">
        <f>IF(AND(NOT(ISBLANK(InfoGard!G446)),InfoGard!G446&lt;&gt;"N/A"),IF(C446="All",CONCATENATE(Lookup!F$2,D446,Lookup!G$2,B446,Lookup!H$2,H$1,Lookup!I$2),CONCATENATE(Lookup!F$3,D446,Lookup!G$3,B446,Lookup!H$3)),"no url")</f>
        <v>no url</v>
      </c>
    </row>
    <row r="447" spans="1:6" hidden="1" x14ac:dyDescent="0.25">
      <c r="A447" s="2" t="b">
        <f>IF(ISBLANK(InfoGard!D447),FALSE,LOOKUP(InfoGard!D447,Lookup!$A$2:$B$4))</f>
        <v>0</v>
      </c>
      <c r="B447" s="2" t="b">
        <f>IF(ISBLANK(InfoGard!E447),FALSE,RIGHT(TRIM(InfoGard!E447),15))</f>
        <v>0</v>
      </c>
      <c r="C447" s="2" t="b">
        <f>IF(ISBLANK(InfoGard!F447),FALSE,LOOKUP(InfoGard!F447,Lookup!$A$6:$B$7))</f>
        <v>0</v>
      </c>
      <c r="D447" s="2" t="b">
        <f>IF(ISBLANK(InfoGard!G447),FALSE,InfoGard!G447)</f>
        <v>0</v>
      </c>
      <c r="E447" s="2" t="str">
        <f>IF(NOT(ISBLANK(InfoGard!D447)),IF(OR(ISBLANK(InfoGard!E447),InfoGard!E447="N/A"),"no acb code",CONCATENATE(Lookup!F$1,A447,Lookup!G$1,B447,Lookup!H$1,H$1,Lookup!I$1)),"no attestation")</f>
        <v>no attestation</v>
      </c>
      <c r="F447" s="2" t="str">
        <f>IF(AND(NOT(ISBLANK(InfoGard!G447)),InfoGard!G447&lt;&gt;"N/A"),IF(C447="All",CONCATENATE(Lookup!F$2,D447,Lookup!G$2,B447,Lookup!H$2,H$1,Lookup!I$2),CONCATENATE(Lookup!F$3,D447,Lookup!G$3,B447,Lookup!H$3)),"no url")</f>
        <v>no url</v>
      </c>
    </row>
    <row r="448" spans="1:6" hidden="1" x14ac:dyDescent="0.25">
      <c r="A448" s="2" t="b">
        <f>IF(ISBLANK(InfoGard!D448),FALSE,LOOKUP(InfoGard!D448,Lookup!$A$2:$B$4))</f>
        <v>0</v>
      </c>
      <c r="B448" s="2" t="b">
        <f>IF(ISBLANK(InfoGard!E448),FALSE,RIGHT(TRIM(InfoGard!E448),15))</f>
        <v>0</v>
      </c>
      <c r="C448" s="2" t="b">
        <f>IF(ISBLANK(InfoGard!F448),FALSE,LOOKUP(InfoGard!F448,Lookup!$A$6:$B$7))</f>
        <v>0</v>
      </c>
      <c r="D448" s="2" t="b">
        <f>IF(ISBLANK(InfoGard!G448),FALSE,InfoGard!G448)</f>
        <v>0</v>
      </c>
      <c r="E448" s="2" t="str">
        <f>IF(NOT(ISBLANK(InfoGard!D448)),IF(OR(ISBLANK(InfoGard!E448),InfoGard!E448="N/A"),"no acb code",CONCATENATE(Lookup!F$1,A448,Lookup!G$1,B448,Lookup!H$1,H$1,Lookup!I$1)),"no attestation")</f>
        <v>no attestation</v>
      </c>
      <c r="F448" s="2" t="str">
        <f>IF(AND(NOT(ISBLANK(InfoGard!G448)),InfoGard!G448&lt;&gt;"N/A"),IF(C448="All",CONCATENATE(Lookup!F$2,D448,Lookup!G$2,B448,Lookup!H$2,H$1,Lookup!I$2),CONCATENATE(Lookup!F$3,D448,Lookup!G$3,B448,Lookup!H$3)),"no url")</f>
        <v>no url</v>
      </c>
    </row>
    <row r="449" spans="1:6" hidden="1" x14ac:dyDescent="0.25">
      <c r="A449" s="2" t="b">
        <f>IF(ISBLANK(InfoGard!D449),FALSE,LOOKUP(InfoGard!D449,Lookup!$A$2:$B$4))</f>
        <v>0</v>
      </c>
      <c r="B449" s="2" t="b">
        <f>IF(ISBLANK(InfoGard!E449),FALSE,RIGHT(TRIM(InfoGard!E449),15))</f>
        <v>0</v>
      </c>
      <c r="C449" s="2" t="b">
        <f>IF(ISBLANK(InfoGard!F449),FALSE,LOOKUP(InfoGard!F449,Lookup!$A$6:$B$7))</f>
        <v>0</v>
      </c>
      <c r="D449" s="2" t="b">
        <f>IF(ISBLANK(InfoGard!G449),FALSE,InfoGard!G449)</f>
        <v>0</v>
      </c>
      <c r="E449" s="2" t="str">
        <f>IF(NOT(ISBLANK(InfoGard!D449)),IF(OR(ISBLANK(InfoGard!E449),InfoGard!E449="N/A"),"no acb code",CONCATENATE(Lookup!F$1,A449,Lookup!G$1,B449,Lookup!H$1,H$1,Lookup!I$1)),"no attestation")</f>
        <v>no attestation</v>
      </c>
      <c r="F449" s="2" t="str">
        <f>IF(AND(NOT(ISBLANK(InfoGard!G449)),InfoGard!G449&lt;&gt;"N/A"),IF(C449="All",CONCATENATE(Lookup!F$2,D449,Lookup!G$2,B449,Lookup!H$2,H$1,Lookup!I$2),CONCATENATE(Lookup!F$3,D449,Lookup!G$3,B449,Lookup!H$3)),"no url")</f>
        <v>no url</v>
      </c>
    </row>
    <row r="450" spans="1:6" hidden="1" x14ac:dyDescent="0.25">
      <c r="A450" s="2" t="b">
        <f>IF(ISBLANK(InfoGard!D450),FALSE,LOOKUP(InfoGard!D450,Lookup!$A$2:$B$4))</f>
        <v>0</v>
      </c>
      <c r="B450" s="2" t="b">
        <f>IF(ISBLANK(InfoGard!E450),FALSE,RIGHT(TRIM(InfoGard!E450),15))</f>
        <v>0</v>
      </c>
      <c r="C450" s="2" t="b">
        <f>IF(ISBLANK(InfoGard!F450),FALSE,LOOKUP(InfoGard!F450,Lookup!$A$6:$B$7))</f>
        <v>0</v>
      </c>
      <c r="D450" s="2" t="b">
        <f>IF(ISBLANK(InfoGard!G450),FALSE,InfoGard!G450)</f>
        <v>0</v>
      </c>
      <c r="E450" s="2" t="str">
        <f>IF(NOT(ISBLANK(InfoGard!D450)),IF(OR(ISBLANK(InfoGard!E450),InfoGard!E450="N/A"),"no acb code",CONCATENATE(Lookup!F$1,A450,Lookup!G$1,B450,Lookup!H$1,H$1,Lookup!I$1)),"no attestation")</f>
        <v>no attestation</v>
      </c>
      <c r="F450" s="2" t="str">
        <f>IF(AND(NOT(ISBLANK(InfoGard!G450)),InfoGard!G450&lt;&gt;"N/A"),IF(C450="All",CONCATENATE(Lookup!F$2,D450,Lookup!G$2,B450,Lookup!H$2,H$1,Lookup!I$2),CONCATENATE(Lookup!F$3,D450,Lookup!G$3,B450,Lookup!H$3)),"no url")</f>
        <v>no url</v>
      </c>
    </row>
    <row r="451" spans="1:6" hidden="1" x14ac:dyDescent="0.25">
      <c r="A451" s="2" t="b">
        <f>IF(ISBLANK(InfoGard!D451),FALSE,LOOKUP(InfoGard!D451,Lookup!$A$2:$B$4))</f>
        <v>0</v>
      </c>
      <c r="B451" s="2" t="b">
        <f>IF(ISBLANK(InfoGard!E451),FALSE,RIGHT(TRIM(InfoGard!E451),15))</f>
        <v>0</v>
      </c>
      <c r="C451" s="2" t="b">
        <f>IF(ISBLANK(InfoGard!F451),FALSE,LOOKUP(InfoGard!F451,Lookup!$A$6:$B$7))</f>
        <v>0</v>
      </c>
      <c r="D451" s="2" t="b">
        <f>IF(ISBLANK(InfoGard!G451),FALSE,InfoGard!G451)</f>
        <v>0</v>
      </c>
      <c r="E451" s="2" t="str">
        <f>IF(NOT(ISBLANK(InfoGard!D451)),IF(OR(ISBLANK(InfoGard!E451),InfoGard!E451="N/A"),"no acb code",CONCATENATE(Lookup!F$1,A451,Lookup!G$1,B451,Lookup!H$1,H$1,Lookup!I$1)),"no attestation")</f>
        <v>no attestation</v>
      </c>
      <c r="F451" s="2" t="str">
        <f>IF(AND(NOT(ISBLANK(InfoGard!G451)),InfoGard!G451&lt;&gt;"N/A"),IF(C451="All",CONCATENATE(Lookup!F$2,D451,Lookup!G$2,B451,Lookup!H$2,H$1,Lookup!I$2),CONCATENATE(Lookup!F$3,D451,Lookup!G$3,B451,Lookup!H$3)),"no url")</f>
        <v>no url</v>
      </c>
    </row>
    <row r="452" spans="1:6" hidden="1" x14ac:dyDescent="0.25">
      <c r="A452" s="2" t="b">
        <f>IF(ISBLANK(InfoGard!D452),FALSE,LOOKUP(InfoGard!D452,Lookup!$A$2:$B$4))</f>
        <v>0</v>
      </c>
      <c r="B452" s="2" t="b">
        <f>IF(ISBLANK(InfoGard!E452),FALSE,RIGHT(TRIM(InfoGard!E452),15))</f>
        <v>0</v>
      </c>
      <c r="C452" s="2" t="b">
        <f>IF(ISBLANK(InfoGard!F452),FALSE,LOOKUP(InfoGard!F452,Lookup!$A$6:$B$7))</f>
        <v>0</v>
      </c>
      <c r="D452" s="2" t="b">
        <f>IF(ISBLANK(InfoGard!G452),FALSE,InfoGard!G452)</f>
        <v>0</v>
      </c>
      <c r="E452" s="2" t="str">
        <f>IF(NOT(ISBLANK(InfoGard!D452)),IF(OR(ISBLANK(InfoGard!E452),InfoGard!E452="N/A"),"no acb code",CONCATENATE(Lookup!F$1,A452,Lookup!G$1,B452,Lookup!H$1,H$1,Lookup!I$1)),"no attestation")</f>
        <v>no attestation</v>
      </c>
      <c r="F452" s="2" t="str">
        <f>IF(AND(NOT(ISBLANK(InfoGard!G452)),InfoGard!G452&lt;&gt;"N/A"),IF(C452="All",CONCATENATE(Lookup!F$2,D452,Lookup!G$2,B452,Lookup!H$2,H$1,Lookup!I$2),CONCATENATE(Lookup!F$3,D452,Lookup!G$3,B452,Lookup!H$3)),"no url")</f>
        <v>no url</v>
      </c>
    </row>
    <row r="453" spans="1:6" hidden="1" x14ac:dyDescent="0.25">
      <c r="A453" s="2" t="b">
        <f>IF(ISBLANK(InfoGard!D453),FALSE,LOOKUP(InfoGard!D453,Lookup!$A$2:$B$4))</f>
        <v>0</v>
      </c>
      <c r="B453" s="2" t="b">
        <f>IF(ISBLANK(InfoGard!E453),FALSE,RIGHT(TRIM(InfoGard!E453),15))</f>
        <v>0</v>
      </c>
      <c r="C453" s="2" t="b">
        <f>IF(ISBLANK(InfoGard!F453),FALSE,LOOKUP(InfoGard!F453,Lookup!$A$6:$B$7))</f>
        <v>0</v>
      </c>
      <c r="D453" s="2" t="b">
        <f>IF(ISBLANK(InfoGard!G453),FALSE,InfoGard!G453)</f>
        <v>0</v>
      </c>
      <c r="E453" s="2" t="str">
        <f>IF(NOT(ISBLANK(InfoGard!D453)),IF(OR(ISBLANK(InfoGard!E453),InfoGard!E453="N/A"),"no acb code",CONCATENATE(Lookup!F$1,A453,Lookup!G$1,B453,Lookup!H$1,H$1,Lookup!I$1)),"no attestation")</f>
        <v>no attestation</v>
      </c>
      <c r="F453" s="2" t="str">
        <f>IF(AND(NOT(ISBLANK(InfoGard!G453)),InfoGard!G453&lt;&gt;"N/A"),IF(C453="All",CONCATENATE(Lookup!F$2,D453,Lookup!G$2,B453,Lookup!H$2,H$1,Lookup!I$2),CONCATENATE(Lookup!F$3,D453,Lookup!G$3,B453,Lookup!H$3)),"no url")</f>
        <v>no url</v>
      </c>
    </row>
    <row r="454" spans="1:6" hidden="1" x14ac:dyDescent="0.25">
      <c r="A454" s="2" t="b">
        <f>IF(ISBLANK(InfoGard!D454),FALSE,LOOKUP(InfoGard!D454,Lookup!$A$2:$B$4))</f>
        <v>0</v>
      </c>
      <c r="B454" s="2" t="b">
        <f>IF(ISBLANK(InfoGard!E454),FALSE,RIGHT(TRIM(InfoGard!E454),15))</f>
        <v>0</v>
      </c>
      <c r="C454" s="2" t="b">
        <f>IF(ISBLANK(InfoGard!F454),FALSE,LOOKUP(InfoGard!F454,Lookup!$A$6:$B$7))</f>
        <v>0</v>
      </c>
      <c r="D454" s="2" t="b">
        <f>IF(ISBLANK(InfoGard!G454),FALSE,InfoGard!G454)</f>
        <v>0</v>
      </c>
      <c r="E454" s="2" t="str">
        <f>IF(NOT(ISBLANK(InfoGard!D454)),IF(OR(ISBLANK(InfoGard!E454),InfoGard!E454="N/A"),"no acb code",CONCATENATE(Lookup!F$1,A454,Lookup!G$1,B454,Lookup!H$1,H$1,Lookup!I$1)),"no attestation")</f>
        <v>no attestation</v>
      </c>
      <c r="F454" s="2" t="str">
        <f>IF(AND(NOT(ISBLANK(InfoGard!G454)),InfoGard!G454&lt;&gt;"N/A"),IF(C454="All",CONCATENATE(Lookup!F$2,D454,Lookup!G$2,B454,Lookup!H$2,H$1,Lookup!I$2),CONCATENATE(Lookup!F$3,D454,Lookup!G$3,B454,Lookup!H$3)),"no url")</f>
        <v>no url</v>
      </c>
    </row>
    <row r="455" spans="1:6" hidden="1" x14ac:dyDescent="0.25">
      <c r="A455" s="2" t="b">
        <f>IF(ISBLANK(InfoGard!D455),FALSE,LOOKUP(InfoGard!D455,Lookup!$A$2:$B$4))</f>
        <v>0</v>
      </c>
      <c r="B455" s="2" t="b">
        <f>IF(ISBLANK(InfoGard!E455),FALSE,RIGHT(TRIM(InfoGard!E455),15))</f>
        <v>0</v>
      </c>
      <c r="C455" s="2" t="b">
        <f>IF(ISBLANK(InfoGard!F455),FALSE,LOOKUP(InfoGard!F455,Lookup!$A$6:$B$7))</f>
        <v>0</v>
      </c>
      <c r="D455" s="2" t="b">
        <f>IF(ISBLANK(InfoGard!G455),FALSE,InfoGard!G455)</f>
        <v>0</v>
      </c>
      <c r="E455" s="2" t="str">
        <f>IF(NOT(ISBLANK(InfoGard!D455)),IF(OR(ISBLANK(InfoGard!E455),InfoGard!E455="N/A"),"no acb code",CONCATENATE(Lookup!F$1,A455,Lookup!G$1,B455,Lookup!H$1,H$1,Lookup!I$1)),"no attestation")</f>
        <v>no attestation</v>
      </c>
      <c r="F455" s="2" t="str">
        <f>IF(AND(NOT(ISBLANK(InfoGard!G455)),InfoGard!G455&lt;&gt;"N/A"),IF(C455="All",CONCATENATE(Lookup!F$2,D455,Lookup!G$2,B455,Lookup!H$2,H$1,Lookup!I$2),CONCATENATE(Lookup!F$3,D455,Lookup!G$3,B455,Lookup!H$3)),"no url")</f>
        <v>no url</v>
      </c>
    </row>
    <row r="456" spans="1:6" hidden="1" x14ac:dyDescent="0.25">
      <c r="A456" s="2" t="b">
        <f>IF(ISBLANK(InfoGard!D456),FALSE,LOOKUP(InfoGard!D456,Lookup!$A$2:$B$4))</f>
        <v>0</v>
      </c>
      <c r="B456" s="2" t="b">
        <f>IF(ISBLANK(InfoGard!E456),FALSE,RIGHT(TRIM(InfoGard!E456),15))</f>
        <v>0</v>
      </c>
      <c r="C456" s="2" t="b">
        <f>IF(ISBLANK(InfoGard!F456),FALSE,LOOKUP(InfoGard!F456,Lookup!$A$6:$B$7))</f>
        <v>0</v>
      </c>
      <c r="D456" s="2" t="b">
        <f>IF(ISBLANK(InfoGard!G456),FALSE,InfoGard!G456)</f>
        <v>0</v>
      </c>
      <c r="E456" s="2" t="str">
        <f>IF(NOT(ISBLANK(InfoGard!D456)),IF(OR(ISBLANK(InfoGard!E456),InfoGard!E456="N/A"),"no acb code",CONCATENATE(Lookup!F$1,A456,Lookup!G$1,B456,Lookup!H$1,H$1,Lookup!I$1)),"no attestation")</f>
        <v>no attestation</v>
      </c>
      <c r="F456" s="2" t="str">
        <f>IF(AND(NOT(ISBLANK(InfoGard!G456)),InfoGard!G456&lt;&gt;"N/A"),IF(C456="All",CONCATENATE(Lookup!F$2,D456,Lookup!G$2,B456,Lookup!H$2,H$1,Lookup!I$2),CONCATENATE(Lookup!F$3,D456,Lookup!G$3,B456,Lookup!H$3)),"no url")</f>
        <v>no url</v>
      </c>
    </row>
    <row r="457" spans="1:6" hidden="1" x14ac:dyDescent="0.25">
      <c r="A457" s="2" t="b">
        <f>IF(ISBLANK(InfoGard!D457),FALSE,LOOKUP(InfoGard!D457,Lookup!$A$2:$B$4))</f>
        <v>0</v>
      </c>
      <c r="B457" s="2" t="b">
        <f>IF(ISBLANK(InfoGard!E457),FALSE,RIGHT(TRIM(InfoGard!E457),15))</f>
        <v>0</v>
      </c>
      <c r="C457" s="2" t="b">
        <f>IF(ISBLANK(InfoGard!F457),FALSE,LOOKUP(InfoGard!F457,Lookup!$A$6:$B$7))</f>
        <v>0</v>
      </c>
      <c r="D457" s="2" t="b">
        <f>IF(ISBLANK(InfoGard!G457),FALSE,InfoGard!G457)</f>
        <v>0</v>
      </c>
      <c r="E457" s="2" t="str">
        <f>IF(NOT(ISBLANK(InfoGard!D457)),IF(OR(ISBLANK(InfoGard!E457),InfoGard!E457="N/A"),"no acb code",CONCATENATE(Lookup!F$1,A457,Lookup!G$1,B457,Lookup!H$1,H$1,Lookup!I$1)),"no attestation")</f>
        <v>no attestation</v>
      </c>
      <c r="F457" s="2" t="str">
        <f>IF(AND(NOT(ISBLANK(InfoGard!G457)),InfoGard!G457&lt;&gt;"N/A"),IF(C457="All",CONCATENATE(Lookup!F$2,D457,Lookup!G$2,B457,Lookup!H$2,H$1,Lookup!I$2),CONCATENATE(Lookup!F$3,D457,Lookup!G$3,B457,Lookup!H$3)),"no url")</f>
        <v>no url</v>
      </c>
    </row>
    <row r="458" spans="1:6" hidden="1" x14ac:dyDescent="0.25">
      <c r="A458" s="2" t="b">
        <f>IF(ISBLANK(InfoGard!D458),FALSE,LOOKUP(InfoGard!D458,Lookup!$A$2:$B$4))</f>
        <v>0</v>
      </c>
      <c r="B458" s="2" t="b">
        <f>IF(ISBLANK(InfoGard!E458),FALSE,RIGHT(TRIM(InfoGard!E458),15))</f>
        <v>0</v>
      </c>
      <c r="C458" s="2" t="b">
        <f>IF(ISBLANK(InfoGard!F458),FALSE,LOOKUP(InfoGard!F458,Lookup!$A$6:$B$7))</f>
        <v>0</v>
      </c>
      <c r="D458" s="2" t="b">
        <f>IF(ISBLANK(InfoGard!G458),FALSE,InfoGard!G458)</f>
        <v>0</v>
      </c>
      <c r="E458" s="2" t="str">
        <f>IF(NOT(ISBLANK(InfoGard!D458)),IF(OR(ISBLANK(InfoGard!E458),InfoGard!E458="N/A"),"no acb code",CONCATENATE(Lookup!F$1,A458,Lookup!G$1,B458,Lookup!H$1,H$1,Lookup!I$1)),"no attestation")</f>
        <v>no attestation</v>
      </c>
      <c r="F458" s="2" t="str">
        <f>IF(AND(NOT(ISBLANK(InfoGard!G458)),InfoGard!G458&lt;&gt;"N/A"),IF(C458="All",CONCATENATE(Lookup!F$2,D458,Lookup!G$2,B458,Lookup!H$2,H$1,Lookup!I$2),CONCATENATE(Lookup!F$3,D458,Lookup!G$3,B458,Lookup!H$3)),"no url")</f>
        <v>no url</v>
      </c>
    </row>
    <row r="459" spans="1:6" hidden="1" x14ac:dyDescent="0.25">
      <c r="A459" s="2" t="b">
        <f>IF(ISBLANK(InfoGard!D459),FALSE,LOOKUP(InfoGard!D459,Lookup!$A$2:$B$4))</f>
        <v>0</v>
      </c>
      <c r="B459" s="2" t="b">
        <f>IF(ISBLANK(InfoGard!E459),FALSE,RIGHT(TRIM(InfoGard!E459),15))</f>
        <v>0</v>
      </c>
      <c r="C459" s="2" t="b">
        <f>IF(ISBLANK(InfoGard!F459),FALSE,LOOKUP(InfoGard!F459,Lookup!$A$6:$B$7))</f>
        <v>0</v>
      </c>
      <c r="D459" s="2" t="b">
        <f>IF(ISBLANK(InfoGard!G459),FALSE,InfoGard!G459)</f>
        <v>0</v>
      </c>
      <c r="E459" s="2" t="str">
        <f>IF(NOT(ISBLANK(InfoGard!D459)),IF(OR(ISBLANK(InfoGard!E459),InfoGard!E459="N/A"),"no acb code",CONCATENATE(Lookup!F$1,A459,Lookup!G$1,B459,Lookup!H$1,H$1,Lookup!I$1)),"no attestation")</f>
        <v>no attestation</v>
      </c>
      <c r="F459" s="2" t="str">
        <f>IF(AND(NOT(ISBLANK(InfoGard!G459)),InfoGard!G459&lt;&gt;"N/A"),IF(C459="All",CONCATENATE(Lookup!F$2,D459,Lookup!G$2,B459,Lookup!H$2,H$1,Lookup!I$2),CONCATENATE(Lookup!F$3,D459,Lookup!G$3,B459,Lookup!H$3)),"no url")</f>
        <v>no url</v>
      </c>
    </row>
    <row r="460" spans="1:6" x14ac:dyDescent="0.25">
      <c r="A460" s="2" t="str">
        <f>IF(ISBLANK(InfoGard!D460),FALSE,LOOKUP(InfoGard!D460,Lookup!$A$2:$B$4))</f>
        <v>Affirmative</v>
      </c>
      <c r="B460" s="2" t="str">
        <f>IF(ISBLANK(InfoGard!E460),FALSE,RIGHT(TRIM(InfoGard!E460),15))</f>
        <v>IG-3126-15-0066</v>
      </c>
      <c r="C460" s="2" t="str">
        <f>IF(ISBLANK(InfoGard!F460),FALSE,LOOKUP(InfoGard!F460,Lookup!$A$6:$B$7))</f>
        <v>All</v>
      </c>
      <c r="D460" s="2" t="str">
        <f>IF(ISBLANK(InfoGard!G460),FALSE,InfoGard!G460)</f>
        <v>http://www.figmd.com/</v>
      </c>
      <c r="E460" s="2" t="str">
        <f>IF(NOT(ISBLANK(InfoGard!D460)),IF(OR(ISBLANK(InfoGard!E460),InfoGard!E460="N/A"),"no acb code",CONCATENATE(Lookup!F$1,A460,Lookup!G$1,B460,Lookup!H$1,H$1,Lookup!I$1)),"no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'IG-3126-15-0066' and cb."name" = 'InfoGard' and cp.product_version_id = pv.product_version_id and pv.product_id = p.product_id and p.vendor_id = vend.vendor_id;</v>
      </c>
      <c r="F460" s="2" t="str">
        <f>IF(AND(NOT(ISBLANK(InfoGard!G460)),InfoGard!G460&lt;&gt;"N/A"),IF(C460="All",CONCATENATE(Lookup!F$2,D460,Lookup!G$2,B460,Lookup!H$2,H$1,Lookup!I$2),CONCATENATE(Lookup!F$3,D460,Lookup!G$3,B460,Lookup!H$3)),"no url")</f>
        <v>update openchpl.certified_product as cp set transparency_attestation_url = 'http://www.figmd.com/' from (select certified_product_id from (select vend.vendor_code from openchpl.certified_product as cp, openchpl.product_version as pv, openchpl.product as p, openchpl.vendor as vend where cp.acb_certification_id = 'IG-3126-15-0066'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61" spans="1:6" hidden="1" x14ac:dyDescent="0.25">
      <c r="A461" s="2" t="b">
        <f>IF(ISBLANK(InfoGard!D461),FALSE,LOOKUP(InfoGard!D461,Lookup!$A$2:$B$4))</f>
        <v>0</v>
      </c>
      <c r="B461" s="2" t="b">
        <f>IF(ISBLANK(InfoGard!E461),FALSE,RIGHT(TRIM(InfoGard!E461),15))</f>
        <v>0</v>
      </c>
      <c r="C461" s="2" t="b">
        <f>IF(ISBLANK(InfoGard!F461),FALSE,LOOKUP(InfoGard!F461,Lookup!$A$6:$B$7))</f>
        <v>0</v>
      </c>
      <c r="D461" s="2" t="b">
        <f>IF(ISBLANK(InfoGard!G461),FALSE,InfoGard!G461)</f>
        <v>0</v>
      </c>
      <c r="E461" s="2" t="str">
        <f>IF(NOT(ISBLANK(InfoGard!D461)),IF(OR(ISBLANK(InfoGard!E461),InfoGard!E461="N/A"),"no acb code",CONCATENATE(Lookup!F$1,A461,Lookup!G$1,B461,Lookup!H$1,H$1,Lookup!I$1)),"no attestation")</f>
        <v>no attestation</v>
      </c>
      <c r="F461" s="2" t="str">
        <f>IF(AND(NOT(ISBLANK(InfoGard!G461)),InfoGard!G461&lt;&gt;"N/A"),IF(C461="All",CONCATENATE(Lookup!F$2,D461,Lookup!G$2,B461,Lookup!H$2,H$1,Lookup!I$2),CONCATENATE(Lookup!F$3,D461,Lookup!G$3,B461,Lookup!H$3)),"no url")</f>
        <v>no url</v>
      </c>
    </row>
    <row r="462" spans="1:6" hidden="1" x14ac:dyDescent="0.25">
      <c r="A462" s="2" t="b">
        <f>IF(ISBLANK(InfoGard!D462),FALSE,LOOKUP(InfoGard!D462,Lookup!$A$2:$B$4))</f>
        <v>0</v>
      </c>
      <c r="B462" s="2" t="b">
        <f>IF(ISBLANK(InfoGard!E462),FALSE,RIGHT(TRIM(InfoGard!E462),15))</f>
        <v>0</v>
      </c>
      <c r="C462" s="2" t="b">
        <f>IF(ISBLANK(InfoGard!F462),FALSE,LOOKUP(InfoGard!F462,Lookup!$A$6:$B$7))</f>
        <v>0</v>
      </c>
      <c r="D462" s="2" t="b">
        <f>IF(ISBLANK(InfoGard!G462),FALSE,InfoGard!G462)</f>
        <v>0</v>
      </c>
      <c r="E462" s="2" t="str">
        <f>IF(NOT(ISBLANK(InfoGard!D462)),IF(OR(ISBLANK(InfoGard!E462),InfoGard!E462="N/A"),"no acb code",CONCATENATE(Lookup!F$1,A462,Lookup!G$1,B462,Lookup!H$1,H$1,Lookup!I$1)),"no attestation")</f>
        <v>no attestation</v>
      </c>
      <c r="F462" s="2" t="str">
        <f>IF(AND(NOT(ISBLANK(InfoGard!G462)),InfoGard!G462&lt;&gt;"N/A"),IF(C462="All",CONCATENATE(Lookup!F$2,D462,Lookup!G$2,B462,Lookup!H$2,H$1,Lookup!I$2),CONCATENATE(Lookup!F$3,D462,Lookup!G$3,B462,Lookup!H$3)),"no url")</f>
        <v>no url</v>
      </c>
    </row>
    <row r="463" spans="1:6" x14ac:dyDescent="0.25">
      <c r="A463" s="2" t="str">
        <f>IF(ISBLANK(InfoGard!D463),FALSE,LOOKUP(InfoGard!D463,Lookup!$A$2:$B$4))</f>
        <v>Affirmative</v>
      </c>
      <c r="B463" s="2" t="str">
        <f>IF(ISBLANK(InfoGard!E463),FALSE,RIGHT(TRIM(InfoGard!E463),15))</f>
        <v>IG-2936-13-0004</v>
      </c>
      <c r="C463" s="2" t="str">
        <f>IF(ISBLANK(InfoGard!F463),FALSE,LOOKUP(InfoGard!F463,Lookup!$A$6:$B$7))</f>
        <v>All</v>
      </c>
      <c r="D463" s="2" t="str">
        <f>IF(ISBLANK(InfoGard!G463),FALSE,InfoGard!G463)</f>
        <v>http://www.fairwarning.com/meaningful-use/</v>
      </c>
      <c r="E463" s="2" t="str">
        <f>IF(NOT(ISBLANK(InfoGard!D463)),IF(OR(ISBLANK(InfoGard!E463),InfoGard!E463="N/A"),"no acb code",CONCATENATE(Lookup!F$1,A463,Lookup!G$1,B463,Lookup!H$1,H$1,Lookup!I$1)),"no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'IG-2936-13-0004' and cb."name" = 'InfoGard' and cp.product_version_id = pv.product_version_id and pv.product_id = p.product_id and p.vendor_id = vend.vendor_id;</v>
      </c>
      <c r="F463" s="2" t="str">
        <f>IF(AND(NOT(ISBLANK(InfoGard!G463)),InfoGard!G463&lt;&gt;"N/A"),IF(C463="All",CONCATENATE(Lookup!F$2,D463,Lookup!G$2,B463,Lookup!H$2,H$1,Lookup!I$2),CONCATENATE(Lookup!F$3,D463,Lookup!G$3,B463,Lookup!H$3)),"no url")</f>
        <v>update openchpl.certified_product as cp set transparency_attestation_url = 'http://www.fairwarning.com/meaningful-use/' from (select certified_product_id from (select vend.vendor_code from openchpl.certified_product as cp, openchpl.product_version as pv, openchpl.product as p, openchpl.vendor as vend where cp.acb_certification_id = 'IG-2936-13-0004'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64" spans="1:6" hidden="1" x14ac:dyDescent="0.25">
      <c r="A464" s="2" t="b">
        <f>IF(ISBLANK(InfoGard!D464),FALSE,LOOKUP(InfoGard!D464,Lookup!$A$2:$B$4))</f>
        <v>0</v>
      </c>
      <c r="B464" s="2" t="b">
        <f>IF(ISBLANK(InfoGard!E464),FALSE,RIGHT(TRIM(InfoGard!E464),15))</f>
        <v>0</v>
      </c>
      <c r="C464" s="2" t="b">
        <f>IF(ISBLANK(InfoGard!F464),FALSE,LOOKUP(InfoGard!F464,Lookup!$A$6:$B$7))</f>
        <v>0</v>
      </c>
      <c r="D464" s="2" t="b">
        <f>IF(ISBLANK(InfoGard!G464),FALSE,InfoGard!G464)</f>
        <v>0</v>
      </c>
      <c r="E464" s="2" t="str">
        <f>IF(NOT(ISBLANK(InfoGard!D464)),IF(OR(ISBLANK(InfoGard!E464),InfoGard!E464="N/A"),"no acb code",CONCATENATE(Lookup!F$1,A464,Lookup!G$1,B464,Lookup!H$1,H$1,Lookup!I$1)),"no attestation")</f>
        <v>no attestation</v>
      </c>
      <c r="F464" s="2" t="str">
        <f>IF(AND(NOT(ISBLANK(InfoGard!G464)),InfoGard!G464&lt;&gt;"N/A"),IF(C464="All",CONCATENATE(Lookup!F$2,D464,Lookup!G$2,B464,Lookup!H$2,H$1,Lookup!I$2),CONCATENATE(Lookup!F$3,D464,Lookup!G$3,B464,Lookup!H$3)),"no url")</f>
        <v>no url</v>
      </c>
    </row>
    <row r="465" spans="1:6" hidden="1" x14ac:dyDescent="0.25">
      <c r="A465" s="2" t="b">
        <f>IF(ISBLANK(InfoGard!D465),FALSE,LOOKUP(InfoGard!D465,Lookup!$A$2:$B$4))</f>
        <v>0</v>
      </c>
      <c r="B465" s="2" t="b">
        <f>IF(ISBLANK(InfoGard!E465),FALSE,RIGHT(TRIM(InfoGard!E465),15))</f>
        <v>0</v>
      </c>
      <c r="C465" s="2" t="b">
        <f>IF(ISBLANK(InfoGard!F465),FALSE,LOOKUP(InfoGard!F465,Lookup!$A$6:$B$7))</f>
        <v>0</v>
      </c>
      <c r="D465" s="2" t="b">
        <f>IF(ISBLANK(InfoGard!G465),FALSE,InfoGard!G465)</f>
        <v>0</v>
      </c>
      <c r="E465" s="2" t="str">
        <f>IF(NOT(ISBLANK(InfoGard!D465)),IF(OR(ISBLANK(InfoGard!E465),InfoGard!E465="N/A"),"no acb code",CONCATENATE(Lookup!F$1,A465,Lookup!G$1,B465,Lookup!H$1,H$1,Lookup!I$1)),"no attestation")</f>
        <v>no attestation</v>
      </c>
      <c r="F465" s="2" t="str">
        <f>IF(AND(NOT(ISBLANK(InfoGard!G465)),InfoGard!G465&lt;&gt;"N/A"),IF(C465="All",CONCATENATE(Lookup!F$2,D465,Lookup!G$2,B465,Lookup!H$2,H$1,Lookup!I$2),CONCATENATE(Lookup!F$3,D465,Lookup!G$3,B465,Lookup!H$3)),"no url")</f>
        <v>no url</v>
      </c>
    </row>
    <row r="466" spans="1:6" hidden="1" x14ac:dyDescent="0.25">
      <c r="A466" s="2" t="b">
        <f>IF(ISBLANK(InfoGard!D466),FALSE,LOOKUP(InfoGard!D466,Lookup!$A$2:$B$4))</f>
        <v>0</v>
      </c>
      <c r="B466" s="2" t="b">
        <f>IF(ISBLANK(InfoGard!E466),FALSE,RIGHT(TRIM(InfoGard!E466),15))</f>
        <v>0</v>
      </c>
      <c r="C466" s="2" t="b">
        <f>IF(ISBLANK(InfoGard!F466),FALSE,LOOKUP(InfoGard!F466,Lookup!$A$6:$B$7))</f>
        <v>0</v>
      </c>
      <c r="D466" s="2" t="b">
        <f>IF(ISBLANK(InfoGard!G466),FALSE,InfoGard!G466)</f>
        <v>0</v>
      </c>
      <c r="E466" s="2" t="str">
        <f>IF(NOT(ISBLANK(InfoGard!D466)),IF(OR(ISBLANK(InfoGard!E466),InfoGard!E466="N/A"),"no acb code",CONCATENATE(Lookup!F$1,A466,Lookup!G$1,B466,Lookup!H$1,H$1,Lookup!I$1)),"no attestation")</f>
        <v>no attestation</v>
      </c>
      <c r="F466" s="2" t="str">
        <f>IF(AND(NOT(ISBLANK(InfoGard!G466)),InfoGard!G466&lt;&gt;"N/A"),IF(C466="All",CONCATENATE(Lookup!F$2,D466,Lookup!G$2,B466,Lookup!H$2,H$1,Lookup!I$2),CONCATENATE(Lookup!F$3,D466,Lookup!G$3,B466,Lookup!H$3)),"no url")</f>
        <v>no url</v>
      </c>
    </row>
    <row r="467" spans="1:6" hidden="1" x14ac:dyDescent="0.25">
      <c r="A467" s="2" t="b">
        <f>IF(ISBLANK(InfoGard!D467),FALSE,LOOKUP(InfoGard!D467,Lookup!$A$2:$B$4))</f>
        <v>0</v>
      </c>
      <c r="B467" s="2" t="b">
        <f>IF(ISBLANK(InfoGard!E467),FALSE,RIGHT(TRIM(InfoGard!E467),15))</f>
        <v>0</v>
      </c>
      <c r="C467" s="2" t="b">
        <f>IF(ISBLANK(InfoGard!F467),FALSE,LOOKUP(InfoGard!F467,Lookup!$A$6:$B$7))</f>
        <v>0</v>
      </c>
      <c r="D467" s="2" t="b">
        <f>IF(ISBLANK(InfoGard!G467),FALSE,InfoGard!G467)</f>
        <v>0</v>
      </c>
      <c r="E467" s="2" t="str">
        <f>IF(NOT(ISBLANK(InfoGard!D467)),IF(OR(ISBLANK(InfoGard!E467),InfoGard!E467="N/A"),"no acb code",CONCATENATE(Lookup!F$1,A467,Lookup!G$1,B467,Lookup!H$1,H$1,Lookup!I$1)),"no attestation")</f>
        <v>no attestation</v>
      </c>
      <c r="F467" s="2" t="str">
        <f>IF(AND(NOT(ISBLANK(InfoGard!G467)),InfoGard!G467&lt;&gt;"N/A"),IF(C467="All",CONCATENATE(Lookup!F$2,D467,Lookup!G$2,B467,Lookup!H$2,H$1,Lookup!I$2),CONCATENATE(Lookup!F$3,D467,Lookup!G$3,B467,Lookup!H$3)),"no url")</f>
        <v>no url</v>
      </c>
    </row>
    <row r="468" spans="1:6" hidden="1" x14ac:dyDescent="0.25">
      <c r="A468" s="2" t="b">
        <f>IF(ISBLANK(InfoGard!D468),FALSE,LOOKUP(InfoGard!D468,Lookup!$A$2:$B$4))</f>
        <v>0</v>
      </c>
      <c r="B468" s="2" t="b">
        <f>IF(ISBLANK(InfoGard!E468),FALSE,RIGHT(TRIM(InfoGard!E468),15))</f>
        <v>0</v>
      </c>
      <c r="C468" s="2" t="b">
        <f>IF(ISBLANK(InfoGard!F468),FALSE,LOOKUP(InfoGard!F468,Lookup!$A$6:$B$7))</f>
        <v>0</v>
      </c>
      <c r="D468" s="2" t="b">
        <f>IF(ISBLANK(InfoGard!G468),FALSE,InfoGard!G468)</f>
        <v>0</v>
      </c>
      <c r="E468" s="2" t="str">
        <f>IF(NOT(ISBLANK(InfoGard!D468)),IF(OR(ISBLANK(InfoGard!E468),InfoGard!E468="N/A"),"no acb code",CONCATENATE(Lookup!F$1,A468,Lookup!G$1,B468,Lookup!H$1,H$1,Lookup!I$1)),"no attestation")</f>
        <v>no attestation</v>
      </c>
      <c r="F468" s="2" t="str">
        <f>IF(AND(NOT(ISBLANK(InfoGard!G468)),InfoGard!G468&lt;&gt;"N/A"),IF(C468="All",CONCATENATE(Lookup!F$2,D468,Lookup!G$2,B468,Lookup!H$2,H$1,Lookup!I$2),CONCATENATE(Lookup!F$3,D468,Lookup!G$3,B468,Lookup!H$3)),"no url")</f>
        <v>no url</v>
      </c>
    </row>
    <row r="469" spans="1:6" hidden="1" x14ac:dyDescent="0.25">
      <c r="A469" s="2" t="b">
        <f>IF(ISBLANK(InfoGard!D469),FALSE,LOOKUP(InfoGard!D469,Lookup!$A$2:$B$4))</f>
        <v>0</v>
      </c>
      <c r="B469" s="2" t="b">
        <f>IF(ISBLANK(InfoGard!E469),FALSE,RIGHT(TRIM(InfoGard!E469),15))</f>
        <v>0</v>
      </c>
      <c r="C469" s="2" t="b">
        <f>IF(ISBLANK(InfoGard!F469),FALSE,LOOKUP(InfoGard!F469,Lookup!$A$6:$B$7))</f>
        <v>0</v>
      </c>
      <c r="D469" s="2" t="b">
        <f>IF(ISBLANK(InfoGard!G469),FALSE,InfoGard!G469)</f>
        <v>0</v>
      </c>
      <c r="E469" s="2" t="str">
        <f>IF(NOT(ISBLANK(InfoGard!D469)),IF(OR(ISBLANK(InfoGard!E469),InfoGard!E469="N/A"),"no acb code",CONCATENATE(Lookup!F$1,A469,Lookup!G$1,B469,Lookup!H$1,H$1,Lookup!I$1)),"no attestation")</f>
        <v>no attestation</v>
      </c>
      <c r="F469" s="2" t="str">
        <f>IF(AND(NOT(ISBLANK(InfoGard!G469)),InfoGard!G469&lt;&gt;"N/A"),IF(C469="All",CONCATENATE(Lookup!F$2,D469,Lookup!G$2,B469,Lookup!H$2,H$1,Lookup!I$2),CONCATENATE(Lookup!F$3,D469,Lookup!G$3,B469,Lookup!H$3)),"no url")</f>
        <v>no url</v>
      </c>
    </row>
    <row r="470" spans="1:6" hidden="1" x14ac:dyDescent="0.25">
      <c r="A470" s="2" t="b">
        <f>IF(ISBLANK(InfoGard!D470),FALSE,LOOKUP(InfoGard!D470,Lookup!$A$2:$B$4))</f>
        <v>0</v>
      </c>
      <c r="B470" s="2" t="b">
        <f>IF(ISBLANK(InfoGard!E470),FALSE,RIGHT(TRIM(InfoGard!E470),15))</f>
        <v>0</v>
      </c>
      <c r="C470" s="2" t="b">
        <f>IF(ISBLANK(InfoGard!F470),FALSE,LOOKUP(InfoGard!F470,Lookup!$A$6:$B$7))</f>
        <v>0</v>
      </c>
      <c r="D470" s="2" t="b">
        <f>IF(ISBLANK(InfoGard!G470),FALSE,InfoGard!G470)</f>
        <v>0</v>
      </c>
      <c r="E470" s="2" t="str">
        <f>IF(NOT(ISBLANK(InfoGard!D470)),IF(OR(ISBLANK(InfoGard!E470),InfoGard!E470="N/A"),"no acb code",CONCATENATE(Lookup!F$1,A470,Lookup!G$1,B470,Lookup!H$1,H$1,Lookup!I$1)),"no attestation")</f>
        <v>no attestation</v>
      </c>
      <c r="F470" s="2" t="str">
        <f>IF(AND(NOT(ISBLANK(InfoGard!G470)),InfoGard!G470&lt;&gt;"N/A"),IF(C470="All",CONCATENATE(Lookup!F$2,D470,Lookup!G$2,B470,Lookup!H$2,H$1,Lookup!I$2),CONCATENATE(Lookup!F$3,D470,Lookup!G$3,B470,Lookup!H$3)),"no url")</f>
        <v>no url</v>
      </c>
    </row>
    <row r="471" spans="1:6" hidden="1" x14ac:dyDescent="0.25">
      <c r="A471" s="2" t="b">
        <f>IF(ISBLANK(InfoGard!D471),FALSE,LOOKUP(InfoGard!D471,Lookup!$A$2:$B$4))</f>
        <v>0</v>
      </c>
      <c r="B471" s="2" t="b">
        <f>IF(ISBLANK(InfoGard!E471),FALSE,RIGHT(TRIM(InfoGard!E471),15))</f>
        <v>0</v>
      </c>
      <c r="C471" s="2" t="b">
        <f>IF(ISBLANK(InfoGard!F471),FALSE,LOOKUP(InfoGard!F471,Lookup!$A$6:$B$7))</f>
        <v>0</v>
      </c>
      <c r="D471" s="2" t="b">
        <f>IF(ISBLANK(InfoGard!G471),FALSE,InfoGard!G471)</f>
        <v>0</v>
      </c>
      <c r="E471" s="2" t="str">
        <f>IF(NOT(ISBLANK(InfoGard!D471)),IF(OR(ISBLANK(InfoGard!E471),InfoGard!E471="N/A"),"no acb code",CONCATENATE(Lookup!F$1,A471,Lookup!G$1,B471,Lookup!H$1,H$1,Lookup!I$1)),"no attestation")</f>
        <v>no attestation</v>
      </c>
      <c r="F471" s="2" t="str">
        <f>IF(AND(NOT(ISBLANK(InfoGard!G471)),InfoGard!G471&lt;&gt;"N/A"),IF(C471="All",CONCATENATE(Lookup!F$2,D471,Lookup!G$2,B471,Lookup!H$2,H$1,Lookup!I$2),CONCATENATE(Lookup!F$3,D471,Lookup!G$3,B471,Lookup!H$3)),"no url")</f>
        <v>no url</v>
      </c>
    </row>
    <row r="472" spans="1:6" hidden="1" x14ac:dyDescent="0.25">
      <c r="A472" s="2" t="b">
        <f>IF(ISBLANK(InfoGard!D472),FALSE,LOOKUP(InfoGard!D472,Lookup!$A$2:$B$4))</f>
        <v>0</v>
      </c>
      <c r="B472" s="2" t="b">
        <f>IF(ISBLANK(InfoGard!E472),FALSE,RIGHT(TRIM(InfoGard!E472),15))</f>
        <v>0</v>
      </c>
      <c r="C472" s="2" t="b">
        <f>IF(ISBLANK(InfoGard!F472),FALSE,LOOKUP(InfoGard!F472,Lookup!$A$6:$B$7))</f>
        <v>0</v>
      </c>
      <c r="D472" s="2" t="b">
        <f>IF(ISBLANK(InfoGard!G472),FALSE,InfoGard!G472)</f>
        <v>0</v>
      </c>
      <c r="E472" s="2" t="str">
        <f>IF(NOT(ISBLANK(InfoGard!D472)),IF(OR(ISBLANK(InfoGard!E472),InfoGard!E472="N/A"),"no acb code",CONCATENATE(Lookup!F$1,A472,Lookup!G$1,B472,Lookup!H$1,H$1,Lookup!I$1)),"no attestation")</f>
        <v>no attestation</v>
      </c>
      <c r="F472" s="2" t="str">
        <f>IF(AND(NOT(ISBLANK(InfoGard!G472)),InfoGard!G472&lt;&gt;"N/A"),IF(C472="All",CONCATENATE(Lookup!F$2,D472,Lookup!G$2,B472,Lookup!H$2,H$1,Lookup!I$2),CONCATENATE(Lookup!F$3,D472,Lookup!G$3,B472,Lookup!H$3)),"no url")</f>
        <v>no url</v>
      </c>
    </row>
    <row r="473" spans="1:6" hidden="1" x14ac:dyDescent="0.25">
      <c r="A473" s="2" t="b">
        <f>IF(ISBLANK(InfoGard!D473),FALSE,LOOKUP(InfoGard!D473,Lookup!$A$2:$B$4))</f>
        <v>0</v>
      </c>
      <c r="B473" s="2" t="b">
        <f>IF(ISBLANK(InfoGard!E473),FALSE,RIGHT(TRIM(InfoGard!E473),15))</f>
        <v>0</v>
      </c>
      <c r="C473" s="2" t="b">
        <f>IF(ISBLANK(InfoGard!F473),FALSE,LOOKUP(InfoGard!F473,Lookup!$A$6:$B$7))</f>
        <v>0</v>
      </c>
      <c r="D473" s="2" t="b">
        <f>IF(ISBLANK(InfoGard!G473),FALSE,InfoGard!G473)</f>
        <v>0</v>
      </c>
      <c r="E473" s="2" t="str">
        <f>IF(NOT(ISBLANK(InfoGard!D473)),IF(OR(ISBLANK(InfoGard!E473),InfoGard!E473="N/A"),"no acb code",CONCATENATE(Lookup!F$1,A473,Lookup!G$1,B473,Lookup!H$1,H$1,Lookup!I$1)),"no attestation")</f>
        <v>no attestation</v>
      </c>
      <c r="F473" s="2" t="str">
        <f>IF(AND(NOT(ISBLANK(InfoGard!G473)),InfoGard!G473&lt;&gt;"N/A"),IF(C473="All",CONCATENATE(Lookup!F$2,D473,Lookup!G$2,B473,Lookup!H$2,H$1,Lookup!I$2),CONCATENATE(Lookup!F$3,D473,Lookup!G$3,B473,Lookup!H$3)),"no url")</f>
        <v>no url</v>
      </c>
    </row>
    <row r="474" spans="1:6" hidden="1" x14ac:dyDescent="0.25">
      <c r="A474" s="2" t="b">
        <f>IF(ISBLANK(InfoGard!D474),FALSE,LOOKUP(InfoGard!D474,Lookup!$A$2:$B$4))</f>
        <v>0</v>
      </c>
      <c r="B474" s="2" t="b">
        <f>IF(ISBLANK(InfoGard!E474),FALSE,RIGHT(TRIM(InfoGard!E474),15))</f>
        <v>0</v>
      </c>
      <c r="C474" s="2" t="b">
        <f>IF(ISBLANK(InfoGard!F474),FALSE,LOOKUP(InfoGard!F474,Lookup!$A$6:$B$7))</f>
        <v>0</v>
      </c>
      <c r="D474" s="2" t="b">
        <f>IF(ISBLANK(InfoGard!G474),FALSE,InfoGard!G474)</f>
        <v>0</v>
      </c>
      <c r="E474" s="2" t="str">
        <f>IF(NOT(ISBLANK(InfoGard!D474)),IF(OR(ISBLANK(InfoGard!E474),InfoGard!E474="N/A"),"no acb code",CONCATENATE(Lookup!F$1,A474,Lookup!G$1,B474,Lookup!H$1,H$1,Lookup!I$1)),"no attestation")</f>
        <v>no attestation</v>
      </c>
      <c r="F474" s="2" t="str">
        <f>IF(AND(NOT(ISBLANK(InfoGard!G474)),InfoGard!G474&lt;&gt;"N/A"),IF(C474="All",CONCATENATE(Lookup!F$2,D474,Lookup!G$2,B474,Lookup!H$2,H$1,Lookup!I$2),CONCATENATE(Lookup!F$3,D474,Lookup!G$3,B474,Lookup!H$3)),"no url")</f>
        <v>no url</v>
      </c>
    </row>
    <row r="475" spans="1:6" hidden="1" x14ac:dyDescent="0.25">
      <c r="A475" s="2" t="b">
        <f>IF(ISBLANK(InfoGard!D475),FALSE,LOOKUP(InfoGard!D475,Lookup!$A$2:$B$4))</f>
        <v>0</v>
      </c>
      <c r="B475" s="2" t="b">
        <f>IF(ISBLANK(InfoGard!E475),FALSE,RIGHT(TRIM(InfoGard!E475),15))</f>
        <v>0</v>
      </c>
      <c r="C475" s="2" t="b">
        <f>IF(ISBLANK(InfoGard!F475),FALSE,LOOKUP(InfoGard!F475,Lookup!$A$6:$B$7))</f>
        <v>0</v>
      </c>
      <c r="D475" s="2" t="b">
        <f>IF(ISBLANK(InfoGard!G475),FALSE,InfoGard!G475)</f>
        <v>0</v>
      </c>
      <c r="E475" s="2" t="str">
        <f>IF(NOT(ISBLANK(InfoGard!D475)),IF(OR(ISBLANK(InfoGard!E475),InfoGard!E475="N/A"),"no acb code",CONCATENATE(Lookup!F$1,A475,Lookup!G$1,B475,Lookup!H$1,H$1,Lookup!I$1)),"no attestation")</f>
        <v>no attestation</v>
      </c>
      <c r="F475" s="2" t="str">
        <f>IF(AND(NOT(ISBLANK(InfoGard!G475)),InfoGard!G475&lt;&gt;"N/A"),IF(C475="All",CONCATENATE(Lookup!F$2,D475,Lookup!G$2,B475,Lookup!H$2,H$1,Lookup!I$2),CONCATENATE(Lookup!F$3,D475,Lookup!G$3,B475,Lookup!H$3)),"no url")</f>
        <v>no url</v>
      </c>
    </row>
    <row r="476" spans="1:6" hidden="1" x14ac:dyDescent="0.25">
      <c r="A476" s="2" t="b">
        <f>IF(ISBLANK(InfoGard!D476),FALSE,LOOKUP(InfoGard!D476,Lookup!$A$2:$B$4))</f>
        <v>0</v>
      </c>
      <c r="B476" s="2" t="b">
        <f>IF(ISBLANK(InfoGard!E476),FALSE,RIGHT(TRIM(InfoGard!E476),15))</f>
        <v>0</v>
      </c>
      <c r="C476" s="2" t="b">
        <f>IF(ISBLANK(InfoGard!F476),FALSE,LOOKUP(InfoGard!F476,Lookup!$A$6:$B$7))</f>
        <v>0</v>
      </c>
      <c r="D476" s="2" t="b">
        <f>IF(ISBLANK(InfoGard!G476),FALSE,InfoGard!G476)</f>
        <v>0</v>
      </c>
      <c r="E476" s="2" t="str">
        <f>IF(NOT(ISBLANK(InfoGard!D476)),IF(OR(ISBLANK(InfoGard!E476),InfoGard!E476="N/A"),"no acb code",CONCATENATE(Lookup!F$1,A476,Lookup!G$1,B476,Lookup!H$1,H$1,Lookup!I$1)),"no attestation")</f>
        <v>no attestation</v>
      </c>
      <c r="F476" s="2" t="str">
        <f>IF(AND(NOT(ISBLANK(InfoGard!G476)),InfoGard!G476&lt;&gt;"N/A"),IF(C476="All",CONCATENATE(Lookup!F$2,D476,Lookup!G$2,B476,Lookup!H$2,H$1,Lookup!I$2),CONCATENATE(Lookup!F$3,D476,Lookup!G$3,B476,Lookup!H$3)),"no url")</f>
        <v>no url</v>
      </c>
    </row>
    <row r="477" spans="1:6" hidden="1" x14ac:dyDescent="0.25">
      <c r="A477" s="2" t="b">
        <f>IF(ISBLANK(InfoGard!D477),FALSE,LOOKUP(InfoGard!D477,Lookup!$A$2:$B$4))</f>
        <v>0</v>
      </c>
      <c r="B477" s="2" t="b">
        <f>IF(ISBLANK(InfoGard!E477),FALSE,RIGHT(TRIM(InfoGard!E477),15))</f>
        <v>0</v>
      </c>
      <c r="C477" s="2" t="b">
        <f>IF(ISBLANK(InfoGard!F477),FALSE,LOOKUP(InfoGard!F477,Lookup!$A$6:$B$7))</f>
        <v>0</v>
      </c>
      <c r="D477" s="2" t="b">
        <f>IF(ISBLANK(InfoGard!G477),FALSE,InfoGard!G477)</f>
        <v>0</v>
      </c>
      <c r="E477" s="2" t="str">
        <f>IF(NOT(ISBLANK(InfoGard!D477)),IF(OR(ISBLANK(InfoGard!E477),InfoGard!E477="N/A"),"no acb code",CONCATENATE(Lookup!F$1,A477,Lookup!G$1,B477,Lookup!H$1,H$1,Lookup!I$1)),"no attestation")</f>
        <v>no attestation</v>
      </c>
      <c r="F477" s="2" t="str">
        <f>IF(AND(NOT(ISBLANK(InfoGard!G477)),InfoGard!G477&lt;&gt;"N/A"),IF(C477="All",CONCATENATE(Lookup!F$2,D477,Lookup!G$2,B477,Lookup!H$2,H$1,Lookup!I$2),CONCATENATE(Lookup!F$3,D477,Lookup!G$3,B477,Lookup!H$3)),"no url")</f>
        <v>no url</v>
      </c>
    </row>
    <row r="478" spans="1:6" hidden="1" x14ac:dyDescent="0.25">
      <c r="A478" s="2" t="b">
        <f>IF(ISBLANK(InfoGard!D478),FALSE,LOOKUP(InfoGard!D478,Lookup!$A$2:$B$4))</f>
        <v>0</v>
      </c>
      <c r="B478" s="2" t="b">
        <f>IF(ISBLANK(InfoGard!E478),FALSE,RIGHT(TRIM(InfoGard!E478),15))</f>
        <v>0</v>
      </c>
      <c r="C478" s="2" t="b">
        <f>IF(ISBLANK(InfoGard!F478),FALSE,LOOKUP(InfoGard!F478,Lookup!$A$6:$B$7))</f>
        <v>0</v>
      </c>
      <c r="D478" s="2" t="b">
        <f>IF(ISBLANK(InfoGard!G478),FALSE,InfoGard!G478)</f>
        <v>0</v>
      </c>
      <c r="E478" s="2" t="str">
        <f>IF(NOT(ISBLANK(InfoGard!D478)),IF(OR(ISBLANK(InfoGard!E478),InfoGard!E478="N/A"),"no acb code",CONCATENATE(Lookup!F$1,A478,Lookup!G$1,B478,Lookup!H$1,H$1,Lookup!I$1)),"no attestation")</f>
        <v>no attestation</v>
      </c>
      <c r="F478" s="2" t="str">
        <f>IF(AND(NOT(ISBLANK(InfoGard!G478)),InfoGard!G478&lt;&gt;"N/A"),IF(C478="All",CONCATENATE(Lookup!F$2,D478,Lookup!G$2,B478,Lookup!H$2,H$1,Lookup!I$2),CONCATENATE(Lookup!F$3,D478,Lookup!G$3,B478,Lookup!H$3)),"no url")</f>
        <v>no url</v>
      </c>
    </row>
    <row r="479" spans="1:6" hidden="1" x14ac:dyDescent="0.25">
      <c r="A479" s="2" t="b">
        <f>IF(ISBLANK(InfoGard!D479),FALSE,LOOKUP(InfoGard!D479,Lookup!$A$2:$B$4))</f>
        <v>0</v>
      </c>
      <c r="B479" s="2" t="b">
        <f>IF(ISBLANK(InfoGard!E479),FALSE,RIGHT(TRIM(InfoGard!E479),15))</f>
        <v>0</v>
      </c>
      <c r="C479" s="2" t="b">
        <f>IF(ISBLANK(InfoGard!F479),FALSE,LOOKUP(InfoGard!F479,Lookup!$A$6:$B$7))</f>
        <v>0</v>
      </c>
      <c r="D479" s="2" t="b">
        <f>IF(ISBLANK(InfoGard!G479),FALSE,InfoGard!G479)</f>
        <v>0</v>
      </c>
      <c r="E479" s="2" t="str">
        <f>IF(NOT(ISBLANK(InfoGard!D479)),IF(OR(ISBLANK(InfoGard!E479),InfoGard!E479="N/A"),"no acb code",CONCATENATE(Lookup!F$1,A479,Lookup!G$1,B479,Lookup!H$1,H$1,Lookup!I$1)),"no attestation")</f>
        <v>no attestation</v>
      </c>
      <c r="F479" s="2" t="str">
        <f>IF(AND(NOT(ISBLANK(InfoGard!G479)),InfoGard!G479&lt;&gt;"N/A"),IF(C479="All",CONCATENATE(Lookup!F$2,D479,Lookup!G$2,B479,Lookup!H$2,H$1,Lookup!I$2),CONCATENATE(Lookup!F$3,D479,Lookup!G$3,B479,Lookup!H$3)),"no url")</f>
        <v>no url</v>
      </c>
    </row>
    <row r="480" spans="1:6" hidden="1" x14ac:dyDescent="0.25">
      <c r="A480" s="2" t="b">
        <f>IF(ISBLANK(InfoGard!D480),FALSE,LOOKUP(InfoGard!D480,Lookup!$A$2:$B$4))</f>
        <v>0</v>
      </c>
      <c r="B480" s="2" t="b">
        <f>IF(ISBLANK(InfoGard!E480),FALSE,RIGHT(TRIM(InfoGard!E480),15))</f>
        <v>0</v>
      </c>
      <c r="C480" s="2" t="b">
        <f>IF(ISBLANK(InfoGard!F480),FALSE,LOOKUP(InfoGard!F480,Lookup!$A$6:$B$7))</f>
        <v>0</v>
      </c>
      <c r="D480" s="2" t="b">
        <f>IF(ISBLANK(InfoGard!G480),FALSE,InfoGard!G480)</f>
        <v>0</v>
      </c>
      <c r="E480" s="2" t="str">
        <f>IF(NOT(ISBLANK(InfoGard!D480)),IF(OR(ISBLANK(InfoGard!E480),InfoGard!E480="N/A"),"no acb code",CONCATENATE(Lookup!F$1,A480,Lookup!G$1,B480,Lookup!H$1,H$1,Lookup!I$1)),"no attestation")</f>
        <v>no attestation</v>
      </c>
      <c r="F480" s="2" t="str">
        <f>IF(AND(NOT(ISBLANK(InfoGard!G480)),InfoGard!G480&lt;&gt;"N/A"),IF(C480="All",CONCATENATE(Lookup!F$2,D480,Lookup!G$2,B480,Lookup!H$2,H$1,Lookup!I$2),CONCATENATE(Lookup!F$3,D480,Lookup!G$3,B480,Lookup!H$3)),"no url")</f>
        <v>no url</v>
      </c>
    </row>
    <row r="481" spans="1:6" hidden="1" x14ac:dyDescent="0.25">
      <c r="A481" s="2" t="b">
        <f>IF(ISBLANK(InfoGard!D481),FALSE,LOOKUP(InfoGard!D481,Lookup!$A$2:$B$4))</f>
        <v>0</v>
      </c>
      <c r="B481" s="2" t="b">
        <f>IF(ISBLANK(InfoGard!E481),FALSE,RIGHT(TRIM(InfoGard!E481),15))</f>
        <v>0</v>
      </c>
      <c r="C481" s="2" t="b">
        <f>IF(ISBLANK(InfoGard!F481),FALSE,LOOKUP(InfoGard!F481,Lookup!$A$6:$B$7))</f>
        <v>0</v>
      </c>
      <c r="D481" s="2" t="b">
        <f>IF(ISBLANK(InfoGard!G481),FALSE,InfoGard!G481)</f>
        <v>0</v>
      </c>
      <c r="E481" s="2" t="str">
        <f>IF(NOT(ISBLANK(InfoGard!D481)),IF(OR(ISBLANK(InfoGard!E481),InfoGard!E481="N/A"),"no acb code",CONCATENATE(Lookup!F$1,A481,Lookup!G$1,B481,Lookup!H$1,H$1,Lookup!I$1)),"no attestation")</f>
        <v>no attestation</v>
      </c>
      <c r="F481" s="2" t="str">
        <f>IF(AND(NOT(ISBLANK(InfoGard!G481)),InfoGard!G481&lt;&gt;"N/A"),IF(C481="All",CONCATENATE(Lookup!F$2,D481,Lookup!G$2,B481,Lookup!H$2,H$1,Lookup!I$2),CONCATENATE(Lookup!F$3,D481,Lookup!G$3,B481,Lookup!H$3)),"no url")</f>
        <v>no url</v>
      </c>
    </row>
    <row r="482" spans="1:6" hidden="1" x14ac:dyDescent="0.25">
      <c r="A482" s="2" t="b">
        <f>IF(ISBLANK(InfoGard!D482),FALSE,LOOKUP(InfoGard!D482,Lookup!$A$2:$B$4))</f>
        <v>0</v>
      </c>
      <c r="B482" s="2" t="b">
        <f>IF(ISBLANK(InfoGard!E482),FALSE,RIGHT(TRIM(InfoGard!E482),15))</f>
        <v>0</v>
      </c>
      <c r="C482" s="2" t="b">
        <f>IF(ISBLANK(InfoGard!F482),FALSE,LOOKUP(InfoGard!F482,Lookup!$A$6:$B$7))</f>
        <v>0</v>
      </c>
      <c r="D482" s="2" t="b">
        <f>IF(ISBLANK(InfoGard!G482),FALSE,InfoGard!G482)</f>
        <v>0</v>
      </c>
      <c r="E482" s="2" t="str">
        <f>IF(NOT(ISBLANK(InfoGard!D482)),IF(OR(ISBLANK(InfoGard!E482),InfoGard!E482="N/A"),"no acb code",CONCATENATE(Lookup!F$1,A482,Lookup!G$1,B482,Lookup!H$1,H$1,Lookup!I$1)),"no attestation")</f>
        <v>no attestation</v>
      </c>
      <c r="F482" s="2" t="str">
        <f>IF(AND(NOT(ISBLANK(InfoGard!G482)),InfoGard!G482&lt;&gt;"N/A"),IF(C482="All",CONCATENATE(Lookup!F$2,D482,Lookup!G$2,B482,Lookup!H$2,H$1,Lookup!I$2),CONCATENATE(Lookup!F$3,D482,Lookup!G$3,B482,Lookup!H$3)),"no url")</f>
        <v>no url</v>
      </c>
    </row>
    <row r="483" spans="1:6" hidden="1" x14ac:dyDescent="0.25">
      <c r="A483" s="2" t="b">
        <f>IF(ISBLANK(InfoGard!D483),FALSE,LOOKUP(InfoGard!D483,Lookup!$A$2:$B$4))</f>
        <v>0</v>
      </c>
      <c r="B483" s="2" t="b">
        <f>IF(ISBLANK(InfoGard!E483),FALSE,RIGHT(TRIM(InfoGard!E483),15))</f>
        <v>0</v>
      </c>
      <c r="C483" s="2" t="b">
        <f>IF(ISBLANK(InfoGard!F483),FALSE,LOOKUP(InfoGard!F483,Lookup!$A$6:$B$7))</f>
        <v>0</v>
      </c>
      <c r="D483" s="2" t="b">
        <f>IF(ISBLANK(InfoGard!G483),FALSE,InfoGard!G483)</f>
        <v>0</v>
      </c>
      <c r="E483" s="2" t="str">
        <f>IF(NOT(ISBLANK(InfoGard!D483)),IF(OR(ISBLANK(InfoGard!E483),InfoGard!E483="N/A"),"no acb code",CONCATENATE(Lookup!F$1,A483,Lookup!G$1,B483,Lookup!H$1,H$1,Lookup!I$1)),"no attestation")</f>
        <v>no attestation</v>
      </c>
      <c r="F483" s="2" t="str">
        <f>IF(AND(NOT(ISBLANK(InfoGard!G483)),InfoGard!G483&lt;&gt;"N/A"),IF(C483="All",CONCATENATE(Lookup!F$2,D483,Lookup!G$2,B483,Lookup!H$2,H$1,Lookup!I$2),CONCATENATE(Lookup!F$3,D483,Lookup!G$3,B483,Lookup!H$3)),"no url")</f>
        <v>no url</v>
      </c>
    </row>
    <row r="484" spans="1:6" hidden="1" x14ac:dyDescent="0.25">
      <c r="A484" s="2" t="b">
        <f>IF(ISBLANK(InfoGard!D484),FALSE,LOOKUP(InfoGard!D484,Lookup!$A$2:$B$4))</f>
        <v>0</v>
      </c>
      <c r="B484" s="2" t="b">
        <f>IF(ISBLANK(InfoGard!E484),FALSE,RIGHT(TRIM(InfoGard!E484),15))</f>
        <v>0</v>
      </c>
      <c r="C484" s="2" t="b">
        <f>IF(ISBLANK(InfoGard!F484),FALSE,LOOKUP(InfoGard!F484,Lookup!$A$6:$B$7))</f>
        <v>0</v>
      </c>
      <c r="D484" s="2" t="b">
        <f>IF(ISBLANK(InfoGard!G484),FALSE,InfoGard!G484)</f>
        <v>0</v>
      </c>
      <c r="E484" s="2" t="str">
        <f>IF(NOT(ISBLANK(InfoGard!D484)),IF(OR(ISBLANK(InfoGard!E484),InfoGard!E484="N/A"),"no acb code",CONCATENATE(Lookup!F$1,A484,Lookup!G$1,B484,Lookup!H$1,H$1,Lookup!I$1)),"no attestation")</f>
        <v>no attestation</v>
      </c>
      <c r="F484" s="2" t="str">
        <f>IF(AND(NOT(ISBLANK(InfoGard!G484)),InfoGard!G484&lt;&gt;"N/A"),IF(C484="All",CONCATENATE(Lookup!F$2,D484,Lookup!G$2,B484,Lookup!H$2,H$1,Lookup!I$2),CONCATENATE(Lookup!F$3,D484,Lookup!G$3,B484,Lookup!H$3)),"no url")</f>
        <v>no url</v>
      </c>
    </row>
    <row r="485" spans="1:6" hidden="1" x14ac:dyDescent="0.25">
      <c r="A485" s="2" t="b">
        <f>IF(ISBLANK(InfoGard!D485),FALSE,LOOKUP(InfoGard!D485,Lookup!$A$2:$B$4))</f>
        <v>0</v>
      </c>
      <c r="B485" s="2" t="b">
        <f>IF(ISBLANK(InfoGard!E485),FALSE,RIGHT(TRIM(InfoGard!E485),15))</f>
        <v>0</v>
      </c>
      <c r="C485" s="2" t="b">
        <f>IF(ISBLANK(InfoGard!F485),FALSE,LOOKUP(InfoGard!F485,Lookup!$A$6:$B$7))</f>
        <v>0</v>
      </c>
      <c r="D485" s="2" t="b">
        <f>IF(ISBLANK(InfoGard!G485),FALSE,InfoGard!G485)</f>
        <v>0</v>
      </c>
      <c r="E485" s="2" t="str">
        <f>IF(NOT(ISBLANK(InfoGard!D485)),IF(OR(ISBLANK(InfoGard!E485),InfoGard!E485="N/A"),"no acb code",CONCATENATE(Lookup!F$1,A485,Lookup!G$1,B485,Lookup!H$1,H$1,Lookup!I$1)),"no attestation")</f>
        <v>no attestation</v>
      </c>
      <c r="F485" s="2" t="str">
        <f>IF(AND(NOT(ISBLANK(InfoGard!G485)),InfoGard!G485&lt;&gt;"N/A"),IF(C485="All",CONCATENATE(Lookup!F$2,D485,Lookup!G$2,B485,Lookup!H$2,H$1,Lookup!I$2),CONCATENATE(Lookup!F$3,D485,Lookup!G$3,B485,Lookup!H$3)),"no url")</f>
        <v>no url</v>
      </c>
    </row>
    <row r="486" spans="1:6" hidden="1" x14ac:dyDescent="0.25">
      <c r="A486" s="2" t="b">
        <f>IF(ISBLANK(InfoGard!D486),FALSE,LOOKUP(InfoGard!D486,Lookup!$A$2:$B$4))</f>
        <v>0</v>
      </c>
      <c r="B486" s="2" t="b">
        <f>IF(ISBLANK(InfoGard!E486),FALSE,RIGHT(TRIM(InfoGard!E486),15))</f>
        <v>0</v>
      </c>
      <c r="C486" s="2" t="b">
        <f>IF(ISBLANK(InfoGard!F486),FALSE,LOOKUP(InfoGard!F486,Lookup!$A$6:$B$7))</f>
        <v>0</v>
      </c>
      <c r="D486" s="2" t="b">
        <f>IF(ISBLANK(InfoGard!G486),FALSE,InfoGard!G486)</f>
        <v>0</v>
      </c>
      <c r="E486" s="2" t="str">
        <f>IF(NOT(ISBLANK(InfoGard!D486)),IF(OR(ISBLANK(InfoGard!E486),InfoGard!E486="N/A"),"no acb code",CONCATENATE(Lookup!F$1,A486,Lookup!G$1,B486,Lookup!H$1,H$1,Lookup!I$1)),"no attestation")</f>
        <v>no attestation</v>
      </c>
      <c r="F486" s="2" t="str">
        <f>IF(AND(NOT(ISBLANK(InfoGard!G486)),InfoGard!G486&lt;&gt;"N/A"),IF(C486="All",CONCATENATE(Lookup!F$2,D486,Lookup!G$2,B486,Lookup!H$2,H$1,Lookup!I$2),CONCATENATE(Lookup!F$3,D486,Lookup!G$3,B486,Lookup!H$3)),"no url")</f>
        <v>no url</v>
      </c>
    </row>
    <row r="487" spans="1:6" hidden="1" x14ac:dyDescent="0.25">
      <c r="A487" s="2" t="b">
        <f>IF(ISBLANK(InfoGard!D487),FALSE,LOOKUP(InfoGard!D487,Lookup!$A$2:$B$4))</f>
        <v>0</v>
      </c>
      <c r="B487" s="2" t="b">
        <f>IF(ISBLANK(InfoGard!E487),FALSE,RIGHT(TRIM(InfoGard!E487),15))</f>
        <v>0</v>
      </c>
      <c r="C487" s="2" t="b">
        <f>IF(ISBLANK(InfoGard!F487),FALSE,LOOKUP(InfoGard!F487,Lookup!$A$6:$B$7))</f>
        <v>0</v>
      </c>
      <c r="D487" s="2" t="b">
        <f>IF(ISBLANK(InfoGard!G487),FALSE,InfoGard!G487)</f>
        <v>0</v>
      </c>
      <c r="E487" s="2" t="str">
        <f>IF(NOT(ISBLANK(InfoGard!D487)),IF(OR(ISBLANK(InfoGard!E487),InfoGard!E487="N/A"),"no acb code",CONCATENATE(Lookup!F$1,A487,Lookup!G$1,B487,Lookup!H$1,H$1,Lookup!I$1)),"no attestation")</f>
        <v>no attestation</v>
      </c>
      <c r="F487" s="2" t="str">
        <f>IF(AND(NOT(ISBLANK(InfoGard!G487)),InfoGard!G487&lt;&gt;"N/A"),IF(C487="All",CONCATENATE(Lookup!F$2,D487,Lookup!G$2,B487,Lookup!H$2,H$1,Lookup!I$2),CONCATENATE(Lookup!F$3,D487,Lookup!G$3,B487,Lookup!H$3)),"no url")</f>
        <v>no url</v>
      </c>
    </row>
    <row r="488" spans="1:6" x14ac:dyDescent="0.25">
      <c r="A488" s="2" t="str">
        <f>IF(ISBLANK(InfoGard!D488),FALSE,LOOKUP(InfoGard!D488,Lookup!$A$2:$B$4))</f>
        <v>Affirmative</v>
      </c>
      <c r="B488" s="2" t="str">
        <f>IF(ISBLANK(InfoGard!E488),FALSE,RIGHT(TRIM(InfoGard!E488),15))</f>
        <v>IG-2392-14-0079</v>
      </c>
      <c r="C488" s="2" t="str">
        <f>IF(ISBLANK(InfoGard!F488),FALSE,LOOKUP(InfoGard!F488,Lookup!$A$6:$B$7))</f>
        <v>All</v>
      </c>
      <c r="D488" s="2" t="str">
        <f>IF(ISBLANK(InfoGard!G488),FALSE,InfoGard!G488)</f>
        <v>http://www3.gehealthcare.com/~/media/documents/us-global/products/healthcare%20it/brochures/centricity-perinatal/centrcity-perinatal-mu-jb37361us.pdf</v>
      </c>
      <c r="E488" s="2" t="str">
        <f>IF(NOT(ISBLANK(InfoGard!D488)),IF(OR(ISBLANK(InfoGard!E488),InfoGard!E488="N/A"),"no acb code",CONCATENATE(Lookup!F$1,A488,Lookup!G$1,B488,Lookup!H$1,H$1,Lookup!I$1)),"no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'IG-2392-14-0079' and cb."name" = 'InfoGard' and cp.product_version_id = pv.product_version_id and pv.product_id = p.product_id and p.vendor_id = vend.vendor_id;</v>
      </c>
      <c r="F488" s="2" t="str">
        <f>IF(AND(NOT(ISBLANK(InfoGard!G488)),InfoGard!G488&lt;&gt;"N/A"),IF(C488="All",CONCATENATE(Lookup!F$2,D488,Lookup!G$2,B488,Lookup!H$2,H$1,Lookup!I$2),CONCATENATE(Lookup!F$3,D488,Lookup!G$3,B488,Lookup!H$3)),"no url")</f>
        <v>update openchpl.certified_product as cp set transparency_attestation_url = 'http://www3.gehealthcare.com/~/media/documents/us-global/products/healthcare%20it/brochures/centricity-perinatal/centrcity-perinatal-mu-jb37361us.pdf' from (select certified_product_id from (select vend.vendor_code from openchpl.certified_product as cp, openchpl.product_version as pv, openchpl.product as p, openchpl.vendor as vend where cp.acb_certification_id = 'IG-2392-14-0079'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89" spans="1:6" hidden="1" x14ac:dyDescent="0.25">
      <c r="A489" s="2" t="b">
        <f>IF(ISBLANK(InfoGard!D489),FALSE,LOOKUP(InfoGard!D489,Lookup!$A$2:$B$4))</f>
        <v>0</v>
      </c>
      <c r="B489" s="2" t="b">
        <f>IF(ISBLANK(InfoGard!E489),FALSE,RIGHT(TRIM(InfoGard!E489),15))</f>
        <v>0</v>
      </c>
      <c r="C489" s="2" t="b">
        <f>IF(ISBLANK(InfoGard!F489),FALSE,LOOKUP(InfoGard!F489,Lookup!$A$6:$B$7))</f>
        <v>0</v>
      </c>
      <c r="D489" s="2" t="b">
        <f>IF(ISBLANK(InfoGard!G489),FALSE,InfoGard!G489)</f>
        <v>0</v>
      </c>
      <c r="E489" s="2" t="str">
        <f>IF(NOT(ISBLANK(InfoGard!D489)),IF(OR(ISBLANK(InfoGard!E489),InfoGard!E489="N/A"),"no acb code",CONCATENATE(Lookup!F$1,A489,Lookup!G$1,B489,Lookup!H$1,H$1,Lookup!I$1)),"no attestation")</f>
        <v>no attestation</v>
      </c>
      <c r="F489" s="2" t="str">
        <f>IF(AND(NOT(ISBLANK(InfoGard!G489)),InfoGard!G489&lt;&gt;"N/A"),IF(C489="All",CONCATENATE(Lookup!F$2,D489,Lookup!G$2,B489,Lookup!H$2,H$1,Lookup!I$2),CONCATENATE(Lookup!F$3,D489,Lookup!G$3,B489,Lookup!H$3)),"no url")</f>
        <v>no url</v>
      </c>
    </row>
    <row r="490" spans="1:6" hidden="1" x14ac:dyDescent="0.25">
      <c r="A490" s="2" t="b">
        <f>IF(ISBLANK(InfoGard!D490),FALSE,LOOKUP(InfoGard!D490,Lookup!$A$2:$B$4))</f>
        <v>0</v>
      </c>
      <c r="B490" s="2" t="b">
        <f>IF(ISBLANK(InfoGard!E490),FALSE,RIGHT(TRIM(InfoGard!E490),15))</f>
        <v>0</v>
      </c>
      <c r="C490" s="2" t="b">
        <f>IF(ISBLANK(InfoGard!F490),FALSE,LOOKUP(InfoGard!F490,Lookup!$A$6:$B$7))</f>
        <v>0</v>
      </c>
      <c r="D490" s="2" t="b">
        <f>IF(ISBLANK(InfoGard!G490),FALSE,InfoGard!G490)</f>
        <v>0</v>
      </c>
      <c r="E490" s="2" t="str">
        <f>IF(NOT(ISBLANK(InfoGard!D490)),IF(OR(ISBLANK(InfoGard!E490),InfoGard!E490="N/A"),"no acb code",CONCATENATE(Lookup!F$1,A490,Lookup!G$1,B490,Lookup!H$1,H$1,Lookup!I$1)),"no attestation")</f>
        <v>no attestation</v>
      </c>
      <c r="F490" s="2" t="str">
        <f>IF(AND(NOT(ISBLANK(InfoGard!G490)),InfoGard!G490&lt;&gt;"N/A"),IF(C490="All",CONCATENATE(Lookup!F$2,D490,Lookup!G$2,B490,Lookup!H$2,H$1,Lookup!I$2),CONCATENATE(Lookup!F$3,D490,Lookup!G$3,B490,Lookup!H$3)),"no url")</f>
        <v>no url</v>
      </c>
    </row>
    <row r="491" spans="1:6" hidden="1" x14ac:dyDescent="0.25">
      <c r="A491" s="2" t="b">
        <f>IF(ISBLANK(InfoGard!D491),FALSE,LOOKUP(InfoGard!D491,Lookup!$A$2:$B$4))</f>
        <v>0</v>
      </c>
      <c r="B491" s="2" t="b">
        <f>IF(ISBLANK(InfoGard!E491),FALSE,RIGHT(TRIM(InfoGard!E491),15))</f>
        <v>0</v>
      </c>
      <c r="C491" s="2" t="b">
        <f>IF(ISBLANK(InfoGard!F491),FALSE,LOOKUP(InfoGard!F491,Lookup!$A$6:$B$7))</f>
        <v>0</v>
      </c>
      <c r="D491" s="2" t="b">
        <f>IF(ISBLANK(InfoGard!G491),FALSE,InfoGard!G491)</f>
        <v>0</v>
      </c>
      <c r="E491" s="2" t="str">
        <f>IF(NOT(ISBLANK(InfoGard!D491)),IF(OR(ISBLANK(InfoGard!E491),InfoGard!E491="N/A"),"no acb code",CONCATENATE(Lookup!F$1,A491,Lookup!G$1,B491,Lookup!H$1,H$1,Lookup!I$1)),"no attestation")</f>
        <v>no attestation</v>
      </c>
      <c r="F491" s="2" t="str">
        <f>IF(AND(NOT(ISBLANK(InfoGard!G491)),InfoGard!G491&lt;&gt;"N/A"),IF(C491="All",CONCATENATE(Lookup!F$2,D491,Lookup!G$2,B491,Lookup!H$2,H$1,Lookup!I$2),CONCATENATE(Lookup!F$3,D491,Lookup!G$3,B491,Lookup!H$3)),"no url")</f>
        <v>no url</v>
      </c>
    </row>
    <row r="492" spans="1:6" hidden="1" x14ac:dyDescent="0.25">
      <c r="A492" s="2" t="b">
        <f>IF(ISBLANK(InfoGard!D492),FALSE,LOOKUP(InfoGard!D492,Lookup!$A$2:$B$4))</f>
        <v>0</v>
      </c>
      <c r="B492" s="2" t="b">
        <f>IF(ISBLANK(InfoGard!E492),FALSE,RIGHT(TRIM(InfoGard!E492),15))</f>
        <v>0</v>
      </c>
      <c r="C492" s="2" t="b">
        <f>IF(ISBLANK(InfoGard!F492),FALSE,LOOKUP(InfoGard!F492,Lookup!$A$6:$B$7))</f>
        <v>0</v>
      </c>
      <c r="D492" s="2" t="b">
        <f>IF(ISBLANK(InfoGard!G492),FALSE,InfoGard!G492)</f>
        <v>0</v>
      </c>
      <c r="E492" s="2" t="str">
        <f>IF(NOT(ISBLANK(InfoGard!D492)),IF(OR(ISBLANK(InfoGard!E492),InfoGard!E492="N/A"),"no acb code",CONCATENATE(Lookup!F$1,A492,Lookup!G$1,B492,Lookup!H$1,H$1,Lookup!I$1)),"no attestation")</f>
        <v>no attestation</v>
      </c>
      <c r="F492" s="2" t="str">
        <f>IF(AND(NOT(ISBLANK(InfoGard!G492)),InfoGard!G492&lt;&gt;"N/A"),IF(C492="All",CONCATENATE(Lookup!F$2,D492,Lookup!G$2,B492,Lookup!H$2,H$1,Lookup!I$2),CONCATENATE(Lookup!F$3,D492,Lookup!G$3,B492,Lookup!H$3)),"no url")</f>
        <v>no url</v>
      </c>
    </row>
    <row r="493" spans="1:6" hidden="1" x14ac:dyDescent="0.25">
      <c r="A493" s="2" t="b">
        <f>IF(ISBLANK(InfoGard!D493),FALSE,LOOKUP(InfoGard!D493,Lookup!$A$2:$B$4))</f>
        <v>0</v>
      </c>
      <c r="B493" s="2" t="b">
        <f>IF(ISBLANK(InfoGard!E493),FALSE,RIGHT(TRIM(InfoGard!E493),15))</f>
        <v>0</v>
      </c>
      <c r="C493" s="2" t="b">
        <f>IF(ISBLANK(InfoGard!F493),FALSE,LOOKUP(InfoGard!F493,Lookup!$A$6:$B$7))</f>
        <v>0</v>
      </c>
      <c r="D493" s="2" t="b">
        <f>IF(ISBLANK(InfoGard!G493),FALSE,InfoGard!G493)</f>
        <v>0</v>
      </c>
      <c r="E493" s="2" t="str">
        <f>IF(NOT(ISBLANK(InfoGard!D493)),IF(OR(ISBLANK(InfoGard!E493),InfoGard!E493="N/A"),"no acb code",CONCATENATE(Lookup!F$1,A493,Lookup!G$1,B493,Lookup!H$1,H$1,Lookup!I$1)),"no attestation")</f>
        <v>no attestation</v>
      </c>
      <c r="F493" s="2" t="str">
        <f>IF(AND(NOT(ISBLANK(InfoGard!G493)),InfoGard!G493&lt;&gt;"N/A"),IF(C493="All",CONCATENATE(Lookup!F$2,D493,Lookup!G$2,B493,Lookup!H$2,H$1,Lookup!I$2),CONCATENATE(Lookup!F$3,D493,Lookup!G$3,B493,Lookup!H$3)),"no url")</f>
        <v>no url</v>
      </c>
    </row>
    <row r="494" spans="1:6" hidden="1" x14ac:dyDescent="0.25">
      <c r="A494" s="2" t="b">
        <f>IF(ISBLANK(InfoGard!D494),FALSE,LOOKUP(InfoGard!D494,Lookup!$A$2:$B$4))</f>
        <v>0</v>
      </c>
      <c r="B494" s="2" t="b">
        <f>IF(ISBLANK(InfoGard!E494),FALSE,RIGHT(TRIM(InfoGard!E494),15))</f>
        <v>0</v>
      </c>
      <c r="C494" s="2" t="b">
        <f>IF(ISBLANK(InfoGard!F494),FALSE,LOOKUP(InfoGard!F494,Lookup!$A$6:$B$7))</f>
        <v>0</v>
      </c>
      <c r="D494" s="2" t="b">
        <f>IF(ISBLANK(InfoGard!G494),FALSE,InfoGard!G494)</f>
        <v>0</v>
      </c>
      <c r="E494" s="2" t="str">
        <f>IF(NOT(ISBLANK(InfoGard!D494)),IF(OR(ISBLANK(InfoGard!E494),InfoGard!E494="N/A"),"no acb code",CONCATENATE(Lookup!F$1,A494,Lookup!G$1,B494,Lookup!H$1,H$1,Lookup!I$1)),"no attestation")</f>
        <v>no attestation</v>
      </c>
      <c r="F494" s="2" t="str">
        <f>IF(AND(NOT(ISBLANK(InfoGard!G494)),InfoGard!G494&lt;&gt;"N/A"),IF(C494="All",CONCATENATE(Lookup!F$2,D494,Lookup!G$2,B494,Lookup!H$2,H$1,Lookup!I$2),CONCATENATE(Lookup!F$3,D494,Lookup!G$3,B494,Lookup!H$3)),"no url")</f>
        <v>no url</v>
      </c>
    </row>
    <row r="495" spans="1:6" hidden="1" x14ac:dyDescent="0.25">
      <c r="A495" s="2" t="b">
        <f>IF(ISBLANK(InfoGard!D495),FALSE,LOOKUP(InfoGard!D495,Lookup!$A$2:$B$4))</f>
        <v>0</v>
      </c>
      <c r="B495" s="2" t="b">
        <f>IF(ISBLANK(InfoGard!E495),FALSE,RIGHT(TRIM(InfoGard!E495),15))</f>
        <v>0</v>
      </c>
      <c r="C495" s="2" t="b">
        <f>IF(ISBLANK(InfoGard!F495),FALSE,LOOKUP(InfoGard!F495,Lookup!$A$6:$B$7))</f>
        <v>0</v>
      </c>
      <c r="D495" s="2" t="b">
        <f>IF(ISBLANK(InfoGard!G495),FALSE,InfoGard!G495)</f>
        <v>0</v>
      </c>
      <c r="E495" s="2" t="str">
        <f>IF(NOT(ISBLANK(InfoGard!D495)),IF(OR(ISBLANK(InfoGard!E495),InfoGard!E495="N/A"),"no acb code",CONCATENATE(Lookup!F$1,A495,Lookup!G$1,B495,Lookup!H$1,H$1,Lookup!I$1)),"no attestation")</f>
        <v>no attestation</v>
      </c>
      <c r="F495" s="2" t="str">
        <f>IF(AND(NOT(ISBLANK(InfoGard!G495)),InfoGard!G495&lt;&gt;"N/A"),IF(C495="All",CONCATENATE(Lookup!F$2,D495,Lookup!G$2,B495,Lookup!H$2,H$1,Lookup!I$2),CONCATENATE(Lookup!F$3,D495,Lookup!G$3,B495,Lookup!H$3)),"no url")</f>
        <v>no url</v>
      </c>
    </row>
    <row r="496" spans="1:6" hidden="1" x14ac:dyDescent="0.25">
      <c r="A496" s="2" t="b">
        <f>IF(ISBLANK(InfoGard!D496),FALSE,LOOKUP(InfoGard!D496,Lookup!$A$2:$B$4))</f>
        <v>0</v>
      </c>
      <c r="B496" s="2" t="b">
        <f>IF(ISBLANK(InfoGard!E496),FALSE,RIGHT(TRIM(InfoGard!E496),15))</f>
        <v>0</v>
      </c>
      <c r="C496" s="2" t="b">
        <f>IF(ISBLANK(InfoGard!F496),FALSE,LOOKUP(InfoGard!F496,Lookup!$A$6:$B$7))</f>
        <v>0</v>
      </c>
      <c r="D496" s="2" t="b">
        <f>IF(ISBLANK(InfoGard!G496),FALSE,InfoGard!G496)</f>
        <v>0</v>
      </c>
      <c r="E496" s="2" t="str">
        <f>IF(NOT(ISBLANK(InfoGard!D496)),IF(OR(ISBLANK(InfoGard!E496),InfoGard!E496="N/A"),"no acb code",CONCATENATE(Lookup!F$1,A496,Lookup!G$1,B496,Lookup!H$1,H$1,Lookup!I$1)),"no attestation")</f>
        <v>no attestation</v>
      </c>
      <c r="F496" s="2" t="str">
        <f>IF(AND(NOT(ISBLANK(InfoGard!G496)),InfoGard!G496&lt;&gt;"N/A"),IF(C496="All",CONCATENATE(Lookup!F$2,D496,Lookup!G$2,B496,Lookup!H$2,H$1,Lookup!I$2),CONCATENATE(Lookup!F$3,D496,Lookup!G$3,B496,Lookup!H$3)),"no url")</f>
        <v>no url</v>
      </c>
    </row>
    <row r="497" spans="1:6" hidden="1" x14ac:dyDescent="0.25">
      <c r="A497" s="2" t="b">
        <f>IF(ISBLANK(InfoGard!D497),FALSE,LOOKUP(InfoGard!D497,Lookup!$A$2:$B$4))</f>
        <v>0</v>
      </c>
      <c r="B497" s="2" t="b">
        <f>IF(ISBLANK(InfoGard!E497),FALSE,RIGHT(TRIM(InfoGard!E497),15))</f>
        <v>0</v>
      </c>
      <c r="C497" s="2" t="b">
        <f>IF(ISBLANK(InfoGard!F497),FALSE,LOOKUP(InfoGard!F497,Lookup!$A$6:$B$7))</f>
        <v>0</v>
      </c>
      <c r="D497" s="2" t="b">
        <f>IF(ISBLANK(InfoGard!G497),FALSE,InfoGard!G497)</f>
        <v>0</v>
      </c>
      <c r="E497" s="2" t="str">
        <f>IF(NOT(ISBLANK(InfoGard!D497)),IF(OR(ISBLANK(InfoGard!E497),InfoGard!E497="N/A"),"no acb code",CONCATENATE(Lookup!F$1,A497,Lookup!G$1,B497,Lookup!H$1,H$1,Lookup!I$1)),"no attestation")</f>
        <v>no attestation</v>
      </c>
      <c r="F497" s="2" t="str">
        <f>IF(AND(NOT(ISBLANK(InfoGard!G497)),InfoGard!G497&lt;&gt;"N/A"),IF(C497="All",CONCATENATE(Lookup!F$2,D497,Lookup!G$2,B497,Lookup!H$2,H$1,Lookup!I$2),CONCATENATE(Lookup!F$3,D497,Lookup!G$3,B497,Lookup!H$3)),"no url")</f>
        <v>no url</v>
      </c>
    </row>
    <row r="498" spans="1:6" hidden="1" x14ac:dyDescent="0.25">
      <c r="A498" s="2" t="b">
        <f>IF(ISBLANK(InfoGard!D498),FALSE,LOOKUP(InfoGard!D498,Lookup!$A$2:$B$4))</f>
        <v>0</v>
      </c>
      <c r="B498" s="2" t="b">
        <f>IF(ISBLANK(InfoGard!E498),FALSE,RIGHT(TRIM(InfoGard!E498),15))</f>
        <v>0</v>
      </c>
      <c r="C498" s="2" t="b">
        <f>IF(ISBLANK(InfoGard!F498),FALSE,LOOKUP(InfoGard!F498,Lookup!$A$6:$B$7))</f>
        <v>0</v>
      </c>
      <c r="D498" s="2" t="b">
        <f>IF(ISBLANK(InfoGard!G498),FALSE,InfoGard!G498)</f>
        <v>0</v>
      </c>
      <c r="E498" s="2" t="str">
        <f>IF(NOT(ISBLANK(InfoGard!D498)),IF(OR(ISBLANK(InfoGard!E498),InfoGard!E498="N/A"),"no acb code",CONCATENATE(Lookup!F$1,A498,Lookup!G$1,B498,Lookup!H$1,H$1,Lookup!I$1)),"no attestation")</f>
        <v>no attestation</v>
      </c>
      <c r="F498" s="2" t="str">
        <f>IF(AND(NOT(ISBLANK(InfoGard!G498)),InfoGard!G498&lt;&gt;"N/A"),IF(C498="All",CONCATENATE(Lookup!F$2,D498,Lookup!G$2,B498,Lookup!H$2,H$1,Lookup!I$2),CONCATENATE(Lookup!F$3,D498,Lookup!G$3,B498,Lookup!H$3)),"no url")</f>
        <v>no url</v>
      </c>
    </row>
    <row r="499" spans="1:6" hidden="1" x14ac:dyDescent="0.25">
      <c r="A499" s="2" t="b">
        <f>IF(ISBLANK(InfoGard!D499),FALSE,LOOKUP(InfoGard!D499,Lookup!$A$2:$B$4))</f>
        <v>0</v>
      </c>
      <c r="B499" s="2" t="b">
        <f>IF(ISBLANK(InfoGard!E499),FALSE,RIGHT(TRIM(InfoGard!E499),15))</f>
        <v>0</v>
      </c>
      <c r="C499" s="2" t="b">
        <f>IF(ISBLANK(InfoGard!F499),FALSE,LOOKUP(InfoGard!F499,Lookup!$A$6:$B$7))</f>
        <v>0</v>
      </c>
      <c r="D499" s="2" t="b">
        <f>IF(ISBLANK(InfoGard!G499),FALSE,InfoGard!G499)</f>
        <v>0</v>
      </c>
      <c r="E499" s="2" t="str">
        <f>IF(NOT(ISBLANK(InfoGard!D499)),IF(OR(ISBLANK(InfoGard!E499),InfoGard!E499="N/A"),"no acb code",CONCATENATE(Lookup!F$1,A499,Lookup!G$1,B499,Lookup!H$1,H$1,Lookup!I$1)),"no attestation")</f>
        <v>no attestation</v>
      </c>
      <c r="F499" s="2" t="str">
        <f>IF(AND(NOT(ISBLANK(InfoGard!G499)),InfoGard!G499&lt;&gt;"N/A"),IF(C499="All",CONCATENATE(Lookup!F$2,D499,Lookup!G$2,B499,Lookup!H$2,H$1,Lookup!I$2),CONCATENATE(Lookup!F$3,D499,Lookup!G$3,B499,Lookup!H$3)),"no url")</f>
        <v>no url</v>
      </c>
    </row>
    <row r="500" spans="1:6" hidden="1" x14ac:dyDescent="0.25">
      <c r="A500" s="2" t="b">
        <f>IF(ISBLANK(InfoGard!D500),FALSE,LOOKUP(InfoGard!D500,Lookup!$A$2:$B$4))</f>
        <v>0</v>
      </c>
      <c r="B500" s="2" t="b">
        <f>IF(ISBLANK(InfoGard!E500),FALSE,RIGHT(TRIM(InfoGard!E500),15))</f>
        <v>0</v>
      </c>
      <c r="C500" s="2" t="b">
        <f>IF(ISBLANK(InfoGard!F500),FALSE,LOOKUP(InfoGard!F500,Lookup!$A$6:$B$7))</f>
        <v>0</v>
      </c>
      <c r="D500" s="2" t="b">
        <f>IF(ISBLANK(InfoGard!G500),FALSE,InfoGard!G500)</f>
        <v>0</v>
      </c>
      <c r="E500" s="2" t="str">
        <f>IF(NOT(ISBLANK(InfoGard!D500)),IF(OR(ISBLANK(InfoGard!E500),InfoGard!E500="N/A"),"no acb code",CONCATENATE(Lookup!F$1,A500,Lookup!G$1,B500,Lookup!H$1,H$1,Lookup!I$1)),"no attestation")</f>
        <v>no attestation</v>
      </c>
      <c r="F500" s="2" t="str">
        <f>IF(AND(NOT(ISBLANK(InfoGard!G500)),InfoGard!G500&lt;&gt;"N/A"),IF(C500="All",CONCATENATE(Lookup!F$2,D500,Lookup!G$2,B500,Lookup!H$2,H$1,Lookup!I$2),CONCATENATE(Lookup!F$3,D500,Lookup!G$3,B500,Lookup!H$3)),"no url")</f>
        <v>no url</v>
      </c>
    </row>
    <row r="501" spans="1:6" hidden="1" x14ac:dyDescent="0.25">
      <c r="A501" s="2" t="b">
        <f>IF(ISBLANK(InfoGard!D501),FALSE,LOOKUP(InfoGard!D501,Lookup!$A$2:$B$4))</f>
        <v>0</v>
      </c>
      <c r="B501" s="2" t="b">
        <f>IF(ISBLANK(InfoGard!E501),FALSE,RIGHT(TRIM(InfoGard!E501),15))</f>
        <v>0</v>
      </c>
      <c r="C501" s="2" t="b">
        <f>IF(ISBLANK(InfoGard!F501),FALSE,LOOKUP(InfoGard!F501,Lookup!$A$6:$B$7))</f>
        <v>0</v>
      </c>
      <c r="D501" s="2" t="b">
        <f>IF(ISBLANK(InfoGard!G501),FALSE,InfoGard!G501)</f>
        <v>0</v>
      </c>
      <c r="E501" s="2" t="str">
        <f>IF(NOT(ISBLANK(InfoGard!D501)),IF(OR(ISBLANK(InfoGard!E501),InfoGard!E501="N/A"),"no acb code",CONCATENATE(Lookup!F$1,A501,Lookup!G$1,B501,Lookup!H$1,H$1,Lookup!I$1)),"no attestation")</f>
        <v>no attestation</v>
      </c>
      <c r="F501" s="2" t="str">
        <f>IF(AND(NOT(ISBLANK(InfoGard!G501)),InfoGard!G501&lt;&gt;"N/A"),IF(C501="All",CONCATENATE(Lookup!F$2,D501,Lookup!G$2,B501,Lookup!H$2,H$1,Lookup!I$2),CONCATENATE(Lookup!F$3,D501,Lookup!G$3,B501,Lookup!H$3)),"no url")</f>
        <v>no url</v>
      </c>
    </row>
    <row r="502" spans="1:6" hidden="1" x14ac:dyDescent="0.25">
      <c r="A502" s="2" t="b">
        <f>IF(ISBLANK(InfoGard!D502),FALSE,LOOKUP(InfoGard!D502,Lookup!$A$2:$B$4))</f>
        <v>0</v>
      </c>
      <c r="B502" s="2" t="b">
        <f>IF(ISBLANK(InfoGard!E502),FALSE,RIGHT(TRIM(InfoGard!E502),15))</f>
        <v>0</v>
      </c>
      <c r="C502" s="2" t="b">
        <f>IF(ISBLANK(InfoGard!F502),FALSE,LOOKUP(InfoGard!F502,Lookup!$A$6:$B$7))</f>
        <v>0</v>
      </c>
      <c r="D502" s="2" t="b">
        <f>IF(ISBLANK(InfoGard!G502),FALSE,InfoGard!G502)</f>
        <v>0</v>
      </c>
      <c r="E502" s="2" t="str">
        <f>IF(NOT(ISBLANK(InfoGard!D502)),IF(OR(ISBLANK(InfoGard!E502),InfoGard!E502="N/A"),"no acb code",CONCATENATE(Lookup!F$1,A502,Lookup!G$1,B502,Lookup!H$1,H$1,Lookup!I$1)),"no attestation")</f>
        <v>no attestation</v>
      </c>
      <c r="F502" s="2" t="str">
        <f>IF(AND(NOT(ISBLANK(InfoGard!G502)),InfoGard!G502&lt;&gt;"N/A"),IF(C502="All",CONCATENATE(Lookup!F$2,D502,Lookup!G$2,B502,Lookup!H$2,H$1,Lookup!I$2),CONCATENATE(Lookup!F$3,D502,Lookup!G$3,B502,Lookup!H$3)),"no url")</f>
        <v>no url</v>
      </c>
    </row>
    <row r="503" spans="1:6" hidden="1" x14ac:dyDescent="0.25">
      <c r="A503" s="2" t="b">
        <f>IF(ISBLANK(InfoGard!D503),FALSE,LOOKUP(InfoGard!D503,Lookup!$A$2:$B$4))</f>
        <v>0</v>
      </c>
      <c r="B503" s="2" t="b">
        <f>IF(ISBLANK(InfoGard!E503),FALSE,RIGHT(TRIM(InfoGard!E503),15))</f>
        <v>0</v>
      </c>
      <c r="C503" s="2" t="b">
        <f>IF(ISBLANK(InfoGard!F503),FALSE,LOOKUP(InfoGard!F503,Lookup!$A$6:$B$7))</f>
        <v>0</v>
      </c>
      <c r="D503" s="2" t="b">
        <f>IF(ISBLANK(InfoGard!G503),FALSE,InfoGard!G503)</f>
        <v>0</v>
      </c>
      <c r="E503" s="2" t="str">
        <f>IF(NOT(ISBLANK(InfoGard!D503)),IF(OR(ISBLANK(InfoGard!E503),InfoGard!E503="N/A"),"no acb code",CONCATENATE(Lookup!F$1,A503,Lookup!G$1,B503,Lookup!H$1,H$1,Lookup!I$1)),"no attestation")</f>
        <v>no attestation</v>
      </c>
      <c r="F503" s="2" t="str">
        <f>IF(AND(NOT(ISBLANK(InfoGard!G503)),InfoGard!G503&lt;&gt;"N/A"),IF(C503="All",CONCATENATE(Lookup!F$2,D503,Lookup!G$2,B503,Lookup!H$2,H$1,Lookup!I$2),CONCATENATE(Lookup!F$3,D503,Lookup!G$3,B503,Lookup!H$3)),"no url")</f>
        <v>no url</v>
      </c>
    </row>
    <row r="504" spans="1:6" x14ac:dyDescent="0.25">
      <c r="A504" s="2" t="str">
        <f>IF(ISBLANK(InfoGard!D504),FALSE,LOOKUP(InfoGard!D504,Lookup!$A$2:$B$4))</f>
        <v>Affirmative</v>
      </c>
      <c r="B504" s="2" t="str">
        <f>IF(ISBLANK(InfoGard!E504),FALSE,RIGHT(TRIM(InfoGard!E504),15))</f>
        <v>IG-3306-14-0064</v>
      </c>
      <c r="C504" s="2" t="str">
        <f>IF(ISBLANK(InfoGard!F504),FALSE,LOOKUP(InfoGard!F504,Lookup!$A$6:$B$7))</f>
        <v>All</v>
      </c>
      <c r="D504" s="2" t="str">
        <f>IF(ISBLANK(InfoGard!G504),FALSE,InfoGard!G504)</f>
        <v>http://www.geniusdoc.com/MUDisclosure.html</v>
      </c>
      <c r="E504" s="2" t="str">
        <f>IF(NOT(ISBLANK(InfoGard!D504)),IF(OR(ISBLANK(InfoGard!E504),InfoGard!E504="N/A"),"no acb code",CONCATENATE(Lookup!F$1,A504,Lookup!G$1,B504,Lookup!H$1,H$1,Lookup!I$1)),"no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'IG-3306-14-0064' and cb."name" = 'InfoGard' and cp.product_version_id = pv.product_version_id and pv.product_id = p.product_id and p.vendor_id = vend.vendor_id;</v>
      </c>
      <c r="F504" s="2" t="str">
        <f>IF(AND(NOT(ISBLANK(InfoGard!G504)),InfoGard!G504&lt;&gt;"N/A"),IF(C504="All",CONCATENATE(Lookup!F$2,D504,Lookup!G$2,B504,Lookup!H$2,H$1,Lookup!I$2),CONCATENATE(Lookup!F$3,D504,Lookup!G$3,B504,Lookup!H$3)),"no url")</f>
        <v>update openchpl.certified_product as cp set transparency_attestation_url = 'http://www.geniusdoc.com/MUDisclosure.html' from (select certified_product_id from (select vend.vendor_code from openchpl.certified_product as cp, openchpl.product_version as pv, openchpl.product as p, openchpl.vendor as vend where cp.acb_certification_id = 'IG-3306-14-0064'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05" spans="1:6" hidden="1" x14ac:dyDescent="0.25">
      <c r="A505" s="2" t="b">
        <f>IF(ISBLANK(InfoGard!D505),FALSE,LOOKUP(InfoGard!D505,Lookup!$A$2:$B$4))</f>
        <v>0</v>
      </c>
      <c r="B505" s="2" t="b">
        <f>IF(ISBLANK(InfoGard!E505),FALSE,RIGHT(TRIM(InfoGard!E505),15))</f>
        <v>0</v>
      </c>
      <c r="C505" s="2" t="b">
        <f>IF(ISBLANK(InfoGard!F505),FALSE,LOOKUP(InfoGard!F505,Lookup!$A$6:$B$7))</f>
        <v>0</v>
      </c>
      <c r="D505" s="2" t="b">
        <f>IF(ISBLANK(InfoGard!G505),FALSE,InfoGard!G505)</f>
        <v>0</v>
      </c>
      <c r="E505" s="2" t="str">
        <f>IF(NOT(ISBLANK(InfoGard!D505)),IF(OR(ISBLANK(InfoGard!E505),InfoGard!E505="N/A"),"no acb code",CONCATENATE(Lookup!F$1,A505,Lookup!G$1,B505,Lookup!H$1,H$1,Lookup!I$1)),"no attestation")</f>
        <v>no attestation</v>
      </c>
      <c r="F505" s="2" t="str">
        <f>IF(AND(NOT(ISBLANK(InfoGard!G505)),InfoGard!G505&lt;&gt;"N/A"),IF(C505="All",CONCATENATE(Lookup!F$2,D505,Lookup!G$2,B505,Lookup!H$2,H$1,Lookup!I$2),CONCATENATE(Lookup!F$3,D505,Lookup!G$3,B505,Lookup!H$3)),"no url")</f>
        <v>no url</v>
      </c>
    </row>
    <row r="506" spans="1:6" hidden="1" x14ac:dyDescent="0.25">
      <c r="A506" s="2" t="b">
        <f>IF(ISBLANK(InfoGard!D506),FALSE,LOOKUP(InfoGard!D506,Lookup!$A$2:$B$4))</f>
        <v>0</v>
      </c>
      <c r="B506" s="2" t="b">
        <f>IF(ISBLANK(InfoGard!E506),FALSE,RIGHT(TRIM(InfoGard!E506),15))</f>
        <v>0</v>
      </c>
      <c r="C506" s="2" t="b">
        <f>IF(ISBLANK(InfoGard!F506),FALSE,LOOKUP(InfoGard!F506,Lookup!$A$6:$B$7))</f>
        <v>0</v>
      </c>
      <c r="D506" s="2" t="b">
        <f>IF(ISBLANK(InfoGard!G506),FALSE,InfoGard!G506)</f>
        <v>0</v>
      </c>
      <c r="E506" s="2" t="str">
        <f>IF(NOT(ISBLANK(InfoGard!D506)),IF(OR(ISBLANK(InfoGard!E506),InfoGard!E506="N/A"),"no acb code",CONCATENATE(Lookup!F$1,A506,Lookup!G$1,B506,Lookup!H$1,H$1,Lookup!I$1)),"no attestation")</f>
        <v>no attestation</v>
      </c>
      <c r="F506" s="2" t="str">
        <f>IF(AND(NOT(ISBLANK(InfoGard!G506)),InfoGard!G506&lt;&gt;"N/A"),IF(C506="All",CONCATENATE(Lookup!F$2,D506,Lookup!G$2,B506,Lookup!H$2,H$1,Lookup!I$2),CONCATENATE(Lookup!F$3,D506,Lookup!G$3,B506,Lookup!H$3)),"no url")</f>
        <v>no url</v>
      </c>
    </row>
    <row r="507" spans="1:6" hidden="1" x14ac:dyDescent="0.25">
      <c r="A507" s="2" t="b">
        <f>IF(ISBLANK(InfoGard!D507),FALSE,LOOKUP(InfoGard!D507,Lookup!$A$2:$B$4))</f>
        <v>0</v>
      </c>
      <c r="B507" s="2" t="b">
        <f>IF(ISBLANK(InfoGard!E507),FALSE,RIGHT(TRIM(InfoGard!E507),15))</f>
        <v>0</v>
      </c>
      <c r="C507" s="2" t="b">
        <f>IF(ISBLANK(InfoGard!F507),FALSE,LOOKUP(InfoGard!F507,Lookup!$A$6:$B$7))</f>
        <v>0</v>
      </c>
      <c r="D507" s="2" t="b">
        <f>IF(ISBLANK(InfoGard!G507),FALSE,InfoGard!G507)</f>
        <v>0</v>
      </c>
      <c r="E507" s="2" t="str">
        <f>IF(NOT(ISBLANK(InfoGard!D507)),IF(OR(ISBLANK(InfoGard!E507),InfoGard!E507="N/A"),"no acb code",CONCATENATE(Lookup!F$1,A507,Lookup!G$1,B507,Lookup!H$1,H$1,Lookup!I$1)),"no attestation")</f>
        <v>no attestation</v>
      </c>
      <c r="F507" s="2" t="str">
        <f>IF(AND(NOT(ISBLANK(InfoGard!G507)),InfoGard!G507&lt;&gt;"N/A"),IF(C507="All",CONCATENATE(Lookup!F$2,D507,Lookup!G$2,B507,Lookup!H$2,H$1,Lookup!I$2),CONCATENATE(Lookup!F$3,D507,Lookup!G$3,B507,Lookup!H$3)),"no url")</f>
        <v>no url</v>
      </c>
    </row>
    <row r="508" spans="1:6" hidden="1" x14ac:dyDescent="0.25">
      <c r="A508" s="2" t="b">
        <f>IF(ISBLANK(InfoGard!D508),FALSE,LOOKUP(InfoGard!D508,Lookup!$A$2:$B$4))</f>
        <v>0</v>
      </c>
      <c r="B508" s="2" t="b">
        <f>IF(ISBLANK(InfoGard!E508),FALSE,RIGHT(TRIM(InfoGard!E508),15))</f>
        <v>0</v>
      </c>
      <c r="C508" s="2" t="b">
        <f>IF(ISBLANK(InfoGard!F508),FALSE,LOOKUP(InfoGard!F508,Lookup!$A$6:$B$7))</f>
        <v>0</v>
      </c>
      <c r="D508" s="2" t="b">
        <f>IF(ISBLANK(InfoGard!G508),FALSE,InfoGard!G508)</f>
        <v>0</v>
      </c>
      <c r="E508" s="2" t="str">
        <f>IF(NOT(ISBLANK(InfoGard!D508)),IF(OR(ISBLANK(InfoGard!E508),InfoGard!E508="N/A"),"no acb code",CONCATENATE(Lookup!F$1,A508,Lookup!G$1,B508,Lookup!H$1,H$1,Lookup!I$1)),"no attestation")</f>
        <v>no attestation</v>
      </c>
      <c r="F508" s="2" t="str">
        <f>IF(AND(NOT(ISBLANK(InfoGard!G508)),InfoGard!G508&lt;&gt;"N/A"),IF(C508="All",CONCATENATE(Lookup!F$2,D508,Lookup!G$2,B508,Lookup!H$2,H$1,Lookup!I$2),CONCATENATE(Lookup!F$3,D508,Lookup!G$3,B508,Lookup!H$3)),"no url")</f>
        <v>no url</v>
      </c>
    </row>
    <row r="509" spans="1:6" hidden="1" x14ac:dyDescent="0.25">
      <c r="A509" s="2" t="b">
        <f>IF(ISBLANK(InfoGard!D509),FALSE,LOOKUP(InfoGard!D509,Lookup!$A$2:$B$4))</f>
        <v>0</v>
      </c>
      <c r="B509" s="2" t="b">
        <f>IF(ISBLANK(InfoGard!E509),FALSE,RIGHT(TRIM(InfoGard!E509),15))</f>
        <v>0</v>
      </c>
      <c r="C509" s="2" t="b">
        <f>IF(ISBLANK(InfoGard!F509),FALSE,LOOKUP(InfoGard!F509,Lookup!$A$6:$B$7))</f>
        <v>0</v>
      </c>
      <c r="D509" s="2" t="b">
        <f>IF(ISBLANK(InfoGard!G509),FALSE,InfoGard!G509)</f>
        <v>0</v>
      </c>
      <c r="E509" s="2" t="str">
        <f>IF(NOT(ISBLANK(InfoGard!D509)),IF(OR(ISBLANK(InfoGard!E509),InfoGard!E509="N/A"),"no acb code",CONCATENATE(Lookup!F$1,A509,Lookup!G$1,B509,Lookup!H$1,H$1,Lookup!I$1)),"no attestation")</f>
        <v>no attestation</v>
      </c>
      <c r="F509" s="2" t="str">
        <f>IF(AND(NOT(ISBLANK(InfoGard!G509)),InfoGard!G509&lt;&gt;"N/A"),IF(C509="All",CONCATENATE(Lookup!F$2,D509,Lookup!G$2,B509,Lookup!H$2,H$1,Lookup!I$2),CONCATENATE(Lookup!F$3,D509,Lookup!G$3,B509,Lookup!H$3)),"no url")</f>
        <v>no url</v>
      </c>
    </row>
    <row r="510" spans="1:6" hidden="1" x14ac:dyDescent="0.25">
      <c r="A510" s="2" t="b">
        <f>IF(ISBLANK(InfoGard!D510),FALSE,LOOKUP(InfoGard!D510,Lookup!$A$2:$B$4))</f>
        <v>0</v>
      </c>
      <c r="B510" s="2" t="b">
        <f>IF(ISBLANK(InfoGard!E510),FALSE,RIGHT(TRIM(InfoGard!E510),15))</f>
        <v>0</v>
      </c>
      <c r="C510" s="2" t="b">
        <f>IF(ISBLANK(InfoGard!F510),FALSE,LOOKUP(InfoGard!F510,Lookup!$A$6:$B$7))</f>
        <v>0</v>
      </c>
      <c r="D510" s="2" t="b">
        <f>IF(ISBLANK(InfoGard!G510),FALSE,InfoGard!G510)</f>
        <v>0</v>
      </c>
      <c r="E510" s="2" t="str">
        <f>IF(NOT(ISBLANK(InfoGard!D510)),IF(OR(ISBLANK(InfoGard!E510),InfoGard!E510="N/A"),"no acb code",CONCATENATE(Lookup!F$1,A510,Lookup!G$1,B510,Lookup!H$1,H$1,Lookup!I$1)),"no attestation")</f>
        <v>no attestation</v>
      </c>
      <c r="F510" s="2" t="str">
        <f>IF(AND(NOT(ISBLANK(InfoGard!G510)),InfoGard!G510&lt;&gt;"N/A"),IF(C510="All",CONCATENATE(Lookup!F$2,D510,Lookup!G$2,B510,Lookup!H$2,H$1,Lookup!I$2),CONCATENATE(Lookup!F$3,D510,Lookup!G$3,B510,Lookup!H$3)),"no url")</f>
        <v>no url</v>
      </c>
    </row>
    <row r="511" spans="1:6" hidden="1" x14ac:dyDescent="0.25">
      <c r="A511" s="2" t="b">
        <f>IF(ISBLANK(InfoGard!D511),FALSE,LOOKUP(InfoGard!D511,Lookup!$A$2:$B$4))</f>
        <v>0</v>
      </c>
      <c r="B511" s="2" t="b">
        <f>IF(ISBLANK(InfoGard!E511),FALSE,RIGHT(TRIM(InfoGard!E511),15))</f>
        <v>0</v>
      </c>
      <c r="C511" s="2" t="b">
        <f>IF(ISBLANK(InfoGard!F511),FALSE,LOOKUP(InfoGard!F511,Lookup!$A$6:$B$7))</f>
        <v>0</v>
      </c>
      <c r="D511" s="2" t="b">
        <f>IF(ISBLANK(InfoGard!G511),FALSE,InfoGard!G511)</f>
        <v>0</v>
      </c>
      <c r="E511" s="2" t="str">
        <f>IF(NOT(ISBLANK(InfoGard!D511)),IF(OR(ISBLANK(InfoGard!E511),InfoGard!E511="N/A"),"no acb code",CONCATENATE(Lookup!F$1,A511,Lookup!G$1,B511,Lookup!H$1,H$1,Lookup!I$1)),"no attestation")</f>
        <v>no attestation</v>
      </c>
      <c r="F511" s="2" t="str">
        <f>IF(AND(NOT(ISBLANK(InfoGard!G511)),InfoGard!G511&lt;&gt;"N/A"),IF(C511="All",CONCATENATE(Lookup!F$2,D511,Lookup!G$2,B511,Lookup!H$2,H$1,Lookup!I$2),CONCATENATE(Lookup!F$3,D511,Lookup!G$3,B511,Lookup!H$3)),"no url")</f>
        <v>no url</v>
      </c>
    </row>
    <row r="512" spans="1:6" hidden="1" x14ac:dyDescent="0.25">
      <c r="A512" s="2" t="b">
        <f>IF(ISBLANK(InfoGard!D512),FALSE,LOOKUP(InfoGard!D512,Lookup!$A$2:$B$4))</f>
        <v>0</v>
      </c>
      <c r="B512" s="2" t="b">
        <f>IF(ISBLANK(InfoGard!E512),FALSE,RIGHT(TRIM(InfoGard!E512),15))</f>
        <v>0</v>
      </c>
      <c r="C512" s="2" t="b">
        <f>IF(ISBLANK(InfoGard!F512),FALSE,LOOKUP(InfoGard!F512,Lookup!$A$6:$B$7))</f>
        <v>0</v>
      </c>
      <c r="D512" s="2" t="b">
        <f>IF(ISBLANK(InfoGard!G512),FALSE,InfoGard!G512)</f>
        <v>0</v>
      </c>
      <c r="E512" s="2" t="str">
        <f>IF(NOT(ISBLANK(InfoGard!D512)),IF(OR(ISBLANK(InfoGard!E512),InfoGard!E512="N/A"),"no acb code",CONCATENATE(Lookup!F$1,A512,Lookup!G$1,B512,Lookup!H$1,H$1,Lookup!I$1)),"no attestation")</f>
        <v>no attestation</v>
      </c>
      <c r="F512" s="2" t="str">
        <f>IF(AND(NOT(ISBLANK(InfoGard!G512)),InfoGard!G512&lt;&gt;"N/A"),IF(C512="All",CONCATENATE(Lookup!F$2,D512,Lookup!G$2,B512,Lookup!H$2,H$1,Lookup!I$2),CONCATENATE(Lookup!F$3,D512,Lookup!G$3,B512,Lookup!H$3)),"no url")</f>
        <v>no url</v>
      </c>
    </row>
    <row r="513" spans="1:6" hidden="1" x14ac:dyDescent="0.25">
      <c r="A513" s="2" t="b">
        <f>IF(ISBLANK(InfoGard!D513),FALSE,LOOKUP(InfoGard!D513,Lookup!$A$2:$B$4))</f>
        <v>0</v>
      </c>
      <c r="B513" s="2" t="b">
        <f>IF(ISBLANK(InfoGard!E513),FALSE,RIGHT(TRIM(InfoGard!E513),15))</f>
        <v>0</v>
      </c>
      <c r="C513" s="2" t="b">
        <f>IF(ISBLANK(InfoGard!F513),FALSE,LOOKUP(InfoGard!F513,Lookup!$A$6:$B$7))</f>
        <v>0</v>
      </c>
      <c r="D513" s="2" t="b">
        <f>IF(ISBLANK(InfoGard!G513),FALSE,InfoGard!G513)</f>
        <v>0</v>
      </c>
      <c r="E513" s="2" t="str">
        <f>IF(NOT(ISBLANK(InfoGard!D513)),IF(OR(ISBLANK(InfoGard!E513),InfoGard!E513="N/A"),"no acb code",CONCATENATE(Lookup!F$1,A513,Lookup!G$1,B513,Lookup!H$1,H$1,Lookup!I$1)),"no attestation")</f>
        <v>no attestation</v>
      </c>
      <c r="F513" s="2" t="str">
        <f>IF(AND(NOT(ISBLANK(InfoGard!G513)),InfoGard!G513&lt;&gt;"N/A"),IF(C513="All",CONCATENATE(Lookup!F$2,D513,Lookup!G$2,B513,Lookup!H$2,H$1,Lookup!I$2),CONCATENATE(Lookup!F$3,D513,Lookup!G$3,B513,Lookup!H$3)),"no url")</f>
        <v>no url</v>
      </c>
    </row>
    <row r="514" spans="1:6" x14ac:dyDescent="0.25">
      <c r="A514" s="2" t="str">
        <f>IF(ISBLANK(InfoGard!D514),FALSE,LOOKUP(InfoGard!D514,Lookup!$A$2:$B$4))</f>
        <v>Affirmative</v>
      </c>
      <c r="B514" s="2" t="str">
        <f>IF(ISBLANK(InfoGard!E514),FALSE,RIGHT(TRIM(InfoGard!E514),15))</f>
        <v>IG-2763-15-0053</v>
      </c>
      <c r="C514" s="2" t="str">
        <f>IF(ISBLANK(InfoGard!F514),FALSE,LOOKUP(InfoGard!F514,Lookup!$A$6:$B$7))</f>
        <v>All</v>
      </c>
      <c r="D514" s="2" t="str">
        <f>IF(ISBLANK(InfoGard!G514),FALSE,InfoGard!G514)</f>
        <v>http://www.goldblattsystems.com/about-us/certifications/; http://www.goldblattsystems.com/services-support/hardware-and-computer-performance-needs/</v>
      </c>
      <c r="E514" s="2" t="str">
        <f>IF(NOT(ISBLANK(InfoGard!D514)),IF(OR(ISBLANK(InfoGard!E514),InfoGard!E514="N/A"),"no acb code",CONCATENATE(Lookup!F$1,A514,Lookup!G$1,B514,Lookup!H$1,H$1,Lookup!I$1)),"no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'IG-2763-15-0053' and cb."name" = 'InfoGard' and cp.product_version_id = pv.product_version_id and pv.product_id = p.product_id and p.vendor_id = vend.vendor_id;</v>
      </c>
      <c r="F514" s="2" t="str">
        <f>IF(AND(NOT(ISBLANK(InfoGard!G514)),InfoGard!G514&lt;&gt;"N/A"),IF(C514="All",CONCATENATE(Lookup!F$2,D514,Lookup!G$2,B514,Lookup!H$2,H$1,Lookup!I$2),CONCATENATE(Lookup!F$3,D514,Lookup!G$3,B514,Lookup!H$3)),"no url")</f>
        <v>update openchpl.certified_product as cp set transparency_attestation_url = 'http://www.goldblattsystems.com/about-us/certifications/; http://www.goldblattsystems.com/services-support/hardware-and-computer-performance-needs/' from (select certified_product_id from (select vend.vendor_code from openchpl.certified_product as cp, openchpl.product_version as pv, openchpl.product as p, openchpl.vendor as vend where cp.acb_certification_id = 'IG-2763-15-0053'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5" spans="1:6" hidden="1" x14ac:dyDescent="0.25">
      <c r="A515" s="2" t="b">
        <f>IF(ISBLANK(InfoGard!D515),FALSE,LOOKUP(InfoGard!D515,Lookup!$A$2:$B$4))</f>
        <v>0</v>
      </c>
      <c r="B515" s="2" t="b">
        <f>IF(ISBLANK(InfoGard!E515),FALSE,RIGHT(TRIM(InfoGard!E515),15))</f>
        <v>0</v>
      </c>
      <c r="C515" s="2" t="b">
        <f>IF(ISBLANK(InfoGard!F515),FALSE,LOOKUP(InfoGard!F515,Lookup!$A$6:$B$7))</f>
        <v>0</v>
      </c>
      <c r="D515" s="2" t="b">
        <f>IF(ISBLANK(InfoGard!G515),FALSE,InfoGard!G515)</f>
        <v>0</v>
      </c>
      <c r="E515" s="2" t="str">
        <f>IF(NOT(ISBLANK(InfoGard!D515)),IF(OR(ISBLANK(InfoGard!E515),InfoGard!E515="N/A"),"no acb code",CONCATENATE(Lookup!F$1,A515,Lookup!G$1,B515,Lookup!H$1,H$1,Lookup!I$1)),"no attestation")</f>
        <v>no attestation</v>
      </c>
      <c r="F515" s="2" t="str">
        <f>IF(AND(NOT(ISBLANK(InfoGard!G515)),InfoGard!G515&lt;&gt;"N/A"),IF(C515="All",CONCATENATE(Lookup!F$2,D515,Lookup!G$2,B515,Lookup!H$2,H$1,Lookup!I$2),CONCATENATE(Lookup!F$3,D515,Lookup!G$3,B515,Lookup!H$3)),"no url")</f>
        <v>no url</v>
      </c>
    </row>
    <row r="516" spans="1:6" hidden="1" x14ac:dyDescent="0.25">
      <c r="A516" s="2" t="b">
        <f>IF(ISBLANK(InfoGard!D516),FALSE,LOOKUP(InfoGard!D516,Lookup!$A$2:$B$4))</f>
        <v>0</v>
      </c>
      <c r="B516" s="2" t="b">
        <f>IF(ISBLANK(InfoGard!E516),FALSE,RIGHT(TRIM(InfoGard!E516),15))</f>
        <v>0</v>
      </c>
      <c r="C516" s="2" t="b">
        <f>IF(ISBLANK(InfoGard!F516),FALSE,LOOKUP(InfoGard!F516,Lookup!$A$6:$B$7))</f>
        <v>0</v>
      </c>
      <c r="D516" s="2" t="b">
        <f>IF(ISBLANK(InfoGard!G516),FALSE,InfoGard!G516)</f>
        <v>0</v>
      </c>
      <c r="E516" s="2" t="str">
        <f>IF(NOT(ISBLANK(InfoGard!D516)),IF(OR(ISBLANK(InfoGard!E516),InfoGard!E516="N/A"),"no acb code",CONCATENATE(Lookup!F$1,A516,Lookup!G$1,B516,Lookup!H$1,H$1,Lookup!I$1)),"no attestation")</f>
        <v>no attestation</v>
      </c>
      <c r="F516" s="2" t="str">
        <f>IF(AND(NOT(ISBLANK(InfoGard!G516)),InfoGard!G516&lt;&gt;"N/A"),IF(C516="All",CONCATENATE(Lookup!F$2,D516,Lookup!G$2,B516,Lookup!H$2,H$1,Lookup!I$2),CONCATENATE(Lookup!F$3,D516,Lookup!G$3,B516,Lookup!H$3)),"no url")</f>
        <v>no url</v>
      </c>
    </row>
    <row r="517" spans="1:6" hidden="1" x14ac:dyDescent="0.25">
      <c r="A517" s="2" t="b">
        <f>IF(ISBLANK(InfoGard!D517),FALSE,LOOKUP(InfoGard!D517,Lookup!$A$2:$B$4))</f>
        <v>0</v>
      </c>
      <c r="B517" s="2" t="b">
        <f>IF(ISBLANK(InfoGard!E517),FALSE,RIGHT(TRIM(InfoGard!E517),15))</f>
        <v>0</v>
      </c>
      <c r="C517" s="2" t="b">
        <f>IF(ISBLANK(InfoGard!F517),FALSE,LOOKUP(InfoGard!F517,Lookup!$A$6:$B$7))</f>
        <v>0</v>
      </c>
      <c r="D517" s="2" t="b">
        <f>IF(ISBLANK(InfoGard!G517),FALSE,InfoGard!G517)</f>
        <v>0</v>
      </c>
      <c r="E517" s="2" t="str">
        <f>IF(NOT(ISBLANK(InfoGard!D517)),IF(OR(ISBLANK(InfoGard!E517),InfoGard!E517="N/A"),"no acb code",CONCATENATE(Lookup!F$1,A517,Lookup!G$1,B517,Lookup!H$1,H$1,Lookup!I$1)),"no attestation")</f>
        <v>no attestation</v>
      </c>
      <c r="F517" s="2" t="str">
        <f>IF(AND(NOT(ISBLANK(InfoGard!G517)),InfoGard!G517&lt;&gt;"N/A"),IF(C517="All",CONCATENATE(Lookup!F$2,D517,Lookup!G$2,B517,Lookup!H$2,H$1,Lookup!I$2),CONCATENATE(Lookup!F$3,D517,Lookup!G$3,B517,Lookup!H$3)),"no url")</f>
        <v>no url</v>
      </c>
    </row>
    <row r="518" spans="1:6" x14ac:dyDescent="0.25">
      <c r="A518" s="2" t="str">
        <f>IF(ISBLANK(InfoGard!D518),FALSE,LOOKUP(InfoGard!D518,Lookup!$A$2:$B$4))</f>
        <v>Affirmative</v>
      </c>
      <c r="B518" s="2" t="str">
        <f>IF(ISBLANK(InfoGard!E518),FALSE,RIGHT(TRIM(InfoGard!E518),15))</f>
        <v>IG-2577-14-0062</v>
      </c>
      <c r="C518" s="2" t="str">
        <f>IF(ISBLANK(InfoGard!F518),FALSE,LOOKUP(InfoGard!F518,Lookup!$A$6:$B$7))</f>
        <v>All</v>
      </c>
      <c r="D518" s="2" t="str">
        <f>IF(ISBLANK(InfoGard!G518),FALSE,InfoGard!G518)</f>
        <v>http://greenclinical.info  </v>
      </c>
      <c r="E518" s="2" t="str">
        <f>IF(NOT(ISBLANK(InfoGard!D518)),IF(OR(ISBLANK(InfoGard!E518),InfoGard!E518="N/A"),"no acb code",CONCATENATE(Lookup!F$1,A518,Lookup!G$1,B518,Lookup!H$1,H$1,Lookup!I$1)),"no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'IG-2577-14-0062' and cb."name" = 'InfoGard' and cp.product_version_id = pv.product_version_id and pv.product_id = p.product_id and p.vendor_id = vend.vendor_id;</v>
      </c>
      <c r="F518" s="2" t="str">
        <f>IF(AND(NOT(ISBLANK(InfoGard!G518)),InfoGard!G518&lt;&gt;"N/A"),IF(C518="All",CONCATENATE(Lookup!F$2,D518,Lookup!G$2,B518,Lookup!H$2,H$1,Lookup!I$2),CONCATENATE(Lookup!F$3,D518,Lookup!G$3,B518,Lookup!H$3)),"no url")</f>
        <v>update openchpl.certified_product as cp set transparency_attestation_url = 'http://greenclinical.info  ' from (select certified_product_id from (select vend.vendor_code from openchpl.certified_product as cp, openchpl.product_version as pv, openchpl.product as p, openchpl.vendor as vend where cp.acb_certification_id = 'IG-2577-14-0062'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9" spans="1:6" hidden="1" x14ac:dyDescent="0.25">
      <c r="A519" s="2" t="b">
        <f>IF(ISBLANK(InfoGard!D519),FALSE,LOOKUP(InfoGard!D519,Lookup!$A$2:$B$4))</f>
        <v>0</v>
      </c>
      <c r="B519" s="2" t="b">
        <f>IF(ISBLANK(InfoGard!E519),FALSE,RIGHT(TRIM(InfoGard!E519),15))</f>
        <v>0</v>
      </c>
      <c r="C519" s="2" t="b">
        <f>IF(ISBLANK(InfoGard!F519),FALSE,LOOKUP(InfoGard!F519,Lookup!$A$6:$B$7))</f>
        <v>0</v>
      </c>
      <c r="D519" s="2" t="b">
        <f>IF(ISBLANK(InfoGard!G519),FALSE,InfoGard!G519)</f>
        <v>0</v>
      </c>
      <c r="E519" s="2" t="str">
        <f>IF(NOT(ISBLANK(InfoGard!D519)),IF(OR(ISBLANK(InfoGard!E519),InfoGard!E519="N/A"),"no acb code",CONCATENATE(Lookup!F$1,A519,Lookup!G$1,B519,Lookup!H$1,H$1,Lookup!I$1)),"no attestation")</f>
        <v>no attestation</v>
      </c>
      <c r="F519" s="2" t="str">
        <f>IF(AND(NOT(ISBLANK(InfoGard!G519)),InfoGard!G519&lt;&gt;"N/A"),IF(C519="All",CONCATENATE(Lookup!F$2,D519,Lookup!G$2,B519,Lookup!H$2,H$1,Lookup!I$2),CONCATENATE(Lookup!F$3,D519,Lookup!G$3,B519,Lookup!H$3)),"no url")</f>
        <v>no url</v>
      </c>
    </row>
    <row r="520" spans="1:6" hidden="1" x14ac:dyDescent="0.25">
      <c r="A520" s="2" t="b">
        <f>IF(ISBLANK(InfoGard!D520),FALSE,LOOKUP(InfoGard!D520,Lookup!$A$2:$B$4))</f>
        <v>0</v>
      </c>
      <c r="B520" s="2" t="b">
        <f>IF(ISBLANK(InfoGard!E520),FALSE,RIGHT(TRIM(InfoGard!E520),15))</f>
        <v>0</v>
      </c>
      <c r="C520" s="2" t="b">
        <f>IF(ISBLANK(InfoGard!F520),FALSE,LOOKUP(InfoGard!F520,Lookup!$A$6:$B$7))</f>
        <v>0</v>
      </c>
      <c r="D520" s="2" t="b">
        <f>IF(ISBLANK(InfoGard!G520),FALSE,InfoGard!G520)</f>
        <v>0</v>
      </c>
      <c r="E520" s="2" t="str">
        <f>IF(NOT(ISBLANK(InfoGard!D520)),IF(OR(ISBLANK(InfoGard!E520),InfoGard!E520="N/A"),"no acb code",CONCATENATE(Lookup!F$1,A520,Lookup!G$1,B520,Lookup!H$1,H$1,Lookup!I$1)),"no attestation")</f>
        <v>no attestation</v>
      </c>
      <c r="F520" s="2" t="str">
        <f>IF(AND(NOT(ISBLANK(InfoGard!G520)),InfoGard!G520&lt;&gt;"N/A"),IF(C520="All",CONCATENATE(Lookup!F$2,D520,Lookup!G$2,B520,Lookup!H$2,H$1,Lookup!I$2),CONCATENATE(Lookup!F$3,D520,Lookup!G$3,B520,Lookup!H$3)),"no url")</f>
        <v>no url</v>
      </c>
    </row>
    <row r="521" spans="1:6" hidden="1" x14ac:dyDescent="0.25">
      <c r="A521" s="2" t="b">
        <f>IF(ISBLANK(InfoGard!D521),FALSE,LOOKUP(InfoGard!D521,Lookup!$A$2:$B$4))</f>
        <v>0</v>
      </c>
      <c r="B521" s="2" t="b">
        <f>IF(ISBLANK(InfoGard!E521),FALSE,RIGHT(TRIM(InfoGard!E521),15))</f>
        <v>0</v>
      </c>
      <c r="C521" s="2" t="b">
        <f>IF(ISBLANK(InfoGard!F521),FALSE,LOOKUP(InfoGard!F521,Lookup!$A$6:$B$7))</f>
        <v>0</v>
      </c>
      <c r="D521" s="2" t="b">
        <f>IF(ISBLANK(InfoGard!G521),FALSE,InfoGard!G521)</f>
        <v>0</v>
      </c>
      <c r="E521" s="2" t="str">
        <f>IF(NOT(ISBLANK(InfoGard!D521)),IF(OR(ISBLANK(InfoGard!E521),InfoGard!E521="N/A"),"no acb code",CONCATENATE(Lookup!F$1,A521,Lookup!G$1,B521,Lookup!H$1,H$1,Lookup!I$1)),"no attestation")</f>
        <v>no attestation</v>
      </c>
      <c r="F521" s="2" t="str">
        <f>IF(AND(NOT(ISBLANK(InfoGard!G521)),InfoGard!G521&lt;&gt;"N/A"),IF(C521="All",CONCATENATE(Lookup!F$2,D521,Lookup!G$2,B521,Lookup!H$2,H$1,Lookup!I$2),CONCATENATE(Lookup!F$3,D521,Lookup!G$3,B521,Lookup!H$3)),"no url")</f>
        <v>no url</v>
      </c>
    </row>
    <row r="522" spans="1:6" hidden="1" x14ac:dyDescent="0.25">
      <c r="A522" s="2" t="b">
        <f>IF(ISBLANK(InfoGard!D522),FALSE,LOOKUP(InfoGard!D522,Lookup!$A$2:$B$4))</f>
        <v>0</v>
      </c>
      <c r="B522" s="2" t="b">
        <f>IF(ISBLANK(InfoGard!E522),FALSE,RIGHT(TRIM(InfoGard!E522),15))</f>
        <v>0</v>
      </c>
      <c r="C522" s="2" t="b">
        <f>IF(ISBLANK(InfoGard!F522),FALSE,LOOKUP(InfoGard!F522,Lookup!$A$6:$B$7))</f>
        <v>0</v>
      </c>
      <c r="D522" s="2" t="b">
        <f>IF(ISBLANK(InfoGard!G522),FALSE,InfoGard!G522)</f>
        <v>0</v>
      </c>
      <c r="E522" s="2" t="str">
        <f>IF(NOT(ISBLANK(InfoGard!D522)),IF(OR(ISBLANK(InfoGard!E522),InfoGard!E522="N/A"),"no acb code",CONCATENATE(Lookup!F$1,A522,Lookup!G$1,B522,Lookup!H$1,H$1,Lookup!I$1)),"no attestation")</f>
        <v>no attestation</v>
      </c>
      <c r="F522" s="2" t="str">
        <f>IF(AND(NOT(ISBLANK(InfoGard!G522)),InfoGard!G522&lt;&gt;"N/A"),IF(C522="All",CONCATENATE(Lookup!F$2,D522,Lookup!G$2,B522,Lookup!H$2,H$1,Lookup!I$2),CONCATENATE(Lookup!F$3,D522,Lookup!G$3,B522,Lookup!H$3)),"no url")</f>
        <v>no url</v>
      </c>
    </row>
    <row r="523" spans="1:6" hidden="1" x14ac:dyDescent="0.25">
      <c r="A523" s="2" t="b">
        <f>IF(ISBLANK(InfoGard!D523),FALSE,LOOKUP(InfoGard!D523,Lookup!$A$2:$B$4))</f>
        <v>0</v>
      </c>
      <c r="B523" s="2" t="b">
        <f>IF(ISBLANK(InfoGard!E523),FALSE,RIGHT(TRIM(InfoGard!E523),15))</f>
        <v>0</v>
      </c>
      <c r="C523" s="2" t="b">
        <f>IF(ISBLANK(InfoGard!F523),FALSE,LOOKUP(InfoGard!F523,Lookup!$A$6:$B$7))</f>
        <v>0</v>
      </c>
      <c r="D523" s="2" t="b">
        <f>IF(ISBLANK(InfoGard!G523),FALSE,InfoGard!G523)</f>
        <v>0</v>
      </c>
      <c r="E523" s="2" t="str">
        <f>IF(NOT(ISBLANK(InfoGard!D523)),IF(OR(ISBLANK(InfoGard!E523),InfoGard!E523="N/A"),"no acb code",CONCATENATE(Lookup!F$1,A523,Lookup!G$1,B523,Lookup!H$1,H$1,Lookup!I$1)),"no attestation")</f>
        <v>no attestation</v>
      </c>
      <c r="F523" s="2" t="str">
        <f>IF(AND(NOT(ISBLANK(InfoGard!G523)),InfoGard!G523&lt;&gt;"N/A"),IF(C523="All",CONCATENATE(Lookup!F$2,D523,Lookup!G$2,B523,Lookup!H$2,H$1,Lookup!I$2),CONCATENATE(Lookup!F$3,D523,Lookup!G$3,B523,Lookup!H$3)),"no url")</f>
        <v>no url</v>
      </c>
    </row>
    <row r="524" spans="1:6" hidden="1" x14ac:dyDescent="0.25">
      <c r="A524" s="2" t="b">
        <f>IF(ISBLANK(InfoGard!D524),FALSE,LOOKUP(InfoGard!D524,Lookup!$A$2:$B$4))</f>
        <v>0</v>
      </c>
      <c r="B524" s="2" t="b">
        <f>IF(ISBLANK(InfoGard!E524),FALSE,RIGHT(TRIM(InfoGard!E524),15))</f>
        <v>0</v>
      </c>
      <c r="C524" s="2" t="b">
        <f>IF(ISBLANK(InfoGard!F524),FALSE,LOOKUP(InfoGard!F524,Lookup!$A$6:$B$7))</f>
        <v>0</v>
      </c>
      <c r="D524" s="2" t="b">
        <f>IF(ISBLANK(InfoGard!G524),FALSE,InfoGard!G524)</f>
        <v>0</v>
      </c>
      <c r="E524" s="2" t="str">
        <f>IF(NOT(ISBLANK(InfoGard!D524)),IF(OR(ISBLANK(InfoGard!E524),InfoGard!E524="N/A"),"no acb code",CONCATENATE(Lookup!F$1,A524,Lookup!G$1,B524,Lookup!H$1,H$1,Lookup!I$1)),"no attestation")</f>
        <v>no attestation</v>
      </c>
      <c r="F524" s="2" t="str">
        <f>IF(AND(NOT(ISBLANK(InfoGard!G524)),InfoGard!G524&lt;&gt;"N/A"),IF(C524="All",CONCATENATE(Lookup!F$2,D524,Lookup!G$2,B524,Lookup!H$2,H$1,Lookup!I$2),CONCATENATE(Lookup!F$3,D524,Lookup!G$3,B524,Lookup!H$3)),"no url")</f>
        <v>no url</v>
      </c>
    </row>
    <row r="525" spans="1:6" hidden="1" x14ac:dyDescent="0.25">
      <c r="A525" s="2" t="b">
        <f>IF(ISBLANK(InfoGard!D525),FALSE,LOOKUP(InfoGard!D525,Lookup!$A$2:$B$4))</f>
        <v>0</v>
      </c>
      <c r="B525" s="2" t="b">
        <f>IF(ISBLANK(InfoGard!E525),FALSE,RIGHT(TRIM(InfoGard!E525),15))</f>
        <v>0</v>
      </c>
      <c r="C525" s="2" t="b">
        <f>IF(ISBLANK(InfoGard!F525),FALSE,LOOKUP(InfoGard!F525,Lookup!$A$6:$B$7))</f>
        <v>0</v>
      </c>
      <c r="D525" s="2" t="b">
        <f>IF(ISBLANK(InfoGard!G525),FALSE,InfoGard!G525)</f>
        <v>0</v>
      </c>
      <c r="E525" s="2" t="str">
        <f>IF(NOT(ISBLANK(InfoGard!D525)),IF(OR(ISBLANK(InfoGard!E525),InfoGard!E525="N/A"),"no acb code",CONCATENATE(Lookup!F$1,A525,Lookup!G$1,B525,Lookup!H$1,H$1,Lookup!I$1)),"no attestation")</f>
        <v>no attestation</v>
      </c>
      <c r="F525" s="2" t="str">
        <f>IF(AND(NOT(ISBLANK(InfoGard!G525)),InfoGard!G525&lt;&gt;"N/A"),IF(C525="All",CONCATENATE(Lookup!F$2,D525,Lookup!G$2,B525,Lookup!H$2,H$1,Lookup!I$2),CONCATENATE(Lookup!F$3,D525,Lookup!G$3,B525,Lookup!H$3)),"no url")</f>
        <v>no url</v>
      </c>
    </row>
    <row r="526" spans="1:6" hidden="1" x14ac:dyDescent="0.25">
      <c r="A526" s="2" t="b">
        <f>IF(ISBLANK(InfoGard!D526),FALSE,LOOKUP(InfoGard!D526,Lookup!$A$2:$B$4))</f>
        <v>0</v>
      </c>
      <c r="B526" s="2" t="b">
        <f>IF(ISBLANK(InfoGard!E526),FALSE,RIGHT(TRIM(InfoGard!E526),15))</f>
        <v>0</v>
      </c>
      <c r="C526" s="2" t="b">
        <f>IF(ISBLANK(InfoGard!F526),FALSE,LOOKUP(InfoGard!F526,Lookup!$A$6:$B$7))</f>
        <v>0</v>
      </c>
      <c r="D526" s="2" t="b">
        <f>IF(ISBLANK(InfoGard!G526),FALSE,InfoGard!G526)</f>
        <v>0</v>
      </c>
      <c r="E526" s="2" t="str">
        <f>IF(NOT(ISBLANK(InfoGard!D526)),IF(OR(ISBLANK(InfoGard!E526),InfoGard!E526="N/A"),"no acb code",CONCATENATE(Lookup!F$1,A526,Lookup!G$1,B526,Lookup!H$1,H$1,Lookup!I$1)),"no attestation")</f>
        <v>no attestation</v>
      </c>
      <c r="F526" s="2" t="str">
        <f>IF(AND(NOT(ISBLANK(InfoGard!G526)),InfoGard!G526&lt;&gt;"N/A"),IF(C526="All",CONCATENATE(Lookup!F$2,D526,Lookup!G$2,B526,Lookup!H$2,H$1,Lookup!I$2),CONCATENATE(Lookup!F$3,D526,Lookup!G$3,B526,Lookup!H$3)),"no url")</f>
        <v>no url</v>
      </c>
    </row>
    <row r="527" spans="1:6" hidden="1" x14ac:dyDescent="0.25">
      <c r="A527" s="2" t="b">
        <f>IF(ISBLANK(InfoGard!D527),FALSE,LOOKUP(InfoGard!D527,Lookup!$A$2:$B$4))</f>
        <v>0</v>
      </c>
      <c r="B527" s="2" t="b">
        <f>IF(ISBLANK(InfoGard!E527),FALSE,RIGHT(TRIM(InfoGard!E527),15))</f>
        <v>0</v>
      </c>
      <c r="C527" s="2" t="b">
        <f>IF(ISBLANK(InfoGard!F527),FALSE,LOOKUP(InfoGard!F527,Lookup!$A$6:$B$7))</f>
        <v>0</v>
      </c>
      <c r="D527" s="2" t="b">
        <f>IF(ISBLANK(InfoGard!G527),FALSE,InfoGard!G527)</f>
        <v>0</v>
      </c>
      <c r="E527" s="2" t="str">
        <f>IF(NOT(ISBLANK(InfoGard!D527)),IF(OR(ISBLANK(InfoGard!E527),InfoGard!E527="N/A"),"no acb code",CONCATENATE(Lookup!F$1,A527,Lookup!G$1,B527,Lookup!H$1,H$1,Lookup!I$1)),"no attestation")</f>
        <v>no attestation</v>
      </c>
      <c r="F527" s="2" t="str">
        <f>IF(AND(NOT(ISBLANK(InfoGard!G527)),InfoGard!G527&lt;&gt;"N/A"),IF(C527="All",CONCATENATE(Lookup!F$2,D527,Lookup!G$2,B527,Lookup!H$2,H$1,Lookup!I$2),CONCATENATE(Lookup!F$3,D527,Lookup!G$3,B527,Lookup!H$3)),"no url")</f>
        <v>no url</v>
      </c>
    </row>
    <row r="528" spans="1:6" hidden="1" x14ac:dyDescent="0.25">
      <c r="A528" s="2" t="b">
        <f>IF(ISBLANK(InfoGard!D528),FALSE,LOOKUP(InfoGard!D528,Lookup!$A$2:$B$4))</f>
        <v>0</v>
      </c>
      <c r="B528" s="2" t="b">
        <f>IF(ISBLANK(InfoGard!E528),FALSE,RIGHT(TRIM(InfoGard!E528),15))</f>
        <v>0</v>
      </c>
      <c r="C528" s="2" t="b">
        <f>IF(ISBLANK(InfoGard!F528),FALSE,LOOKUP(InfoGard!F528,Lookup!$A$6:$B$7))</f>
        <v>0</v>
      </c>
      <c r="D528" s="2" t="b">
        <f>IF(ISBLANK(InfoGard!G528),FALSE,InfoGard!G528)</f>
        <v>0</v>
      </c>
      <c r="E528" s="2" t="str">
        <f>IF(NOT(ISBLANK(InfoGard!D528)),IF(OR(ISBLANK(InfoGard!E528),InfoGard!E528="N/A"),"no acb code",CONCATENATE(Lookup!F$1,A528,Lookup!G$1,B528,Lookup!H$1,H$1,Lookup!I$1)),"no attestation")</f>
        <v>no attestation</v>
      </c>
      <c r="F528" s="2" t="str">
        <f>IF(AND(NOT(ISBLANK(InfoGard!G528)),InfoGard!G528&lt;&gt;"N/A"),IF(C528="All",CONCATENATE(Lookup!F$2,D528,Lookup!G$2,B528,Lookup!H$2,H$1,Lookup!I$2),CONCATENATE(Lookup!F$3,D528,Lookup!G$3,B528,Lookup!H$3)),"no url")</f>
        <v>no url</v>
      </c>
    </row>
    <row r="529" spans="1:6" hidden="1" x14ac:dyDescent="0.25">
      <c r="A529" s="2" t="b">
        <f>IF(ISBLANK(InfoGard!D529),FALSE,LOOKUP(InfoGard!D529,Lookup!$A$2:$B$4))</f>
        <v>0</v>
      </c>
      <c r="B529" s="2" t="b">
        <f>IF(ISBLANK(InfoGard!E529),FALSE,RIGHT(TRIM(InfoGard!E529),15))</f>
        <v>0</v>
      </c>
      <c r="C529" s="2" t="b">
        <f>IF(ISBLANK(InfoGard!F529),FALSE,LOOKUP(InfoGard!F529,Lookup!$A$6:$B$7))</f>
        <v>0</v>
      </c>
      <c r="D529" s="2" t="b">
        <f>IF(ISBLANK(InfoGard!G529),FALSE,InfoGard!G529)</f>
        <v>0</v>
      </c>
      <c r="E529" s="2" t="str">
        <f>IF(NOT(ISBLANK(InfoGard!D529)),IF(OR(ISBLANK(InfoGard!E529),InfoGard!E529="N/A"),"no acb code",CONCATENATE(Lookup!F$1,A529,Lookup!G$1,B529,Lookup!H$1,H$1,Lookup!I$1)),"no attestation")</f>
        <v>no attestation</v>
      </c>
      <c r="F529" s="2" t="str">
        <f>IF(AND(NOT(ISBLANK(InfoGard!G529)),InfoGard!G529&lt;&gt;"N/A"),IF(C529="All",CONCATENATE(Lookup!F$2,D529,Lookup!G$2,B529,Lookup!H$2,H$1,Lookup!I$2),CONCATENATE(Lookup!F$3,D529,Lookup!G$3,B529,Lookup!H$3)),"no url")</f>
        <v>no url</v>
      </c>
    </row>
    <row r="530" spans="1:6" hidden="1" x14ac:dyDescent="0.25">
      <c r="A530" s="2" t="b">
        <f>IF(ISBLANK(InfoGard!D530),FALSE,LOOKUP(InfoGard!D530,Lookup!$A$2:$B$4))</f>
        <v>0</v>
      </c>
      <c r="B530" s="2" t="b">
        <f>IF(ISBLANK(InfoGard!E530),FALSE,RIGHT(TRIM(InfoGard!E530),15))</f>
        <v>0</v>
      </c>
      <c r="C530" s="2" t="b">
        <f>IF(ISBLANK(InfoGard!F530),FALSE,LOOKUP(InfoGard!F530,Lookup!$A$6:$B$7))</f>
        <v>0</v>
      </c>
      <c r="D530" s="2" t="b">
        <f>IF(ISBLANK(InfoGard!G530),FALSE,InfoGard!G530)</f>
        <v>0</v>
      </c>
      <c r="E530" s="2" t="str">
        <f>IF(NOT(ISBLANK(InfoGard!D530)),IF(OR(ISBLANK(InfoGard!E530),InfoGard!E530="N/A"),"no acb code",CONCATENATE(Lookup!F$1,A530,Lookup!G$1,B530,Lookup!H$1,H$1,Lookup!I$1)),"no attestation")</f>
        <v>no attestation</v>
      </c>
      <c r="F530" s="2" t="str">
        <f>IF(AND(NOT(ISBLANK(InfoGard!G530)),InfoGard!G530&lt;&gt;"N/A"),IF(C530="All",CONCATENATE(Lookup!F$2,D530,Lookup!G$2,B530,Lookup!H$2,H$1,Lookup!I$2),CONCATENATE(Lookup!F$3,D530,Lookup!G$3,B530,Lookup!H$3)),"no url")</f>
        <v>no url</v>
      </c>
    </row>
    <row r="531" spans="1:6" hidden="1" x14ac:dyDescent="0.25">
      <c r="A531" s="2" t="b">
        <f>IF(ISBLANK(InfoGard!D531),FALSE,LOOKUP(InfoGard!D531,Lookup!$A$2:$B$4))</f>
        <v>0</v>
      </c>
      <c r="B531" s="2" t="b">
        <f>IF(ISBLANK(InfoGard!E531),FALSE,RIGHT(TRIM(InfoGard!E531),15))</f>
        <v>0</v>
      </c>
      <c r="C531" s="2" t="b">
        <f>IF(ISBLANK(InfoGard!F531),FALSE,LOOKUP(InfoGard!F531,Lookup!$A$6:$B$7))</f>
        <v>0</v>
      </c>
      <c r="D531" s="2" t="b">
        <f>IF(ISBLANK(InfoGard!G531),FALSE,InfoGard!G531)</f>
        <v>0</v>
      </c>
      <c r="E531" s="2" t="str">
        <f>IF(NOT(ISBLANK(InfoGard!D531)),IF(OR(ISBLANK(InfoGard!E531),InfoGard!E531="N/A"),"no acb code",CONCATENATE(Lookup!F$1,A531,Lookup!G$1,B531,Lookup!H$1,H$1,Lookup!I$1)),"no attestation")</f>
        <v>no attestation</v>
      </c>
      <c r="F531" s="2" t="str">
        <f>IF(AND(NOT(ISBLANK(InfoGard!G531)),InfoGard!G531&lt;&gt;"N/A"),IF(C531="All",CONCATENATE(Lookup!F$2,D531,Lookup!G$2,B531,Lookup!H$2,H$1,Lookup!I$2),CONCATENATE(Lookup!F$3,D531,Lookup!G$3,B531,Lookup!H$3)),"no url")</f>
        <v>no url</v>
      </c>
    </row>
    <row r="532" spans="1:6" hidden="1" x14ac:dyDescent="0.25">
      <c r="A532" s="2" t="b">
        <f>IF(ISBLANK(InfoGard!D532),FALSE,LOOKUP(InfoGard!D532,Lookup!$A$2:$B$4))</f>
        <v>0</v>
      </c>
      <c r="B532" s="2" t="b">
        <f>IF(ISBLANK(InfoGard!E532),FALSE,RIGHT(TRIM(InfoGard!E532),15))</f>
        <v>0</v>
      </c>
      <c r="C532" s="2" t="b">
        <f>IF(ISBLANK(InfoGard!F532),FALSE,LOOKUP(InfoGard!F532,Lookup!$A$6:$B$7))</f>
        <v>0</v>
      </c>
      <c r="D532" s="2" t="b">
        <f>IF(ISBLANK(InfoGard!G532),FALSE,InfoGard!G532)</f>
        <v>0</v>
      </c>
      <c r="E532" s="2" t="str">
        <f>IF(NOT(ISBLANK(InfoGard!D532)),IF(OR(ISBLANK(InfoGard!E532),InfoGard!E532="N/A"),"no acb code",CONCATENATE(Lookup!F$1,A532,Lookup!G$1,B532,Lookup!H$1,H$1,Lookup!I$1)),"no attestation")</f>
        <v>no attestation</v>
      </c>
      <c r="F532" s="2" t="str">
        <f>IF(AND(NOT(ISBLANK(InfoGard!G532)),InfoGard!G532&lt;&gt;"N/A"),IF(C532="All",CONCATENATE(Lookup!F$2,D532,Lookup!G$2,B532,Lookup!H$2,H$1,Lookup!I$2),CONCATENATE(Lookup!F$3,D532,Lookup!G$3,B532,Lookup!H$3)),"no url")</f>
        <v>no url</v>
      </c>
    </row>
    <row r="533" spans="1:6" hidden="1" x14ac:dyDescent="0.25">
      <c r="A533" s="2" t="b">
        <f>IF(ISBLANK(InfoGard!D533),FALSE,LOOKUP(InfoGard!D533,Lookup!$A$2:$B$4))</f>
        <v>0</v>
      </c>
      <c r="B533" s="2" t="b">
        <f>IF(ISBLANK(InfoGard!E533),FALSE,RIGHT(TRIM(InfoGard!E533),15))</f>
        <v>0</v>
      </c>
      <c r="C533" s="2" t="b">
        <f>IF(ISBLANK(InfoGard!F533),FALSE,LOOKUP(InfoGard!F533,Lookup!$A$6:$B$7))</f>
        <v>0</v>
      </c>
      <c r="D533" s="2" t="b">
        <f>IF(ISBLANK(InfoGard!G533),FALSE,InfoGard!G533)</f>
        <v>0</v>
      </c>
      <c r="E533" s="2" t="str">
        <f>IF(NOT(ISBLANK(InfoGard!D533)),IF(OR(ISBLANK(InfoGard!E533),InfoGard!E533="N/A"),"no acb code",CONCATENATE(Lookup!F$1,A533,Lookup!G$1,B533,Lookup!H$1,H$1,Lookup!I$1)),"no attestation")</f>
        <v>no attestation</v>
      </c>
      <c r="F533" s="2" t="str">
        <f>IF(AND(NOT(ISBLANK(InfoGard!G533)),InfoGard!G533&lt;&gt;"N/A"),IF(C533="All",CONCATENATE(Lookup!F$2,D533,Lookup!G$2,B533,Lookup!H$2,H$1,Lookup!I$2),CONCATENATE(Lookup!F$3,D533,Lookup!G$3,B533,Lookup!H$3)),"no url")</f>
        <v>no url</v>
      </c>
    </row>
    <row r="534" spans="1:6" hidden="1" x14ac:dyDescent="0.25">
      <c r="A534" s="2" t="b">
        <f>IF(ISBLANK(InfoGard!D534),FALSE,LOOKUP(InfoGard!D534,Lookup!$A$2:$B$4))</f>
        <v>0</v>
      </c>
      <c r="B534" s="2" t="b">
        <f>IF(ISBLANK(InfoGard!E534),FALSE,RIGHT(TRIM(InfoGard!E534),15))</f>
        <v>0</v>
      </c>
      <c r="C534" s="2" t="b">
        <f>IF(ISBLANK(InfoGard!F534),FALSE,LOOKUP(InfoGard!F534,Lookup!$A$6:$B$7))</f>
        <v>0</v>
      </c>
      <c r="D534" s="2" t="b">
        <f>IF(ISBLANK(InfoGard!G534),FALSE,InfoGard!G534)</f>
        <v>0</v>
      </c>
      <c r="E534" s="2" t="str">
        <f>IF(NOT(ISBLANK(InfoGard!D534)),IF(OR(ISBLANK(InfoGard!E534),InfoGard!E534="N/A"),"no acb code",CONCATENATE(Lookup!F$1,A534,Lookup!G$1,B534,Lookup!H$1,H$1,Lookup!I$1)),"no attestation")</f>
        <v>no attestation</v>
      </c>
      <c r="F534" s="2" t="str">
        <f>IF(AND(NOT(ISBLANK(InfoGard!G534)),InfoGard!G534&lt;&gt;"N/A"),IF(C534="All",CONCATENATE(Lookup!F$2,D534,Lookup!G$2,B534,Lookup!H$2,H$1,Lookup!I$2),CONCATENATE(Lookup!F$3,D534,Lookup!G$3,B534,Lookup!H$3)),"no url")</f>
        <v>no url</v>
      </c>
    </row>
    <row r="535" spans="1:6" hidden="1" x14ac:dyDescent="0.25">
      <c r="A535" s="2" t="b">
        <f>IF(ISBLANK(InfoGard!D535),FALSE,LOOKUP(InfoGard!D535,Lookup!$A$2:$B$4))</f>
        <v>0</v>
      </c>
      <c r="B535" s="2" t="b">
        <f>IF(ISBLANK(InfoGard!E535),FALSE,RIGHT(TRIM(InfoGard!E535),15))</f>
        <v>0</v>
      </c>
      <c r="C535" s="2" t="b">
        <f>IF(ISBLANK(InfoGard!F535),FALSE,LOOKUP(InfoGard!F535,Lookup!$A$6:$B$7))</f>
        <v>0</v>
      </c>
      <c r="D535" s="2" t="b">
        <f>IF(ISBLANK(InfoGard!G535),FALSE,InfoGard!G535)</f>
        <v>0</v>
      </c>
      <c r="E535" s="2" t="str">
        <f>IF(NOT(ISBLANK(InfoGard!D535)),IF(OR(ISBLANK(InfoGard!E535),InfoGard!E535="N/A"),"no acb code",CONCATENATE(Lookup!F$1,A535,Lookup!G$1,B535,Lookup!H$1,H$1,Lookup!I$1)),"no attestation")</f>
        <v>no attestation</v>
      </c>
      <c r="F535" s="2" t="str">
        <f>IF(AND(NOT(ISBLANK(InfoGard!G535)),InfoGard!G535&lt;&gt;"N/A"),IF(C535="All",CONCATENATE(Lookup!F$2,D535,Lookup!G$2,B535,Lookup!H$2,H$1,Lookup!I$2),CONCATENATE(Lookup!F$3,D535,Lookup!G$3,B535,Lookup!H$3)),"no url")</f>
        <v>no url</v>
      </c>
    </row>
    <row r="536" spans="1:6" hidden="1" x14ac:dyDescent="0.25">
      <c r="A536" s="2" t="b">
        <f>IF(ISBLANK(InfoGard!D536),FALSE,LOOKUP(InfoGard!D536,Lookup!$A$2:$B$4))</f>
        <v>0</v>
      </c>
      <c r="B536" s="2" t="b">
        <f>IF(ISBLANK(InfoGard!E536),FALSE,RIGHT(TRIM(InfoGard!E536),15))</f>
        <v>0</v>
      </c>
      <c r="C536" s="2" t="b">
        <f>IF(ISBLANK(InfoGard!F536),FALSE,LOOKUP(InfoGard!F536,Lookup!$A$6:$B$7))</f>
        <v>0</v>
      </c>
      <c r="D536" s="2" t="b">
        <f>IF(ISBLANK(InfoGard!G536),FALSE,InfoGard!G536)</f>
        <v>0</v>
      </c>
      <c r="E536" s="2" t="str">
        <f>IF(NOT(ISBLANK(InfoGard!D536)),IF(OR(ISBLANK(InfoGard!E536),InfoGard!E536="N/A"),"no acb code",CONCATENATE(Lookup!F$1,A536,Lookup!G$1,B536,Lookup!H$1,H$1,Lookup!I$1)),"no attestation")</f>
        <v>no attestation</v>
      </c>
      <c r="F536" s="2" t="str">
        <f>IF(AND(NOT(ISBLANK(InfoGard!G536)),InfoGard!G536&lt;&gt;"N/A"),IF(C536="All",CONCATENATE(Lookup!F$2,D536,Lookup!G$2,B536,Lookup!H$2,H$1,Lookup!I$2),CONCATENATE(Lookup!F$3,D536,Lookup!G$3,B536,Lookup!H$3)),"no url")</f>
        <v>no url</v>
      </c>
    </row>
    <row r="537" spans="1:6" hidden="1" x14ac:dyDescent="0.25">
      <c r="A537" s="2" t="b">
        <f>IF(ISBLANK(InfoGard!D537),FALSE,LOOKUP(InfoGard!D537,Lookup!$A$2:$B$4))</f>
        <v>0</v>
      </c>
      <c r="B537" s="2" t="b">
        <f>IF(ISBLANK(InfoGard!E537),FALSE,RIGHT(TRIM(InfoGard!E537),15))</f>
        <v>0</v>
      </c>
      <c r="C537" s="2" t="b">
        <f>IF(ISBLANK(InfoGard!F537),FALSE,LOOKUP(InfoGard!F537,Lookup!$A$6:$B$7))</f>
        <v>0</v>
      </c>
      <c r="D537" s="2" t="b">
        <f>IF(ISBLANK(InfoGard!G537),FALSE,InfoGard!G537)</f>
        <v>0</v>
      </c>
      <c r="E537" s="2" t="str">
        <f>IF(NOT(ISBLANK(InfoGard!D537)),IF(OR(ISBLANK(InfoGard!E537),InfoGard!E537="N/A"),"no acb code",CONCATENATE(Lookup!F$1,A537,Lookup!G$1,B537,Lookup!H$1,H$1,Lookup!I$1)),"no attestation")</f>
        <v>no attestation</v>
      </c>
      <c r="F537" s="2" t="str">
        <f>IF(AND(NOT(ISBLANK(InfoGard!G537)),InfoGard!G537&lt;&gt;"N/A"),IF(C537="All",CONCATENATE(Lookup!F$2,D537,Lookup!G$2,B537,Lookup!H$2,H$1,Lookup!I$2),CONCATENATE(Lookup!F$3,D537,Lookup!G$3,B537,Lookup!H$3)),"no url")</f>
        <v>no url</v>
      </c>
    </row>
    <row r="538" spans="1:6" hidden="1" x14ac:dyDescent="0.25">
      <c r="A538" s="2" t="b">
        <f>IF(ISBLANK(InfoGard!D538),FALSE,LOOKUP(InfoGard!D538,Lookup!$A$2:$B$4))</f>
        <v>0</v>
      </c>
      <c r="B538" s="2" t="b">
        <f>IF(ISBLANK(InfoGard!E538),FALSE,RIGHT(TRIM(InfoGard!E538),15))</f>
        <v>0</v>
      </c>
      <c r="C538" s="2" t="b">
        <f>IF(ISBLANK(InfoGard!F538),FALSE,LOOKUP(InfoGard!F538,Lookup!$A$6:$B$7))</f>
        <v>0</v>
      </c>
      <c r="D538" s="2" t="b">
        <f>IF(ISBLANK(InfoGard!G538),FALSE,InfoGard!G538)</f>
        <v>0</v>
      </c>
      <c r="E538" s="2" t="str">
        <f>IF(NOT(ISBLANK(InfoGard!D538)),IF(OR(ISBLANK(InfoGard!E538),InfoGard!E538="N/A"),"no acb code",CONCATENATE(Lookup!F$1,A538,Lookup!G$1,B538,Lookup!H$1,H$1,Lookup!I$1)),"no attestation")</f>
        <v>no attestation</v>
      </c>
      <c r="F538" s="2" t="str">
        <f>IF(AND(NOT(ISBLANK(InfoGard!G538)),InfoGard!G538&lt;&gt;"N/A"),IF(C538="All",CONCATENATE(Lookup!F$2,D538,Lookup!G$2,B538,Lookup!H$2,H$1,Lookup!I$2),CONCATENATE(Lookup!F$3,D538,Lookup!G$3,B538,Lookup!H$3)),"no url")</f>
        <v>no url</v>
      </c>
    </row>
    <row r="539" spans="1:6" hidden="1" x14ac:dyDescent="0.25">
      <c r="A539" s="2" t="b">
        <f>IF(ISBLANK(InfoGard!D539),FALSE,LOOKUP(InfoGard!D539,Lookup!$A$2:$B$4))</f>
        <v>0</v>
      </c>
      <c r="B539" s="2" t="b">
        <f>IF(ISBLANK(InfoGard!E539),FALSE,RIGHT(TRIM(InfoGard!E539),15))</f>
        <v>0</v>
      </c>
      <c r="C539" s="2" t="b">
        <f>IF(ISBLANK(InfoGard!F539),FALSE,LOOKUP(InfoGard!F539,Lookup!$A$6:$B$7))</f>
        <v>0</v>
      </c>
      <c r="D539" s="2" t="b">
        <f>IF(ISBLANK(InfoGard!G539),FALSE,InfoGard!G539)</f>
        <v>0</v>
      </c>
      <c r="E539" s="2" t="str">
        <f>IF(NOT(ISBLANK(InfoGard!D539)),IF(OR(ISBLANK(InfoGard!E539),InfoGard!E539="N/A"),"no acb code",CONCATENATE(Lookup!F$1,A539,Lookup!G$1,B539,Lookup!H$1,H$1,Lookup!I$1)),"no attestation")</f>
        <v>no attestation</v>
      </c>
      <c r="F539" s="2" t="str">
        <f>IF(AND(NOT(ISBLANK(InfoGard!G539)),InfoGard!G539&lt;&gt;"N/A"),IF(C539="All",CONCATENATE(Lookup!F$2,D539,Lookup!G$2,B539,Lookup!H$2,H$1,Lookup!I$2),CONCATENATE(Lookup!F$3,D539,Lookup!G$3,B539,Lookup!H$3)),"no url")</f>
        <v>no url</v>
      </c>
    </row>
    <row r="540" spans="1:6" hidden="1" x14ac:dyDescent="0.25">
      <c r="A540" s="2" t="b">
        <f>IF(ISBLANK(InfoGard!D540),FALSE,LOOKUP(InfoGard!D540,Lookup!$A$2:$B$4))</f>
        <v>0</v>
      </c>
      <c r="B540" s="2" t="b">
        <f>IF(ISBLANK(InfoGard!E540),FALSE,RIGHT(TRIM(InfoGard!E540),15))</f>
        <v>0</v>
      </c>
      <c r="C540" s="2" t="b">
        <f>IF(ISBLANK(InfoGard!F540),FALSE,LOOKUP(InfoGard!F540,Lookup!$A$6:$B$7))</f>
        <v>0</v>
      </c>
      <c r="D540" s="2" t="b">
        <f>IF(ISBLANK(InfoGard!G540),FALSE,InfoGard!G540)</f>
        <v>0</v>
      </c>
      <c r="E540" s="2" t="str">
        <f>IF(NOT(ISBLANK(InfoGard!D540)),IF(OR(ISBLANK(InfoGard!E540),InfoGard!E540="N/A"),"no acb code",CONCATENATE(Lookup!F$1,A540,Lookup!G$1,B540,Lookup!H$1,H$1,Lookup!I$1)),"no attestation")</f>
        <v>no attestation</v>
      </c>
      <c r="F540" s="2" t="str">
        <f>IF(AND(NOT(ISBLANK(InfoGard!G540)),InfoGard!G540&lt;&gt;"N/A"),IF(C540="All",CONCATENATE(Lookup!F$2,D540,Lookup!G$2,B540,Lookup!H$2,H$1,Lookup!I$2),CONCATENATE(Lookup!F$3,D540,Lookup!G$3,B540,Lookup!H$3)),"no url")</f>
        <v>no url</v>
      </c>
    </row>
    <row r="541" spans="1:6" hidden="1" x14ac:dyDescent="0.25">
      <c r="A541" s="2" t="b">
        <f>IF(ISBLANK(InfoGard!D541),FALSE,LOOKUP(InfoGard!D541,Lookup!$A$2:$B$4))</f>
        <v>0</v>
      </c>
      <c r="B541" s="2" t="b">
        <f>IF(ISBLANK(InfoGard!E541),FALSE,RIGHT(TRIM(InfoGard!E541),15))</f>
        <v>0</v>
      </c>
      <c r="C541" s="2" t="b">
        <f>IF(ISBLANK(InfoGard!F541),FALSE,LOOKUP(InfoGard!F541,Lookup!$A$6:$B$7))</f>
        <v>0</v>
      </c>
      <c r="D541" s="2" t="b">
        <f>IF(ISBLANK(InfoGard!G541),FALSE,InfoGard!G541)</f>
        <v>0</v>
      </c>
      <c r="E541" s="2" t="str">
        <f>IF(NOT(ISBLANK(InfoGard!D541)),IF(OR(ISBLANK(InfoGard!E541),InfoGard!E541="N/A"),"no acb code",CONCATENATE(Lookup!F$1,A541,Lookup!G$1,B541,Lookup!H$1,H$1,Lookup!I$1)),"no attestation")</f>
        <v>no attestation</v>
      </c>
      <c r="F541" s="2" t="str">
        <f>IF(AND(NOT(ISBLANK(InfoGard!G541)),InfoGard!G541&lt;&gt;"N/A"),IF(C541="All",CONCATENATE(Lookup!F$2,D541,Lookup!G$2,B541,Lookup!H$2,H$1,Lookup!I$2),CONCATENATE(Lookup!F$3,D541,Lookup!G$3,B541,Lookup!H$3)),"no url")</f>
        <v>no url</v>
      </c>
    </row>
    <row r="542" spans="1:6" hidden="1" x14ac:dyDescent="0.25">
      <c r="A542" s="2" t="b">
        <f>IF(ISBLANK(InfoGard!D542),FALSE,LOOKUP(InfoGard!D542,Lookup!$A$2:$B$4))</f>
        <v>0</v>
      </c>
      <c r="B542" s="2" t="b">
        <f>IF(ISBLANK(InfoGard!E542),FALSE,RIGHT(TRIM(InfoGard!E542),15))</f>
        <v>0</v>
      </c>
      <c r="C542" s="2" t="b">
        <f>IF(ISBLANK(InfoGard!F542),FALSE,LOOKUP(InfoGard!F542,Lookup!$A$6:$B$7))</f>
        <v>0</v>
      </c>
      <c r="D542" s="2" t="b">
        <f>IF(ISBLANK(InfoGard!G542),FALSE,InfoGard!G542)</f>
        <v>0</v>
      </c>
      <c r="E542" s="2" t="str">
        <f>IF(NOT(ISBLANK(InfoGard!D542)),IF(OR(ISBLANK(InfoGard!E542),InfoGard!E542="N/A"),"no acb code",CONCATENATE(Lookup!F$1,A542,Lookup!G$1,B542,Lookup!H$1,H$1,Lookup!I$1)),"no attestation")</f>
        <v>no attestation</v>
      </c>
      <c r="F542" s="2" t="str">
        <f>IF(AND(NOT(ISBLANK(InfoGard!G542)),InfoGard!G542&lt;&gt;"N/A"),IF(C542="All",CONCATENATE(Lookup!F$2,D542,Lookup!G$2,B542,Lookup!H$2,H$1,Lookup!I$2),CONCATENATE(Lookup!F$3,D542,Lookup!G$3,B542,Lookup!H$3)),"no url")</f>
        <v>no url</v>
      </c>
    </row>
    <row r="543" spans="1:6" hidden="1" x14ac:dyDescent="0.25">
      <c r="A543" s="2" t="b">
        <f>IF(ISBLANK(InfoGard!D543),FALSE,LOOKUP(InfoGard!D543,Lookup!$A$2:$B$4))</f>
        <v>0</v>
      </c>
      <c r="B543" s="2" t="b">
        <f>IF(ISBLANK(InfoGard!E543),FALSE,RIGHT(TRIM(InfoGard!E543),15))</f>
        <v>0</v>
      </c>
      <c r="C543" s="2" t="b">
        <f>IF(ISBLANK(InfoGard!F543),FALSE,LOOKUP(InfoGard!F543,Lookup!$A$6:$B$7))</f>
        <v>0</v>
      </c>
      <c r="D543" s="2" t="b">
        <f>IF(ISBLANK(InfoGard!G543),FALSE,InfoGard!G543)</f>
        <v>0</v>
      </c>
      <c r="E543" s="2" t="str">
        <f>IF(NOT(ISBLANK(InfoGard!D543)),IF(OR(ISBLANK(InfoGard!E543),InfoGard!E543="N/A"),"no acb code",CONCATENATE(Lookup!F$1,A543,Lookup!G$1,B543,Lookup!H$1,H$1,Lookup!I$1)),"no attestation")</f>
        <v>no attestation</v>
      </c>
      <c r="F543" s="2" t="str">
        <f>IF(AND(NOT(ISBLANK(InfoGard!G543)),InfoGard!G543&lt;&gt;"N/A"),IF(C543="All",CONCATENATE(Lookup!F$2,D543,Lookup!G$2,B543,Lookup!H$2,H$1,Lookup!I$2),CONCATENATE(Lookup!F$3,D543,Lookup!G$3,B543,Lookup!H$3)),"no url")</f>
        <v>no url</v>
      </c>
    </row>
    <row r="544" spans="1:6" hidden="1" x14ac:dyDescent="0.25">
      <c r="A544" s="2" t="b">
        <f>IF(ISBLANK(InfoGard!D544),FALSE,LOOKUP(InfoGard!D544,Lookup!$A$2:$B$4))</f>
        <v>0</v>
      </c>
      <c r="B544" s="2" t="b">
        <f>IF(ISBLANK(InfoGard!E544),FALSE,RIGHT(TRIM(InfoGard!E544),15))</f>
        <v>0</v>
      </c>
      <c r="C544" s="2" t="b">
        <f>IF(ISBLANK(InfoGard!F544),FALSE,LOOKUP(InfoGard!F544,Lookup!$A$6:$B$7))</f>
        <v>0</v>
      </c>
      <c r="D544" s="2" t="b">
        <f>IF(ISBLANK(InfoGard!G544),FALSE,InfoGard!G544)</f>
        <v>0</v>
      </c>
      <c r="E544" s="2" t="str">
        <f>IF(NOT(ISBLANK(InfoGard!D544)),IF(OR(ISBLANK(InfoGard!E544),InfoGard!E544="N/A"),"no acb code",CONCATENATE(Lookup!F$1,A544,Lookup!G$1,B544,Lookup!H$1,H$1,Lookup!I$1)),"no attestation")</f>
        <v>no attestation</v>
      </c>
      <c r="F544" s="2" t="str">
        <f>IF(AND(NOT(ISBLANK(InfoGard!G544)),InfoGard!G544&lt;&gt;"N/A"),IF(C544="All",CONCATENATE(Lookup!F$2,D544,Lookup!G$2,B544,Lookup!H$2,H$1,Lookup!I$2),CONCATENATE(Lookup!F$3,D544,Lookup!G$3,B544,Lookup!H$3)),"no url")</f>
        <v>no url</v>
      </c>
    </row>
    <row r="545" spans="1:6" hidden="1" x14ac:dyDescent="0.25">
      <c r="A545" s="2" t="b">
        <f>IF(ISBLANK(InfoGard!D545),FALSE,LOOKUP(InfoGard!D545,Lookup!$A$2:$B$4))</f>
        <v>0</v>
      </c>
      <c r="B545" s="2" t="b">
        <f>IF(ISBLANK(InfoGard!E545),FALSE,RIGHT(TRIM(InfoGard!E545),15))</f>
        <v>0</v>
      </c>
      <c r="C545" s="2" t="b">
        <f>IF(ISBLANK(InfoGard!F545),FALSE,LOOKUP(InfoGard!F545,Lookup!$A$6:$B$7))</f>
        <v>0</v>
      </c>
      <c r="D545" s="2" t="b">
        <f>IF(ISBLANK(InfoGard!G545),FALSE,InfoGard!G545)</f>
        <v>0</v>
      </c>
      <c r="E545" s="2" t="str">
        <f>IF(NOT(ISBLANK(InfoGard!D545)),IF(OR(ISBLANK(InfoGard!E545),InfoGard!E545="N/A"),"no acb code",CONCATENATE(Lookup!F$1,A545,Lookup!G$1,B545,Lookup!H$1,H$1,Lookup!I$1)),"no attestation")</f>
        <v>no attestation</v>
      </c>
      <c r="F545" s="2" t="str">
        <f>IF(AND(NOT(ISBLANK(InfoGard!G545)),InfoGard!G545&lt;&gt;"N/A"),IF(C545="All",CONCATENATE(Lookup!F$2,D545,Lookup!G$2,B545,Lookup!H$2,H$1,Lookup!I$2),CONCATENATE(Lookup!F$3,D545,Lookup!G$3,B545,Lookup!H$3)),"no url")</f>
        <v>no url</v>
      </c>
    </row>
    <row r="546" spans="1:6" hidden="1" x14ac:dyDescent="0.25">
      <c r="A546" s="2" t="b">
        <f>IF(ISBLANK(InfoGard!D546),FALSE,LOOKUP(InfoGard!D546,Lookup!$A$2:$B$4))</f>
        <v>0</v>
      </c>
      <c r="B546" s="2" t="b">
        <f>IF(ISBLANK(InfoGard!E546),FALSE,RIGHT(TRIM(InfoGard!E546),15))</f>
        <v>0</v>
      </c>
      <c r="C546" s="2" t="b">
        <f>IF(ISBLANK(InfoGard!F546),FALSE,LOOKUP(InfoGard!F546,Lookup!$A$6:$B$7))</f>
        <v>0</v>
      </c>
      <c r="D546" s="2" t="b">
        <f>IF(ISBLANK(InfoGard!G546),FALSE,InfoGard!G546)</f>
        <v>0</v>
      </c>
      <c r="E546" s="2" t="str">
        <f>IF(NOT(ISBLANK(InfoGard!D546)),IF(OR(ISBLANK(InfoGard!E546),InfoGard!E546="N/A"),"no acb code",CONCATENATE(Lookup!F$1,A546,Lookup!G$1,B546,Lookup!H$1,H$1,Lookup!I$1)),"no attestation")</f>
        <v>no attestation</v>
      </c>
      <c r="F546" s="2" t="str">
        <f>IF(AND(NOT(ISBLANK(InfoGard!G546)),InfoGard!G546&lt;&gt;"N/A"),IF(C546="All",CONCATENATE(Lookup!F$2,D546,Lookup!G$2,B546,Lookup!H$2,H$1,Lookup!I$2),CONCATENATE(Lookup!F$3,D546,Lookup!G$3,B546,Lookup!H$3)),"no url")</f>
        <v>no url</v>
      </c>
    </row>
    <row r="547" spans="1:6" hidden="1" x14ac:dyDescent="0.25">
      <c r="A547" s="2" t="b">
        <f>IF(ISBLANK(InfoGard!D547),FALSE,LOOKUP(InfoGard!D547,Lookup!$A$2:$B$4))</f>
        <v>0</v>
      </c>
      <c r="B547" s="2" t="b">
        <f>IF(ISBLANK(InfoGard!E547),FALSE,RIGHT(TRIM(InfoGard!E547),15))</f>
        <v>0</v>
      </c>
      <c r="C547" s="2" t="b">
        <f>IF(ISBLANK(InfoGard!F547),FALSE,LOOKUP(InfoGard!F547,Lookup!$A$6:$B$7))</f>
        <v>0</v>
      </c>
      <c r="D547" s="2" t="b">
        <f>IF(ISBLANK(InfoGard!G547),FALSE,InfoGard!G547)</f>
        <v>0</v>
      </c>
      <c r="E547" s="2" t="str">
        <f>IF(NOT(ISBLANK(InfoGard!D547)),IF(OR(ISBLANK(InfoGard!E547),InfoGard!E547="N/A"),"no acb code",CONCATENATE(Lookup!F$1,A547,Lookup!G$1,B547,Lookup!H$1,H$1,Lookup!I$1)),"no attestation")</f>
        <v>no attestation</v>
      </c>
      <c r="F547" s="2" t="str">
        <f>IF(AND(NOT(ISBLANK(InfoGard!G547)),InfoGard!G547&lt;&gt;"N/A"),IF(C547="All",CONCATENATE(Lookup!F$2,D547,Lookup!G$2,B547,Lookup!H$2,H$1,Lookup!I$2),CONCATENATE(Lookup!F$3,D547,Lookup!G$3,B547,Lookup!H$3)),"no url")</f>
        <v>no url</v>
      </c>
    </row>
    <row r="548" spans="1:6" hidden="1" x14ac:dyDescent="0.25">
      <c r="A548" s="2" t="b">
        <f>IF(ISBLANK(InfoGard!D548),FALSE,LOOKUP(InfoGard!D548,Lookup!$A$2:$B$4))</f>
        <v>0</v>
      </c>
      <c r="B548" s="2" t="b">
        <f>IF(ISBLANK(InfoGard!E548),FALSE,RIGHT(TRIM(InfoGard!E548),15))</f>
        <v>0</v>
      </c>
      <c r="C548" s="2" t="b">
        <f>IF(ISBLANK(InfoGard!F548),FALSE,LOOKUP(InfoGard!F548,Lookup!$A$6:$B$7))</f>
        <v>0</v>
      </c>
      <c r="D548" s="2" t="b">
        <f>IF(ISBLANK(InfoGard!G548),FALSE,InfoGard!G548)</f>
        <v>0</v>
      </c>
      <c r="E548" s="2" t="str">
        <f>IF(NOT(ISBLANK(InfoGard!D548)),IF(OR(ISBLANK(InfoGard!E548),InfoGard!E548="N/A"),"no acb code",CONCATENATE(Lookup!F$1,A548,Lookup!G$1,B548,Lookup!H$1,H$1,Lookup!I$1)),"no attestation")</f>
        <v>no attestation</v>
      </c>
      <c r="F548" s="2" t="str">
        <f>IF(AND(NOT(ISBLANK(InfoGard!G548)),InfoGard!G548&lt;&gt;"N/A"),IF(C548="All",CONCATENATE(Lookup!F$2,D548,Lookup!G$2,B548,Lookup!H$2,H$1,Lookup!I$2),CONCATENATE(Lookup!F$3,D548,Lookup!G$3,B548,Lookup!H$3)),"no url")</f>
        <v>no url</v>
      </c>
    </row>
    <row r="549" spans="1:6" hidden="1" x14ac:dyDescent="0.25">
      <c r="A549" s="2" t="b">
        <f>IF(ISBLANK(InfoGard!D549),FALSE,LOOKUP(InfoGard!D549,Lookup!$A$2:$B$4))</f>
        <v>0</v>
      </c>
      <c r="B549" s="2" t="b">
        <f>IF(ISBLANK(InfoGard!E549),FALSE,RIGHT(TRIM(InfoGard!E549),15))</f>
        <v>0</v>
      </c>
      <c r="C549" s="2" t="b">
        <f>IF(ISBLANK(InfoGard!F549),FALSE,LOOKUP(InfoGard!F549,Lookup!$A$6:$B$7))</f>
        <v>0</v>
      </c>
      <c r="D549" s="2" t="b">
        <f>IF(ISBLANK(InfoGard!G549),FALSE,InfoGard!G549)</f>
        <v>0</v>
      </c>
      <c r="E549" s="2" t="str">
        <f>IF(NOT(ISBLANK(InfoGard!D549)),IF(OR(ISBLANK(InfoGard!E549),InfoGard!E549="N/A"),"no acb code",CONCATENATE(Lookup!F$1,A549,Lookup!G$1,B549,Lookup!H$1,H$1,Lookup!I$1)),"no attestation")</f>
        <v>no attestation</v>
      </c>
      <c r="F549" s="2" t="str">
        <f>IF(AND(NOT(ISBLANK(InfoGard!G549)),InfoGard!G549&lt;&gt;"N/A"),IF(C549="All",CONCATENATE(Lookup!F$2,D549,Lookup!G$2,B549,Lookup!H$2,H$1,Lookup!I$2),CONCATENATE(Lookup!F$3,D549,Lookup!G$3,B549,Lookup!H$3)),"no url")</f>
        <v>no url</v>
      </c>
    </row>
    <row r="550" spans="1:6" hidden="1" x14ac:dyDescent="0.25">
      <c r="A550" s="2" t="b">
        <f>IF(ISBLANK(InfoGard!D550),FALSE,LOOKUP(InfoGard!D550,Lookup!$A$2:$B$4))</f>
        <v>0</v>
      </c>
      <c r="B550" s="2" t="b">
        <f>IF(ISBLANK(InfoGard!E550),FALSE,RIGHT(TRIM(InfoGard!E550),15))</f>
        <v>0</v>
      </c>
      <c r="C550" s="2" t="b">
        <f>IF(ISBLANK(InfoGard!F550),FALSE,LOOKUP(InfoGard!F550,Lookup!$A$6:$B$7))</f>
        <v>0</v>
      </c>
      <c r="D550" s="2" t="b">
        <f>IF(ISBLANK(InfoGard!G550),FALSE,InfoGard!G550)</f>
        <v>0</v>
      </c>
      <c r="E550" s="2" t="str">
        <f>IF(NOT(ISBLANK(InfoGard!D550)),IF(OR(ISBLANK(InfoGard!E550),InfoGard!E550="N/A"),"no acb code",CONCATENATE(Lookup!F$1,A550,Lookup!G$1,B550,Lookup!H$1,H$1,Lookup!I$1)),"no attestation")</f>
        <v>no attestation</v>
      </c>
      <c r="F550" s="2" t="str">
        <f>IF(AND(NOT(ISBLANK(InfoGard!G550)),InfoGard!G550&lt;&gt;"N/A"),IF(C550="All",CONCATENATE(Lookup!F$2,D550,Lookup!G$2,B550,Lookup!H$2,H$1,Lookup!I$2),CONCATENATE(Lookup!F$3,D550,Lookup!G$3,B550,Lookup!H$3)),"no url")</f>
        <v>no url</v>
      </c>
    </row>
    <row r="551" spans="1:6" hidden="1" x14ac:dyDescent="0.25">
      <c r="A551" s="2" t="b">
        <f>IF(ISBLANK(InfoGard!D551),FALSE,LOOKUP(InfoGard!D551,Lookup!$A$2:$B$4))</f>
        <v>0</v>
      </c>
      <c r="B551" s="2" t="b">
        <f>IF(ISBLANK(InfoGard!E551),FALSE,RIGHT(TRIM(InfoGard!E551),15))</f>
        <v>0</v>
      </c>
      <c r="C551" s="2" t="b">
        <f>IF(ISBLANK(InfoGard!F551),FALSE,LOOKUP(InfoGard!F551,Lookup!$A$6:$B$7))</f>
        <v>0</v>
      </c>
      <c r="D551" s="2" t="b">
        <f>IF(ISBLANK(InfoGard!G551),FALSE,InfoGard!G551)</f>
        <v>0</v>
      </c>
      <c r="E551" s="2" t="str">
        <f>IF(NOT(ISBLANK(InfoGard!D551)),IF(OR(ISBLANK(InfoGard!E551),InfoGard!E551="N/A"),"no acb code",CONCATENATE(Lookup!F$1,A551,Lookup!G$1,B551,Lookup!H$1,H$1,Lookup!I$1)),"no attestation")</f>
        <v>no attestation</v>
      </c>
      <c r="F551" s="2" t="str">
        <f>IF(AND(NOT(ISBLANK(InfoGard!G551)),InfoGard!G551&lt;&gt;"N/A"),IF(C551="All",CONCATENATE(Lookup!F$2,D551,Lookup!G$2,B551,Lookup!H$2,H$1,Lookup!I$2),CONCATENATE(Lookup!F$3,D551,Lookup!G$3,B551,Lookup!H$3)),"no url")</f>
        <v>no url</v>
      </c>
    </row>
    <row r="552" spans="1:6" hidden="1" x14ac:dyDescent="0.25">
      <c r="A552" s="2" t="b">
        <f>IF(ISBLANK(InfoGard!D552),FALSE,LOOKUP(InfoGard!D552,Lookup!$A$2:$B$4))</f>
        <v>0</v>
      </c>
      <c r="B552" s="2" t="b">
        <f>IF(ISBLANK(InfoGard!E552),FALSE,RIGHT(TRIM(InfoGard!E552),15))</f>
        <v>0</v>
      </c>
      <c r="C552" s="2" t="b">
        <f>IF(ISBLANK(InfoGard!F552),FALSE,LOOKUP(InfoGard!F552,Lookup!$A$6:$B$7))</f>
        <v>0</v>
      </c>
      <c r="D552" s="2" t="b">
        <f>IF(ISBLANK(InfoGard!G552),FALSE,InfoGard!G552)</f>
        <v>0</v>
      </c>
      <c r="E552" s="2" t="str">
        <f>IF(NOT(ISBLANK(InfoGard!D552)),IF(OR(ISBLANK(InfoGard!E552),InfoGard!E552="N/A"),"no acb code",CONCATENATE(Lookup!F$1,A552,Lookup!G$1,B552,Lookup!H$1,H$1,Lookup!I$1)),"no attestation")</f>
        <v>no attestation</v>
      </c>
      <c r="F552" s="2" t="str">
        <f>IF(AND(NOT(ISBLANK(InfoGard!G552)),InfoGard!G552&lt;&gt;"N/A"),IF(C552="All",CONCATENATE(Lookup!F$2,D552,Lookup!G$2,B552,Lookup!H$2,H$1,Lookup!I$2),CONCATENATE(Lookup!F$3,D552,Lookup!G$3,B552,Lookup!H$3)),"no url")</f>
        <v>no url</v>
      </c>
    </row>
    <row r="553" spans="1:6" x14ac:dyDescent="0.25">
      <c r="A553" s="2" t="str">
        <f>IF(ISBLANK(InfoGard!D553),FALSE,LOOKUP(InfoGard!D553,Lookup!$A$2:$B$4))</f>
        <v>Affirmative</v>
      </c>
      <c r="B553" s="2" t="str">
        <f>IF(ISBLANK(InfoGard!E553),FALSE,RIGHT(TRIM(InfoGard!E553),15))</f>
        <v>IG-3143-13-0049</v>
      </c>
      <c r="C553" s="2" t="str">
        <f>IF(ISBLANK(InfoGard!F553),FALSE,LOOKUP(InfoGard!F553,Lookup!$A$6:$B$7))</f>
        <v>All</v>
      </c>
      <c r="D553" s="2" t="str">
        <f>IF(ISBLANK(InfoGard!G553),FALSE,InfoGard!G553)</f>
        <v>https://www.healthcompanion.com/HealthCompanion/guest/viewMUpdf</v>
      </c>
      <c r="E553" s="2" t="str">
        <f>IF(NOT(ISBLANK(InfoGard!D553)),IF(OR(ISBLANK(InfoGard!E553),InfoGard!E553="N/A"),"no acb code",CONCATENATE(Lookup!F$1,A553,Lookup!G$1,B553,Lookup!H$1,H$1,Lookup!I$1)),"no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'IG-3143-13-0049' and cb."name" = 'InfoGard' and cp.product_version_id = pv.product_version_id and pv.product_id = p.product_id and p.vendor_id = vend.vendor_id;</v>
      </c>
      <c r="F553" s="2" t="str">
        <f>IF(AND(NOT(ISBLANK(InfoGard!G553)),InfoGard!G553&lt;&gt;"N/A"),IF(C553="All",CONCATENATE(Lookup!F$2,D553,Lookup!G$2,B553,Lookup!H$2,H$1,Lookup!I$2),CONCATENATE(Lookup!F$3,D553,Lookup!G$3,B553,Lookup!H$3)),"no url")</f>
        <v>update openchpl.certified_product as cp set transparency_attestation_url = 'https://www.healthcompanion.com/HealthCompanion/guest/viewMUpdf' from (select certified_product_id from (select vend.vendor_code from openchpl.certified_product as cp, openchpl.product_version as pv, openchpl.product as p, openchpl.vendor as vend where cp.acb_certification_id = 'IG-3143-13-0049'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54" spans="1:6" hidden="1" x14ac:dyDescent="0.25">
      <c r="A554" s="2" t="b">
        <f>IF(ISBLANK(InfoGard!D554),FALSE,LOOKUP(InfoGard!D554,Lookup!$A$2:$B$4))</f>
        <v>0</v>
      </c>
      <c r="B554" s="2" t="b">
        <f>IF(ISBLANK(InfoGard!E554),FALSE,RIGHT(TRIM(InfoGard!E554),15))</f>
        <v>0</v>
      </c>
      <c r="C554" s="2" t="b">
        <f>IF(ISBLANK(InfoGard!F554),FALSE,LOOKUP(InfoGard!F554,Lookup!$A$6:$B$7))</f>
        <v>0</v>
      </c>
      <c r="D554" s="2" t="b">
        <f>IF(ISBLANK(InfoGard!G554),FALSE,InfoGard!G554)</f>
        <v>0</v>
      </c>
      <c r="E554" s="2" t="str">
        <f>IF(NOT(ISBLANK(InfoGard!D554)),IF(OR(ISBLANK(InfoGard!E554),InfoGard!E554="N/A"),"no acb code",CONCATENATE(Lookup!F$1,A554,Lookup!G$1,B554,Lookup!H$1,H$1,Lookup!I$1)),"no attestation")</f>
        <v>no attestation</v>
      </c>
      <c r="F554" s="2" t="str">
        <f>IF(AND(NOT(ISBLANK(InfoGard!G554)),InfoGard!G554&lt;&gt;"N/A"),IF(C554="All",CONCATENATE(Lookup!F$2,D554,Lookup!G$2,B554,Lookup!H$2,H$1,Lookup!I$2),CONCATENATE(Lookup!F$3,D554,Lookup!G$3,B554,Lookup!H$3)),"no url")</f>
        <v>no url</v>
      </c>
    </row>
    <row r="555" spans="1:6" hidden="1" x14ac:dyDescent="0.25">
      <c r="A555" s="2" t="b">
        <f>IF(ISBLANK(InfoGard!D555),FALSE,LOOKUP(InfoGard!D555,Lookup!$A$2:$B$4))</f>
        <v>0</v>
      </c>
      <c r="B555" s="2" t="b">
        <f>IF(ISBLANK(InfoGard!E555),FALSE,RIGHT(TRIM(InfoGard!E555),15))</f>
        <v>0</v>
      </c>
      <c r="C555" s="2" t="b">
        <f>IF(ISBLANK(InfoGard!F555),FALSE,LOOKUP(InfoGard!F555,Lookup!$A$6:$B$7))</f>
        <v>0</v>
      </c>
      <c r="D555" s="2" t="b">
        <f>IF(ISBLANK(InfoGard!G555),FALSE,InfoGard!G555)</f>
        <v>0</v>
      </c>
      <c r="E555" s="2" t="str">
        <f>IF(NOT(ISBLANK(InfoGard!D555)),IF(OR(ISBLANK(InfoGard!E555),InfoGard!E555="N/A"),"no acb code",CONCATENATE(Lookup!F$1,A555,Lookup!G$1,B555,Lookup!H$1,H$1,Lookup!I$1)),"no attestation")</f>
        <v>no attestation</v>
      </c>
      <c r="F555" s="2" t="str">
        <f>IF(AND(NOT(ISBLANK(InfoGard!G555)),InfoGard!G555&lt;&gt;"N/A"),IF(C555="All",CONCATENATE(Lookup!F$2,D555,Lookup!G$2,B555,Lookup!H$2,H$1,Lookup!I$2),CONCATENATE(Lookup!F$3,D555,Lookup!G$3,B555,Lookup!H$3)),"no url")</f>
        <v>no url</v>
      </c>
    </row>
    <row r="556" spans="1:6" hidden="1" x14ac:dyDescent="0.25">
      <c r="A556" s="2" t="b">
        <f>IF(ISBLANK(InfoGard!D556),FALSE,LOOKUP(InfoGard!D556,Lookup!$A$2:$B$4))</f>
        <v>0</v>
      </c>
      <c r="B556" s="2" t="b">
        <f>IF(ISBLANK(InfoGard!E556),FALSE,RIGHT(TRIM(InfoGard!E556),15))</f>
        <v>0</v>
      </c>
      <c r="C556" s="2" t="b">
        <f>IF(ISBLANK(InfoGard!F556),FALSE,LOOKUP(InfoGard!F556,Lookup!$A$6:$B$7))</f>
        <v>0</v>
      </c>
      <c r="D556" s="2" t="b">
        <f>IF(ISBLANK(InfoGard!G556),FALSE,InfoGard!G556)</f>
        <v>0</v>
      </c>
      <c r="E556" s="2" t="str">
        <f>IF(NOT(ISBLANK(InfoGard!D556)),IF(OR(ISBLANK(InfoGard!E556),InfoGard!E556="N/A"),"no acb code",CONCATENATE(Lookup!F$1,A556,Lookup!G$1,B556,Lookup!H$1,H$1,Lookup!I$1)),"no attestation")</f>
        <v>no attestation</v>
      </c>
      <c r="F556" s="2" t="str">
        <f>IF(AND(NOT(ISBLANK(InfoGard!G556)),InfoGard!G556&lt;&gt;"N/A"),IF(C556="All",CONCATENATE(Lookup!F$2,D556,Lookup!G$2,B556,Lookup!H$2,H$1,Lookup!I$2),CONCATENATE(Lookup!F$3,D556,Lookup!G$3,B556,Lookup!H$3)),"no url")</f>
        <v>no url</v>
      </c>
    </row>
    <row r="557" spans="1:6" hidden="1" x14ac:dyDescent="0.25">
      <c r="A557" s="2" t="b">
        <f>IF(ISBLANK(InfoGard!D557),FALSE,LOOKUP(InfoGard!D557,Lookup!$A$2:$B$4))</f>
        <v>0</v>
      </c>
      <c r="B557" s="2" t="b">
        <f>IF(ISBLANK(InfoGard!E557),FALSE,RIGHT(TRIM(InfoGard!E557),15))</f>
        <v>0</v>
      </c>
      <c r="C557" s="2" t="b">
        <f>IF(ISBLANK(InfoGard!F557),FALSE,LOOKUP(InfoGard!F557,Lookup!$A$6:$B$7))</f>
        <v>0</v>
      </c>
      <c r="D557" s="2" t="b">
        <f>IF(ISBLANK(InfoGard!G557),FALSE,InfoGard!G557)</f>
        <v>0</v>
      </c>
      <c r="E557" s="2" t="str">
        <f>IF(NOT(ISBLANK(InfoGard!D557)),IF(OR(ISBLANK(InfoGard!E557),InfoGard!E557="N/A"),"no acb code",CONCATENATE(Lookup!F$1,A557,Lookup!G$1,B557,Lookup!H$1,H$1,Lookup!I$1)),"no attestation")</f>
        <v>no attestation</v>
      </c>
      <c r="F557" s="2" t="str">
        <f>IF(AND(NOT(ISBLANK(InfoGard!G557)),InfoGard!G557&lt;&gt;"N/A"),IF(C557="All",CONCATENATE(Lookup!F$2,D557,Lookup!G$2,B557,Lookup!H$2,H$1,Lookup!I$2),CONCATENATE(Lookup!F$3,D557,Lookup!G$3,B557,Lookup!H$3)),"no url")</f>
        <v>no url</v>
      </c>
    </row>
    <row r="558" spans="1:6" hidden="1" x14ac:dyDescent="0.25">
      <c r="A558" s="2" t="b">
        <f>IF(ISBLANK(InfoGard!D558),FALSE,LOOKUP(InfoGard!D558,Lookup!$A$2:$B$4))</f>
        <v>0</v>
      </c>
      <c r="B558" s="2" t="b">
        <f>IF(ISBLANK(InfoGard!E558),FALSE,RIGHT(TRIM(InfoGard!E558),15))</f>
        <v>0</v>
      </c>
      <c r="C558" s="2" t="b">
        <f>IF(ISBLANK(InfoGard!F558),FALSE,LOOKUP(InfoGard!F558,Lookup!$A$6:$B$7))</f>
        <v>0</v>
      </c>
      <c r="D558" s="2" t="b">
        <f>IF(ISBLANK(InfoGard!G558),FALSE,InfoGard!G558)</f>
        <v>0</v>
      </c>
      <c r="E558" s="2" t="str">
        <f>IF(NOT(ISBLANK(InfoGard!D558)),IF(OR(ISBLANK(InfoGard!E558),InfoGard!E558="N/A"),"no acb code",CONCATENATE(Lookup!F$1,A558,Lookup!G$1,B558,Lookup!H$1,H$1,Lookup!I$1)),"no attestation")</f>
        <v>no attestation</v>
      </c>
      <c r="F558" s="2" t="str">
        <f>IF(AND(NOT(ISBLANK(InfoGard!G558)),InfoGard!G558&lt;&gt;"N/A"),IF(C558="All",CONCATENATE(Lookup!F$2,D558,Lookup!G$2,B558,Lookup!H$2,H$1,Lookup!I$2),CONCATENATE(Lookup!F$3,D558,Lookup!G$3,B558,Lookup!H$3)),"no url")</f>
        <v>no url</v>
      </c>
    </row>
    <row r="559" spans="1:6" hidden="1" x14ac:dyDescent="0.25">
      <c r="A559" s="2" t="b">
        <f>IF(ISBLANK(InfoGard!D559),FALSE,LOOKUP(InfoGard!D559,Lookup!$A$2:$B$4))</f>
        <v>0</v>
      </c>
      <c r="B559" s="2" t="b">
        <f>IF(ISBLANK(InfoGard!E559),FALSE,RIGHT(TRIM(InfoGard!E559),15))</f>
        <v>0</v>
      </c>
      <c r="C559" s="2" t="b">
        <f>IF(ISBLANK(InfoGard!F559),FALSE,LOOKUP(InfoGard!F559,Lookup!$A$6:$B$7))</f>
        <v>0</v>
      </c>
      <c r="D559" s="2" t="b">
        <f>IF(ISBLANK(InfoGard!G559),FALSE,InfoGard!G559)</f>
        <v>0</v>
      </c>
      <c r="E559" s="2" t="str">
        <f>IF(NOT(ISBLANK(InfoGard!D559)),IF(OR(ISBLANK(InfoGard!E559),InfoGard!E559="N/A"),"no acb code",CONCATENATE(Lookup!F$1,A559,Lookup!G$1,B559,Lookup!H$1,H$1,Lookup!I$1)),"no attestation")</f>
        <v>no attestation</v>
      </c>
      <c r="F559" s="2" t="str">
        <f>IF(AND(NOT(ISBLANK(InfoGard!G559)),InfoGard!G559&lt;&gt;"N/A"),IF(C559="All",CONCATENATE(Lookup!F$2,D559,Lookup!G$2,B559,Lookup!H$2,H$1,Lookup!I$2),CONCATENATE(Lookup!F$3,D559,Lookup!G$3,B559,Lookup!H$3)),"no url")</f>
        <v>no url</v>
      </c>
    </row>
    <row r="560" spans="1:6" hidden="1" x14ac:dyDescent="0.25">
      <c r="A560" s="2" t="b">
        <f>IF(ISBLANK(InfoGard!D560),FALSE,LOOKUP(InfoGard!D560,Lookup!$A$2:$B$4))</f>
        <v>0</v>
      </c>
      <c r="B560" s="2" t="b">
        <f>IF(ISBLANK(InfoGard!E560),FALSE,RIGHT(TRIM(InfoGard!E560),15))</f>
        <v>0</v>
      </c>
      <c r="C560" s="2" t="b">
        <f>IF(ISBLANK(InfoGard!F560),FALSE,LOOKUP(InfoGard!F560,Lookup!$A$6:$B$7))</f>
        <v>0</v>
      </c>
      <c r="D560" s="2" t="b">
        <f>IF(ISBLANK(InfoGard!G560),FALSE,InfoGard!G560)</f>
        <v>0</v>
      </c>
      <c r="E560" s="2" t="str">
        <f>IF(NOT(ISBLANK(InfoGard!D560)),IF(OR(ISBLANK(InfoGard!E560),InfoGard!E560="N/A"),"no acb code",CONCATENATE(Lookup!F$1,A560,Lookup!G$1,B560,Lookup!H$1,H$1,Lookup!I$1)),"no attestation")</f>
        <v>no attestation</v>
      </c>
      <c r="F560" s="2" t="str">
        <f>IF(AND(NOT(ISBLANK(InfoGard!G560)),InfoGard!G560&lt;&gt;"N/A"),IF(C560="All",CONCATENATE(Lookup!F$2,D560,Lookup!G$2,B560,Lookup!H$2,H$1,Lookup!I$2),CONCATENATE(Lookup!F$3,D560,Lookup!G$3,B560,Lookup!H$3)),"no url")</f>
        <v>no url</v>
      </c>
    </row>
    <row r="561" spans="1:6" hidden="1" x14ac:dyDescent="0.25">
      <c r="A561" s="2" t="b">
        <f>IF(ISBLANK(InfoGard!D561),FALSE,LOOKUP(InfoGard!D561,Lookup!$A$2:$B$4))</f>
        <v>0</v>
      </c>
      <c r="B561" s="2" t="b">
        <f>IF(ISBLANK(InfoGard!E561),FALSE,RIGHT(TRIM(InfoGard!E561),15))</f>
        <v>0</v>
      </c>
      <c r="C561" s="2" t="b">
        <f>IF(ISBLANK(InfoGard!F561),FALSE,LOOKUP(InfoGard!F561,Lookup!$A$6:$B$7))</f>
        <v>0</v>
      </c>
      <c r="D561" s="2" t="b">
        <f>IF(ISBLANK(InfoGard!G561),FALSE,InfoGard!G561)</f>
        <v>0</v>
      </c>
      <c r="E561" s="2" t="str">
        <f>IF(NOT(ISBLANK(InfoGard!D561)),IF(OR(ISBLANK(InfoGard!E561),InfoGard!E561="N/A"),"no acb code",CONCATENATE(Lookup!F$1,A561,Lookup!G$1,B561,Lookup!H$1,H$1,Lookup!I$1)),"no attestation")</f>
        <v>no attestation</v>
      </c>
      <c r="F561" s="2" t="str">
        <f>IF(AND(NOT(ISBLANK(InfoGard!G561)),InfoGard!G561&lt;&gt;"N/A"),IF(C561="All",CONCATENATE(Lookup!F$2,D561,Lookup!G$2,B561,Lookup!H$2,H$1,Lookup!I$2),CONCATENATE(Lookup!F$3,D561,Lookup!G$3,B561,Lookup!H$3)),"no url")</f>
        <v>no url</v>
      </c>
    </row>
    <row r="562" spans="1:6" hidden="1" x14ac:dyDescent="0.25">
      <c r="A562" s="2" t="b">
        <f>IF(ISBLANK(InfoGard!D562),FALSE,LOOKUP(InfoGard!D562,Lookup!$A$2:$B$4))</f>
        <v>0</v>
      </c>
      <c r="B562" s="2" t="b">
        <f>IF(ISBLANK(InfoGard!E562),FALSE,RIGHT(TRIM(InfoGard!E562),15))</f>
        <v>0</v>
      </c>
      <c r="C562" s="2" t="b">
        <f>IF(ISBLANK(InfoGard!F562),FALSE,LOOKUP(InfoGard!F562,Lookup!$A$6:$B$7))</f>
        <v>0</v>
      </c>
      <c r="D562" s="2" t="b">
        <f>IF(ISBLANK(InfoGard!G562),FALSE,InfoGard!G562)</f>
        <v>0</v>
      </c>
      <c r="E562" s="2" t="str">
        <f>IF(NOT(ISBLANK(InfoGard!D562)),IF(OR(ISBLANK(InfoGard!E562),InfoGard!E562="N/A"),"no acb code",CONCATENATE(Lookup!F$1,A562,Lookup!G$1,B562,Lookup!H$1,H$1,Lookup!I$1)),"no attestation")</f>
        <v>no attestation</v>
      </c>
      <c r="F562" s="2" t="str">
        <f>IF(AND(NOT(ISBLANK(InfoGard!G562)),InfoGard!G562&lt;&gt;"N/A"),IF(C562="All",CONCATENATE(Lookup!F$2,D562,Lookup!G$2,B562,Lookup!H$2,H$1,Lookup!I$2),CONCATENATE(Lookup!F$3,D562,Lookup!G$3,B562,Lookup!H$3)),"no url")</f>
        <v>no url</v>
      </c>
    </row>
    <row r="563" spans="1:6" hidden="1" x14ac:dyDescent="0.25">
      <c r="A563" s="2" t="b">
        <f>IF(ISBLANK(InfoGard!D563),FALSE,LOOKUP(InfoGard!D563,Lookup!$A$2:$B$4))</f>
        <v>0</v>
      </c>
      <c r="B563" s="2" t="b">
        <f>IF(ISBLANK(InfoGard!E563),FALSE,RIGHT(TRIM(InfoGard!E563),15))</f>
        <v>0</v>
      </c>
      <c r="C563" s="2" t="b">
        <f>IF(ISBLANK(InfoGard!F563),FALSE,LOOKUP(InfoGard!F563,Lookup!$A$6:$B$7))</f>
        <v>0</v>
      </c>
      <c r="D563" s="2" t="b">
        <f>IF(ISBLANK(InfoGard!G563),FALSE,InfoGard!G563)</f>
        <v>0</v>
      </c>
      <c r="E563" s="2" t="str">
        <f>IF(NOT(ISBLANK(InfoGard!D563)),IF(OR(ISBLANK(InfoGard!E563),InfoGard!E563="N/A"),"no acb code",CONCATENATE(Lookup!F$1,A563,Lookup!G$1,B563,Lookup!H$1,H$1,Lookup!I$1)),"no attestation")</f>
        <v>no attestation</v>
      </c>
      <c r="F563" s="2" t="str">
        <f>IF(AND(NOT(ISBLANK(InfoGard!G563)),InfoGard!G563&lt;&gt;"N/A"),IF(C563="All",CONCATENATE(Lookup!F$2,D563,Lookup!G$2,B563,Lookup!H$2,H$1,Lookup!I$2),CONCATENATE(Lookup!F$3,D563,Lookup!G$3,B563,Lookup!H$3)),"no url")</f>
        <v>no url</v>
      </c>
    </row>
    <row r="564" spans="1:6" hidden="1" x14ac:dyDescent="0.25">
      <c r="A564" s="2" t="b">
        <f>IF(ISBLANK(InfoGard!D564),FALSE,LOOKUP(InfoGard!D564,Lookup!$A$2:$B$4))</f>
        <v>0</v>
      </c>
      <c r="B564" s="2" t="b">
        <f>IF(ISBLANK(InfoGard!E564),FALSE,RIGHT(TRIM(InfoGard!E564),15))</f>
        <v>0</v>
      </c>
      <c r="C564" s="2" t="b">
        <f>IF(ISBLANK(InfoGard!F564),FALSE,LOOKUP(InfoGard!F564,Lookup!$A$6:$B$7))</f>
        <v>0</v>
      </c>
      <c r="D564" s="2" t="b">
        <f>IF(ISBLANK(InfoGard!G564),FALSE,InfoGard!G564)</f>
        <v>0</v>
      </c>
      <c r="E564" s="2" t="str">
        <f>IF(NOT(ISBLANK(InfoGard!D564)),IF(OR(ISBLANK(InfoGard!E564),InfoGard!E564="N/A"),"no acb code",CONCATENATE(Lookup!F$1,A564,Lookup!G$1,B564,Lookup!H$1,H$1,Lookup!I$1)),"no attestation")</f>
        <v>no attestation</v>
      </c>
      <c r="F564" s="2" t="str">
        <f>IF(AND(NOT(ISBLANK(InfoGard!G564)),InfoGard!G564&lt;&gt;"N/A"),IF(C564="All",CONCATENATE(Lookup!F$2,D564,Lookup!G$2,B564,Lookup!H$2,H$1,Lookup!I$2),CONCATENATE(Lookup!F$3,D564,Lookup!G$3,B564,Lookup!H$3)),"no url")</f>
        <v>no url</v>
      </c>
    </row>
    <row r="565" spans="1:6" hidden="1" x14ac:dyDescent="0.25">
      <c r="A565" s="2" t="b">
        <f>IF(ISBLANK(InfoGard!D565),FALSE,LOOKUP(InfoGard!D565,Lookup!$A$2:$B$4))</f>
        <v>0</v>
      </c>
      <c r="B565" s="2" t="b">
        <f>IF(ISBLANK(InfoGard!E565),FALSE,RIGHT(TRIM(InfoGard!E565),15))</f>
        <v>0</v>
      </c>
      <c r="C565" s="2" t="b">
        <f>IF(ISBLANK(InfoGard!F565),FALSE,LOOKUP(InfoGard!F565,Lookup!$A$6:$B$7))</f>
        <v>0</v>
      </c>
      <c r="D565" s="2" t="b">
        <f>IF(ISBLANK(InfoGard!G565),FALSE,InfoGard!G565)</f>
        <v>0</v>
      </c>
      <c r="E565" s="2" t="str">
        <f>IF(NOT(ISBLANK(InfoGard!D565)),IF(OR(ISBLANK(InfoGard!E565),InfoGard!E565="N/A"),"no acb code",CONCATENATE(Lookup!F$1,A565,Lookup!G$1,B565,Lookup!H$1,H$1,Lookup!I$1)),"no attestation")</f>
        <v>no attestation</v>
      </c>
      <c r="F565" s="2" t="str">
        <f>IF(AND(NOT(ISBLANK(InfoGard!G565)),InfoGard!G565&lt;&gt;"N/A"),IF(C565="All",CONCATENATE(Lookup!F$2,D565,Lookup!G$2,B565,Lookup!H$2,H$1,Lookup!I$2),CONCATENATE(Lookup!F$3,D565,Lookup!G$3,B565,Lookup!H$3)),"no url")</f>
        <v>no url</v>
      </c>
    </row>
    <row r="566" spans="1:6" hidden="1" x14ac:dyDescent="0.25">
      <c r="A566" s="2" t="b">
        <f>IF(ISBLANK(InfoGard!D566),FALSE,LOOKUP(InfoGard!D566,Lookup!$A$2:$B$4))</f>
        <v>0</v>
      </c>
      <c r="B566" s="2" t="b">
        <f>IF(ISBLANK(InfoGard!E566),FALSE,RIGHT(TRIM(InfoGard!E566),15))</f>
        <v>0</v>
      </c>
      <c r="C566" s="2" t="b">
        <f>IF(ISBLANK(InfoGard!F566),FALSE,LOOKUP(InfoGard!F566,Lookup!$A$6:$B$7))</f>
        <v>0</v>
      </c>
      <c r="D566" s="2" t="b">
        <f>IF(ISBLANK(InfoGard!G566),FALSE,InfoGard!G566)</f>
        <v>0</v>
      </c>
      <c r="E566" s="2" t="str">
        <f>IF(NOT(ISBLANK(InfoGard!D566)),IF(OR(ISBLANK(InfoGard!E566),InfoGard!E566="N/A"),"no acb code",CONCATENATE(Lookup!F$1,A566,Lookup!G$1,B566,Lookup!H$1,H$1,Lookup!I$1)),"no attestation")</f>
        <v>no attestation</v>
      </c>
      <c r="F566" s="2" t="str">
        <f>IF(AND(NOT(ISBLANK(InfoGard!G566)),InfoGard!G566&lt;&gt;"N/A"),IF(C566="All",CONCATENATE(Lookup!F$2,D566,Lookup!G$2,B566,Lookup!H$2,H$1,Lookup!I$2),CONCATENATE(Lookup!F$3,D566,Lookup!G$3,B566,Lookup!H$3)),"no url")</f>
        <v>no url</v>
      </c>
    </row>
    <row r="567" spans="1:6" hidden="1" x14ac:dyDescent="0.25">
      <c r="A567" s="2" t="b">
        <f>IF(ISBLANK(InfoGard!D567),FALSE,LOOKUP(InfoGard!D567,Lookup!$A$2:$B$4))</f>
        <v>0</v>
      </c>
      <c r="B567" s="2" t="b">
        <f>IF(ISBLANK(InfoGard!E567),FALSE,RIGHT(TRIM(InfoGard!E567),15))</f>
        <v>0</v>
      </c>
      <c r="C567" s="2" t="b">
        <f>IF(ISBLANK(InfoGard!F567),FALSE,LOOKUP(InfoGard!F567,Lookup!$A$6:$B$7))</f>
        <v>0</v>
      </c>
      <c r="D567" s="2" t="b">
        <f>IF(ISBLANK(InfoGard!G567),FALSE,InfoGard!G567)</f>
        <v>0</v>
      </c>
      <c r="E567" s="2" t="str">
        <f>IF(NOT(ISBLANK(InfoGard!D567)),IF(OR(ISBLANK(InfoGard!E567),InfoGard!E567="N/A"),"no acb code",CONCATENATE(Lookup!F$1,A567,Lookup!G$1,B567,Lookup!H$1,H$1,Lookup!I$1)),"no attestation")</f>
        <v>no attestation</v>
      </c>
      <c r="F567" s="2" t="str">
        <f>IF(AND(NOT(ISBLANK(InfoGard!G567)),InfoGard!G567&lt;&gt;"N/A"),IF(C567="All",CONCATENATE(Lookup!F$2,D567,Lookup!G$2,B567,Lookup!H$2,H$1,Lookup!I$2),CONCATENATE(Lookup!F$3,D567,Lookup!G$3,B567,Lookup!H$3)),"no url")</f>
        <v>no url</v>
      </c>
    </row>
    <row r="568" spans="1:6" hidden="1" x14ac:dyDescent="0.25">
      <c r="A568" s="2" t="b">
        <f>IF(ISBLANK(InfoGard!D568),FALSE,LOOKUP(InfoGard!D568,Lookup!$A$2:$B$4))</f>
        <v>0</v>
      </c>
      <c r="B568" s="2" t="b">
        <f>IF(ISBLANK(InfoGard!E568),FALSE,RIGHT(TRIM(InfoGard!E568),15))</f>
        <v>0</v>
      </c>
      <c r="C568" s="2" t="b">
        <f>IF(ISBLANK(InfoGard!F568),FALSE,LOOKUP(InfoGard!F568,Lookup!$A$6:$B$7))</f>
        <v>0</v>
      </c>
      <c r="D568" s="2" t="b">
        <f>IF(ISBLANK(InfoGard!G568),FALSE,InfoGard!G568)</f>
        <v>0</v>
      </c>
      <c r="E568" s="2" t="str">
        <f>IF(NOT(ISBLANK(InfoGard!D568)),IF(OR(ISBLANK(InfoGard!E568),InfoGard!E568="N/A"),"no acb code",CONCATENATE(Lookup!F$1,A568,Lookup!G$1,B568,Lookup!H$1,H$1,Lookup!I$1)),"no attestation")</f>
        <v>no attestation</v>
      </c>
      <c r="F568" s="2" t="str">
        <f>IF(AND(NOT(ISBLANK(InfoGard!G568)),InfoGard!G568&lt;&gt;"N/A"),IF(C568="All",CONCATENATE(Lookup!F$2,D568,Lookup!G$2,B568,Lookup!H$2,H$1,Lookup!I$2),CONCATENATE(Lookup!F$3,D568,Lookup!G$3,B568,Lookup!H$3)),"no url")</f>
        <v>no url</v>
      </c>
    </row>
    <row r="569" spans="1:6" hidden="1" x14ac:dyDescent="0.25">
      <c r="A569" s="2" t="b">
        <f>IF(ISBLANK(InfoGard!D569),FALSE,LOOKUP(InfoGard!D569,Lookup!$A$2:$B$4))</f>
        <v>0</v>
      </c>
      <c r="B569" s="2" t="b">
        <f>IF(ISBLANK(InfoGard!E569),FALSE,RIGHT(TRIM(InfoGard!E569),15))</f>
        <v>0</v>
      </c>
      <c r="C569" s="2" t="b">
        <f>IF(ISBLANK(InfoGard!F569),FALSE,LOOKUP(InfoGard!F569,Lookup!$A$6:$B$7))</f>
        <v>0</v>
      </c>
      <c r="D569" s="2" t="b">
        <f>IF(ISBLANK(InfoGard!G569),FALSE,InfoGard!G569)</f>
        <v>0</v>
      </c>
      <c r="E569" s="2" t="str">
        <f>IF(NOT(ISBLANK(InfoGard!D569)),IF(OR(ISBLANK(InfoGard!E569),InfoGard!E569="N/A"),"no acb code",CONCATENATE(Lookup!F$1,A569,Lookup!G$1,B569,Lookup!H$1,H$1,Lookup!I$1)),"no attestation")</f>
        <v>no attestation</v>
      </c>
      <c r="F569" s="2" t="str">
        <f>IF(AND(NOT(ISBLANK(InfoGard!G569)),InfoGard!G569&lt;&gt;"N/A"),IF(C569="All",CONCATENATE(Lookup!F$2,D569,Lookup!G$2,B569,Lookup!H$2,H$1,Lookup!I$2),CONCATENATE(Lookup!F$3,D569,Lookup!G$3,B569,Lookup!H$3)),"no url")</f>
        <v>no url</v>
      </c>
    </row>
    <row r="570" spans="1:6" hidden="1" x14ac:dyDescent="0.25">
      <c r="A570" s="2" t="b">
        <f>IF(ISBLANK(InfoGard!D570),FALSE,LOOKUP(InfoGard!D570,Lookup!$A$2:$B$4))</f>
        <v>0</v>
      </c>
      <c r="B570" s="2" t="b">
        <f>IF(ISBLANK(InfoGard!E570),FALSE,RIGHT(TRIM(InfoGard!E570),15))</f>
        <v>0</v>
      </c>
      <c r="C570" s="2" t="b">
        <f>IF(ISBLANK(InfoGard!F570),FALSE,LOOKUP(InfoGard!F570,Lookup!$A$6:$B$7))</f>
        <v>0</v>
      </c>
      <c r="D570" s="2" t="b">
        <f>IF(ISBLANK(InfoGard!G570),FALSE,InfoGard!G570)</f>
        <v>0</v>
      </c>
      <c r="E570" s="2" t="str">
        <f>IF(NOT(ISBLANK(InfoGard!D570)),IF(OR(ISBLANK(InfoGard!E570),InfoGard!E570="N/A"),"no acb code",CONCATENATE(Lookup!F$1,A570,Lookup!G$1,B570,Lookup!H$1,H$1,Lookup!I$1)),"no attestation")</f>
        <v>no attestation</v>
      </c>
      <c r="F570" s="2" t="str">
        <f>IF(AND(NOT(ISBLANK(InfoGard!G570)),InfoGard!G570&lt;&gt;"N/A"),IF(C570="All",CONCATENATE(Lookup!F$2,D570,Lookup!G$2,B570,Lookup!H$2,H$1,Lookup!I$2),CONCATENATE(Lookup!F$3,D570,Lookup!G$3,B570,Lookup!H$3)),"no url")</f>
        <v>no url</v>
      </c>
    </row>
    <row r="571" spans="1:6" hidden="1" x14ac:dyDescent="0.25">
      <c r="A571" s="2" t="b">
        <f>IF(ISBLANK(InfoGard!D571),FALSE,LOOKUP(InfoGard!D571,Lookup!$A$2:$B$4))</f>
        <v>0</v>
      </c>
      <c r="B571" s="2" t="b">
        <f>IF(ISBLANK(InfoGard!E571),FALSE,RIGHT(TRIM(InfoGard!E571),15))</f>
        <v>0</v>
      </c>
      <c r="C571" s="2" t="b">
        <f>IF(ISBLANK(InfoGard!F571),FALSE,LOOKUP(InfoGard!F571,Lookup!$A$6:$B$7))</f>
        <v>0</v>
      </c>
      <c r="D571" s="2" t="b">
        <f>IF(ISBLANK(InfoGard!G571),FALSE,InfoGard!G571)</f>
        <v>0</v>
      </c>
      <c r="E571" s="2" t="str">
        <f>IF(NOT(ISBLANK(InfoGard!D571)),IF(OR(ISBLANK(InfoGard!E571),InfoGard!E571="N/A"),"no acb code",CONCATENATE(Lookup!F$1,A571,Lookup!G$1,B571,Lookup!H$1,H$1,Lookup!I$1)),"no attestation")</f>
        <v>no attestation</v>
      </c>
      <c r="F571" s="2" t="str">
        <f>IF(AND(NOT(ISBLANK(InfoGard!G571)),InfoGard!G571&lt;&gt;"N/A"),IF(C571="All",CONCATENATE(Lookup!F$2,D571,Lookup!G$2,B571,Lookup!H$2,H$1,Lookup!I$2),CONCATENATE(Lookup!F$3,D571,Lookup!G$3,B571,Lookup!H$3)),"no url")</f>
        <v>no url</v>
      </c>
    </row>
    <row r="572" spans="1:6" hidden="1" x14ac:dyDescent="0.25">
      <c r="A572" s="2" t="b">
        <f>IF(ISBLANK(InfoGard!D572),FALSE,LOOKUP(InfoGard!D572,Lookup!$A$2:$B$4))</f>
        <v>0</v>
      </c>
      <c r="B572" s="2" t="b">
        <f>IF(ISBLANK(InfoGard!E572),FALSE,RIGHT(TRIM(InfoGard!E572),15))</f>
        <v>0</v>
      </c>
      <c r="C572" s="2" t="b">
        <f>IF(ISBLANK(InfoGard!F572),FALSE,LOOKUP(InfoGard!F572,Lookup!$A$6:$B$7))</f>
        <v>0</v>
      </c>
      <c r="D572" s="2" t="b">
        <f>IF(ISBLANK(InfoGard!G572),FALSE,InfoGard!G572)</f>
        <v>0</v>
      </c>
      <c r="E572" s="2" t="str">
        <f>IF(NOT(ISBLANK(InfoGard!D572)),IF(OR(ISBLANK(InfoGard!E572),InfoGard!E572="N/A"),"no acb code",CONCATENATE(Lookup!F$1,A572,Lookup!G$1,B572,Lookup!H$1,H$1,Lookup!I$1)),"no attestation")</f>
        <v>no attestation</v>
      </c>
      <c r="F572" s="2" t="str">
        <f>IF(AND(NOT(ISBLANK(InfoGard!G572)),InfoGard!G572&lt;&gt;"N/A"),IF(C572="All",CONCATENATE(Lookup!F$2,D572,Lookup!G$2,B572,Lookup!H$2,H$1,Lookup!I$2),CONCATENATE(Lookup!F$3,D572,Lookup!G$3,B572,Lookup!H$3)),"no url")</f>
        <v>no url</v>
      </c>
    </row>
    <row r="573" spans="1:6" hidden="1" x14ac:dyDescent="0.25">
      <c r="A573" s="2" t="b">
        <f>IF(ISBLANK(InfoGard!D573),FALSE,LOOKUP(InfoGard!D573,Lookup!$A$2:$B$4))</f>
        <v>0</v>
      </c>
      <c r="B573" s="2" t="b">
        <f>IF(ISBLANK(InfoGard!E573),FALSE,RIGHT(TRIM(InfoGard!E573),15))</f>
        <v>0</v>
      </c>
      <c r="C573" s="2" t="b">
        <f>IF(ISBLANK(InfoGard!F573),FALSE,LOOKUP(InfoGard!F573,Lookup!$A$6:$B$7))</f>
        <v>0</v>
      </c>
      <c r="D573" s="2" t="b">
        <f>IF(ISBLANK(InfoGard!G573),FALSE,InfoGard!G573)</f>
        <v>0</v>
      </c>
      <c r="E573" s="2" t="str">
        <f>IF(NOT(ISBLANK(InfoGard!D573)),IF(OR(ISBLANK(InfoGard!E573),InfoGard!E573="N/A"),"no acb code",CONCATENATE(Lookup!F$1,A573,Lookup!G$1,B573,Lookup!H$1,H$1,Lookup!I$1)),"no attestation")</f>
        <v>no attestation</v>
      </c>
      <c r="F573" s="2" t="str">
        <f>IF(AND(NOT(ISBLANK(InfoGard!G573)),InfoGard!G573&lt;&gt;"N/A"),IF(C573="All",CONCATENATE(Lookup!F$2,D573,Lookup!G$2,B573,Lookup!H$2,H$1,Lookup!I$2),CONCATENATE(Lookup!F$3,D573,Lookup!G$3,B573,Lookup!H$3)),"no url")</f>
        <v>no url</v>
      </c>
    </row>
    <row r="574" spans="1:6" hidden="1" x14ac:dyDescent="0.25">
      <c r="A574" s="2" t="b">
        <f>IF(ISBLANK(InfoGard!D574),FALSE,LOOKUP(InfoGard!D574,Lookup!$A$2:$B$4))</f>
        <v>0</v>
      </c>
      <c r="B574" s="2" t="b">
        <f>IF(ISBLANK(InfoGard!E574),FALSE,RIGHT(TRIM(InfoGard!E574),15))</f>
        <v>0</v>
      </c>
      <c r="C574" s="2" t="b">
        <f>IF(ISBLANK(InfoGard!F574),FALSE,LOOKUP(InfoGard!F574,Lookup!$A$6:$B$7))</f>
        <v>0</v>
      </c>
      <c r="D574" s="2" t="b">
        <f>IF(ISBLANK(InfoGard!G574),FALSE,InfoGard!G574)</f>
        <v>0</v>
      </c>
      <c r="E574" s="2" t="str">
        <f>IF(NOT(ISBLANK(InfoGard!D574)),IF(OR(ISBLANK(InfoGard!E574),InfoGard!E574="N/A"),"no acb code",CONCATENATE(Lookup!F$1,A574,Lookup!G$1,B574,Lookup!H$1,H$1,Lookup!I$1)),"no attestation")</f>
        <v>no attestation</v>
      </c>
      <c r="F574" s="2" t="str">
        <f>IF(AND(NOT(ISBLANK(InfoGard!G574)),InfoGard!G574&lt;&gt;"N/A"),IF(C574="All",CONCATENATE(Lookup!F$2,D574,Lookup!G$2,B574,Lookup!H$2,H$1,Lookup!I$2),CONCATENATE(Lookup!F$3,D574,Lookup!G$3,B574,Lookup!H$3)),"no url")</f>
        <v>no url</v>
      </c>
    </row>
    <row r="575" spans="1:6" hidden="1" x14ac:dyDescent="0.25">
      <c r="A575" s="2" t="b">
        <f>IF(ISBLANK(InfoGard!D575),FALSE,LOOKUP(InfoGard!D575,Lookup!$A$2:$B$4))</f>
        <v>0</v>
      </c>
      <c r="B575" s="2" t="b">
        <f>IF(ISBLANK(InfoGard!E575),FALSE,RIGHT(TRIM(InfoGard!E575),15))</f>
        <v>0</v>
      </c>
      <c r="C575" s="2" t="b">
        <f>IF(ISBLANK(InfoGard!F575),FALSE,LOOKUP(InfoGard!F575,Lookup!$A$6:$B$7))</f>
        <v>0</v>
      </c>
      <c r="D575" s="2" t="b">
        <f>IF(ISBLANK(InfoGard!G575),FALSE,InfoGard!G575)</f>
        <v>0</v>
      </c>
      <c r="E575" s="2" t="str">
        <f>IF(NOT(ISBLANK(InfoGard!D575)),IF(OR(ISBLANK(InfoGard!E575),InfoGard!E575="N/A"),"no acb code",CONCATENATE(Lookup!F$1,A575,Lookup!G$1,B575,Lookup!H$1,H$1,Lookup!I$1)),"no attestation")</f>
        <v>no attestation</v>
      </c>
      <c r="F575" s="2" t="str">
        <f>IF(AND(NOT(ISBLANK(InfoGard!G575)),InfoGard!G575&lt;&gt;"N/A"),IF(C575="All",CONCATENATE(Lookup!F$2,D575,Lookup!G$2,B575,Lookup!H$2,H$1,Lookup!I$2),CONCATENATE(Lookup!F$3,D575,Lookup!G$3,B575,Lookup!H$3)),"no url")</f>
        <v>no url</v>
      </c>
    </row>
    <row r="576" spans="1:6" hidden="1" x14ac:dyDescent="0.25">
      <c r="A576" s="2" t="b">
        <f>IF(ISBLANK(InfoGard!D576),FALSE,LOOKUP(InfoGard!D576,Lookup!$A$2:$B$4))</f>
        <v>0</v>
      </c>
      <c r="B576" s="2" t="b">
        <f>IF(ISBLANK(InfoGard!E576),FALSE,RIGHT(TRIM(InfoGard!E576),15))</f>
        <v>0</v>
      </c>
      <c r="C576" s="2" t="b">
        <f>IF(ISBLANK(InfoGard!F576),FALSE,LOOKUP(InfoGard!F576,Lookup!$A$6:$B$7))</f>
        <v>0</v>
      </c>
      <c r="D576" s="2" t="b">
        <f>IF(ISBLANK(InfoGard!G576),FALSE,InfoGard!G576)</f>
        <v>0</v>
      </c>
      <c r="E576" s="2" t="str">
        <f>IF(NOT(ISBLANK(InfoGard!D576)),IF(OR(ISBLANK(InfoGard!E576),InfoGard!E576="N/A"),"no acb code",CONCATENATE(Lookup!F$1,A576,Lookup!G$1,B576,Lookup!H$1,H$1,Lookup!I$1)),"no attestation")</f>
        <v>no attestation</v>
      </c>
      <c r="F576" s="2" t="str">
        <f>IF(AND(NOT(ISBLANK(InfoGard!G576)),InfoGard!G576&lt;&gt;"N/A"),IF(C576="All",CONCATENATE(Lookup!F$2,D576,Lookup!G$2,B576,Lookup!H$2,H$1,Lookup!I$2),CONCATENATE(Lookup!F$3,D576,Lookup!G$3,B576,Lookup!H$3)),"no url")</f>
        <v>no url</v>
      </c>
    </row>
    <row r="577" spans="1:6" hidden="1" x14ac:dyDescent="0.25">
      <c r="A577" s="2" t="b">
        <f>IF(ISBLANK(InfoGard!D577),FALSE,LOOKUP(InfoGard!D577,Lookup!$A$2:$B$4))</f>
        <v>0</v>
      </c>
      <c r="B577" s="2" t="b">
        <f>IF(ISBLANK(InfoGard!E577),FALSE,RIGHT(TRIM(InfoGard!E577),15))</f>
        <v>0</v>
      </c>
      <c r="C577" s="2" t="b">
        <f>IF(ISBLANK(InfoGard!F577),FALSE,LOOKUP(InfoGard!F577,Lookup!$A$6:$B$7))</f>
        <v>0</v>
      </c>
      <c r="D577" s="2" t="b">
        <f>IF(ISBLANK(InfoGard!G577),FALSE,InfoGard!G577)</f>
        <v>0</v>
      </c>
      <c r="E577" s="2" t="str">
        <f>IF(NOT(ISBLANK(InfoGard!D577)),IF(OR(ISBLANK(InfoGard!E577),InfoGard!E577="N/A"),"no acb code",CONCATENATE(Lookup!F$1,A577,Lookup!G$1,B577,Lookup!H$1,H$1,Lookup!I$1)),"no attestation")</f>
        <v>no attestation</v>
      </c>
      <c r="F577" s="2" t="str">
        <f>IF(AND(NOT(ISBLANK(InfoGard!G577)),InfoGard!G577&lt;&gt;"N/A"),IF(C577="All",CONCATENATE(Lookup!F$2,D577,Lookup!G$2,B577,Lookup!H$2,H$1,Lookup!I$2),CONCATENATE(Lookup!F$3,D577,Lookup!G$3,B577,Lookup!H$3)),"no url")</f>
        <v>no url</v>
      </c>
    </row>
    <row r="578" spans="1:6" hidden="1" x14ac:dyDescent="0.25">
      <c r="A578" s="2" t="b">
        <f>IF(ISBLANK(InfoGard!D578),FALSE,LOOKUP(InfoGard!D578,Lookup!$A$2:$B$4))</f>
        <v>0</v>
      </c>
      <c r="B578" s="2" t="b">
        <f>IF(ISBLANK(InfoGard!E578),FALSE,RIGHT(TRIM(InfoGard!E578),15))</f>
        <v>0</v>
      </c>
      <c r="C578" s="2" t="b">
        <f>IF(ISBLANK(InfoGard!F578),FALSE,LOOKUP(InfoGard!F578,Lookup!$A$6:$B$7))</f>
        <v>0</v>
      </c>
      <c r="D578" s="2" t="b">
        <f>IF(ISBLANK(InfoGard!G578),FALSE,InfoGard!G578)</f>
        <v>0</v>
      </c>
      <c r="E578" s="2" t="str">
        <f>IF(NOT(ISBLANK(InfoGard!D578)),IF(OR(ISBLANK(InfoGard!E578),InfoGard!E578="N/A"),"no acb code",CONCATENATE(Lookup!F$1,A578,Lookup!G$1,B578,Lookup!H$1,H$1,Lookup!I$1)),"no attestation")</f>
        <v>no attestation</v>
      </c>
      <c r="F578" s="2" t="str">
        <f>IF(AND(NOT(ISBLANK(InfoGard!G578)),InfoGard!G578&lt;&gt;"N/A"),IF(C578="All",CONCATENATE(Lookup!F$2,D578,Lookup!G$2,B578,Lookup!H$2,H$1,Lookup!I$2),CONCATENATE(Lookup!F$3,D578,Lookup!G$3,B578,Lookup!H$3)),"no url")</f>
        <v>no url</v>
      </c>
    </row>
    <row r="579" spans="1:6" hidden="1" x14ac:dyDescent="0.25">
      <c r="A579" s="2" t="b">
        <f>IF(ISBLANK(InfoGard!D579),FALSE,LOOKUP(InfoGard!D579,Lookup!$A$2:$B$4))</f>
        <v>0</v>
      </c>
      <c r="B579" s="2" t="b">
        <f>IF(ISBLANK(InfoGard!E579),FALSE,RIGHT(TRIM(InfoGard!E579),15))</f>
        <v>0</v>
      </c>
      <c r="C579" s="2" t="b">
        <f>IF(ISBLANK(InfoGard!F579),FALSE,LOOKUP(InfoGard!F579,Lookup!$A$6:$B$7))</f>
        <v>0</v>
      </c>
      <c r="D579" s="2" t="b">
        <f>IF(ISBLANK(InfoGard!G579),FALSE,InfoGard!G579)</f>
        <v>0</v>
      </c>
      <c r="E579" s="2" t="str">
        <f>IF(NOT(ISBLANK(InfoGard!D579)),IF(OR(ISBLANK(InfoGard!E579),InfoGard!E579="N/A"),"no acb code",CONCATENATE(Lookup!F$1,A579,Lookup!G$1,B579,Lookup!H$1,H$1,Lookup!I$1)),"no attestation")</f>
        <v>no attestation</v>
      </c>
      <c r="F579" s="2" t="str">
        <f>IF(AND(NOT(ISBLANK(InfoGard!G579)),InfoGard!G579&lt;&gt;"N/A"),IF(C579="All",CONCATENATE(Lookup!F$2,D579,Lookup!G$2,B579,Lookup!H$2,H$1,Lookup!I$2),CONCATENATE(Lookup!F$3,D579,Lookup!G$3,B579,Lookup!H$3)),"no url")</f>
        <v>no url</v>
      </c>
    </row>
    <row r="580" spans="1:6" hidden="1" x14ac:dyDescent="0.25">
      <c r="A580" s="2" t="b">
        <f>IF(ISBLANK(InfoGard!D580),FALSE,LOOKUP(InfoGard!D580,Lookup!$A$2:$B$4))</f>
        <v>0</v>
      </c>
      <c r="B580" s="2" t="b">
        <f>IF(ISBLANK(InfoGard!E580),FALSE,RIGHT(TRIM(InfoGard!E580),15))</f>
        <v>0</v>
      </c>
      <c r="C580" s="2" t="b">
        <f>IF(ISBLANK(InfoGard!F580),FALSE,LOOKUP(InfoGard!F580,Lookup!$A$6:$B$7))</f>
        <v>0</v>
      </c>
      <c r="D580" s="2" t="b">
        <f>IF(ISBLANK(InfoGard!G580),FALSE,InfoGard!G580)</f>
        <v>0</v>
      </c>
      <c r="E580" s="2" t="str">
        <f>IF(NOT(ISBLANK(InfoGard!D580)),IF(OR(ISBLANK(InfoGard!E580),InfoGard!E580="N/A"),"no acb code",CONCATENATE(Lookup!F$1,A580,Lookup!G$1,B580,Lookup!H$1,H$1,Lookup!I$1)),"no attestation")</f>
        <v>no attestation</v>
      </c>
      <c r="F580" s="2" t="str">
        <f>IF(AND(NOT(ISBLANK(InfoGard!G580)),InfoGard!G580&lt;&gt;"N/A"),IF(C580="All",CONCATENATE(Lookup!F$2,D580,Lookup!G$2,B580,Lookup!H$2,H$1,Lookup!I$2),CONCATENATE(Lookup!F$3,D580,Lookup!G$3,B580,Lookup!H$3)),"no url")</f>
        <v>no url</v>
      </c>
    </row>
    <row r="581" spans="1:6" hidden="1" x14ac:dyDescent="0.25">
      <c r="A581" s="2" t="b">
        <f>IF(ISBLANK(InfoGard!D581),FALSE,LOOKUP(InfoGard!D581,Lookup!$A$2:$B$4))</f>
        <v>0</v>
      </c>
      <c r="B581" s="2" t="b">
        <f>IF(ISBLANK(InfoGard!E581),FALSE,RIGHT(TRIM(InfoGard!E581),15))</f>
        <v>0</v>
      </c>
      <c r="C581" s="2" t="b">
        <f>IF(ISBLANK(InfoGard!F581),FALSE,LOOKUP(InfoGard!F581,Lookup!$A$6:$B$7))</f>
        <v>0</v>
      </c>
      <c r="D581" s="2" t="b">
        <f>IF(ISBLANK(InfoGard!G581),FALSE,InfoGard!G581)</f>
        <v>0</v>
      </c>
      <c r="E581" s="2" t="str">
        <f>IF(NOT(ISBLANK(InfoGard!D581)),IF(OR(ISBLANK(InfoGard!E581),InfoGard!E581="N/A"),"no acb code",CONCATENATE(Lookup!F$1,A581,Lookup!G$1,B581,Lookup!H$1,H$1,Lookup!I$1)),"no attestation")</f>
        <v>no attestation</v>
      </c>
      <c r="F581" s="2" t="str">
        <f>IF(AND(NOT(ISBLANK(InfoGard!G581)),InfoGard!G581&lt;&gt;"N/A"),IF(C581="All",CONCATENATE(Lookup!F$2,D581,Lookup!G$2,B581,Lookup!H$2,H$1,Lookup!I$2),CONCATENATE(Lookup!F$3,D581,Lookup!G$3,B581,Lookup!H$3)),"no url")</f>
        <v>no url</v>
      </c>
    </row>
    <row r="582" spans="1:6" hidden="1" x14ac:dyDescent="0.25">
      <c r="A582" s="2" t="b">
        <f>IF(ISBLANK(InfoGard!D582),FALSE,LOOKUP(InfoGard!D582,Lookup!$A$2:$B$4))</f>
        <v>0</v>
      </c>
      <c r="B582" s="2" t="b">
        <f>IF(ISBLANK(InfoGard!E582),FALSE,RIGHT(TRIM(InfoGard!E582),15))</f>
        <v>0</v>
      </c>
      <c r="C582" s="2" t="b">
        <f>IF(ISBLANK(InfoGard!F582),FALSE,LOOKUP(InfoGard!F582,Lookup!$A$6:$B$7))</f>
        <v>0</v>
      </c>
      <c r="D582" s="2" t="b">
        <f>IF(ISBLANK(InfoGard!G582),FALSE,InfoGard!G582)</f>
        <v>0</v>
      </c>
      <c r="E582" s="2" t="str">
        <f>IF(NOT(ISBLANK(InfoGard!D582)),IF(OR(ISBLANK(InfoGard!E582),InfoGard!E582="N/A"),"no acb code",CONCATENATE(Lookup!F$1,A582,Lookup!G$1,B582,Lookup!H$1,H$1,Lookup!I$1)),"no attestation")</f>
        <v>no attestation</v>
      </c>
      <c r="F582" s="2" t="str">
        <f>IF(AND(NOT(ISBLANK(InfoGard!G582)),InfoGard!G582&lt;&gt;"N/A"),IF(C582="All",CONCATENATE(Lookup!F$2,D582,Lookup!G$2,B582,Lookup!H$2,H$1,Lookup!I$2),CONCATENATE(Lookup!F$3,D582,Lookup!G$3,B582,Lookup!H$3)),"no url")</f>
        <v>no url</v>
      </c>
    </row>
    <row r="583" spans="1:6" hidden="1" x14ac:dyDescent="0.25">
      <c r="A583" s="2" t="b">
        <f>IF(ISBLANK(InfoGard!D583),FALSE,LOOKUP(InfoGard!D583,Lookup!$A$2:$B$4))</f>
        <v>0</v>
      </c>
      <c r="B583" s="2" t="b">
        <f>IF(ISBLANK(InfoGard!E583),FALSE,RIGHT(TRIM(InfoGard!E583),15))</f>
        <v>0</v>
      </c>
      <c r="C583" s="2" t="b">
        <f>IF(ISBLANK(InfoGard!F583),FALSE,LOOKUP(InfoGard!F583,Lookup!$A$6:$B$7))</f>
        <v>0</v>
      </c>
      <c r="D583" s="2" t="b">
        <f>IF(ISBLANK(InfoGard!G583),FALSE,InfoGard!G583)</f>
        <v>0</v>
      </c>
      <c r="E583" s="2" t="str">
        <f>IF(NOT(ISBLANK(InfoGard!D583)),IF(OR(ISBLANK(InfoGard!E583),InfoGard!E583="N/A"),"no acb code",CONCATENATE(Lookup!F$1,A583,Lookup!G$1,B583,Lookup!H$1,H$1,Lookup!I$1)),"no attestation")</f>
        <v>no attestation</v>
      </c>
      <c r="F583" s="2" t="str">
        <f>IF(AND(NOT(ISBLANK(InfoGard!G583)),InfoGard!G583&lt;&gt;"N/A"),IF(C583="All",CONCATENATE(Lookup!F$2,D583,Lookup!G$2,B583,Lookup!H$2,H$1,Lookup!I$2),CONCATENATE(Lookup!F$3,D583,Lookup!G$3,B583,Lookup!H$3)),"no url")</f>
        <v>no url</v>
      </c>
    </row>
    <row r="584" spans="1:6" hidden="1" x14ac:dyDescent="0.25">
      <c r="A584" s="2" t="b">
        <f>IF(ISBLANK(InfoGard!D584),FALSE,LOOKUP(InfoGard!D584,Lookup!$A$2:$B$4))</f>
        <v>0</v>
      </c>
      <c r="B584" s="2" t="b">
        <f>IF(ISBLANK(InfoGard!E584),FALSE,RIGHT(TRIM(InfoGard!E584),15))</f>
        <v>0</v>
      </c>
      <c r="C584" s="2" t="b">
        <f>IF(ISBLANK(InfoGard!F584),FALSE,LOOKUP(InfoGard!F584,Lookup!$A$6:$B$7))</f>
        <v>0</v>
      </c>
      <c r="D584" s="2" t="b">
        <f>IF(ISBLANK(InfoGard!G584),FALSE,InfoGard!G584)</f>
        <v>0</v>
      </c>
      <c r="E584" s="2" t="str">
        <f>IF(NOT(ISBLANK(InfoGard!D584)),IF(OR(ISBLANK(InfoGard!E584),InfoGard!E584="N/A"),"no acb code",CONCATENATE(Lookup!F$1,A584,Lookup!G$1,B584,Lookup!H$1,H$1,Lookup!I$1)),"no attestation")</f>
        <v>no attestation</v>
      </c>
      <c r="F584" s="2" t="str">
        <f>IF(AND(NOT(ISBLANK(InfoGard!G584)),InfoGard!G584&lt;&gt;"N/A"),IF(C584="All",CONCATENATE(Lookup!F$2,D584,Lookup!G$2,B584,Lookup!H$2,H$1,Lookup!I$2),CONCATENATE(Lookup!F$3,D584,Lookup!G$3,B584,Lookup!H$3)),"no url")</f>
        <v>no url</v>
      </c>
    </row>
    <row r="585" spans="1:6" hidden="1" x14ac:dyDescent="0.25">
      <c r="A585" s="2" t="b">
        <f>IF(ISBLANK(InfoGard!D585),FALSE,LOOKUP(InfoGard!D585,Lookup!$A$2:$B$4))</f>
        <v>0</v>
      </c>
      <c r="B585" s="2" t="b">
        <f>IF(ISBLANK(InfoGard!E585),FALSE,RIGHT(TRIM(InfoGard!E585),15))</f>
        <v>0</v>
      </c>
      <c r="C585" s="2" t="b">
        <f>IF(ISBLANK(InfoGard!F585),FALSE,LOOKUP(InfoGard!F585,Lookup!$A$6:$B$7))</f>
        <v>0</v>
      </c>
      <c r="D585" s="2" t="b">
        <f>IF(ISBLANK(InfoGard!G585),FALSE,InfoGard!G585)</f>
        <v>0</v>
      </c>
      <c r="E585" s="2" t="str">
        <f>IF(NOT(ISBLANK(InfoGard!D585)),IF(OR(ISBLANK(InfoGard!E585),InfoGard!E585="N/A"),"no acb code",CONCATENATE(Lookup!F$1,A585,Lookup!G$1,B585,Lookup!H$1,H$1,Lookup!I$1)),"no attestation")</f>
        <v>no attestation</v>
      </c>
      <c r="F585" s="2" t="str">
        <f>IF(AND(NOT(ISBLANK(InfoGard!G585)),InfoGard!G585&lt;&gt;"N/A"),IF(C585="All",CONCATENATE(Lookup!F$2,D585,Lookup!G$2,B585,Lookup!H$2,H$1,Lookup!I$2),CONCATENATE(Lookup!F$3,D585,Lookup!G$3,B585,Lookup!H$3)),"no url")</f>
        <v>no url</v>
      </c>
    </row>
    <row r="586" spans="1:6" hidden="1" x14ac:dyDescent="0.25">
      <c r="A586" s="2" t="b">
        <f>IF(ISBLANK(InfoGard!D586),FALSE,LOOKUP(InfoGard!D586,Lookup!$A$2:$B$4))</f>
        <v>0</v>
      </c>
      <c r="B586" s="2" t="b">
        <f>IF(ISBLANK(InfoGard!E586),FALSE,RIGHT(TRIM(InfoGard!E586),15))</f>
        <v>0</v>
      </c>
      <c r="C586" s="2" t="b">
        <f>IF(ISBLANK(InfoGard!F586),FALSE,LOOKUP(InfoGard!F586,Lookup!$A$6:$B$7))</f>
        <v>0</v>
      </c>
      <c r="D586" s="2" t="b">
        <f>IF(ISBLANK(InfoGard!G586),FALSE,InfoGard!G586)</f>
        <v>0</v>
      </c>
      <c r="E586" s="2" t="str">
        <f>IF(NOT(ISBLANK(InfoGard!D586)),IF(OR(ISBLANK(InfoGard!E586),InfoGard!E586="N/A"),"no acb code",CONCATENATE(Lookup!F$1,A586,Lookup!G$1,B586,Lookup!H$1,H$1,Lookup!I$1)),"no attestation")</f>
        <v>no attestation</v>
      </c>
      <c r="F586" s="2" t="str">
        <f>IF(AND(NOT(ISBLANK(InfoGard!G586)),InfoGard!G586&lt;&gt;"N/A"),IF(C586="All",CONCATENATE(Lookup!F$2,D586,Lookup!G$2,B586,Lookup!H$2,H$1,Lookup!I$2),CONCATENATE(Lookup!F$3,D586,Lookup!G$3,B586,Lookup!H$3)),"no url")</f>
        <v>no url</v>
      </c>
    </row>
    <row r="587" spans="1:6" hidden="1" x14ac:dyDescent="0.25">
      <c r="A587" s="2" t="b">
        <f>IF(ISBLANK(InfoGard!D587),FALSE,LOOKUP(InfoGard!D587,Lookup!$A$2:$B$4))</f>
        <v>0</v>
      </c>
      <c r="B587" s="2" t="b">
        <f>IF(ISBLANK(InfoGard!E587),FALSE,RIGHT(TRIM(InfoGard!E587),15))</f>
        <v>0</v>
      </c>
      <c r="C587" s="2" t="b">
        <f>IF(ISBLANK(InfoGard!F587),FALSE,LOOKUP(InfoGard!F587,Lookup!$A$6:$B$7))</f>
        <v>0</v>
      </c>
      <c r="D587" s="2" t="b">
        <f>IF(ISBLANK(InfoGard!G587),FALSE,InfoGard!G587)</f>
        <v>0</v>
      </c>
      <c r="E587" s="2" t="str">
        <f>IF(NOT(ISBLANK(InfoGard!D587)),IF(OR(ISBLANK(InfoGard!E587),InfoGard!E587="N/A"),"no acb code",CONCATENATE(Lookup!F$1,A587,Lookup!G$1,B587,Lookup!H$1,H$1,Lookup!I$1)),"no attestation")</f>
        <v>no attestation</v>
      </c>
      <c r="F587" s="2" t="str">
        <f>IF(AND(NOT(ISBLANK(InfoGard!G587)),InfoGard!G587&lt;&gt;"N/A"),IF(C587="All",CONCATENATE(Lookup!F$2,D587,Lookup!G$2,B587,Lookup!H$2,H$1,Lookup!I$2),CONCATENATE(Lookup!F$3,D587,Lookup!G$3,B587,Lookup!H$3)),"no url")</f>
        <v>no url</v>
      </c>
    </row>
    <row r="588" spans="1:6" hidden="1" x14ac:dyDescent="0.25">
      <c r="A588" s="2" t="b">
        <f>IF(ISBLANK(InfoGard!D588),FALSE,LOOKUP(InfoGard!D588,Lookup!$A$2:$B$4))</f>
        <v>0</v>
      </c>
      <c r="B588" s="2" t="b">
        <f>IF(ISBLANK(InfoGard!E588),FALSE,RIGHT(TRIM(InfoGard!E588),15))</f>
        <v>0</v>
      </c>
      <c r="C588" s="2" t="b">
        <f>IF(ISBLANK(InfoGard!F588),FALSE,LOOKUP(InfoGard!F588,Lookup!$A$6:$B$7))</f>
        <v>0</v>
      </c>
      <c r="D588" s="2" t="b">
        <f>IF(ISBLANK(InfoGard!G588),FALSE,InfoGard!G588)</f>
        <v>0</v>
      </c>
      <c r="E588" s="2" t="str">
        <f>IF(NOT(ISBLANK(InfoGard!D588)),IF(OR(ISBLANK(InfoGard!E588),InfoGard!E588="N/A"),"no acb code",CONCATENATE(Lookup!F$1,A588,Lookup!G$1,B588,Lookup!H$1,H$1,Lookup!I$1)),"no attestation")</f>
        <v>no attestation</v>
      </c>
      <c r="F588" s="2" t="str">
        <f>IF(AND(NOT(ISBLANK(InfoGard!G588)),InfoGard!G588&lt;&gt;"N/A"),IF(C588="All",CONCATENATE(Lookup!F$2,D588,Lookup!G$2,B588,Lookup!H$2,H$1,Lookup!I$2),CONCATENATE(Lookup!F$3,D588,Lookup!G$3,B588,Lookup!H$3)),"no url")</f>
        <v>no url</v>
      </c>
    </row>
    <row r="589" spans="1:6" hidden="1" x14ac:dyDescent="0.25">
      <c r="A589" s="2" t="b">
        <f>IF(ISBLANK(InfoGard!D589),FALSE,LOOKUP(InfoGard!D589,Lookup!$A$2:$B$4))</f>
        <v>0</v>
      </c>
      <c r="B589" s="2" t="b">
        <f>IF(ISBLANK(InfoGard!E589),FALSE,RIGHT(TRIM(InfoGard!E589),15))</f>
        <v>0</v>
      </c>
      <c r="C589" s="2" t="b">
        <f>IF(ISBLANK(InfoGard!F589),FALSE,LOOKUP(InfoGard!F589,Lookup!$A$6:$B$7))</f>
        <v>0</v>
      </c>
      <c r="D589" s="2" t="b">
        <f>IF(ISBLANK(InfoGard!G589),FALSE,InfoGard!G589)</f>
        <v>0</v>
      </c>
      <c r="E589" s="2" t="str">
        <f>IF(NOT(ISBLANK(InfoGard!D589)),IF(OR(ISBLANK(InfoGard!E589),InfoGard!E589="N/A"),"no acb code",CONCATENATE(Lookup!F$1,A589,Lookup!G$1,B589,Lookup!H$1,H$1,Lookup!I$1)),"no attestation")</f>
        <v>no attestation</v>
      </c>
      <c r="F589" s="2" t="str">
        <f>IF(AND(NOT(ISBLANK(InfoGard!G589)),InfoGard!G589&lt;&gt;"N/A"),IF(C589="All",CONCATENATE(Lookup!F$2,D589,Lookup!G$2,B589,Lookup!H$2,H$1,Lookup!I$2),CONCATENATE(Lookup!F$3,D589,Lookup!G$3,B589,Lookup!H$3)),"no url")</f>
        <v>no url</v>
      </c>
    </row>
    <row r="590" spans="1:6" hidden="1" x14ac:dyDescent="0.25">
      <c r="A590" s="2" t="b">
        <f>IF(ISBLANK(InfoGard!D590),FALSE,LOOKUP(InfoGard!D590,Lookup!$A$2:$B$4))</f>
        <v>0</v>
      </c>
      <c r="B590" s="2" t="b">
        <f>IF(ISBLANK(InfoGard!E590),FALSE,RIGHT(TRIM(InfoGard!E590),15))</f>
        <v>0</v>
      </c>
      <c r="C590" s="2" t="b">
        <f>IF(ISBLANK(InfoGard!F590),FALSE,LOOKUP(InfoGard!F590,Lookup!$A$6:$B$7))</f>
        <v>0</v>
      </c>
      <c r="D590" s="2" t="b">
        <f>IF(ISBLANK(InfoGard!G590),FALSE,InfoGard!G590)</f>
        <v>0</v>
      </c>
      <c r="E590" s="2" t="str">
        <f>IF(NOT(ISBLANK(InfoGard!D590)),IF(OR(ISBLANK(InfoGard!E590),InfoGard!E590="N/A"),"no acb code",CONCATENATE(Lookup!F$1,A590,Lookup!G$1,B590,Lookup!H$1,H$1,Lookup!I$1)),"no attestation")</f>
        <v>no attestation</v>
      </c>
      <c r="F590" s="2" t="str">
        <f>IF(AND(NOT(ISBLANK(InfoGard!G590)),InfoGard!G590&lt;&gt;"N/A"),IF(C590="All",CONCATENATE(Lookup!F$2,D590,Lookup!G$2,B590,Lookup!H$2,H$1,Lookup!I$2),CONCATENATE(Lookup!F$3,D590,Lookup!G$3,B590,Lookup!H$3)),"no url")</f>
        <v>no url</v>
      </c>
    </row>
    <row r="591" spans="1:6" hidden="1" x14ac:dyDescent="0.25">
      <c r="A591" s="2" t="b">
        <f>IF(ISBLANK(InfoGard!D591),FALSE,LOOKUP(InfoGard!D591,Lookup!$A$2:$B$4))</f>
        <v>0</v>
      </c>
      <c r="B591" s="2" t="b">
        <f>IF(ISBLANK(InfoGard!E591),FALSE,RIGHT(TRIM(InfoGard!E591),15))</f>
        <v>0</v>
      </c>
      <c r="C591" s="2" t="b">
        <f>IF(ISBLANK(InfoGard!F591),FALSE,LOOKUP(InfoGard!F591,Lookup!$A$6:$B$7))</f>
        <v>0</v>
      </c>
      <c r="D591" s="2" t="b">
        <f>IF(ISBLANK(InfoGard!G591),FALSE,InfoGard!G591)</f>
        <v>0</v>
      </c>
      <c r="E591" s="2" t="str">
        <f>IF(NOT(ISBLANK(InfoGard!D591)),IF(OR(ISBLANK(InfoGard!E591),InfoGard!E591="N/A"),"no acb code",CONCATENATE(Lookup!F$1,A591,Lookup!G$1,B591,Lookup!H$1,H$1,Lookup!I$1)),"no attestation")</f>
        <v>no attestation</v>
      </c>
      <c r="F591" s="2" t="str">
        <f>IF(AND(NOT(ISBLANK(InfoGard!G591)),InfoGard!G591&lt;&gt;"N/A"),IF(C591="All",CONCATENATE(Lookup!F$2,D591,Lookup!G$2,B591,Lookup!H$2,H$1,Lookup!I$2),CONCATENATE(Lookup!F$3,D591,Lookup!G$3,B591,Lookup!H$3)),"no url")</f>
        <v>no url</v>
      </c>
    </row>
    <row r="592" spans="1:6" hidden="1" x14ac:dyDescent="0.25">
      <c r="A592" s="2" t="b">
        <f>IF(ISBLANK(InfoGard!D592),FALSE,LOOKUP(InfoGard!D592,Lookup!$A$2:$B$4))</f>
        <v>0</v>
      </c>
      <c r="B592" s="2" t="b">
        <f>IF(ISBLANK(InfoGard!E592),FALSE,RIGHT(TRIM(InfoGard!E592),15))</f>
        <v>0</v>
      </c>
      <c r="C592" s="2" t="b">
        <f>IF(ISBLANK(InfoGard!F592),FALSE,LOOKUP(InfoGard!F592,Lookup!$A$6:$B$7))</f>
        <v>0</v>
      </c>
      <c r="D592" s="2" t="b">
        <f>IF(ISBLANK(InfoGard!G592),FALSE,InfoGard!G592)</f>
        <v>0</v>
      </c>
      <c r="E592" s="2" t="str">
        <f>IF(NOT(ISBLANK(InfoGard!D592)),IF(OR(ISBLANK(InfoGard!E592),InfoGard!E592="N/A"),"no acb code",CONCATENATE(Lookup!F$1,A592,Lookup!G$1,B592,Lookup!H$1,H$1,Lookup!I$1)),"no attestation")</f>
        <v>no attestation</v>
      </c>
      <c r="F592" s="2" t="str">
        <f>IF(AND(NOT(ISBLANK(InfoGard!G592)),InfoGard!G592&lt;&gt;"N/A"),IF(C592="All",CONCATENATE(Lookup!F$2,D592,Lookup!G$2,B592,Lookup!H$2,H$1,Lookup!I$2),CONCATENATE(Lookup!F$3,D592,Lookup!G$3,B592,Lookup!H$3)),"no url")</f>
        <v>no url</v>
      </c>
    </row>
    <row r="593" spans="1:6" hidden="1" x14ac:dyDescent="0.25">
      <c r="A593" s="2" t="b">
        <f>IF(ISBLANK(InfoGard!D593),FALSE,LOOKUP(InfoGard!D593,Lookup!$A$2:$B$4))</f>
        <v>0</v>
      </c>
      <c r="B593" s="2" t="b">
        <f>IF(ISBLANK(InfoGard!E593),FALSE,RIGHT(TRIM(InfoGard!E593),15))</f>
        <v>0</v>
      </c>
      <c r="C593" s="2" t="b">
        <f>IF(ISBLANK(InfoGard!F593),FALSE,LOOKUP(InfoGard!F593,Lookup!$A$6:$B$7))</f>
        <v>0</v>
      </c>
      <c r="D593" s="2" t="b">
        <f>IF(ISBLANK(InfoGard!G593),FALSE,InfoGard!G593)</f>
        <v>0</v>
      </c>
      <c r="E593" s="2" t="str">
        <f>IF(NOT(ISBLANK(InfoGard!D593)),IF(OR(ISBLANK(InfoGard!E593),InfoGard!E593="N/A"),"no acb code",CONCATENATE(Lookup!F$1,A593,Lookup!G$1,B593,Lookup!H$1,H$1,Lookup!I$1)),"no attestation")</f>
        <v>no attestation</v>
      </c>
      <c r="F593" s="2" t="str">
        <f>IF(AND(NOT(ISBLANK(InfoGard!G593)),InfoGard!G593&lt;&gt;"N/A"),IF(C593="All",CONCATENATE(Lookup!F$2,D593,Lookup!G$2,B593,Lookup!H$2,H$1,Lookup!I$2),CONCATENATE(Lookup!F$3,D593,Lookup!G$3,B593,Lookup!H$3)),"no url")</f>
        <v>no url</v>
      </c>
    </row>
    <row r="594" spans="1:6" x14ac:dyDescent="0.25">
      <c r="A594" s="2" t="str">
        <f>IF(ISBLANK(InfoGard!D594),FALSE,LOOKUP(InfoGard!D594,Lookup!$A$2:$B$4))</f>
        <v>Affirmative</v>
      </c>
      <c r="B594" s="2" t="str">
        <f>IF(ISBLANK(InfoGard!E594),FALSE,RIGHT(TRIM(InfoGard!E594),15))</f>
        <v>IG-3403-15-0004</v>
      </c>
      <c r="C594" s="2" t="str">
        <f>IF(ISBLANK(InfoGard!F594),FALSE,LOOKUP(InfoGard!F594,Lookup!$A$6:$B$7))</f>
        <v>All</v>
      </c>
      <c r="D594" s="2" t="str">
        <f>IF(ISBLANK(InfoGard!G594),FALSE,InfoGard!G594)</f>
        <v>https://www.hippoverse.com/certification</v>
      </c>
      <c r="E594" s="2" t="str">
        <f>IF(NOT(ISBLANK(InfoGard!D594)),IF(OR(ISBLANK(InfoGard!E594),InfoGard!E594="N/A"),"no acb code",CONCATENATE(Lookup!F$1,A594,Lookup!G$1,B594,Lookup!H$1,H$1,Lookup!I$1)),"no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'IG-3403-15-0004' and cb."name" = 'InfoGard' and cp.product_version_id = pv.product_version_id and pv.product_id = p.product_id and p.vendor_id = vend.vendor_id;</v>
      </c>
      <c r="F594" s="2" t="str">
        <f>IF(AND(NOT(ISBLANK(InfoGard!G594)),InfoGard!G594&lt;&gt;"N/A"),IF(C594="All",CONCATENATE(Lookup!F$2,D594,Lookup!G$2,B594,Lookup!H$2,H$1,Lookup!I$2),CONCATENATE(Lookup!F$3,D594,Lookup!G$3,B594,Lookup!H$3)),"no url")</f>
        <v>update openchpl.certified_product as cp set transparency_attestation_url = 'https://www.hippoverse.com/certification' from (select certified_product_id from (select vend.vendor_code from openchpl.certified_product as cp, openchpl.product_version as pv, openchpl.product as p, openchpl.vendor as vend where cp.acb_certification_id = 'IG-3403-15-0004'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95" spans="1:6" hidden="1" x14ac:dyDescent="0.25">
      <c r="A595" s="2" t="b">
        <f>IF(ISBLANK(InfoGard!D595),FALSE,LOOKUP(InfoGard!D595,Lookup!$A$2:$B$4))</f>
        <v>0</v>
      </c>
      <c r="B595" s="2" t="b">
        <f>IF(ISBLANK(InfoGard!E595),FALSE,RIGHT(TRIM(InfoGard!E595),15))</f>
        <v>0</v>
      </c>
      <c r="C595" s="2" t="b">
        <f>IF(ISBLANK(InfoGard!F595),FALSE,LOOKUP(InfoGard!F595,Lookup!$A$6:$B$7))</f>
        <v>0</v>
      </c>
      <c r="D595" s="2" t="b">
        <f>IF(ISBLANK(InfoGard!G595),FALSE,InfoGard!G595)</f>
        <v>0</v>
      </c>
      <c r="E595" s="2" t="str">
        <f>IF(NOT(ISBLANK(InfoGard!D595)),IF(OR(ISBLANK(InfoGard!E595),InfoGard!E595="N/A"),"no acb code",CONCATENATE(Lookup!F$1,A595,Lookup!G$1,B595,Lookup!H$1,H$1,Lookup!I$1)),"no attestation")</f>
        <v>no attestation</v>
      </c>
      <c r="F595" s="2" t="str">
        <f>IF(AND(NOT(ISBLANK(InfoGard!G595)),InfoGard!G595&lt;&gt;"N/A"),IF(C595="All",CONCATENATE(Lookup!F$2,D595,Lookup!G$2,B595,Lookup!H$2,H$1,Lookup!I$2),CONCATENATE(Lookup!F$3,D595,Lookup!G$3,B595,Lookup!H$3)),"no url")</f>
        <v>no url</v>
      </c>
    </row>
    <row r="596" spans="1:6" hidden="1" x14ac:dyDescent="0.25">
      <c r="A596" s="2" t="b">
        <f>IF(ISBLANK(InfoGard!D596),FALSE,LOOKUP(InfoGard!D596,Lookup!$A$2:$B$4))</f>
        <v>0</v>
      </c>
      <c r="B596" s="2" t="b">
        <f>IF(ISBLANK(InfoGard!E596),FALSE,RIGHT(TRIM(InfoGard!E596),15))</f>
        <v>0</v>
      </c>
      <c r="C596" s="2" t="b">
        <f>IF(ISBLANK(InfoGard!F596),FALSE,LOOKUP(InfoGard!F596,Lookup!$A$6:$B$7))</f>
        <v>0</v>
      </c>
      <c r="D596" s="2" t="b">
        <f>IF(ISBLANK(InfoGard!G596),FALSE,InfoGard!G596)</f>
        <v>0</v>
      </c>
      <c r="E596" s="2" t="str">
        <f>IF(NOT(ISBLANK(InfoGard!D596)),IF(OR(ISBLANK(InfoGard!E596),InfoGard!E596="N/A"),"no acb code",CONCATENATE(Lookup!F$1,A596,Lookup!G$1,B596,Lookup!H$1,H$1,Lookup!I$1)),"no attestation")</f>
        <v>no attestation</v>
      </c>
      <c r="F596" s="2" t="str">
        <f>IF(AND(NOT(ISBLANK(InfoGard!G596)),InfoGard!G596&lt;&gt;"N/A"),IF(C596="All",CONCATENATE(Lookup!F$2,D596,Lookup!G$2,B596,Lookup!H$2,H$1,Lookup!I$2),CONCATENATE(Lookup!F$3,D596,Lookup!G$3,B596,Lookup!H$3)),"no url")</f>
        <v>no url</v>
      </c>
    </row>
    <row r="597" spans="1:6" hidden="1" x14ac:dyDescent="0.25">
      <c r="A597" s="2" t="b">
        <f>IF(ISBLANK(InfoGard!D597),FALSE,LOOKUP(InfoGard!D597,Lookup!$A$2:$B$4))</f>
        <v>0</v>
      </c>
      <c r="B597" s="2" t="b">
        <f>IF(ISBLANK(InfoGard!E597),FALSE,RIGHT(TRIM(InfoGard!E597),15))</f>
        <v>0</v>
      </c>
      <c r="C597" s="2" t="b">
        <f>IF(ISBLANK(InfoGard!F597),FALSE,LOOKUP(InfoGard!F597,Lookup!$A$6:$B$7))</f>
        <v>0</v>
      </c>
      <c r="D597" s="2" t="b">
        <f>IF(ISBLANK(InfoGard!G597),FALSE,InfoGard!G597)</f>
        <v>0</v>
      </c>
      <c r="E597" s="2" t="str">
        <f>IF(NOT(ISBLANK(InfoGard!D597)),IF(OR(ISBLANK(InfoGard!E597),InfoGard!E597="N/A"),"no acb code",CONCATENATE(Lookup!F$1,A597,Lookup!G$1,B597,Lookup!H$1,H$1,Lookup!I$1)),"no attestation")</f>
        <v>no attestation</v>
      </c>
      <c r="F597" s="2" t="str">
        <f>IF(AND(NOT(ISBLANK(InfoGard!G597)),InfoGard!G597&lt;&gt;"N/A"),IF(C597="All",CONCATENATE(Lookup!F$2,D597,Lookup!G$2,B597,Lookup!H$2,H$1,Lookup!I$2),CONCATENATE(Lookup!F$3,D597,Lookup!G$3,B597,Lookup!H$3)),"no url")</f>
        <v>no url</v>
      </c>
    </row>
    <row r="598" spans="1:6" hidden="1" x14ac:dyDescent="0.25">
      <c r="A598" s="2" t="b">
        <f>IF(ISBLANK(InfoGard!D598),FALSE,LOOKUP(InfoGard!D598,Lookup!$A$2:$B$4))</f>
        <v>0</v>
      </c>
      <c r="B598" s="2" t="b">
        <f>IF(ISBLANK(InfoGard!E598),FALSE,RIGHT(TRIM(InfoGard!E598),15))</f>
        <v>0</v>
      </c>
      <c r="C598" s="2" t="b">
        <f>IF(ISBLANK(InfoGard!F598),FALSE,LOOKUP(InfoGard!F598,Lookup!$A$6:$B$7))</f>
        <v>0</v>
      </c>
      <c r="D598" s="2" t="b">
        <f>IF(ISBLANK(InfoGard!G598),FALSE,InfoGard!G598)</f>
        <v>0</v>
      </c>
      <c r="E598" s="2" t="str">
        <f>IF(NOT(ISBLANK(InfoGard!D598)),IF(OR(ISBLANK(InfoGard!E598),InfoGard!E598="N/A"),"no acb code",CONCATENATE(Lookup!F$1,A598,Lookup!G$1,B598,Lookup!H$1,H$1,Lookup!I$1)),"no attestation")</f>
        <v>no attestation</v>
      </c>
      <c r="F598" s="2" t="str">
        <f>IF(AND(NOT(ISBLANK(InfoGard!G598)),InfoGard!G598&lt;&gt;"N/A"),IF(C598="All",CONCATENATE(Lookup!F$2,D598,Lookup!G$2,B598,Lookup!H$2,H$1,Lookup!I$2),CONCATENATE(Lookup!F$3,D598,Lookup!G$3,B598,Lookup!H$3)),"no url")</f>
        <v>no url</v>
      </c>
    </row>
    <row r="599" spans="1:6" hidden="1" x14ac:dyDescent="0.25">
      <c r="A599" s="2" t="b">
        <f>IF(ISBLANK(InfoGard!D599),FALSE,LOOKUP(InfoGard!D599,Lookup!$A$2:$B$4))</f>
        <v>0</v>
      </c>
      <c r="B599" s="2" t="b">
        <f>IF(ISBLANK(InfoGard!E599),FALSE,RIGHT(TRIM(InfoGard!E599),15))</f>
        <v>0</v>
      </c>
      <c r="C599" s="2" t="b">
        <f>IF(ISBLANK(InfoGard!F599),FALSE,LOOKUP(InfoGard!F599,Lookup!$A$6:$B$7))</f>
        <v>0</v>
      </c>
      <c r="D599" s="2" t="b">
        <f>IF(ISBLANK(InfoGard!G599),FALSE,InfoGard!G599)</f>
        <v>0</v>
      </c>
      <c r="E599" s="2" t="str">
        <f>IF(NOT(ISBLANK(InfoGard!D599)),IF(OR(ISBLANK(InfoGard!E599),InfoGard!E599="N/A"),"no acb code",CONCATENATE(Lookup!F$1,A599,Lookup!G$1,B599,Lookup!H$1,H$1,Lookup!I$1)),"no attestation")</f>
        <v>no attestation</v>
      </c>
      <c r="F599" s="2" t="str">
        <f>IF(AND(NOT(ISBLANK(InfoGard!G599)),InfoGard!G599&lt;&gt;"N/A"),IF(C599="All",CONCATENATE(Lookup!F$2,D599,Lookup!G$2,B599,Lookup!H$2,H$1,Lookup!I$2),CONCATENATE(Lookup!F$3,D599,Lookup!G$3,B599,Lookup!H$3)),"no url")</f>
        <v>no url</v>
      </c>
    </row>
    <row r="600" spans="1:6" hidden="1" x14ac:dyDescent="0.25">
      <c r="A600" s="2" t="b">
        <f>IF(ISBLANK(InfoGard!D600),FALSE,LOOKUP(InfoGard!D600,Lookup!$A$2:$B$4))</f>
        <v>0</v>
      </c>
      <c r="B600" s="2" t="b">
        <f>IF(ISBLANK(InfoGard!E600),FALSE,RIGHT(TRIM(InfoGard!E600),15))</f>
        <v>0</v>
      </c>
      <c r="C600" s="2" t="b">
        <f>IF(ISBLANK(InfoGard!F600),FALSE,LOOKUP(InfoGard!F600,Lookup!$A$6:$B$7))</f>
        <v>0</v>
      </c>
      <c r="D600" s="2" t="b">
        <f>IF(ISBLANK(InfoGard!G600),FALSE,InfoGard!G600)</f>
        <v>0</v>
      </c>
      <c r="E600" s="2" t="str">
        <f>IF(NOT(ISBLANK(InfoGard!D600)),IF(OR(ISBLANK(InfoGard!E600),InfoGard!E600="N/A"),"no acb code",CONCATENATE(Lookup!F$1,A600,Lookup!G$1,B600,Lookup!H$1,H$1,Lookup!I$1)),"no attestation")</f>
        <v>no attestation</v>
      </c>
      <c r="F600" s="2" t="str">
        <f>IF(AND(NOT(ISBLANK(InfoGard!G600)),InfoGard!G600&lt;&gt;"N/A"),IF(C600="All",CONCATENATE(Lookup!F$2,D600,Lookup!G$2,B600,Lookup!H$2,H$1,Lookup!I$2),CONCATENATE(Lookup!F$3,D600,Lookup!G$3,B600,Lookup!H$3)),"no url")</f>
        <v>no url</v>
      </c>
    </row>
    <row r="601" spans="1:6" hidden="1" x14ac:dyDescent="0.25">
      <c r="A601" s="2" t="b">
        <f>IF(ISBLANK(InfoGard!D601),FALSE,LOOKUP(InfoGard!D601,Lookup!$A$2:$B$4))</f>
        <v>0</v>
      </c>
      <c r="B601" s="2" t="b">
        <f>IF(ISBLANK(InfoGard!E601),FALSE,RIGHT(TRIM(InfoGard!E601),15))</f>
        <v>0</v>
      </c>
      <c r="C601" s="2" t="b">
        <f>IF(ISBLANK(InfoGard!F601),FALSE,LOOKUP(InfoGard!F601,Lookup!$A$6:$B$7))</f>
        <v>0</v>
      </c>
      <c r="D601" s="2" t="b">
        <f>IF(ISBLANK(InfoGard!G601),FALSE,InfoGard!G601)</f>
        <v>0</v>
      </c>
      <c r="E601" s="2" t="str">
        <f>IF(NOT(ISBLANK(InfoGard!D601)),IF(OR(ISBLANK(InfoGard!E601),InfoGard!E601="N/A"),"no acb code",CONCATENATE(Lookup!F$1,A601,Lookup!G$1,B601,Lookup!H$1,H$1,Lookup!I$1)),"no attestation")</f>
        <v>no attestation</v>
      </c>
      <c r="F601" s="2" t="str">
        <f>IF(AND(NOT(ISBLANK(InfoGard!G601)),InfoGard!G601&lt;&gt;"N/A"),IF(C601="All",CONCATENATE(Lookup!F$2,D601,Lookup!G$2,B601,Lookup!H$2,H$1,Lookup!I$2),CONCATENATE(Lookup!F$3,D601,Lookup!G$3,B601,Lookup!H$3)),"no url")</f>
        <v>no url</v>
      </c>
    </row>
    <row r="602" spans="1:6" hidden="1" x14ac:dyDescent="0.25">
      <c r="A602" s="2" t="b">
        <f>IF(ISBLANK(InfoGard!D602),FALSE,LOOKUP(InfoGard!D602,Lookup!$A$2:$B$4))</f>
        <v>0</v>
      </c>
      <c r="B602" s="2" t="b">
        <f>IF(ISBLANK(InfoGard!E602),FALSE,RIGHT(TRIM(InfoGard!E602),15))</f>
        <v>0</v>
      </c>
      <c r="C602" s="2" t="b">
        <f>IF(ISBLANK(InfoGard!F602),FALSE,LOOKUP(InfoGard!F602,Lookup!$A$6:$B$7))</f>
        <v>0</v>
      </c>
      <c r="D602" s="2" t="b">
        <f>IF(ISBLANK(InfoGard!G602),FALSE,InfoGard!G602)</f>
        <v>0</v>
      </c>
      <c r="E602" s="2" t="str">
        <f>IF(NOT(ISBLANK(InfoGard!D602)),IF(OR(ISBLANK(InfoGard!E602),InfoGard!E602="N/A"),"no acb code",CONCATENATE(Lookup!F$1,A602,Lookup!G$1,B602,Lookup!H$1,H$1,Lookup!I$1)),"no attestation")</f>
        <v>no attestation</v>
      </c>
      <c r="F602" s="2" t="str">
        <f>IF(AND(NOT(ISBLANK(InfoGard!G602)),InfoGard!G602&lt;&gt;"N/A"),IF(C602="All",CONCATENATE(Lookup!F$2,D602,Lookup!G$2,B602,Lookup!H$2,H$1,Lookup!I$2),CONCATENATE(Lookup!F$3,D602,Lookup!G$3,B602,Lookup!H$3)),"no url")</f>
        <v>no url</v>
      </c>
    </row>
    <row r="603" spans="1:6" hidden="1" x14ac:dyDescent="0.25">
      <c r="A603" s="2" t="b">
        <f>IF(ISBLANK(InfoGard!D603),FALSE,LOOKUP(InfoGard!D603,Lookup!$A$2:$B$4))</f>
        <v>0</v>
      </c>
      <c r="B603" s="2" t="b">
        <f>IF(ISBLANK(InfoGard!E603),FALSE,RIGHT(TRIM(InfoGard!E603),15))</f>
        <v>0</v>
      </c>
      <c r="C603" s="2" t="b">
        <f>IF(ISBLANK(InfoGard!F603),FALSE,LOOKUP(InfoGard!F603,Lookup!$A$6:$B$7))</f>
        <v>0</v>
      </c>
      <c r="D603" s="2" t="b">
        <f>IF(ISBLANK(InfoGard!G603),FALSE,InfoGard!G603)</f>
        <v>0</v>
      </c>
      <c r="E603" s="2" t="str">
        <f>IF(NOT(ISBLANK(InfoGard!D603)),IF(OR(ISBLANK(InfoGard!E603),InfoGard!E603="N/A"),"no acb code",CONCATENATE(Lookup!F$1,A603,Lookup!G$1,B603,Lookup!H$1,H$1,Lookup!I$1)),"no attestation")</f>
        <v>no attestation</v>
      </c>
      <c r="F603" s="2" t="str">
        <f>IF(AND(NOT(ISBLANK(InfoGard!G603)),InfoGard!G603&lt;&gt;"N/A"),IF(C603="All",CONCATENATE(Lookup!F$2,D603,Lookup!G$2,B603,Lookup!H$2,H$1,Lookup!I$2),CONCATENATE(Lookup!F$3,D603,Lookup!G$3,B603,Lookup!H$3)),"no url")</f>
        <v>no url</v>
      </c>
    </row>
    <row r="604" spans="1:6" hidden="1" x14ac:dyDescent="0.25">
      <c r="A604" s="2" t="b">
        <f>IF(ISBLANK(InfoGard!D604),FALSE,LOOKUP(InfoGard!D604,Lookup!$A$2:$B$4))</f>
        <v>0</v>
      </c>
      <c r="B604" s="2" t="b">
        <f>IF(ISBLANK(InfoGard!E604),FALSE,RIGHT(TRIM(InfoGard!E604),15))</f>
        <v>0</v>
      </c>
      <c r="C604" s="2" t="b">
        <f>IF(ISBLANK(InfoGard!F604),FALSE,LOOKUP(InfoGard!F604,Lookup!$A$6:$B$7))</f>
        <v>0</v>
      </c>
      <c r="D604" s="2" t="b">
        <f>IF(ISBLANK(InfoGard!G604),FALSE,InfoGard!G604)</f>
        <v>0</v>
      </c>
      <c r="E604" s="2" t="str">
        <f>IF(NOT(ISBLANK(InfoGard!D604)),IF(OR(ISBLANK(InfoGard!E604),InfoGard!E604="N/A"),"no acb code",CONCATENATE(Lookup!F$1,A604,Lookup!G$1,B604,Lookup!H$1,H$1,Lookup!I$1)),"no attestation")</f>
        <v>no attestation</v>
      </c>
      <c r="F604" s="2" t="str">
        <f>IF(AND(NOT(ISBLANK(InfoGard!G604)),InfoGard!G604&lt;&gt;"N/A"),IF(C604="All",CONCATENATE(Lookup!F$2,D604,Lookup!G$2,B604,Lookup!H$2,H$1,Lookup!I$2),CONCATENATE(Lookup!F$3,D604,Lookup!G$3,B604,Lookup!H$3)),"no url")</f>
        <v>no url</v>
      </c>
    </row>
    <row r="605" spans="1:6" hidden="1" x14ac:dyDescent="0.25">
      <c r="A605" s="2" t="b">
        <f>IF(ISBLANK(InfoGard!D605),FALSE,LOOKUP(InfoGard!D605,Lookup!$A$2:$B$4))</f>
        <v>0</v>
      </c>
      <c r="B605" s="2" t="b">
        <f>IF(ISBLANK(InfoGard!E605),FALSE,RIGHT(TRIM(InfoGard!E605),15))</f>
        <v>0</v>
      </c>
      <c r="C605" s="2" t="b">
        <f>IF(ISBLANK(InfoGard!F605),FALSE,LOOKUP(InfoGard!F605,Lookup!$A$6:$B$7))</f>
        <v>0</v>
      </c>
      <c r="D605" s="2" t="b">
        <f>IF(ISBLANK(InfoGard!G605),FALSE,InfoGard!G605)</f>
        <v>0</v>
      </c>
      <c r="E605" s="2" t="str">
        <f>IF(NOT(ISBLANK(InfoGard!D605)),IF(OR(ISBLANK(InfoGard!E605),InfoGard!E605="N/A"),"no acb code",CONCATENATE(Lookup!F$1,A605,Lookup!G$1,B605,Lookup!H$1,H$1,Lookup!I$1)),"no attestation")</f>
        <v>no attestation</v>
      </c>
      <c r="F605" s="2" t="str">
        <f>IF(AND(NOT(ISBLANK(InfoGard!G605)),InfoGard!G605&lt;&gt;"N/A"),IF(C605="All",CONCATENATE(Lookup!F$2,D605,Lookup!G$2,B605,Lookup!H$2,H$1,Lookup!I$2),CONCATENATE(Lookup!F$3,D605,Lookup!G$3,B605,Lookup!H$3)),"no url")</f>
        <v>no url</v>
      </c>
    </row>
    <row r="606" spans="1:6" hidden="1" x14ac:dyDescent="0.25">
      <c r="A606" s="2" t="b">
        <f>IF(ISBLANK(InfoGard!D606),FALSE,LOOKUP(InfoGard!D606,Lookup!$A$2:$B$4))</f>
        <v>0</v>
      </c>
      <c r="B606" s="2" t="b">
        <f>IF(ISBLANK(InfoGard!E606),FALSE,RIGHT(TRIM(InfoGard!E606),15))</f>
        <v>0</v>
      </c>
      <c r="C606" s="2" t="b">
        <f>IF(ISBLANK(InfoGard!F606),FALSE,LOOKUP(InfoGard!F606,Lookup!$A$6:$B$7))</f>
        <v>0</v>
      </c>
      <c r="D606" s="2" t="b">
        <f>IF(ISBLANK(InfoGard!G606),FALSE,InfoGard!G606)</f>
        <v>0</v>
      </c>
      <c r="E606" s="2" t="str">
        <f>IF(NOT(ISBLANK(InfoGard!D606)),IF(OR(ISBLANK(InfoGard!E606),InfoGard!E606="N/A"),"no acb code",CONCATENATE(Lookup!F$1,A606,Lookup!G$1,B606,Lookup!H$1,H$1,Lookup!I$1)),"no attestation")</f>
        <v>no attestation</v>
      </c>
      <c r="F606" s="2" t="str">
        <f>IF(AND(NOT(ISBLANK(InfoGard!G606)),InfoGard!G606&lt;&gt;"N/A"),IF(C606="All",CONCATENATE(Lookup!F$2,D606,Lookup!G$2,B606,Lookup!H$2,H$1,Lookup!I$2),CONCATENATE(Lookup!F$3,D606,Lookup!G$3,B606,Lookup!H$3)),"no url")</f>
        <v>no url</v>
      </c>
    </row>
    <row r="607" spans="1:6" hidden="1" x14ac:dyDescent="0.25">
      <c r="A607" s="2" t="b">
        <f>IF(ISBLANK(InfoGard!D607),FALSE,LOOKUP(InfoGard!D607,Lookup!$A$2:$B$4))</f>
        <v>0</v>
      </c>
      <c r="B607" s="2" t="b">
        <f>IF(ISBLANK(InfoGard!E607),FALSE,RIGHT(TRIM(InfoGard!E607),15))</f>
        <v>0</v>
      </c>
      <c r="C607" s="2" t="b">
        <f>IF(ISBLANK(InfoGard!F607),FALSE,LOOKUP(InfoGard!F607,Lookup!$A$6:$B$7))</f>
        <v>0</v>
      </c>
      <c r="D607" s="2" t="b">
        <f>IF(ISBLANK(InfoGard!G607),FALSE,InfoGard!G607)</f>
        <v>0</v>
      </c>
      <c r="E607" s="2" t="str">
        <f>IF(NOT(ISBLANK(InfoGard!D607)),IF(OR(ISBLANK(InfoGard!E607),InfoGard!E607="N/A"),"no acb code",CONCATENATE(Lookup!F$1,A607,Lookup!G$1,B607,Lookup!H$1,H$1,Lookup!I$1)),"no attestation")</f>
        <v>no attestation</v>
      </c>
      <c r="F607" s="2" t="str">
        <f>IF(AND(NOT(ISBLANK(InfoGard!G607)),InfoGard!G607&lt;&gt;"N/A"),IF(C607="All",CONCATENATE(Lookup!F$2,D607,Lookup!G$2,B607,Lookup!H$2,H$1,Lookup!I$2),CONCATENATE(Lookup!F$3,D607,Lookup!G$3,B607,Lookup!H$3)),"no url")</f>
        <v>no url</v>
      </c>
    </row>
    <row r="608" spans="1:6" hidden="1" x14ac:dyDescent="0.25">
      <c r="A608" s="2" t="b">
        <f>IF(ISBLANK(InfoGard!D608),FALSE,LOOKUP(InfoGard!D608,Lookup!$A$2:$B$4))</f>
        <v>0</v>
      </c>
      <c r="B608" s="2" t="b">
        <f>IF(ISBLANK(InfoGard!E608),FALSE,RIGHT(TRIM(InfoGard!E608),15))</f>
        <v>0</v>
      </c>
      <c r="C608" s="2" t="b">
        <f>IF(ISBLANK(InfoGard!F608),FALSE,LOOKUP(InfoGard!F608,Lookup!$A$6:$B$7))</f>
        <v>0</v>
      </c>
      <c r="D608" s="2" t="b">
        <f>IF(ISBLANK(InfoGard!G608),FALSE,InfoGard!G608)</f>
        <v>0</v>
      </c>
      <c r="E608" s="2" t="str">
        <f>IF(NOT(ISBLANK(InfoGard!D608)),IF(OR(ISBLANK(InfoGard!E608),InfoGard!E608="N/A"),"no acb code",CONCATENATE(Lookup!F$1,A608,Lookup!G$1,B608,Lookup!H$1,H$1,Lookup!I$1)),"no attestation")</f>
        <v>no attestation</v>
      </c>
      <c r="F608" s="2" t="str">
        <f>IF(AND(NOT(ISBLANK(InfoGard!G608)),InfoGard!G608&lt;&gt;"N/A"),IF(C608="All",CONCATENATE(Lookup!F$2,D608,Lookup!G$2,B608,Lookup!H$2,H$1,Lookup!I$2),CONCATENATE(Lookup!F$3,D608,Lookup!G$3,B608,Lookup!H$3)),"no url")</f>
        <v>no url</v>
      </c>
    </row>
    <row r="609" spans="1:6" hidden="1" x14ac:dyDescent="0.25">
      <c r="A609" s="2" t="b">
        <f>IF(ISBLANK(InfoGard!D609),FALSE,LOOKUP(InfoGard!D609,Lookup!$A$2:$B$4))</f>
        <v>0</v>
      </c>
      <c r="B609" s="2" t="b">
        <f>IF(ISBLANK(InfoGard!E609),FALSE,RIGHT(TRIM(InfoGard!E609),15))</f>
        <v>0</v>
      </c>
      <c r="C609" s="2" t="b">
        <f>IF(ISBLANK(InfoGard!F609),FALSE,LOOKUP(InfoGard!F609,Lookup!$A$6:$B$7))</f>
        <v>0</v>
      </c>
      <c r="D609" s="2" t="b">
        <f>IF(ISBLANK(InfoGard!G609),FALSE,InfoGard!G609)</f>
        <v>0</v>
      </c>
      <c r="E609" s="2" t="str">
        <f>IF(NOT(ISBLANK(InfoGard!D609)),IF(OR(ISBLANK(InfoGard!E609),InfoGard!E609="N/A"),"no acb code",CONCATENATE(Lookup!F$1,A609,Lookup!G$1,B609,Lookup!H$1,H$1,Lookup!I$1)),"no attestation")</f>
        <v>no attestation</v>
      </c>
      <c r="F609" s="2" t="str">
        <f>IF(AND(NOT(ISBLANK(InfoGard!G609)),InfoGard!G609&lt;&gt;"N/A"),IF(C609="All",CONCATENATE(Lookup!F$2,D609,Lookup!G$2,B609,Lookup!H$2,H$1,Lookup!I$2),CONCATENATE(Lookup!F$3,D609,Lookup!G$3,B609,Lookup!H$3)),"no url")</f>
        <v>no url</v>
      </c>
    </row>
    <row r="610" spans="1:6" hidden="1" x14ac:dyDescent="0.25">
      <c r="A610" s="2" t="b">
        <f>IF(ISBLANK(InfoGard!D610),FALSE,LOOKUP(InfoGard!D610,Lookup!$A$2:$B$4))</f>
        <v>0</v>
      </c>
      <c r="B610" s="2" t="b">
        <f>IF(ISBLANK(InfoGard!E610),FALSE,RIGHT(TRIM(InfoGard!E610),15))</f>
        <v>0</v>
      </c>
      <c r="C610" s="2" t="b">
        <f>IF(ISBLANK(InfoGard!F610),FALSE,LOOKUP(InfoGard!F610,Lookup!$A$6:$B$7))</f>
        <v>0</v>
      </c>
      <c r="D610" s="2" t="b">
        <f>IF(ISBLANK(InfoGard!G610),FALSE,InfoGard!G610)</f>
        <v>0</v>
      </c>
      <c r="E610" s="2" t="str">
        <f>IF(NOT(ISBLANK(InfoGard!D610)),IF(OR(ISBLANK(InfoGard!E610),InfoGard!E610="N/A"),"no acb code",CONCATENATE(Lookup!F$1,A610,Lookup!G$1,B610,Lookup!H$1,H$1,Lookup!I$1)),"no attestation")</f>
        <v>no attestation</v>
      </c>
      <c r="F610" s="2" t="str">
        <f>IF(AND(NOT(ISBLANK(InfoGard!G610)),InfoGard!G610&lt;&gt;"N/A"),IF(C610="All",CONCATENATE(Lookup!F$2,D610,Lookup!G$2,B610,Lookup!H$2,H$1,Lookup!I$2),CONCATENATE(Lookup!F$3,D610,Lookup!G$3,B610,Lookup!H$3)),"no url")</f>
        <v>no url</v>
      </c>
    </row>
    <row r="611" spans="1:6" hidden="1" x14ac:dyDescent="0.25">
      <c r="A611" s="2" t="b">
        <f>IF(ISBLANK(InfoGard!D611),FALSE,LOOKUP(InfoGard!D611,Lookup!$A$2:$B$4))</f>
        <v>0</v>
      </c>
      <c r="B611" s="2" t="b">
        <f>IF(ISBLANK(InfoGard!E611),FALSE,RIGHT(TRIM(InfoGard!E611),15))</f>
        <v>0</v>
      </c>
      <c r="C611" s="2" t="b">
        <f>IF(ISBLANK(InfoGard!F611),FALSE,LOOKUP(InfoGard!F611,Lookup!$A$6:$B$7))</f>
        <v>0</v>
      </c>
      <c r="D611" s="2" t="b">
        <f>IF(ISBLANK(InfoGard!G611),FALSE,InfoGard!G611)</f>
        <v>0</v>
      </c>
      <c r="E611" s="2" t="str">
        <f>IF(NOT(ISBLANK(InfoGard!D611)),IF(OR(ISBLANK(InfoGard!E611),InfoGard!E611="N/A"),"no acb code",CONCATENATE(Lookup!F$1,A611,Lookup!G$1,B611,Lookup!H$1,H$1,Lookup!I$1)),"no attestation")</f>
        <v>no attestation</v>
      </c>
      <c r="F611" s="2" t="str">
        <f>IF(AND(NOT(ISBLANK(InfoGard!G611)),InfoGard!G611&lt;&gt;"N/A"),IF(C611="All",CONCATENATE(Lookup!F$2,D611,Lookup!G$2,B611,Lookup!H$2,H$1,Lookup!I$2),CONCATENATE(Lookup!F$3,D611,Lookup!G$3,B611,Lookup!H$3)),"no url")</f>
        <v>no url</v>
      </c>
    </row>
    <row r="612" spans="1:6" hidden="1" x14ac:dyDescent="0.25">
      <c r="A612" s="2" t="b">
        <f>IF(ISBLANK(InfoGard!D612),FALSE,LOOKUP(InfoGard!D612,Lookup!$A$2:$B$4))</f>
        <v>0</v>
      </c>
      <c r="B612" s="2" t="b">
        <f>IF(ISBLANK(InfoGard!E612),FALSE,RIGHT(TRIM(InfoGard!E612),15))</f>
        <v>0</v>
      </c>
      <c r="C612" s="2" t="b">
        <f>IF(ISBLANK(InfoGard!F612),FALSE,LOOKUP(InfoGard!F612,Lookup!$A$6:$B$7))</f>
        <v>0</v>
      </c>
      <c r="D612" s="2" t="b">
        <f>IF(ISBLANK(InfoGard!G612),FALSE,InfoGard!G612)</f>
        <v>0</v>
      </c>
      <c r="E612" s="2" t="str">
        <f>IF(NOT(ISBLANK(InfoGard!D612)),IF(OR(ISBLANK(InfoGard!E612),InfoGard!E612="N/A"),"no acb code",CONCATENATE(Lookup!F$1,A612,Lookup!G$1,B612,Lookup!H$1,H$1,Lookup!I$1)),"no attestation")</f>
        <v>no attestation</v>
      </c>
      <c r="F612" s="2" t="str">
        <f>IF(AND(NOT(ISBLANK(InfoGard!G612)),InfoGard!G612&lt;&gt;"N/A"),IF(C612="All",CONCATENATE(Lookup!F$2,D612,Lookup!G$2,B612,Lookup!H$2,H$1,Lookup!I$2),CONCATENATE(Lookup!F$3,D612,Lookup!G$3,B612,Lookup!H$3)),"no url")</f>
        <v>no url</v>
      </c>
    </row>
    <row r="613" spans="1:6" hidden="1" x14ac:dyDescent="0.25">
      <c r="A613" s="2" t="b">
        <f>IF(ISBLANK(InfoGard!D613),FALSE,LOOKUP(InfoGard!D613,Lookup!$A$2:$B$4))</f>
        <v>0</v>
      </c>
      <c r="B613" s="2" t="b">
        <f>IF(ISBLANK(InfoGard!E613),FALSE,RIGHT(TRIM(InfoGard!E613),15))</f>
        <v>0</v>
      </c>
      <c r="C613" s="2" t="b">
        <f>IF(ISBLANK(InfoGard!F613),FALSE,LOOKUP(InfoGard!F613,Lookup!$A$6:$B$7))</f>
        <v>0</v>
      </c>
      <c r="D613" s="2" t="b">
        <f>IF(ISBLANK(InfoGard!G613),FALSE,InfoGard!G613)</f>
        <v>0</v>
      </c>
      <c r="E613" s="2" t="str">
        <f>IF(NOT(ISBLANK(InfoGard!D613)),IF(OR(ISBLANK(InfoGard!E613),InfoGard!E613="N/A"),"no acb code",CONCATENATE(Lookup!F$1,A613,Lookup!G$1,B613,Lookup!H$1,H$1,Lookup!I$1)),"no attestation")</f>
        <v>no attestation</v>
      </c>
      <c r="F613" s="2" t="str">
        <f>IF(AND(NOT(ISBLANK(InfoGard!G613)),InfoGard!G613&lt;&gt;"N/A"),IF(C613="All",CONCATENATE(Lookup!F$2,D613,Lookup!G$2,B613,Lookup!H$2,H$1,Lookup!I$2),CONCATENATE(Lookup!F$3,D613,Lookup!G$3,B613,Lookup!H$3)),"no url")</f>
        <v>no url</v>
      </c>
    </row>
    <row r="614" spans="1:6" hidden="1" x14ac:dyDescent="0.25">
      <c r="A614" s="2" t="b">
        <f>IF(ISBLANK(InfoGard!D614),FALSE,LOOKUP(InfoGard!D614,Lookup!$A$2:$B$4))</f>
        <v>0</v>
      </c>
      <c r="B614" s="2" t="b">
        <f>IF(ISBLANK(InfoGard!E614),FALSE,RIGHT(TRIM(InfoGard!E614),15))</f>
        <v>0</v>
      </c>
      <c r="C614" s="2" t="b">
        <f>IF(ISBLANK(InfoGard!F614),FALSE,LOOKUP(InfoGard!F614,Lookup!$A$6:$B$7))</f>
        <v>0</v>
      </c>
      <c r="D614" s="2" t="b">
        <f>IF(ISBLANK(InfoGard!G614),FALSE,InfoGard!G614)</f>
        <v>0</v>
      </c>
      <c r="E614" s="2" t="str">
        <f>IF(NOT(ISBLANK(InfoGard!D614)),IF(OR(ISBLANK(InfoGard!E614),InfoGard!E614="N/A"),"no acb code",CONCATENATE(Lookup!F$1,A614,Lookup!G$1,B614,Lookup!H$1,H$1,Lookup!I$1)),"no attestation")</f>
        <v>no attestation</v>
      </c>
      <c r="F614" s="2" t="str">
        <f>IF(AND(NOT(ISBLANK(InfoGard!G614)),InfoGard!G614&lt;&gt;"N/A"),IF(C614="All",CONCATENATE(Lookup!F$2,D614,Lookup!G$2,B614,Lookup!H$2,H$1,Lookup!I$2),CONCATENATE(Lookup!F$3,D614,Lookup!G$3,B614,Lookup!H$3)),"no url")</f>
        <v>no url</v>
      </c>
    </row>
    <row r="615" spans="1:6" hidden="1" x14ac:dyDescent="0.25">
      <c r="A615" s="2" t="b">
        <f>IF(ISBLANK(InfoGard!D615),FALSE,LOOKUP(InfoGard!D615,Lookup!$A$2:$B$4))</f>
        <v>0</v>
      </c>
      <c r="B615" s="2" t="b">
        <f>IF(ISBLANK(InfoGard!E615),FALSE,RIGHT(TRIM(InfoGard!E615),15))</f>
        <v>0</v>
      </c>
      <c r="C615" s="2" t="b">
        <f>IF(ISBLANK(InfoGard!F615),FALSE,LOOKUP(InfoGard!F615,Lookup!$A$6:$B$7))</f>
        <v>0</v>
      </c>
      <c r="D615" s="2" t="b">
        <f>IF(ISBLANK(InfoGard!G615),FALSE,InfoGard!G615)</f>
        <v>0</v>
      </c>
      <c r="E615" s="2" t="str">
        <f>IF(NOT(ISBLANK(InfoGard!D615)),IF(OR(ISBLANK(InfoGard!E615),InfoGard!E615="N/A"),"no acb code",CONCATENATE(Lookup!F$1,A615,Lookup!G$1,B615,Lookup!H$1,H$1,Lookup!I$1)),"no attestation")</f>
        <v>no attestation</v>
      </c>
      <c r="F615" s="2" t="str">
        <f>IF(AND(NOT(ISBLANK(InfoGard!G615)),InfoGard!G615&lt;&gt;"N/A"),IF(C615="All",CONCATENATE(Lookup!F$2,D615,Lookup!G$2,B615,Lookup!H$2,H$1,Lookup!I$2),CONCATENATE(Lookup!F$3,D615,Lookup!G$3,B615,Lookup!H$3)),"no url")</f>
        <v>no url</v>
      </c>
    </row>
    <row r="616" spans="1:6" hidden="1" x14ac:dyDescent="0.25">
      <c r="A616" s="2" t="b">
        <f>IF(ISBLANK(InfoGard!D616),FALSE,LOOKUP(InfoGard!D616,Lookup!$A$2:$B$4))</f>
        <v>0</v>
      </c>
      <c r="B616" s="2" t="b">
        <f>IF(ISBLANK(InfoGard!E616),FALSE,RIGHT(TRIM(InfoGard!E616),15))</f>
        <v>0</v>
      </c>
      <c r="C616" s="2" t="b">
        <f>IF(ISBLANK(InfoGard!F616),FALSE,LOOKUP(InfoGard!F616,Lookup!$A$6:$B$7))</f>
        <v>0</v>
      </c>
      <c r="D616" s="2" t="b">
        <f>IF(ISBLANK(InfoGard!G616),FALSE,InfoGard!G616)</f>
        <v>0</v>
      </c>
      <c r="E616" s="2" t="str">
        <f>IF(NOT(ISBLANK(InfoGard!D616)),IF(OR(ISBLANK(InfoGard!E616),InfoGard!E616="N/A"),"no acb code",CONCATENATE(Lookup!F$1,A616,Lookup!G$1,B616,Lookup!H$1,H$1,Lookup!I$1)),"no attestation")</f>
        <v>no attestation</v>
      </c>
      <c r="F616" s="2" t="str">
        <f>IF(AND(NOT(ISBLANK(InfoGard!G616)),InfoGard!G616&lt;&gt;"N/A"),IF(C616="All",CONCATENATE(Lookup!F$2,D616,Lookup!G$2,B616,Lookup!H$2,H$1,Lookup!I$2),CONCATENATE(Lookup!F$3,D616,Lookup!G$3,B616,Lookup!H$3)),"no url")</f>
        <v>no url</v>
      </c>
    </row>
    <row r="617" spans="1:6" hidden="1" x14ac:dyDescent="0.25">
      <c r="A617" s="2" t="b">
        <f>IF(ISBLANK(InfoGard!D617),FALSE,LOOKUP(InfoGard!D617,Lookup!$A$2:$B$4))</f>
        <v>0</v>
      </c>
      <c r="B617" s="2" t="b">
        <f>IF(ISBLANK(InfoGard!E617),FALSE,RIGHT(TRIM(InfoGard!E617),15))</f>
        <v>0</v>
      </c>
      <c r="C617" s="2" t="b">
        <f>IF(ISBLANK(InfoGard!F617),FALSE,LOOKUP(InfoGard!F617,Lookup!$A$6:$B$7))</f>
        <v>0</v>
      </c>
      <c r="D617" s="2" t="b">
        <f>IF(ISBLANK(InfoGard!G617),FALSE,InfoGard!G617)</f>
        <v>0</v>
      </c>
      <c r="E617" s="2" t="str">
        <f>IF(NOT(ISBLANK(InfoGard!D617)),IF(OR(ISBLANK(InfoGard!E617),InfoGard!E617="N/A"),"no acb code",CONCATENATE(Lookup!F$1,A617,Lookup!G$1,B617,Lookup!H$1,H$1,Lookup!I$1)),"no attestation")</f>
        <v>no attestation</v>
      </c>
      <c r="F617" s="2" t="str">
        <f>IF(AND(NOT(ISBLANK(InfoGard!G617)),InfoGard!G617&lt;&gt;"N/A"),IF(C617="All",CONCATENATE(Lookup!F$2,D617,Lookup!G$2,B617,Lookup!H$2,H$1,Lookup!I$2),CONCATENATE(Lookup!F$3,D617,Lookup!G$3,B617,Lookup!H$3)),"no url")</f>
        <v>no url</v>
      </c>
    </row>
    <row r="618" spans="1:6" hidden="1" x14ac:dyDescent="0.25">
      <c r="A618" s="2" t="b">
        <f>IF(ISBLANK(InfoGard!D618),FALSE,LOOKUP(InfoGard!D618,Lookup!$A$2:$B$4))</f>
        <v>0</v>
      </c>
      <c r="B618" s="2" t="b">
        <f>IF(ISBLANK(InfoGard!E618),FALSE,RIGHT(TRIM(InfoGard!E618),15))</f>
        <v>0</v>
      </c>
      <c r="C618" s="2" t="b">
        <f>IF(ISBLANK(InfoGard!F618),FALSE,LOOKUP(InfoGard!F618,Lookup!$A$6:$B$7))</f>
        <v>0</v>
      </c>
      <c r="D618" s="2" t="b">
        <f>IF(ISBLANK(InfoGard!G618),FALSE,InfoGard!G618)</f>
        <v>0</v>
      </c>
      <c r="E618" s="2" t="str">
        <f>IF(NOT(ISBLANK(InfoGard!D618)),IF(OR(ISBLANK(InfoGard!E618),InfoGard!E618="N/A"),"no acb code",CONCATENATE(Lookup!F$1,A618,Lookup!G$1,B618,Lookup!H$1,H$1,Lookup!I$1)),"no attestation")</f>
        <v>no attestation</v>
      </c>
      <c r="F618" s="2" t="str">
        <f>IF(AND(NOT(ISBLANK(InfoGard!G618)),InfoGard!G618&lt;&gt;"N/A"),IF(C618="All",CONCATENATE(Lookup!F$2,D618,Lookup!G$2,B618,Lookup!H$2,H$1,Lookup!I$2),CONCATENATE(Lookup!F$3,D618,Lookup!G$3,B618,Lookup!H$3)),"no url")</f>
        <v>no url</v>
      </c>
    </row>
    <row r="619" spans="1:6" hidden="1" x14ac:dyDescent="0.25">
      <c r="A619" s="2" t="b">
        <f>IF(ISBLANK(InfoGard!D619),FALSE,LOOKUP(InfoGard!D619,Lookup!$A$2:$B$4))</f>
        <v>0</v>
      </c>
      <c r="B619" s="2" t="b">
        <f>IF(ISBLANK(InfoGard!E619),FALSE,RIGHT(TRIM(InfoGard!E619),15))</f>
        <v>0</v>
      </c>
      <c r="C619" s="2" t="b">
        <f>IF(ISBLANK(InfoGard!F619),FALSE,LOOKUP(InfoGard!F619,Lookup!$A$6:$B$7))</f>
        <v>0</v>
      </c>
      <c r="D619" s="2" t="b">
        <f>IF(ISBLANK(InfoGard!G619),FALSE,InfoGard!G619)</f>
        <v>0</v>
      </c>
      <c r="E619" s="2" t="str">
        <f>IF(NOT(ISBLANK(InfoGard!D619)),IF(OR(ISBLANK(InfoGard!E619),InfoGard!E619="N/A"),"no acb code",CONCATENATE(Lookup!F$1,A619,Lookup!G$1,B619,Lookup!H$1,H$1,Lookup!I$1)),"no attestation")</f>
        <v>no attestation</v>
      </c>
      <c r="F619" s="2" t="str">
        <f>IF(AND(NOT(ISBLANK(InfoGard!G619)),InfoGard!G619&lt;&gt;"N/A"),IF(C619="All",CONCATENATE(Lookup!F$2,D619,Lookup!G$2,B619,Lookup!H$2,H$1,Lookup!I$2),CONCATENATE(Lookup!F$3,D619,Lookup!G$3,B619,Lookup!H$3)),"no url")</f>
        <v>no url</v>
      </c>
    </row>
    <row r="620" spans="1:6" hidden="1" x14ac:dyDescent="0.25">
      <c r="A620" s="2" t="b">
        <f>IF(ISBLANK(InfoGard!D620),FALSE,LOOKUP(InfoGard!D620,Lookup!$A$2:$B$4))</f>
        <v>0</v>
      </c>
      <c r="B620" s="2" t="b">
        <f>IF(ISBLANK(InfoGard!E620),FALSE,RIGHT(TRIM(InfoGard!E620),15))</f>
        <v>0</v>
      </c>
      <c r="C620" s="2" t="b">
        <f>IF(ISBLANK(InfoGard!F620),FALSE,LOOKUP(InfoGard!F620,Lookup!$A$6:$B$7))</f>
        <v>0</v>
      </c>
      <c r="D620" s="2" t="b">
        <f>IF(ISBLANK(InfoGard!G620),FALSE,InfoGard!G620)</f>
        <v>0</v>
      </c>
      <c r="E620" s="2" t="str">
        <f>IF(NOT(ISBLANK(InfoGard!D620)),IF(OR(ISBLANK(InfoGard!E620),InfoGard!E620="N/A"),"no acb code",CONCATENATE(Lookup!F$1,A620,Lookup!G$1,B620,Lookup!H$1,H$1,Lookup!I$1)),"no attestation")</f>
        <v>no attestation</v>
      </c>
      <c r="F620" s="2" t="str">
        <f>IF(AND(NOT(ISBLANK(InfoGard!G620)),InfoGard!G620&lt;&gt;"N/A"),IF(C620="All",CONCATENATE(Lookup!F$2,D620,Lookup!G$2,B620,Lookup!H$2,H$1,Lookup!I$2),CONCATENATE(Lookup!F$3,D620,Lookup!G$3,B620,Lookup!H$3)),"no url")</f>
        <v>no url</v>
      </c>
    </row>
    <row r="621" spans="1:6" hidden="1" x14ac:dyDescent="0.25">
      <c r="A621" s="2" t="b">
        <f>IF(ISBLANK(InfoGard!D621),FALSE,LOOKUP(InfoGard!D621,Lookup!$A$2:$B$4))</f>
        <v>0</v>
      </c>
      <c r="B621" s="2" t="b">
        <f>IF(ISBLANK(InfoGard!E621),FALSE,RIGHT(TRIM(InfoGard!E621),15))</f>
        <v>0</v>
      </c>
      <c r="C621" s="2" t="b">
        <f>IF(ISBLANK(InfoGard!F621),FALSE,LOOKUP(InfoGard!F621,Lookup!$A$6:$B$7))</f>
        <v>0</v>
      </c>
      <c r="D621" s="2" t="b">
        <f>IF(ISBLANK(InfoGard!G621),FALSE,InfoGard!G621)</f>
        <v>0</v>
      </c>
      <c r="E621" s="2" t="str">
        <f>IF(NOT(ISBLANK(InfoGard!D621)),IF(OR(ISBLANK(InfoGard!E621),InfoGard!E621="N/A"),"no acb code",CONCATENATE(Lookup!F$1,A621,Lookup!G$1,B621,Lookup!H$1,H$1,Lookup!I$1)),"no attestation")</f>
        <v>no attestation</v>
      </c>
      <c r="F621" s="2" t="str">
        <f>IF(AND(NOT(ISBLANK(InfoGard!G621)),InfoGard!G621&lt;&gt;"N/A"),IF(C621="All",CONCATENATE(Lookup!F$2,D621,Lookup!G$2,B621,Lookup!H$2,H$1,Lookup!I$2),CONCATENATE(Lookup!F$3,D621,Lookup!G$3,B621,Lookup!H$3)),"no url")</f>
        <v>no url</v>
      </c>
    </row>
    <row r="622" spans="1:6" hidden="1" x14ac:dyDescent="0.25">
      <c r="A622" s="2" t="b">
        <f>IF(ISBLANK(InfoGard!D622),FALSE,LOOKUP(InfoGard!D622,Lookup!$A$2:$B$4))</f>
        <v>0</v>
      </c>
      <c r="B622" s="2" t="b">
        <f>IF(ISBLANK(InfoGard!E622),FALSE,RIGHT(TRIM(InfoGard!E622),15))</f>
        <v>0</v>
      </c>
      <c r="C622" s="2" t="b">
        <f>IF(ISBLANK(InfoGard!F622),FALSE,LOOKUP(InfoGard!F622,Lookup!$A$6:$B$7))</f>
        <v>0</v>
      </c>
      <c r="D622" s="2" t="b">
        <f>IF(ISBLANK(InfoGard!G622),FALSE,InfoGard!G622)</f>
        <v>0</v>
      </c>
      <c r="E622" s="2" t="str">
        <f>IF(NOT(ISBLANK(InfoGard!D622)),IF(OR(ISBLANK(InfoGard!E622),InfoGard!E622="N/A"),"no acb code",CONCATENATE(Lookup!F$1,A622,Lookup!G$1,B622,Lookup!H$1,H$1,Lookup!I$1)),"no attestation")</f>
        <v>no attestation</v>
      </c>
      <c r="F622" s="2" t="str">
        <f>IF(AND(NOT(ISBLANK(InfoGard!G622)),InfoGard!G622&lt;&gt;"N/A"),IF(C622="All",CONCATENATE(Lookup!F$2,D622,Lookup!G$2,B622,Lookup!H$2,H$1,Lookup!I$2),CONCATENATE(Lookup!F$3,D622,Lookup!G$3,B622,Lookup!H$3)),"no url")</f>
        <v>no url</v>
      </c>
    </row>
    <row r="623" spans="1:6" hidden="1" x14ac:dyDescent="0.25">
      <c r="A623" s="2" t="b">
        <f>IF(ISBLANK(InfoGard!D623),FALSE,LOOKUP(InfoGard!D623,Lookup!$A$2:$B$4))</f>
        <v>0</v>
      </c>
      <c r="B623" s="2" t="b">
        <f>IF(ISBLANK(InfoGard!E623),FALSE,RIGHT(TRIM(InfoGard!E623),15))</f>
        <v>0</v>
      </c>
      <c r="C623" s="2" t="b">
        <f>IF(ISBLANK(InfoGard!F623),FALSE,LOOKUP(InfoGard!F623,Lookup!$A$6:$B$7))</f>
        <v>0</v>
      </c>
      <c r="D623" s="2" t="b">
        <f>IF(ISBLANK(InfoGard!G623),FALSE,InfoGard!G623)</f>
        <v>0</v>
      </c>
      <c r="E623" s="2" t="str">
        <f>IF(NOT(ISBLANK(InfoGard!D623)),IF(OR(ISBLANK(InfoGard!E623),InfoGard!E623="N/A"),"no acb code",CONCATENATE(Lookup!F$1,A623,Lookup!G$1,B623,Lookup!H$1,H$1,Lookup!I$1)),"no attestation")</f>
        <v>no attestation</v>
      </c>
      <c r="F623" s="2" t="str">
        <f>IF(AND(NOT(ISBLANK(InfoGard!G623)),InfoGard!G623&lt;&gt;"N/A"),IF(C623="All",CONCATENATE(Lookup!F$2,D623,Lookup!G$2,B623,Lookup!H$2,H$1,Lookup!I$2),CONCATENATE(Lookup!F$3,D623,Lookup!G$3,B623,Lookup!H$3)),"no url")</f>
        <v>no url</v>
      </c>
    </row>
    <row r="624" spans="1:6" hidden="1" x14ac:dyDescent="0.25">
      <c r="A624" s="2" t="b">
        <f>IF(ISBLANK(InfoGard!D624),FALSE,LOOKUP(InfoGard!D624,Lookup!$A$2:$B$4))</f>
        <v>0</v>
      </c>
      <c r="B624" s="2" t="b">
        <f>IF(ISBLANK(InfoGard!E624),FALSE,RIGHT(TRIM(InfoGard!E624),15))</f>
        <v>0</v>
      </c>
      <c r="C624" s="2" t="b">
        <f>IF(ISBLANK(InfoGard!F624),FALSE,LOOKUP(InfoGard!F624,Lookup!$A$6:$B$7))</f>
        <v>0</v>
      </c>
      <c r="D624" s="2" t="b">
        <f>IF(ISBLANK(InfoGard!G624),FALSE,InfoGard!G624)</f>
        <v>0</v>
      </c>
      <c r="E624" s="2" t="str">
        <f>IF(NOT(ISBLANK(InfoGard!D624)),IF(OR(ISBLANK(InfoGard!E624),InfoGard!E624="N/A"),"no acb code",CONCATENATE(Lookup!F$1,A624,Lookup!G$1,B624,Lookup!H$1,H$1,Lookup!I$1)),"no attestation")</f>
        <v>no attestation</v>
      </c>
      <c r="F624" s="2" t="str">
        <f>IF(AND(NOT(ISBLANK(InfoGard!G624)),InfoGard!G624&lt;&gt;"N/A"),IF(C624="All",CONCATENATE(Lookup!F$2,D624,Lookup!G$2,B624,Lookup!H$2,H$1,Lookup!I$2),CONCATENATE(Lookup!F$3,D624,Lookup!G$3,B624,Lookup!H$3)),"no url")</f>
        <v>no url</v>
      </c>
    </row>
    <row r="625" spans="1:6" hidden="1" x14ac:dyDescent="0.25">
      <c r="A625" s="2" t="b">
        <f>IF(ISBLANK(InfoGard!D625),FALSE,LOOKUP(InfoGard!D625,Lookup!$A$2:$B$4))</f>
        <v>0</v>
      </c>
      <c r="B625" s="2" t="b">
        <f>IF(ISBLANK(InfoGard!E625),FALSE,RIGHT(TRIM(InfoGard!E625),15))</f>
        <v>0</v>
      </c>
      <c r="C625" s="2" t="b">
        <f>IF(ISBLANK(InfoGard!F625),FALSE,LOOKUP(InfoGard!F625,Lookup!$A$6:$B$7))</f>
        <v>0</v>
      </c>
      <c r="D625" s="2" t="b">
        <f>IF(ISBLANK(InfoGard!G625),FALSE,InfoGard!G625)</f>
        <v>0</v>
      </c>
      <c r="E625" s="2" t="str">
        <f>IF(NOT(ISBLANK(InfoGard!D625)),IF(OR(ISBLANK(InfoGard!E625),InfoGard!E625="N/A"),"no acb code",CONCATENATE(Lookup!F$1,A625,Lookup!G$1,B625,Lookup!H$1,H$1,Lookup!I$1)),"no attestation")</f>
        <v>no attestation</v>
      </c>
      <c r="F625" s="2" t="str">
        <f>IF(AND(NOT(ISBLANK(InfoGard!G625)),InfoGard!G625&lt;&gt;"N/A"),IF(C625="All",CONCATENATE(Lookup!F$2,D625,Lookup!G$2,B625,Lookup!H$2,H$1,Lookup!I$2),CONCATENATE(Lookup!F$3,D625,Lookup!G$3,B625,Lookup!H$3)),"no url")</f>
        <v>no url</v>
      </c>
    </row>
    <row r="626" spans="1:6" hidden="1" x14ac:dyDescent="0.25">
      <c r="A626" s="2" t="b">
        <f>IF(ISBLANK(InfoGard!D626),FALSE,LOOKUP(InfoGard!D626,Lookup!$A$2:$B$4))</f>
        <v>0</v>
      </c>
      <c r="B626" s="2" t="b">
        <f>IF(ISBLANK(InfoGard!E626),FALSE,RIGHT(TRIM(InfoGard!E626),15))</f>
        <v>0</v>
      </c>
      <c r="C626" s="2" t="b">
        <f>IF(ISBLANK(InfoGard!F626),FALSE,LOOKUP(InfoGard!F626,Lookup!$A$6:$B$7))</f>
        <v>0</v>
      </c>
      <c r="D626" s="2" t="b">
        <f>IF(ISBLANK(InfoGard!G626),FALSE,InfoGard!G626)</f>
        <v>0</v>
      </c>
      <c r="E626" s="2" t="str">
        <f>IF(NOT(ISBLANK(InfoGard!D626)),IF(OR(ISBLANK(InfoGard!E626),InfoGard!E626="N/A"),"no acb code",CONCATENATE(Lookup!F$1,A626,Lookup!G$1,B626,Lookup!H$1,H$1,Lookup!I$1)),"no attestation")</f>
        <v>no attestation</v>
      </c>
      <c r="F626" s="2" t="str">
        <f>IF(AND(NOT(ISBLANK(InfoGard!G626)),InfoGard!G626&lt;&gt;"N/A"),IF(C626="All",CONCATENATE(Lookup!F$2,D626,Lookup!G$2,B626,Lookup!H$2,H$1,Lookup!I$2),CONCATENATE(Lookup!F$3,D626,Lookup!G$3,B626,Lookup!H$3)),"no url")</f>
        <v>no url</v>
      </c>
    </row>
    <row r="627" spans="1:6" hidden="1" x14ac:dyDescent="0.25">
      <c r="A627" s="2" t="b">
        <f>IF(ISBLANK(InfoGard!D627),FALSE,LOOKUP(InfoGard!D627,Lookup!$A$2:$B$4))</f>
        <v>0</v>
      </c>
      <c r="B627" s="2" t="b">
        <f>IF(ISBLANK(InfoGard!E627),FALSE,RIGHT(TRIM(InfoGard!E627),15))</f>
        <v>0</v>
      </c>
      <c r="C627" s="2" t="b">
        <f>IF(ISBLANK(InfoGard!F627),FALSE,LOOKUP(InfoGard!F627,Lookup!$A$6:$B$7))</f>
        <v>0</v>
      </c>
      <c r="D627" s="2" t="b">
        <f>IF(ISBLANK(InfoGard!G627),FALSE,InfoGard!G627)</f>
        <v>0</v>
      </c>
      <c r="E627" s="2" t="str">
        <f>IF(NOT(ISBLANK(InfoGard!D627)),IF(OR(ISBLANK(InfoGard!E627),InfoGard!E627="N/A"),"no acb code",CONCATENATE(Lookup!F$1,A627,Lookup!G$1,B627,Lookup!H$1,H$1,Lookup!I$1)),"no attestation")</f>
        <v>no attestation</v>
      </c>
      <c r="F627" s="2" t="str">
        <f>IF(AND(NOT(ISBLANK(InfoGard!G627)),InfoGard!G627&lt;&gt;"N/A"),IF(C627="All",CONCATENATE(Lookup!F$2,D627,Lookup!G$2,B627,Lookup!H$2,H$1,Lookup!I$2),CONCATENATE(Lookup!F$3,D627,Lookup!G$3,B627,Lookup!H$3)),"no url")</f>
        <v>no url</v>
      </c>
    </row>
    <row r="628" spans="1:6" hidden="1" x14ac:dyDescent="0.25">
      <c r="A628" s="2" t="b">
        <f>IF(ISBLANK(InfoGard!D628),FALSE,LOOKUP(InfoGard!D628,Lookup!$A$2:$B$4))</f>
        <v>0</v>
      </c>
      <c r="B628" s="2" t="b">
        <f>IF(ISBLANK(InfoGard!E628),FALSE,RIGHT(TRIM(InfoGard!E628),15))</f>
        <v>0</v>
      </c>
      <c r="C628" s="2" t="b">
        <f>IF(ISBLANK(InfoGard!F628),FALSE,LOOKUP(InfoGard!F628,Lookup!$A$6:$B$7))</f>
        <v>0</v>
      </c>
      <c r="D628" s="2" t="b">
        <f>IF(ISBLANK(InfoGard!G628),FALSE,InfoGard!G628)</f>
        <v>0</v>
      </c>
      <c r="E628" s="2" t="str">
        <f>IF(NOT(ISBLANK(InfoGard!D628)),IF(OR(ISBLANK(InfoGard!E628),InfoGard!E628="N/A"),"no acb code",CONCATENATE(Lookup!F$1,A628,Lookup!G$1,B628,Lookup!H$1,H$1,Lookup!I$1)),"no attestation")</f>
        <v>no attestation</v>
      </c>
      <c r="F628" s="2" t="str">
        <f>IF(AND(NOT(ISBLANK(InfoGard!G628)),InfoGard!G628&lt;&gt;"N/A"),IF(C628="All",CONCATENATE(Lookup!F$2,D628,Lookup!G$2,B628,Lookup!H$2,H$1,Lookup!I$2),CONCATENATE(Lookup!F$3,D628,Lookup!G$3,B628,Lookup!H$3)),"no url")</f>
        <v>no url</v>
      </c>
    </row>
    <row r="629" spans="1:6" hidden="1" x14ac:dyDescent="0.25">
      <c r="A629" s="2" t="b">
        <f>IF(ISBLANK(InfoGard!D629),FALSE,LOOKUP(InfoGard!D629,Lookup!$A$2:$B$4))</f>
        <v>0</v>
      </c>
      <c r="B629" s="2" t="b">
        <f>IF(ISBLANK(InfoGard!E629),FALSE,RIGHT(TRIM(InfoGard!E629),15))</f>
        <v>0</v>
      </c>
      <c r="C629" s="2" t="b">
        <f>IF(ISBLANK(InfoGard!F629),FALSE,LOOKUP(InfoGard!F629,Lookup!$A$6:$B$7))</f>
        <v>0</v>
      </c>
      <c r="D629" s="2" t="b">
        <f>IF(ISBLANK(InfoGard!G629),FALSE,InfoGard!G629)</f>
        <v>0</v>
      </c>
      <c r="E629" s="2" t="str">
        <f>IF(NOT(ISBLANK(InfoGard!D629)),IF(OR(ISBLANK(InfoGard!E629),InfoGard!E629="N/A"),"no acb code",CONCATENATE(Lookup!F$1,A629,Lookup!G$1,B629,Lookup!H$1,H$1,Lookup!I$1)),"no attestation")</f>
        <v>no attestation</v>
      </c>
      <c r="F629" s="2" t="str">
        <f>IF(AND(NOT(ISBLANK(InfoGard!G629)),InfoGard!G629&lt;&gt;"N/A"),IF(C629="All",CONCATENATE(Lookup!F$2,D629,Lookup!G$2,B629,Lookup!H$2,H$1,Lookup!I$2),CONCATENATE(Lookup!F$3,D629,Lookup!G$3,B629,Lookup!H$3)),"no url")</f>
        <v>no url</v>
      </c>
    </row>
    <row r="630" spans="1:6" hidden="1" x14ac:dyDescent="0.25">
      <c r="A630" s="2" t="b">
        <f>IF(ISBLANK(InfoGard!D630),FALSE,LOOKUP(InfoGard!D630,Lookup!$A$2:$B$4))</f>
        <v>0</v>
      </c>
      <c r="B630" s="2" t="b">
        <f>IF(ISBLANK(InfoGard!E630),FALSE,RIGHT(TRIM(InfoGard!E630),15))</f>
        <v>0</v>
      </c>
      <c r="C630" s="2" t="b">
        <f>IF(ISBLANK(InfoGard!F630),FALSE,LOOKUP(InfoGard!F630,Lookup!$A$6:$B$7))</f>
        <v>0</v>
      </c>
      <c r="D630" s="2" t="b">
        <f>IF(ISBLANK(InfoGard!G630),FALSE,InfoGard!G630)</f>
        <v>0</v>
      </c>
      <c r="E630" s="2" t="str">
        <f>IF(NOT(ISBLANK(InfoGard!D630)),IF(OR(ISBLANK(InfoGard!E630),InfoGard!E630="N/A"),"no acb code",CONCATENATE(Lookup!F$1,A630,Lookup!G$1,B630,Lookup!H$1,H$1,Lookup!I$1)),"no attestation")</f>
        <v>no attestation</v>
      </c>
      <c r="F630" s="2" t="str">
        <f>IF(AND(NOT(ISBLANK(InfoGard!G630)),InfoGard!G630&lt;&gt;"N/A"),IF(C630="All",CONCATENATE(Lookup!F$2,D630,Lookup!G$2,B630,Lookup!H$2,H$1,Lookup!I$2),CONCATENATE(Lookup!F$3,D630,Lookup!G$3,B630,Lookup!H$3)),"no url")</f>
        <v>no url</v>
      </c>
    </row>
    <row r="631" spans="1:6" hidden="1" x14ac:dyDescent="0.25">
      <c r="A631" s="2" t="b">
        <f>IF(ISBLANK(InfoGard!D631),FALSE,LOOKUP(InfoGard!D631,Lookup!$A$2:$B$4))</f>
        <v>0</v>
      </c>
      <c r="B631" s="2" t="b">
        <f>IF(ISBLANK(InfoGard!E631),FALSE,RIGHT(TRIM(InfoGard!E631),15))</f>
        <v>0</v>
      </c>
      <c r="C631" s="2" t="b">
        <f>IF(ISBLANK(InfoGard!F631),FALSE,LOOKUP(InfoGard!F631,Lookup!$A$6:$B$7))</f>
        <v>0</v>
      </c>
      <c r="D631" s="2" t="b">
        <f>IF(ISBLANK(InfoGard!G631),FALSE,InfoGard!G631)</f>
        <v>0</v>
      </c>
      <c r="E631" s="2" t="str">
        <f>IF(NOT(ISBLANK(InfoGard!D631)),IF(OR(ISBLANK(InfoGard!E631),InfoGard!E631="N/A"),"no acb code",CONCATENATE(Lookup!F$1,A631,Lookup!G$1,B631,Lookup!H$1,H$1,Lookup!I$1)),"no attestation")</f>
        <v>no attestation</v>
      </c>
      <c r="F631" s="2" t="str">
        <f>IF(AND(NOT(ISBLANK(InfoGard!G631)),InfoGard!G631&lt;&gt;"N/A"),IF(C631="All",CONCATENATE(Lookup!F$2,D631,Lookup!G$2,B631,Lookup!H$2,H$1,Lookup!I$2),CONCATENATE(Lookup!F$3,D631,Lookup!G$3,B631,Lookup!H$3)),"no url")</f>
        <v>no url</v>
      </c>
    </row>
    <row r="632" spans="1:6" hidden="1" x14ac:dyDescent="0.25">
      <c r="A632" s="2" t="b">
        <f>IF(ISBLANK(InfoGard!D632),FALSE,LOOKUP(InfoGard!D632,Lookup!$A$2:$B$4))</f>
        <v>0</v>
      </c>
      <c r="B632" s="2" t="b">
        <f>IF(ISBLANK(InfoGard!E632),FALSE,RIGHT(TRIM(InfoGard!E632),15))</f>
        <v>0</v>
      </c>
      <c r="C632" s="2" t="b">
        <f>IF(ISBLANK(InfoGard!F632),FALSE,LOOKUP(InfoGard!F632,Lookup!$A$6:$B$7))</f>
        <v>0</v>
      </c>
      <c r="D632" s="2" t="b">
        <f>IF(ISBLANK(InfoGard!G632),FALSE,InfoGard!G632)</f>
        <v>0</v>
      </c>
      <c r="E632" s="2" t="str">
        <f>IF(NOT(ISBLANK(InfoGard!D632)),IF(OR(ISBLANK(InfoGard!E632),InfoGard!E632="N/A"),"no acb code",CONCATENATE(Lookup!F$1,A632,Lookup!G$1,B632,Lookup!H$1,H$1,Lookup!I$1)),"no attestation")</f>
        <v>no attestation</v>
      </c>
      <c r="F632" s="2" t="str">
        <f>IF(AND(NOT(ISBLANK(InfoGard!G632)),InfoGard!G632&lt;&gt;"N/A"),IF(C632="All",CONCATENATE(Lookup!F$2,D632,Lookup!G$2,B632,Lookup!H$2,H$1,Lookup!I$2),CONCATENATE(Lookup!F$3,D632,Lookup!G$3,B632,Lookup!H$3)),"no url")</f>
        <v>no url</v>
      </c>
    </row>
    <row r="633" spans="1:6" hidden="1" x14ac:dyDescent="0.25">
      <c r="A633" s="2" t="b">
        <f>IF(ISBLANK(InfoGard!D633),FALSE,LOOKUP(InfoGard!D633,Lookup!$A$2:$B$4))</f>
        <v>0</v>
      </c>
      <c r="B633" s="2" t="b">
        <f>IF(ISBLANK(InfoGard!E633),FALSE,RIGHT(TRIM(InfoGard!E633),15))</f>
        <v>0</v>
      </c>
      <c r="C633" s="2" t="b">
        <f>IF(ISBLANK(InfoGard!F633),FALSE,LOOKUP(InfoGard!F633,Lookup!$A$6:$B$7))</f>
        <v>0</v>
      </c>
      <c r="D633" s="2" t="b">
        <f>IF(ISBLANK(InfoGard!G633),FALSE,InfoGard!G633)</f>
        <v>0</v>
      </c>
      <c r="E633" s="2" t="str">
        <f>IF(NOT(ISBLANK(InfoGard!D633)),IF(OR(ISBLANK(InfoGard!E633),InfoGard!E633="N/A"),"no acb code",CONCATENATE(Lookup!F$1,A633,Lookup!G$1,B633,Lookup!H$1,H$1,Lookup!I$1)),"no attestation")</f>
        <v>no attestation</v>
      </c>
      <c r="F633" s="2" t="str">
        <f>IF(AND(NOT(ISBLANK(InfoGard!G633)),InfoGard!G633&lt;&gt;"N/A"),IF(C633="All",CONCATENATE(Lookup!F$2,D633,Lookup!G$2,B633,Lookup!H$2,H$1,Lookup!I$2),CONCATENATE(Lookup!F$3,D633,Lookup!G$3,B633,Lookup!H$3)),"no url")</f>
        <v>no url</v>
      </c>
    </row>
    <row r="634" spans="1:6" hidden="1" x14ac:dyDescent="0.25">
      <c r="A634" s="2" t="b">
        <f>IF(ISBLANK(InfoGard!D634),FALSE,LOOKUP(InfoGard!D634,Lookup!$A$2:$B$4))</f>
        <v>0</v>
      </c>
      <c r="B634" s="2" t="b">
        <f>IF(ISBLANK(InfoGard!E634),FALSE,RIGHT(TRIM(InfoGard!E634),15))</f>
        <v>0</v>
      </c>
      <c r="C634" s="2" t="b">
        <f>IF(ISBLANK(InfoGard!F634),FALSE,LOOKUP(InfoGard!F634,Lookup!$A$6:$B$7))</f>
        <v>0</v>
      </c>
      <c r="D634" s="2" t="b">
        <f>IF(ISBLANK(InfoGard!G634),FALSE,InfoGard!G634)</f>
        <v>0</v>
      </c>
      <c r="E634" s="2" t="str">
        <f>IF(NOT(ISBLANK(InfoGard!D634)),IF(OR(ISBLANK(InfoGard!E634),InfoGard!E634="N/A"),"no acb code",CONCATENATE(Lookup!F$1,A634,Lookup!G$1,B634,Lookup!H$1,H$1,Lookup!I$1)),"no attestation")</f>
        <v>no attestation</v>
      </c>
      <c r="F634" s="2" t="str">
        <f>IF(AND(NOT(ISBLANK(InfoGard!G634)),InfoGard!G634&lt;&gt;"N/A"),IF(C634="All",CONCATENATE(Lookup!F$2,D634,Lookup!G$2,B634,Lookup!H$2,H$1,Lookup!I$2),CONCATENATE(Lookup!F$3,D634,Lookup!G$3,B634,Lookup!H$3)),"no url")</f>
        <v>no url</v>
      </c>
    </row>
    <row r="635" spans="1:6" hidden="1" x14ac:dyDescent="0.25">
      <c r="A635" s="2" t="b">
        <f>IF(ISBLANK(InfoGard!D635),FALSE,LOOKUP(InfoGard!D635,Lookup!$A$2:$B$4))</f>
        <v>0</v>
      </c>
      <c r="B635" s="2" t="b">
        <f>IF(ISBLANK(InfoGard!E635),FALSE,RIGHT(TRIM(InfoGard!E635),15))</f>
        <v>0</v>
      </c>
      <c r="C635" s="2" t="b">
        <f>IF(ISBLANK(InfoGard!F635),FALSE,LOOKUP(InfoGard!F635,Lookup!$A$6:$B$7))</f>
        <v>0</v>
      </c>
      <c r="D635" s="2" t="b">
        <f>IF(ISBLANK(InfoGard!G635),FALSE,InfoGard!G635)</f>
        <v>0</v>
      </c>
      <c r="E635" s="2" t="str">
        <f>IF(NOT(ISBLANK(InfoGard!D635)),IF(OR(ISBLANK(InfoGard!E635),InfoGard!E635="N/A"),"no acb code",CONCATENATE(Lookup!F$1,A635,Lookup!G$1,B635,Lookup!H$1,H$1,Lookup!I$1)),"no attestation")</f>
        <v>no attestation</v>
      </c>
      <c r="F635" s="2" t="str">
        <f>IF(AND(NOT(ISBLANK(InfoGard!G635)),InfoGard!G635&lt;&gt;"N/A"),IF(C635="All",CONCATENATE(Lookup!F$2,D635,Lookup!G$2,B635,Lookup!H$2,H$1,Lookup!I$2),CONCATENATE(Lookup!F$3,D635,Lookup!G$3,B635,Lookup!H$3)),"no url")</f>
        <v>no url</v>
      </c>
    </row>
    <row r="636" spans="1:6" hidden="1" x14ac:dyDescent="0.25">
      <c r="A636" s="2" t="b">
        <f>IF(ISBLANK(InfoGard!D636),FALSE,LOOKUP(InfoGard!D636,Lookup!$A$2:$B$4))</f>
        <v>0</v>
      </c>
      <c r="B636" s="2" t="b">
        <f>IF(ISBLANK(InfoGard!E636),FALSE,RIGHT(TRIM(InfoGard!E636),15))</f>
        <v>0</v>
      </c>
      <c r="C636" s="2" t="b">
        <f>IF(ISBLANK(InfoGard!F636),FALSE,LOOKUP(InfoGard!F636,Lookup!$A$6:$B$7))</f>
        <v>0</v>
      </c>
      <c r="D636" s="2" t="b">
        <f>IF(ISBLANK(InfoGard!G636),FALSE,InfoGard!G636)</f>
        <v>0</v>
      </c>
      <c r="E636" s="2" t="str">
        <f>IF(NOT(ISBLANK(InfoGard!D636)),IF(OR(ISBLANK(InfoGard!E636),InfoGard!E636="N/A"),"no acb code",CONCATENATE(Lookup!F$1,A636,Lookup!G$1,B636,Lookup!H$1,H$1,Lookup!I$1)),"no attestation")</f>
        <v>no attestation</v>
      </c>
      <c r="F636" s="2" t="str">
        <f>IF(AND(NOT(ISBLANK(InfoGard!G636)),InfoGard!G636&lt;&gt;"N/A"),IF(C636="All",CONCATENATE(Lookup!F$2,D636,Lookup!G$2,B636,Lookup!H$2,H$1,Lookup!I$2),CONCATENATE(Lookup!F$3,D636,Lookup!G$3,B636,Lookup!H$3)),"no url")</f>
        <v>no url</v>
      </c>
    </row>
    <row r="637" spans="1:6" x14ac:dyDescent="0.25">
      <c r="A637" s="2" t="str">
        <f>IF(ISBLANK(InfoGard!D637),FALSE,LOOKUP(InfoGard!D637,Lookup!$A$2:$B$4))</f>
        <v>Affirmative</v>
      </c>
      <c r="B637" s="2" t="str">
        <f>IF(ISBLANK(InfoGard!E637),FALSE,RIGHT(TRIM(InfoGard!E637),15))</f>
        <v>IG-2419-14-0020</v>
      </c>
      <c r="C637" s="2" t="str">
        <f>IF(ISBLANK(InfoGard!F637),FALSE,LOOKUP(InfoGard!F637,Lookup!$A$6:$B$7))</f>
        <v>All</v>
      </c>
      <c r="D637" s="2" t="str">
        <f>IF(ISBLANK(InfoGard!G637),FALSE,InfoGard!G637)</f>
        <v>https://www.ihs.gov/rpms/downloads/DisclaimerVendorProductInfoDisclosures.pdf</v>
      </c>
      <c r="E637" s="2" t="str">
        <f>IF(NOT(ISBLANK(InfoGard!D637)),IF(OR(ISBLANK(InfoGard!E637),InfoGard!E637="N/A"),"no acb code",CONCATENATE(Lookup!F$1,A637,Lookup!G$1,B637,Lookup!H$1,H$1,Lookup!I$1)),"no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'IG-2419-14-0020' and cb."name" = 'InfoGard' and cp.product_version_id = pv.product_version_id and pv.product_id = p.product_id and p.vendor_id = vend.vendor_id;</v>
      </c>
      <c r="F637" s="2" t="str">
        <f>IF(AND(NOT(ISBLANK(InfoGard!G637)),InfoGard!G637&lt;&gt;"N/A"),IF(C637="All",CONCATENATE(Lookup!F$2,D637,Lookup!G$2,B637,Lookup!H$2,H$1,Lookup!I$2),CONCATENATE(Lookup!F$3,D637,Lookup!G$3,B637,Lookup!H$3)),"no url")</f>
        <v>update openchpl.certified_product as cp set transparency_attestation_url = 'https://www.ihs.gov/rpms/downloads/DisclaimerVendorProductInfoDisclosures.pdf' from (select certified_product_id from (select vend.vendor_code from openchpl.certified_product as cp, openchpl.product_version as pv, openchpl.product as p, openchpl.vendor as vend where cp.acb_certification_id = 'IG-2419-14-0020'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38" spans="1:6" hidden="1" x14ac:dyDescent="0.25">
      <c r="A638" s="2" t="b">
        <f>IF(ISBLANK(InfoGard!D638),FALSE,LOOKUP(InfoGard!D638,Lookup!$A$2:$B$4))</f>
        <v>0</v>
      </c>
      <c r="B638" s="2" t="b">
        <f>IF(ISBLANK(InfoGard!E638),FALSE,RIGHT(TRIM(InfoGard!E638),15))</f>
        <v>0</v>
      </c>
      <c r="C638" s="2" t="b">
        <f>IF(ISBLANK(InfoGard!F638),FALSE,LOOKUP(InfoGard!F638,Lookup!$A$6:$B$7))</f>
        <v>0</v>
      </c>
      <c r="D638" s="2" t="b">
        <f>IF(ISBLANK(InfoGard!G638),FALSE,InfoGard!G638)</f>
        <v>0</v>
      </c>
      <c r="E638" s="2" t="str">
        <f>IF(NOT(ISBLANK(InfoGard!D638)),IF(OR(ISBLANK(InfoGard!E638),InfoGard!E638="N/A"),"no acb code",CONCATENATE(Lookup!F$1,A638,Lookup!G$1,B638,Lookup!H$1,H$1,Lookup!I$1)),"no attestation")</f>
        <v>no attestation</v>
      </c>
      <c r="F638" s="2" t="str">
        <f>IF(AND(NOT(ISBLANK(InfoGard!G638)),InfoGard!G638&lt;&gt;"N/A"),IF(C638="All",CONCATENATE(Lookup!F$2,D638,Lookup!G$2,B638,Lookup!H$2,H$1,Lookup!I$2),CONCATENATE(Lookup!F$3,D638,Lookup!G$3,B638,Lookup!H$3)),"no url")</f>
        <v>no url</v>
      </c>
    </row>
    <row r="639" spans="1:6" hidden="1" x14ac:dyDescent="0.25">
      <c r="A639" s="2" t="b">
        <f>IF(ISBLANK(InfoGard!D639),FALSE,LOOKUP(InfoGard!D639,Lookup!$A$2:$B$4))</f>
        <v>0</v>
      </c>
      <c r="B639" s="2" t="b">
        <f>IF(ISBLANK(InfoGard!E639),FALSE,RIGHT(TRIM(InfoGard!E639),15))</f>
        <v>0</v>
      </c>
      <c r="C639" s="2" t="b">
        <f>IF(ISBLANK(InfoGard!F639),FALSE,LOOKUP(InfoGard!F639,Lookup!$A$6:$B$7))</f>
        <v>0</v>
      </c>
      <c r="D639" s="2" t="b">
        <f>IF(ISBLANK(InfoGard!G639),FALSE,InfoGard!G639)</f>
        <v>0</v>
      </c>
      <c r="E639" s="2" t="str">
        <f>IF(NOT(ISBLANK(InfoGard!D639)),IF(OR(ISBLANK(InfoGard!E639),InfoGard!E639="N/A"),"no acb code",CONCATENATE(Lookup!F$1,A639,Lookup!G$1,B639,Lookup!H$1,H$1,Lookup!I$1)),"no attestation")</f>
        <v>no attestation</v>
      </c>
      <c r="F639" s="2" t="str">
        <f>IF(AND(NOT(ISBLANK(InfoGard!G639)),InfoGard!G639&lt;&gt;"N/A"),IF(C639="All",CONCATENATE(Lookup!F$2,D639,Lookup!G$2,B639,Lookup!H$2,H$1,Lookup!I$2),CONCATENATE(Lookup!F$3,D639,Lookup!G$3,B639,Lookup!H$3)),"no url")</f>
        <v>no url</v>
      </c>
    </row>
    <row r="640" spans="1:6" x14ac:dyDescent="0.25">
      <c r="A640" s="2" t="str">
        <f>IF(ISBLANK(InfoGard!D640),FALSE,LOOKUP(InfoGard!D640,Lookup!$A$2:$B$4))</f>
        <v>Affirmative</v>
      </c>
      <c r="B640" s="2" t="str">
        <f>IF(ISBLANK(InfoGard!E640),FALSE,RIGHT(TRIM(InfoGard!E640),15))</f>
        <v>IG-2529-14-0110</v>
      </c>
      <c r="C640" s="2" t="str">
        <f>IF(ISBLANK(InfoGard!F640),FALSE,LOOKUP(InfoGard!F640,Lookup!$A$6:$B$7))</f>
        <v>All</v>
      </c>
      <c r="D640" s="2" t="str">
        <f>IF(ISBLANK(InfoGard!G640),FALSE,InfoGard!G640)</f>
        <v>http://md-reports.com/; http://www.md-reports.com/pricing_transparency.pdf</v>
      </c>
      <c r="E640" s="2" t="str">
        <f>IF(NOT(ISBLANK(InfoGard!D640)),IF(OR(ISBLANK(InfoGard!E640),InfoGard!E640="N/A"),"no acb code",CONCATENATE(Lookup!F$1,A640,Lookup!G$1,B640,Lookup!H$1,H$1,Lookup!I$1)),"no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'IG-2529-14-0110' and cb."name" = 'InfoGard' and cp.product_version_id = pv.product_version_id and pv.product_id = p.product_id and p.vendor_id = vend.vendor_id;</v>
      </c>
      <c r="F640" s="2" t="str">
        <f>IF(AND(NOT(ISBLANK(InfoGard!G640)),InfoGard!G640&lt;&gt;"N/A"),IF(C640="All",CONCATENATE(Lookup!F$2,D640,Lookup!G$2,B640,Lookup!H$2,H$1,Lookup!I$2),CONCATENATE(Lookup!F$3,D640,Lookup!G$3,B640,Lookup!H$3)),"no url")</f>
        <v>update openchpl.certified_product as cp set transparency_attestation_url = 'http://md-reports.com/; http://www.md-reports.com/pricing_transparency.pdf' from (select certified_product_id from (select vend.vendor_code from openchpl.certified_product as cp, openchpl.product_version as pv, openchpl.product as p, openchpl.vendor as vend where cp.acb_certification_id = 'IG-2529-14-0110'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41" spans="1:6" hidden="1" x14ac:dyDescent="0.25">
      <c r="A641" s="2" t="b">
        <f>IF(ISBLANK(InfoGard!D641),FALSE,LOOKUP(InfoGard!D641,Lookup!$A$2:$B$4))</f>
        <v>0</v>
      </c>
      <c r="B641" s="2" t="b">
        <f>IF(ISBLANK(InfoGard!E641),FALSE,RIGHT(TRIM(InfoGard!E641),15))</f>
        <v>0</v>
      </c>
      <c r="C641" s="2" t="b">
        <f>IF(ISBLANK(InfoGard!F641),FALSE,LOOKUP(InfoGard!F641,Lookup!$A$6:$B$7))</f>
        <v>0</v>
      </c>
      <c r="D641" s="2" t="b">
        <f>IF(ISBLANK(InfoGard!G641),FALSE,InfoGard!G641)</f>
        <v>0</v>
      </c>
      <c r="E641" s="2" t="str">
        <f>IF(NOT(ISBLANK(InfoGard!D641)),IF(OR(ISBLANK(InfoGard!E641),InfoGard!E641="N/A"),"no acb code",CONCATENATE(Lookup!F$1,A641,Lookup!G$1,B641,Lookup!H$1,H$1,Lookup!I$1)),"no attestation")</f>
        <v>no attestation</v>
      </c>
      <c r="F641" s="2" t="str">
        <f>IF(AND(NOT(ISBLANK(InfoGard!G641)),InfoGard!G641&lt;&gt;"N/A"),IF(C641="All",CONCATENATE(Lookup!F$2,D641,Lookup!G$2,B641,Lookup!H$2,H$1,Lookup!I$2),CONCATENATE(Lookup!F$3,D641,Lookup!G$3,B641,Lookup!H$3)),"no url")</f>
        <v>no url</v>
      </c>
    </row>
    <row r="642" spans="1:6" x14ac:dyDescent="0.25">
      <c r="A642" s="2" t="str">
        <f>IF(ISBLANK(InfoGard!D642),FALSE,LOOKUP(InfoGard!D642,Lookup!$A$2:$B$4))</f>
        <v>Affirmative</v>
      </c>
      <c r="B642" s="2" t="str">
        <f>IF(ISBLANK(InfoGard!E642),FALSE,RIGHT(TRIM(InfoGard!E642),15))</f>
        <v>IG-2384-16-0008</v>
      </c>
      <c r="C642" s="2" t="str">
        <f>IF(ISBLANK(InfoGard!F642),FALSE,LOOKUP(InfoGard!F642,Lookup!$A$6:$B$7))</f>
        <v>All</v>
      </c>
      <c r="D642" s="2" t="str">
        <f>IF(ISBLANK(InfoGard!G642),FALSE,InfoGard!G642)</f>
        <v>http://www.infinittna.com/products/radiology/meaningful-use-certified</v>
      </c>
      <c r="E642" s="2" t="str">
        <f>IF(NOT(ISBLANK(InfoGard!D642)),IF(OR(ISBLANK(InfoGard!E642),InfoGard!E642="N/A"),"no acb code",CONCATENATE(Lookup!F$1,A642,Lookup!G$1,B642,Lookup!H$1,H$1,Lookup!I$1)),"no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'IG-2384-16-0008' and cb."name" = 'InfoGard' and cp.product_version_id = pv.product_version_id and pv.product_id = p.product_id and p.vendor_id = vend.vendor_id;</v>
      </c>
      <c r="F642" s="2" t="str">
        <f>IF(AND(NOT(ISBLANK(InfoGard!G642)),InfoGard!G642&lt;&gt;"N/A"),IF(C642="All",CONCATENATE(Lookup!F$2,D642,Lookup!G$2,B642,Lookup!H$2,H$1,Lookup!I$2),CONCATENATE(Lookup!F$3,D642,Lookup!G$3,B642,Lookup!H$3)),"no url")</f>
        <v>update openchpl.certified_product as cp set transparency_attestation_url = 'http://www.infinittna.com/products/radiology/meaningful-use-certified' from (select certified_product_id from (select vend.vendor_code from openchpl.certified_product as cp, openchpl.product_version as pv, openchpl.product as p, openchpl.vendor as vend where cp.acb_certification_id = 'IG-2384-16-0008'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43" spans="1:6" hidden="1" x14ac:dyDescent="0.25">
      <c r="A643" s="2" t="b">
        <f>IF(ISBLANK(InfoGard!D643),FALSE,LOOKUP(InfoGard!D643,Lookup!$A$2:$B$4))</f>
        <v>0</v>
      </c>
      <c r="B643" s="2" t="b">
        <f>IF(ISBLANK(InfoGard!E643),FALSE,RIGHT(TRIM(InfoGard!E643),15))</f>
        <v>0</v>
      </c>
      <c r="C643" s="2" t="b">
        <f>IF(ISBLANK(InfoGard!F643),FALSE,LOOKUP(InfoGard!F643,Lookup!$A$6:$B$7))</f>
        <v>0</v>
      </c>
      <c r="D643" s="2" t="b">
        <f>IF(ISBLANK(InfoGard!G643),FALSE,InfoGard!G643)</f>
        <v>0</v>
      </c>
      <c r="E643" s="2" t="str">
        <f>IF(NOT(ISBLANK(InfoGard!D643)),IF(OR(ISBLANK(InfoGard!E643),InfoGard!E643="N/A"),"no acb code",CONCATENATE(Lookup!F$1,A643,Lookup!G$1,B643,Lookup!H$1,H$1,Lookup!I$1)),"no attestation")</f>
        <v>no attestation</v>
      </c>
      <c r="F643" s="2" t="str">
        <f>IF(AND(NOT(ISBLANK(InfoGard!G643)),InfoGard!G643&lt;&gt;"N/A"),IF(C643="All",CONCATENATE(Lookup!F$2,D643,Lookup!G$2,B643,Lookup!H$2,H$1,Lookup!I$2),CONCATENATE(Lookup!F$3,D643,Lookup!G$3,B643,Lookup!H$3)),"no url")</f>
        <v>no url</v>
      </c>
    </row>
    <row r="644" spans="1:6" hidden="1" x14ac:dyDescent="0.25">
      <c r="A644" s="2" t="b">
        <f>IF(ISBLANK(InfoGard!D644),FALSE,LOOKUP(InfoGard!D644,Lookup!$A$2:$B$4))</f>
        <v>0</v>
      </c>
      <c r="B644" s="2" t="b">
        <f>IF(ISBLANK(InfoGard!E644),FALSE,RIGHT(TRIM(InfoGard!E644),15))</f>
        <v>0</v>
      </c>
      <c r="C644" s="2" t="b">
        <f>IF(ISBLANK(InfoGard!F644),FALSE,LOOKUP(InfoGard!F644,Lookup!$A$6:$B$7))</f>
        <v>0</v>
      </c>
      <c r="D644" s="2" t="b">
        <f>IF(ISBLANK(InfoGard!G644),FALSE,InfoGard!G644)</f>
        <v>0</v>
      </c>
      <c r="E644" s="2" t="str">
        <f>IF(NOT(ISBLANK(InfoGard!D644)),IF(OR(ISBLANK(InfoGard!E644),InfoGard!E644="N/A"),"no acb code",CONCATENATE(Lookup!F$1,A644,Lookup!G$1,B644,Lookup!H$1,H$1,Lookup!I$1)),"no attestation")</f>
        <v>no attestation</v>
      </c>
      <c r="F644" s="2" t="str">
        <f>IF(AND(NOT(ISBLANK(InfoGard!G644)),InfoGard!G644&lt;&gt;"N/A"),IF(C644="All",CONCATENATE(Lookup!F$2,D644,Lookup!G$2,B644,Lookup!H$2,H$1,Lookup!I$2),CONCATENATE(Lookup!F$3,D644,Lookup!G$3,B644,Lookup!H$3)),"no url")</f>
        <v>no url</v>
      </c>
    </row>
    <row r="645" spans="1:6" hidden="1" x14ac:dyDescent="0.25">
      <c r="A645" s="2" t="b">
        <f>IF(ISBLANK(InfoGard!D645),FALSE,LOOKUP(InfoGard!D645,Lookup!$A$2:$B$4))</f>
        <v>0</v>
      </c>
      <c r="B645" s="2" t="b">
        <f>IF(ISBLANK(InfoGard!E645),FALSE,RIGHT(TRIM(InfoGard!E645),15))</f>
        <v>0</v>
      </c>
      <c r="C645" s="2" t="b">
        <f>IF(ISBLANK(InfoGard!F645),FALSE,LOOKUP(InfoGard!F645,Lookup!$A$6:$B$7))</f>
        <v>0</v>
      </c>
      <c r="D645" s="2" t="b">
        <f>IF(ISBLANK(InfoGard!G645),FALSE,InfoGard!G645)</f>
        <v>0</v>
      </c>
      <c r="E645" s="2" t="str">
        <f>IF(NOT(ISBLANK(InfoGard!D645)),IF(OR(ISBLANK(InfoGard!E645),InfoGard!E645="N/A"),"no acb code",CONCATENATE(Lookup!F$1,A645,Lookup!G$1,B645,Lookup!H$1,H$1,Lookup!I$1)),"no attestation")</f>
        <v>no attestation</v>
      </c>
      <c r="F645" s="2" t="str">
        <f>IF(AND(NOT(ISBLANK(InfoGard!G645)),InfoGard!G645&lt;&gt;"N/A"),IF(C645="All",CONCATENATE(Lookup!F$2,D645,Lookup!G$2,B645,Lookup!H$2,H$1,Lookup!I$2),CONCATENATE(Lookup!F$3,D645,Lookup!G$3,B645,Lookup!H$3)),"no url")</f>
        <v>no url</v>
      </c>
    </row>
    <row r="646" spans="1:6" hidden="1" x14ac:dyDescent="0.25">
      <c r="A646" s="2" t="b">
        <f>IF(ISBLANK(InfoGard!D646),FALSE,LOOKUP(InfoGard!D646,Lookup!$A$2:$B$4))</f>
        <v>0</v>
      </c>
      <c r="B646" s="2" t="b">
        <f>IF(ISBLANK(InfoGard!E646),FALSE,RIGHT(TRIM(InfoGard!E646),15))</f>
        <v>0</v>
      </c>
      <c r="C646" s="2" t="b">
        <f>IF(ISBLANK(InfoGard!F646),FALSE,LOOKUP(InfoGard!F646,Lookup!$A$6:$B$7))</f>
        <v>0</v>
      </c>
      <c r="D646" s="2" t="b">
        <f>IF(ISBLANK(InfoGard!G646),FALSE,InfoGard!G646)</f>
        <v>0</v>
      </c>
      <c r="E646" s="2" t="str">
        <f>IF(NOT(ISBLANK(InfoGard!D646)),IF(OR(ISBLANK(InfoGard!E646),InfoGard!E646="N/A"),"no acb code",CONCATENATE(Lookup!F$1,A646,Lookup!G$1,B646,Lookup!H$1,H$1,Lookup!I$1)),"no attestation")</f>
        <v>no attestation</v>
      </c>
      <c r="F646" s="2" t="str">
        <f>IF(AND(NOT(ISBLANK(InfoGard!G646)),InfoGard!G646&lt;&gt;"N/A"),IF(C646="All",CONCATENATE(Lookup!F$2,D646,Lookup!G$2,B646,Lookup!H$2,H$1,Lookup!I$2),CONCATENATE(Lookup!F$3,D646,Lookup!G$3,B646,Lookup!H$3)),"no url")</f>
        <v>no url</v>
      </c>
    </row>
    <row r="647" spans="1:6" hidden="1" x14ac:dyDescent="0.25">
      <c r="A647" s="2" t="b">
        <f>IF(ISBLANK(InfoGard!D647),FALSE,LOOKUP(InfoGard!D647,Lookup!$A$2:$B$4))</f>
        <v>0</v>
      </c>
      <c r="B647" s="2" t="b">
        <f>IF(ISBLANK(InfoGard!E647),FALSE,RIGHT(TRIM(InfoGard!E647),15))</f>
        <v>0</v>
      </c>
      <c r="C647" s="2" t="b">
        <f>IF(ISBLANK(InfoGard!F647),FALSE,LOOKUP(InfoGard!F647,Lookup!$A$6:$B$7))</f>
        <v>0</v>
      </c>
      <c r="D647" s="2" t="b">
        <f>IF(ISBLANK(InfoGard!G647),FALSE,InfoGard!G647)</f>
        <v>0</v>
      </c>
      <c r="E647" s="2" t="str">
        <f>IF(NOT(ISBLANK(InfoGard!D647)),IF(OR(ISBLANK(InfoGard!E647),InfoGard!E647="N/A"),"no acb code",CONCATENATE(Lookup!F$1,A647,Lookup!G$1,B647,Lookup!H$1,H$1,Lookup!I$1)),"no attestation")</f>
        <v>no attestation</v>
      </c>
      <c r="F647" s="2" t="str">
        <f>IF(AND(NOT(ISBLANK(InfoGard!G647)),InfoGard!G647&lt;&gt;"N/A"),IF(C647="All",CONCATENATE(Lookup!F$2,D647,Lookup!G$2,B647,Lookup!H$2,H$1,Lookup!I$2),CONCATENATE(Lookup!F$3,D647,Lookup!G$3,B647,Lookup!H$3)),"no url")</f>
        <v>no url</v>
      </c>
    </row>
    <row r="648" spans="1:6" hidden="1" x14ac:dyDescent="0.25">
      <c r="A648" s="2" t="b">
        <f>IF(ISBLANK(InfoGard!D648),FALSE,LOOKUP(InfoGard!D648,Lookup!$A$2:$B$4))</f>
        <v>0</v>
      </c>
      <c r="B648" s="2" t="b">
        <f>IF(ISBLANK(InfoGard!E648),FALSE,RIGHT(TRIM(InfoGard!E648),15))</f>
        <v>0</v>
      </c>
      <c r="C648" s="2" t="b">
        <f>IF(ISBLANK(InfoGard!F648),FALSE,LOOKUP(InfoGard!F648,Lookup!$A$6:$B$7))</f>
        <v>0</v>
      </c>
      <c r="D648" s="2" t="b">
        <f>IF(ISBLANK(InfoGard!G648),FALSE,InfoGard!G648)</f>
        <v>0</v>
      </c>
      <c r="E648" s="2" t="str">
        <f>IF(NOT(ISBLANK(InfoGard!D648)),IF(OR(ISBLANK(InfoGard!E648),InfoGard!E648="N/A"),"no acb code",CONCATENATE(Lookup!F$1,A648,Lookup!G$1,B648,Lookup!H$1,H$1,Lookup!I$1)),"no attestation")</f>
        <v>no attestation</v>
      </c>
      <c r="F648" s="2" t="str">
        <f>IF(AND(NOT(ISBLANK(InfoGard!G648)),InfoGard!G648&lt;&gt;"N/A"),IF(C648="All",CONCATENATE(Lookup!F$2,D648,Lookup!G$2,B648,Lookup!H$2,H$1,Lookup!I$2),CONCATENATE(Lookup!F$3,D648,Lookup!G$3,B648,Lookup!H$3)),"no url")</f>
        <v>no url</v>
      </c>
    </row>
    <row r="649" spans="1:6" hidden="1" x14ac:dyDescent="0.25">
      <c r="A649" s="2" t="b">
        <f>IF(ISBLANK(InfoGard!D649),FALSE,LOOKUP(InfoGard!D649,Lookup!$A$2:$B$4))</f>
        <v>0</v>
      </c>
      <c r="B649" s="2" t="b">
        <f>IF(ISBLANK(InfoGard!E649),FALSE,RIGHT(TRIM(InfoGard!E649),15))</f>
        <v>0</v>
      </c>
      <c r="C649" s="2" t="b">
        <f>IF(ISBLANK(InfoGard!F649),FALSE,LOOKUP(InfoGard!F649,Lookup!$A$6:$B$7))</f>
        <v>0</v>
      </c>
      <c r="D649" s="2" t="b">
        <f>IF(ISBLANK(InfoGard!G649),FALSE,InfoGard!G649)</f>
        <v>0</v>
      </c>
      <c r="E649" s="2" t="str">
        <f>IF(NOT(ISBLANK(InfoGard!D649)),IF(OR(ISBLANK(InfoGard!E649),InfoGard!E649="N/A"),"no acb code",CONCATENATE(Lookup!F$1,A649,Lookup!G$1,B649,Lookup!H$1,H$1,Lookup!I$1)),"no attestation")</f>
        <v>no attestation</v>
      </c>
      <c r="F649" s="2" t="str">
        <f>IF(AND(NOT(ISBLANK(InfoGard!G649)),InfoGard!G649&lt;&gt;"N/A"),IF(C649="All",CONCATENATE(Lookup!F$2,D649,Lookup!G$2,B649,Lookup!H$2,H$1,Lookup!I$2),CONCATENATE(Lookup!F$3,D649,Lookup!G$3,B649,Lookup!H$3)),"no url")</f>
        <v>no url</v>
      </c>
    </row>
    <row r="650" spans="1:6" hidden="1" x14ac:dyDescent="0.25">
      <c r="A650" s="2" t="b">
        <f>IF(ISBLANK(InfoGard!D650),FALSE,LOOKUP(InfoGard!D650,Lookup!$A$2:$B$4))</f>
        <v>0</v>
      </c>
      <c r="B650" s="2" t="b">
        <f>IF(ISBLANK(InfoGard!E650),FALSE,RIGHT(TRIM(InfoGard!E650),15))</f>
        <v>0</v>
      </c>
      <c r="C650" s="2" t="b">
        <f>IF(ISBLANK(InfoGard!F650),FALSE,LOOKUP(InfoGard!F650,Lookup!$A$6:$B$7))</f>
        <v>0</v>
      </c>
      <c r="D650" s="2" t="b">
        <f>IF(ISBLANK(InfoGard!G650),FALSE,InfoGard!G650)</f>
        <v>0</v>
      </c>
      <c r="E650" s="2" t="str">
        <f>IF(NOT(ISBLANK(InfoGard!D650)),IF(OR(ISBLANK(InfoGard!E650),InfoGard!E650="N/A"),"no acb code",CONCATENATE(Lookup!F$1,A650,Lookup!G$1,B650,Lookup!H$1,H$1,Lookup!I$1)),"no attestation")</f>
        <v>no attestation</v>
      </c>
      <c r="F650" s="2" t="str">
        <f>IF(AND(NOT(ISBLANK(InfoGard!G650)),InfoGard!G650&lt;&gt;"N/A"),IF(C650="All",CONCATENATE(Lookup!F$2,D650,Lookup!G$2,B650,Lookup!H$2,H$1,Lookup!I$2),CONCATENATE(Lookup!F$3,D650,Lookup!G$3,B650,Lookup!H$3)),"no url")</f>
        <v>no url</v>
      </c>
    </row>
    <row r="651" spans="1:6" hidden="1" x14ac:dyDescent="0.25">
      <c r="A651" s="2" t="b">
        <f>IF(ISBLANK(InfoGard!D651),FALSE,LOOKUP(InfoGard!D651,Lookup!$A$2:$B$4))</f>
        <v>0</v>
      </c>
      <c r="B651" s="2" t="b">
        <f>IF(ISBLANK(InfoGard!E651),FALSE,RIGHT(TRIM(InfoGard!E651),15))</f>
        <v>0</v>
      </c>
      <c r="C651" s="2" t="b">
        <f>IF(ISBLANK(InfoGard!F651),FALSE,LOOKUP(InfoGard!F651,Lookup!$A$6:$B$7))</f>
        <v>0</v>
      </c>
      <c r="D651" s="2" t="b">
        <f>IF(ISBLANK(InfoGard!G651),FALSE,InfoGard!G651)</f>
        <v>0</v>
      </c>
      <c r="E651" s="2" t="str">
        <f>IF(NOT(ISBLANK(InfoGard!D651)),IF(OR(ISBLANK(InfoGard!E651),InfoGard!E651="N/A"),"no acb code",CONCATENATE(Lookup!F$1,A651,Lookup!G$1,B651,Lookup!H$1,H$1,Lookup!I$1)),"no attestation")</f>
        <v>no attestation</v>
      </c>
      <c r="F651" s="2" t="str">
        <f>IF(AND(NOT(ISBLANK(InfoGard!G651)),InfoGard!G651&lt;&gt;"N/A"),IF(C651="All",CONCATENATE(Lookup!F$2,D651,Lookup!G$2,B651,Lookup!H$2,H$1,Lookup!I$2),CONCATENATE(Lookup!F$3,D651,Lookup!G$3,B651,Lookup!H$3)),"no url")</f>
        <v>no url</v>
      </c>
    </row>
    <row r="652" spans="1:6" hidden="1" x14ac:dyDescent="0.25">
      <c r="A652" s="2" t="b">
        <f>IF(ISBLANK(InfoGard!D652),FALSE,LOOKUP(InfoGard!D652,Lookup!$A$2:$B$4))</f>
        <v>0</v>
      </c>
      <c r="B652" s="2" t="b">
        <f>IF(ISBLANK(InfoGard!E652),FALSE,RIGHT(TRIM(InfoGard!E652),15))</f>
        <v>0</v>
      </c>
      <c r="C652" s="2" t="b">
        <f>IF(ISBLANK(InfoGard!F652),FALSE,LOOKUP(InfoGard!F652,Lookup!$A$6:$B$7))</f>
        <v>0</v>
      </c>
      <c r="D652" s="2" t="b">
        <f>IF(ISBLANK(InfoGard!G652),FALSE,InfoGard!G652)</f>
        <v>0</v>
      </c>
      <c r="E652" s="2" t="str">
        <f>IF(NOT(ISBLANK(InfoGard!D652)),IF(OR(ISBLANK(InfoGard!E652),InfoGard!E652="N/A"),"no acb code",CONCATENATE(Lookup!F$1,A652,Lookup!G$1,B652,Lookup!H$1,H$1,Lookup!I$1)),"no attestation")</f>
        <v>no attestation</v>
      </c>
      <c r="F652" s="2" t="str">
        <f>IF(AND(NOT(ISBLANK(InfoGard!G652)),InfoGard!G652&lt;&gt;"N/A"),IF(C652="All",CONCATENATE(Lookup!F$2,D652,Lookup!G$2,B652,Lookup!H$2,H$1,Lookup!I$2),CONCATENATE(Lookup!F$3,D652,Lookup!G$3,B652,Lookup!H$3)),"no url")</f>
        <v>no url</v>
      </c>
    </row>
    <row r="653" spans="1:6" hidden="1" x14ac:dyDescent="0.25">
      <c r="A653" s="2" t="b">
        <f>IF(ISBLANK(InfoGard!D653),FALSE,LOOKUP(InfoGard!D653,Lookup!$A$2:$B$4))</f>
        <v>0</v>
      </c>
      <c r="B653" s="2" t="b">
        <f>IF(ISBLANK(InfoGard!E653),FALSE,RIGHT(TRIM(InfoGard!E653),15))</f>
        <v>0</v>
      </c>
      <c r="C653" s="2" t="b">
        <f>IF(ISBLANK(InfoGard!F653),FALSE,LOOKUP(InfoGard!F653,Lookup!$A$6:$B$7))</f>
        <v>0</v>
      </c>
      <c r="D653" s="2" t="b">
        <f>IF(ISBLANK(InfoGard!G653),FALSE,InfoGard!G653)</f>
        <v>0</v>
      </c>
      <c r="E653" s="2" t="str">
        <f>IF(NOT(ISBLANK(InfoGard!D653)),IF(OR(ISBLANK(InfoGard!E653),InfoGard!E653="N/A"),"no acb code",CONCATENATE(Lookup!F$1,A653,Lookup!G$1,B653,Lookup!H$1,H$1,Lookup!I$1)),"no attestation")</f>
        <v>no attestation</v>
      </c>
      <c r="F653" s="2" t="str">
        <f>IF(AND(NOT(ISBLANK(InfoGard!G653)),InfoGard!G653&lt;&gt;"N/A"),IF(C653="All",CONCATENATE(Lookup!F$2,D653,Lookup!G$2,B653,Lookup!H$2,H$1,Lookup!I$2),CONCATENATE(Lookup!F$3,D653,Lookup!G$3,B653,Lookup!H$3)),"no url")</f>
        <v>no url</v>
      </c>
    </row>
    <row r="654" spans="1:6" hidden="1" x14ac:dyDescent="0.25">
      <c r="A654" s="2" t="b">
        <f>IF(ISBLANK(InfoGard!D654),FALSE,LOOKUP(InfoGard!D654,Lookup!$A$2:$B$4))</f>
        <v>0</v>
      </c>
      <c r="B654" s="2" t="b">
        <f>IF(ISBLANK(InfoGard!E654),FALSE,RIGHT(TRIM(InfoGard!E654),15))</f>
        <v>0</v>
      </c>
      <c r="C654" s="2" t="b">
        <f>IF(ISBLANK(InfoGard!F654),FALSE,LOOKUP(InfoGard!F654,Lookup!$A$6:$B$7))</f>
        <v>0</v>
      </c>
      <c r="D654" s="2" t="b">
        <f>IF(ISBLANK(InfoGard!G654),FALSE,InfoGard!G654)</f>
        <v>0</v>
      </c>
      <c r="E654" s="2" t="str">
        <f>IF(NOT(ISBLANK(InfoGard!D654)),IF(OR(ISBLANK(InfoGard!E654),InfoGard!E654="N/A"),"no acb code",CONCATENATE(Lookup!F$1,A654,Lookup!G$1,B654,Lookup!H$1,H$1,Lookup!I$1)),"no attestation")</f>
        <v>no attestation</v>
      </c>
      <c r="F654" s="2" t="str">
        <f>IF(AND(NOT(ISBLANK(InfoGard!G654)),InfoGard!G654&lt;&gt;"N/A"),IF(C654="All",CONCATENATE(Lookup!F$2,D654,Lookup!G$2,B654,Lookup!H$2,H$1,Lookup!I$2),CONCATENATE(Lookup!F$3,D654,Lookup!G$3,B654,Lookup!H$3)),"no url")</f>
        <v>no url</v>
      </c>
    </row>
    <row r="655" spans="1:6" hidden="1" x14ac:dyDescent="0.25">
      <c r="A655" s="2" t="b">
        <f>IF(ISBLANK(InfoGard!D655),FALSE,LOOKUP(InfoGard!D655,Lookup!$A$2:$B$4))</f>
        <v>0</v>
      </c>
      <c r="B655" s="2" t="b">
        <f>IF(ISBLANK(InfoGard!E655),FALSE,RIGHT(TRIM(InfoGard!E655),15))</f>
        <v>0</v>
      </c>
      <c r="C655" s="2" t="b">
        <f>IF(ISBLANK(InfoGard!F655),FALSE,LOOKUP(InfoGard!F655,Lookup!$A$6:$B$7))</f>
        <v>0</v>
      </c>
      <c r="D655" s="2" t="b">
        <f>IF(ISBLANK(InfoGard!G655),FALSE,InfoGard!G655)</f>
        <v>0</v>
      </c>
      <c r="E655" s="2" t="str">
        <f>IF(NOT(ISBLANK(InfoGard!D655)),IF(OR(ISBLANK(InfoGard!E655),InfoGard!E655="N/A"),"no acb code",CONCATENATE(Lookup!F$1,A655,Lookup!G$1,B655,Lookup!H$1,H$1,Lookup!I$1)),"no attestation")</f>
        <v>no attestation</v>
      </c>
      <c r="F655" s="2" t="str">
        <f>IF(AND(NOT(ISBLANK(InfoGard!G655)),InfoGard!G655&lt;&gt;"N/A"),IF(C655="All",CONCATENATE(Lookup!F$2,D655,Lookup!G$2,B655,Lookup!H$2,H$1,Lookup!I$2),CONCATENATE(Lookup!F$3,D655,Lookup!G$3,B655,Lookup!H$3)),"no url")</f>
        <v>no url</v>
      </c>
    </row>
    <row r="656" spans="1:6" hidden="1" x14ac:dyDescent="0.25">
      <c r="A656" s="2" t="b">
        <f>IF(ISBLANK(InfoGard!D656),FALSE,LOOKUP(InfoGard!D656,Lookup!$A$2:$B$4))</f>
        <v>0</v>
      </c>
      <c r="B656" s="2" t="b">
        <f>IF(ISBLANK(InfoGard!E656),FALSE,RIGHT(TRIM(InfoGard!E656),15))</f>
        <v>0</v>
      </c>
      <c r="C656" s="2" t="b">
        <f>IF(ISBLANK(InfoGard!F656),FALSE,LOOKUP(InfoGard!F656,Lookup!$A$6:$B$7))</f>
        <v>0</v>
      </c>
      <c r="D656" s="2" t="b">
        <f>IF(ISBLANK(InfoGard!G656),FALSE,InfoGard!G656)</f>
        <v>0</v>
      </c>
      <c r="E656" s="2" t="str">
        <f>IF(NOT(ISBLANK(InfoGard!D656)),IF(OR(ISBLANK(InfoGard!E656),InfoGard!E656="N/A"),"no acb code",CONCATENATE(Lookup!F$1,A656,Lookup!G$1,B656,Lookup!H$1,H$1,Lookup!I$1)),"no attestation")</f>
        <v>no attestation</v>
      </c>
      <c r="F656" s="2" t="str">
        <f>IF(AND(NOT(ISBLANK(InfoGard!G656)),InfoGard!G656&lt;&gt;"N/A"),IF(C656="All",CONCATENATE(Lookup!F$2,D656,Lookup!G$2,B656,Lookup!H$2,H$1,Lookup!I$2),CONCATENATE(Lookup!F$3,D656,Lookup!G$3,B656,Lookup!H$3)),"no url")</f>
        <v>no url</v>
      </c>
    </row>
    <row r="657" spans="1:6" hidden="1" x14ac:dyDescent="0.25">
      <c r="A657" s="2" t="b">
        <f>IF(ISBLANK(InfoGard!D657),FALSE,LOOKUP(InfoGard!D657,Lookup!$A$2:$B$4))</f>
        <v>0</v>
      </c>
      <c r="B657" s="2" t="b">
        <f>IF(ISBLANK(InfoGard!E657),FALSE,RIGHT(TRIM(InfoGard!E657),15))</f>
        <v>0</v>
      </c>
      <c r="C657" s="2" t="b">
        <f>IF(ISBLANK(InfoGard!F657),FALSE,LOOKUP(InfoGard!F657,Lookup!$A$6:$B$7))</f>
        <v>0</v>
      </c>
      <c r="D657" s="2" t="b">
        <f>IF(ISBLANK(InfoGard!G657),FALSE,InfoGard!G657)</f>
        <v>0</v>
      </c>
      <c r="E657" s="2" t="str">
        <f>IF(NOT(ISBLANK(InfoGard!D657)),IF(OR(ISBLANK(InfoGard!E657),InfoGard!E657="N/A"),"no acb code",CONCATENATE(Lookup!F$1,A657,Lookup!G$1,B657,Lookup!H$1,H$1,Lookup!I$1)),"no attestation")</f>
        <v>no attestation</v>
      </c>
      <c r="F657" s="2" t="str">
        <f>IF(AND(NOT(ISBLANK(InfoGard!G657)),InfoGard!G657&lt;&gt;"N/A"),IF(C657="All",CONCATENATE(Lookup!F$2,D657,Lookup!G$2,B657,Lookup!H$2,H$1,Lookup!I$2),CONCATENATE(Lookup!F$3,D657,Lookup!G$3,B657,Lookup!H$3)),"no url")</f>
        <v>no url</v>
      </c>
    </row>
    <row r="658" spans="1:6" hidden="1" x14ac:dyDescent="0.25">
      <c r="A658" s="2" t="b">
        <f>IF(ISBLANK(InfoGard!D658),FALSE,LOOKUP(InfoGard!D658,Lookup!$A$2:$B$4))</f>
        <v>0</v>
      </c>
      <c r="B658" s="2" t="b">
        <f>IF(ISBLANK(InfoGard!E658),FALSE,RIGHT(TRIM(InfoGard!E658),15))</f>
        <v>0</v>
      </c>
      <c r="C658" s="2" t="b">
        <f>IF(ISBLANK(InfoGard!F658),FALSE,LOOKUP(InfoGard!F658,Lookup!$A$6:$B$7))</f>
        <v>0</v>
      </c>
      <c r="D658" s="2" t="b">
        <f>IF(ISBLANK(InfoGard!G658),FALSE,InfoGard!G658)</f>
        <v>0</v>
      </c>
      <c r="E658" s="2" t="str">
        <f>IF(NOT(ISBLANK(InfoGard!D658)),IF(OR(ISBLANK(InfoGard!E658),InfoGard!E658="N/A"),"no acb code",CONCATENATE(Lookup!F$1,A658,Lookup!G$1,B658,Lookup!H$1,H$1,Lookup!I$1)),"no attestation")</f>
        <v>no attestation</v>
      </c>
      <c r="F658" s="2" t="str">
        <f>IF(AND(NOT(ISBLANK(InfoGard!G658)),InfoGard!G658&lt;&gt;"N/A"),IF(C658="All",CONCATENATE(Lookup!F$2,D658,Lookup!G$2,B658,Lookup!H$2,H$1,Lookup!I$2),CONCATENATE(Lookup!F$3,D658,Lookup!G$3,B658,Lookup!H$3)),"no url")</f>
        <v>no url</v>
      </c>
    </row>
    <row r="659" spans="1:6" hidden="1" x14ac:dyDescent="0.25">
      <c r="A659" s="2" t="b">
        <f>IF(ISBLANK(InfoGard!D659),FALSE,LOOKUP(InfoGard!D659,Lookup!$A$2:$B$4))</f>
        <v>0</v>
      </c>
      <c r="B659" s="2" t="b">
        <f>IF(ISBLANK(InfoGard!E659),FALSE,RIGHT(TRIM(InfoGard!E659),15))</f>
        <v>0</v>
      </c>
      <c r="C659" s="2" t="b">
        <f>IF(ISBLANK(InfoGard!F659),FALSE,LOOKUP(InfoGard!F659,Lookup!$A$6:$B$7))</f>
        <v>0</v>
      </c>
      <c r="D659" s="2" t="b">
        <f>IF(ISBLANK(InfoGard!G659),FALSE,InfoGard!G659)</f>
        <v>0</v>
      </c>
      <c r="E659" s="2" t="str">
        <f>IF(NOT(ISBLANK(InfoGard!D659)),IF(OR(ISBLANK(InfoGard!E659),InfoGard!E659="N/A"),"no acb code",CONCATENATE(Lookup!F$1,A659,Lookup!G$1,B659,Lookup!H$1,H$1,Lookup!I$1)),"no attestation")</f>
        <v>no attestation</v>
      </c>
      <c r="F659" s="2" t="str">
        <f>IF(AND(NOT(ISBLANK(InfoGard!G659)),InfoGard!G659&lt;&gt;"N/A"),IF(C659="All",CONCATENATE(Lookup!F$2,D659,Lookup!G$2,B659,Lookup!H$2,H$1,Lookup!I$2),CONCATENATE(Lookup!F$3,D659,Lookup!G$3,B659,Lookup!H$3)),"no url")</f>
        <v>no url</v>
      </c>
    </row>
    <row r="660" spans="1:6" hidden="1" x14ac:dyDescent="0.25">
      <c r="A660" s="2" t="b">
        <f>IF(ISBLANK(InfoGard!D660),FALSE,LOOKUP(InfoGard!D660,Lookup!$A$2:$B$4))</f>
        <v>0</v>
      </c>
      <c r="B660" s="2" t="b">
        <f>IF(ISBLANK(InfoGard!E660),FALSE,RIGHT(TRIM(InfoGard!E660),15))</f>
        <v>0</v>
      </c>
      <c r="C660" s="2" t="b">
        <f>IF(ISBLANK(InfoGard!F660),FALSE,LOOKUP(InfoGard!F660,Lookup!$A$6:$B$7))</f>
        <v>0</v>
      </c>
      <c r="D660" s="2" t="b">
        <f>IF(ISBLANK(InfoGard!G660),FALSE,InfoGard!G660)</f>
        <v>0</v>
      </c>
      <c r="E660" s="2" t="str">
        <f>IF(NOT(ISBLANK(InfoGard!D660)),IF(OR(ISBLANK(InfoGard!E660),InfoGard!E660="N/A"),"no acb code",CONCATENATE(Lookup!F$1,A660,Lookup!G$1,B660,Lookup!H$1,H$1,Lookup!I$1)),"no attestation")</f>
        <v>no attestation</v>
      </c>
      <c r="F660" s="2" t="str">
        <f>IF(AND(NOT(ISBLANK(InfoGard!G660)),InfoGard!G660&lt;&gt;"N/A"),IF(C660="All",CONCATENATE(Lookup!F$2,D660,Lookup!G$2,B660,Lookup!H$2,H$1,Lookup!I$2),CONCATENATE(Lookup!F$3,D660,Lookup!G$3,B660,Lookup!H$3)),"no url")</f>
        <v>no url</v>
      </c>
    </row>
    <row r="661" spans="1:6" hidden="1" x14ac:dyDescent="0.25">
      <c r="A661" s="2" t="b">
        <f>IF(ISBLANK(InfoGard!D661),FALSE,LOOKUP(InfoGard!D661,Lookup!$A$2:$B$4))</f>
        <v>0</v>
      </c>
      <c r="B661" s="2" t="b">
        <f>IF(ISBLANK(InfoGard!E661),FALSE,RIGHT(TRIM(InfoGard!E661),15))</f>
        <v>0</v>
      </c>
      <c r="C661" s="2" t="b">
        <f>IF(ISBLANK(InfoGard!F661),FALSE,LOOKUP(InfoGard!F661,Lookup!$A$6:$B$7))</f>
        <v>0</v>
      </c>
      <c r="D661" s="2" t="b">
        <f>IF(ISBLANK(InfoGard!G661),FALSE,InfoGard!G661)</f>
        <v>0</v>
      </c>
      <c r="E661" s="2" t="str">
        <f>IF(NOT(ISBLANK(InfoGard!D661)),IF(OR(ISBLANK(InfoGard!E661),InfoGard!E661="N/A"),"no acb code",CONCATENATE(Lookup!F$1,A661,Lookup!G$1,B661,Lookup!H$1,H$1,Lookup!I$1)),"no attestation")</f>
        <v>no attestation</v>
      </c>
      <c r="F661" s="2" t="str">
        <f>IF(AND(NOT(ISBLANK(InfoGard!G661)),InfoGard!G661&lt;&gt;"N/A"),IF(C661="All",CONCATENATE(Lookup!F$2,D661,Lookup!G$2,B661,Lookup!H$2,H$1,Lookup!I$2),CONCATENATE(Lookup!F$3,D661,Lookup!G$3,B661,Lookup!H$3)),"no url")</f>
        <v>no url</v>
      </c>
    </row>
    <row r="662" spans="1:6" hidden="1" x14ac:dyDescent="0.25">
      <c r="A662" s="2" t="b">
        <f>IF(ISBLANK(InfoGard!D662),FALSE,LOOKUP(InfoGard!D662,Lookup!$A$2:$B$4))</f>
        <v>0</v>
      </c>
      <c r="B662" s="2" t="b">
        <f>IF(ISBLANK(InfoGard!E662),FALSE,RIGHT(TRIM(InfoGard!E662),15))</f>
        <v>0</v>
      </c>
      <c r="C662" s="2" t="b">
        <f>IF(ISBLANK(InfoGard!F662),FALSE,LOOKUP(InfoGard!F662,Lookup!$A$6:$B$7))</f>
        <v>0</v>
      </c>
      <c r="D662" s="2" t="b">
        <f>IF(ISBLANK(InfoGard!G662),FALSE,InfoGard!G662)</f>
        <v>0</v>
      </c>
      <c r="E662" s="2" t="str">
        <f>IF(NOT(ISBLANK(InfoGard!D662)),IF(OR(ISBLANK(InfoGard!E662),InfoGard!E662="N/A"),"no acb code",CONCATENATE(Lookup!F$1,A662,Lookup!G$1,B662,Lookup!H$1,H$1,Lookup!I$1)),"no attestation")</f>
        <v>no attestation</v>
      </c>
      <c r="F662" s="2" t="str">
        <f>IF(AND(NOT(ISBLANK(InfoGard!G662)),InfoGard!G662&lt;&gt;"N/A"),IF(C662="All",CONCATENATE(Lookup!F$2,D662,Lookup!G$2,B662,Lookup!H$2,H$1,Lookup!I$2),CONCATENATE(Lookup!F$3,D662,Lookup!G$3,B662,Lookup!H$3)),"no url")</f>
        <v>no url</v>
      </c>
    </row>
    <row r="663" spans="1:6" hidden="1" x14ac:dyDescent="0.25">
      <c r="A663" s="2" t="b">
        <f>IF(ISBLANK(InfoGard!D663),FALSE,LOOKUP(InfoGard!D663,Lookup!$A$2:$B$4))</f>
        <v>0</v>
      </c>
      <c r="B663" s="2" t="b">
        <f>IF(ISBLANK(InfoGard!E663),FALSE,RIGHT(TRIM(InfoGard!E663),15))</f>
        <v>0</v>
      </c>
      <c r="C663" s="2" t="b">
        <f>IF(ISBLANK(InfoGard!F663),FALSE,LOOKUP(InfoGard!F663,Lookup!$A$6:$B$7))</f>
        <v>0</v>
      </c>
      <c r="D663" s="2" t="b">
        <f>IF(ISBLANK(InfoGard!G663),FALSE,InfoGard!G663)</f>
        <v>0</v>
      </c>
      <c r="E663" s="2" t="str">
        <f>IF(NOT(ISBLANK(InfoGard!D663)),IF(OR(ISBLANK(InfoGard!E663),InfoGard!E663="N/A"),"no acb code",CONCATENATE(Lookup!F$1,A663,Lookup!G$1,B663,Lookup!H$1,H$1,Lookup!I$1)),"no attestation")</f>
        <v>no attestation</v>
      </c>
      <c r="F663" s="2" t="str">
        <f>IF(AND(NOT(ISBLANK(InfoGard!G663)),InfoGard!G663&lt;&gt;"N/A"),IF(C663="All",CONCATENATE(Lookup!F$2,D663,Lookup!G$2,B663,Lookup!H$2,H$1,Lookup!I$2),CONCATENATE(Lookup!F$3,D663,Lookup!G$3,B663,Lookup!H$3)),"no url")</f>
        <v>no url</v>
      </c>
    </row>
    <row r="664" spans="1:6" hidden="1" x14ac:dyDescent="0.25">
      <c r="A664" s="2" t="b">
        <f>IF(ISBLANK(InfoGard!D664),FALSE,LOOKUP(InfoGard!D664,Lookup!$A$2:$B$4))</f>
        <v>0</v>
      </c>
      <c r="B664" s="2" t="b">
        <f>IF(ISBLANK(InfoGard!E664),FALSE,RIGHT(TRIM(InfoGard!E664),15))</f>
        <v>0</v>
      </c>
      <c r="C664" s="2" t="b">
        <f>IF(ISBLANK(InfoGard!F664),FALSE,LOOKUP(InfoGard!F664,Lookup!$A$6:$B$7))</f>
        <v>0</v>
      </c>
      <c r="D664" s="2" t="b">
        <f>IF(ISBLANK(InfoGard!G664),FALSE,InfoGard!G664)</f>
        <v>0</v>
      </c>
      <c r="E664" s="2" t="str">
        <f>IF(NOT(ISBLANK(InfoGard!D664)),IF(OR(ISBLANK(InfoGard!E664),InfoGard!E664="N/A"),"no acb code",CONCATENATE(Lookup!F$1,A664,Lookup!G$1,B664,Lookup!H$1,H$1,Lookup!I$1)),"no attestation")</f>
        <v>no attestation</v>
      </c>
      <c r="F664" s="2" t="str">
        <f>IF(AND(NOT(ISBLANK(InfoGard!G664)),InfoGard!G664&lt;&gt;"N/A"),IF(C664="All",CONCATENATE(Lookup!F$2,D664,Lookup!G$2,B664,Lookup!H$2,H$1,Lookup!I$2),CONCATENATE(Lookup!F$3,D664,Lookup!G$3,B664,Lookup!H$3)),"no url")</f>
        <v>no url</v>
      </c>
    </row>
    <row r="665" spans="1:6" hidden="1" x14ac:dyDescent="0.25">
      <c r="A665" s="2" t="b">
        <f>IF(ISBLANK(InfoGard!D665),FALSE,LOOKUP(InfoGard!D665,Lookup!$A$2:$B$4))</f>
        <v>0</v>
      </c>
      <c r="B665" s="2" t="b">
        <f>IF(ISBLANK(InfoGard!E665),FALSE,RIGHT(TRIM(InfoGard!E665),15))</f>
        <v>0</v>
      </c>
      <c r="C665" s="2" t="b">
        <f>IF(ISBLANK(InfoGard!F665),FALSE,LOOKUP(InfoGard!F665,Lookup!$A$6:$B$7))</f>
        <v>0</v>
      </c>
      <c r="D665" s="2" t="b">
        <f>IF(ISBLANK(InfoGard!G665),FALSE,InfoGard!G665)</f>
        <v>0</v>
      </c>
      <c r="E665" s="2" t="str">
        <f>IF(NOT(ISBLANK(InfoGard!D665)),IF(OR(ISBLANK(InfoGard!E665),InfoGard!E665="N/A"),"no acb code",CONCATENATE(Lookup!F$1,A665,Lookup!G$1,B665,Lookup!H$1,H$1,Lookup!I$1)),"no attestation")</f>
        <v>no attestation</v>
      </c>
      <c r="F665" s="2" t="str">
        <f>IF(AND(NOT(ISBLANK(InfoGard!G665)),InfoGard!G665&lt;&gt;"N/A"),IF(C665="All",CONCATENATE(Lookup!F$2,D665,Lookup!G$2,B665,Lookup!H$2,H$1,Lookup!I$2),CONCATENATE(Lookup!F$3,D665,Lookup!G$3,B665,Lookup!H$3)),"no url")</f>
        <v>no url</v>
      </c>
    </row>
    <row r="666" spans="1:6" x14ac:dyDescent="0.25">
      <c r="A666" s="2" t="str">
        <f>IF(ISBLANK(InfoGard!D666),FALSE,LOOKUP(InfoGard!D666,Lookup!$A$2:$B$4))</f>
        <v>Affirmative</v>
      </c>
      <c r="B666" s="2" t="str">
        <f>IF(ISBLANK(InfoGard!E666),FALSE,RIGHT(TRIM(InfoGard!E666),15))</f>
        <v>IG-2397-15-0062</v>
      </c>
      <c r="C666" s="2" t="str">
        <f>IF(ISBLANK(InfoGard!F666),FALSE,LOOKUP(InfoGard!F666,Lookup!$A$6:$B$7))</f>
        <v>All</v>
      </c>
      <c r="D666" s="2" t="str">
        <f>IF(ISBLANK(InfoGard!G666),FALSE,InfoGard!G666)</f>
        <v>http://www.myvisionexpress.com/meaningful-use/</v>
      </c>
      <c r="E666" s="2" t="str">
        <f>IF(NOT(ISBLANK(InfoGard!D666)),IF(OR(ISBLANK(InfoGard!E666),InfoGard!E666="N/A"),"no acb code",CONCATENATE(Lookup!F$1,A666,Lookup!G$1,B666,Lookup!H$1,H$1,Lookup!I$1)),"no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'IG-2397-15-0062' and cb."name" = 'InfoGard' and cp.product_version_id = pv.product_version_id and pv.product_id = p.product_id and p.vendor_id = vend.vendor_id;</v>
      </c>
      <c r="F666" s="2" t="str">
        <f>IF(AND(NOT(ISBLANK(InfoGard!G666)),InfoGard!G666&lt;&gt;"N/A"),IF(C666="All",CONCATENATE(Lookup!F$2,D666,Lookup!G$2,B666,Lookup!H$2,H$1,Lookup!I$2),CONCATENATE(Lookup!F$3,D666,Lookup!G$3,B666,Lookup!H$3)),"no url")</f>
        <v>update openchpl.certified_product as cp set transparency_attestation_url = 'http://www.myvisionexpress.com/meaningful-use/' from (select certified_product_id from (select vend.vendor_code from openchpl.certified_product as cp, openchpl.product_version as pv, openchpl.product as p, openchpl.vendor as vend where cp.acb_certification_id = 'IG-2397-15-0062'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67" spans="1:6" hidden="1" x14ac:dyDescent="0.25">
      <c r="A667" s="2" t="b">
        <f>IF(ISBLANK(InfoGard!D667),FALSE,LOOKUP(InfoGard!D667,Lookup!$A$2:$B$4))</f>
        <v>0</v>
      </c>
      <c r="B667" s="2" t="b">
        <f>IF(ISBLANK(InfoGard!E667),FALSE,RIGHT(TRIM(InfoGard!E667),15))</f>
        <v>0</v>
      </c>
      <c r="C667" s="2" t="b">
        <f>IF(ISBLANK(InfoGard!F667),FALSE,LOOKUP(InfoGard!F667,Lookup!$A$6:$B$7))</f>
        <v>0</v>
      </c>
      <c r="D667" s="2" t="b">
        <f>IF(ISBLANK(InfoGard!G667),FALSE,InfoGard!G667)</f>
        <v>0</v>
      </c>
      <c r="E667" s="2" t="str">
        <f>IF(NOT(ISBLANK(InfoGard!D667)),IF(OR(ISBLANK(InfoGard!E667),InfoGard!E667="N/A"),"no acb code",CONCATENATE(Lookup!F$1,A667,Lookup!G$1,B667,Lookup!H$1,H$1,Lookup!I$1)),"no attestation")</f>
        <v>no attestation</v>
      </c>
      <c r="F667" s="2" t="str">
        <f>IF(AND(NOT(ISBLANK(InfoGard!G667)),InfoGard!G667&lt;&gt;"N/A"),IF(C667="All",CONCATENATE(Lookup!F$2,D667,Lookup!G$2,B667,Lookup!H$2,H$1,Lookup!I$2),CONCATENATE(Lookup!F$3,D667,Lookup!G$3,B667,Lookup!H$3)),"no url")</f>
        <v>no url</v>
      </c>
    </row>
    <row r="668" spans="1:6" hidden="1" x14ac:dyDescent="0.25">
      <c r="A668" s="2" t="b">
        <f>IF(ISBLANK(InfoGard!D668),FALSE,LOOKUP(InfoGard!D668,Lookup!$A$2:$B$4))</f>
        <v>0</v>
      </c>
      <c r="B668" s="2" t="b">
        <f>IF(ISBLANK(InfoGard!E668),FALSE,RIGHT(TRIM(InfoGard!E668),15))</f>
        <v>0</v>
      </c>
      <c r="C668" s="2" t="b">
        <f>IF(ISBLANK(InfoGard!F668),FALSE,LOOKUP(InfoGard!F668,Lookup!$A$6:$B$7))</f>
        <v>0</v>
      </c>
      <c r="D668" s="2" t="b">
        <f>IF(ISBLANK(InfoGard!G668),FALSE,InfoGard!G668)</f>
        <v>0</v>
      </c>
      <c r="E668" s="2" t="str">
        <f>IF(NOT(ISBLANK(InfoGard!D668)),IF(OR(ISBLANK(InfoGard!E668),InfoGard!E668="N/A"),"no acb code",CONCATENATE(Lookup!F$1,A668,Lookup!G$1,B668,Lookup!H$1,H$1,Lookup!I$1)),"no attestation")</f>
        <v>no attestation</v>
      </c>
      <c r="F668" s="2" t="str">
        <f>IF(AND(NOT(ISBLANK(InfoGard!G668)),InfoGard!G668&lt;&gt;"N/A"),IF(C668="All",CONCATENATE(Lookup!F$2,D668,Lookup!G$2,B668,Lookup!H$2,H$1,Lookup!I$2),CONCATENATE(Lookup!F$3,D668,Lookup!G$3,B668,Lookup!H$3)),"no url")</f>
        <v>no url</v>
      </c>
    </row>
    <row r="669" spans="1:6" x14ac:dyDescent="0.25">
      <c r="A669" s="2" t="str">
        <f>IF(ISBLANK(InfoGard!D669),FALSE,LOOKUP(InfoGard!D669,Lookup!$A$2:$B$4))</f>
        <v>Affirmative</v>
      </c>
      <c r="B669" s="2" t="str">
        <f>IF(ISBLANK(InfoGard!E669),FALSE,RIGHT(TRIM(InfoGard!E669),15))</f>
        <v>IG-2552-14-0099</v>
      </c>
      <c r="C669" s="2" t="str">
        <f>IF(ISBLANK(InfoGard!F669),FALSE,LOOKUP(InfoGard!F669,Lookup!$A$6:$B$7))</f>
        <v>All</v>
      </c>
      <c r="D669" s="2" t="str">
        <f>IF(ISBLANK(InfoGard!G669),FALSE,InfoGard!G669)</f>
        <v>http://www.oncalldata.com/oncalldata/mumain.jsp</v>
      </c>
      <c r="E669" s="2" t="str">
        <f>IF(NOT(ISBLANK(InfoGard!D669)),IF(OR(ISBLANK(InfoGard!E669),InfoGard!E669="N/A"),"no acb code",CONCATENATE(Lookup!F$1,A669,Lookup!G$1,B669,Lookup!H$1,H$1,Lookup!I$1)),"no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'IG-2552-14-0099' and cb."name" = 'InfoGard' and cp.product_version_id = pv.product_version_id and pv.product_id = p.product_id and p.vendor_id = vend.vendor_id;</v>
      </c>
      <c r="F669" s="2" t="str">
        <f>IF(AND(NOT(ISBLANK(InfoGard!G669)),InfoGard!G669&lt;&gt;"N/A"),IF(C669="All",CONCATENATE(Lookup!F$2,D669,Lookup!G$2,B669,Lookup!H$2,H$1,Lookup!I$2),CONCATENATE(Lookup!F$3,D669,Lookup!G$3,B669,Lookup!H$3)),"no url")</f>
        <v>update openchpl.certified_product as cp set transparency_attestation_url = 'http://www.oncalldata.com/oncalldata/mumain.jsp' from (select certified_product_id from (select vend.vendor_code from openchpl.certified_product as cp, openchpl.product_version as pv, openchpl.product as p, openchpl.vendor as vend where cp.acb_certification_id = 'IG-2552-14-0099'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70" spans="1:6" hidden="1" x14ac:dyDescent="0.25">
      <c r="A670" s="2" t="b">
        <f>IF(ISBLANK(InfoGard!D670),FALSE,LOOKUP(InfoGard!D670,Lookup!$A$2:$B$4))</f>
        <v>0</v>
      </c>
      <c r="B670" s="2" t="b">
        <f>IF(ISBLANK(InfoGard!E670),FALSE,RIGHT(TRIM(InfoGard!E670),15))</f>
        <v>0</v>
      </c>
      <c r="C670" s="2" t="b">
        <f>IF(ISBLANK(InfoGard!F670),FALSE,LOOKUP(InfoGard!F670,Lookup!$A$6:$B$7))</f>
        <v>0</v>
      </c>
      <c r="D670" s="2" t="b">
        <f>IF(ISBLANK(InfoGard!G670),FALSE,InfoGard!G670)</f>
        <v>0</v>
      </c>
      <c r="E670" s="2" t="str">
        <f>IF(NOT(ISBLANK(InfoGard!D670)),IF(OR(ISBLANK(InfoGard!E670),InfoGard!E670="N/A"),"no acb code",CONCATENATE(Lookup!F$1,A670,Lookup!G$1,B670,Lookup!H$1,H$1,Lookup!I$1)),"no attestation")</f>
        <v>no attestation</v>
      </c>
      <c r="F670" s="2" t="str">
        <f>IF(AND(NOT(ISBLANK(InfoGard!G670)),InfoGard!G670&lt;&gt;"N/A"),IF(C670="All",CONCATENATE(Lookup!F$2,D670,Lookup!G$2,B670,Lookup!H$2,H$1,Lookup!I$2),CONCATENATE(Lookup!F$3,D670,Lookup!G$3,B670,Lookup!H$3)),"no url")</f>
        <v>no url</v>
      </c>
    </row>
    <row r="671" spans="1:6" x14ac:dyDescent="0.25">
      <c r="A671" s="2" t="str">
        <f>IF(ISBLANK(InfoGard!D671),FALSE,LOOKUP(InfoGard!D671,Lookup!$A$2:$B$4))</f>
        <v>Affirmative</v>
      </c>
      <c r="B671" s="2" t="str">
        <f>IF(ISBLANK(InfoGard!E671),FALSE,RIGHT(TRIM(InfoGard!E671),15))</f>
        <v>IG-3282-15-0026</v>
      </c>
      <c r="C671" s="2" t="str">
        <f>IF(ISBLANK(InfoGard!F671),FALSE,LOOKUP(InfoGard!F671,Lookup!$A$6:$B$7))</f>
        <v>All</v>
      </c>
      <c r="D671" s="2" t="str">
        <f>IF(ISBLANK(InfoGard!G671),FALSE,InfoGard!G671)</f>
        <v xml:space="preserve">http://insynchcs.com/meaningful-use-certification.html </v>
      </c>
      <c r="E671" s="2" t="str">
        <f>IF(NOT(ISBLANK(InfoGard!D671)),IF(OR(ISBLANK(InfoGard!E671),InfoGard!E671="N/A"),"no acb code",CONCATENATE(Lookup!F$1,A671,Lookup!G$1,B671,Lookup!H$1,H$1,Lookup!I$1)),"no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'IG-3282-15-0026' and cb."name" = 'InfoGard' and cp.product_version_id = pv.product_version_id and pv.product_id = p.product_id and p.vendor_id = vend.vendor_id;</v>
      </c>
      <c r="F671" s="2" t="str">
        <f>IF(AND(NOT(ISBLANK(InfoGard!G671)),InfoGard!G671&lt;&gt;"N/A"),IF(C671="All",CONCATENATE(Lookup!F$2,D671,Lookup!G$2,B671,Lookup!H$2,H$1,Lookup!I$2),CONCATENATE(Lookup!F$3,D671,Lookup!G$3,B671,Lookup!H$3)),"no url")</f>
        <v>update openchpl.certified_product as cp set transparency_attestation_url = 'http://insynchcs.com/meaningful-use-certification.html ' from (select certified_product_id from (select vend.vendor_code from openchpl.certified_product as cp, openchpl.product_version as pv, openchpl.product as p, openchpl.vendor as vend where cp.acb_certification_id = 'IG-3282-15-0026'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72" spans="1:6" hidden="1" x14ac:dyDescent="0.25">
      <c r="A672" s="2" t="b">
        <f>IF(ISBLANK(InfoGard!D672),FALSE,LOOKUP(InfoGard!D672,Lookup!$A$2:$B$4))</f>
        <v>0</v>
      </c>
      <c r="B672" s="2" t="b">
        <f>IF(ISBLANK(InfoGard!E672),FALSE,RIGHT(TRIM(InfoGard!E672),15))</f>
        <v>0</v>
      </c>
      <c r="C672" s="2" t="b">
        <f>IF(ISBLANK(InfoGard!F672),FALSE,LOOKUP(InfoGard!F672,Lookup!$A$6:$B$7))</f>
        <v>0</v>
      </c>
      <c r="D672" s="2" t="b">
        <f>IF(ISBLANK(InfoGard!G672),FALSE,InfoGard!G672)</f>
        <v>0</v>
      </c>
      <c r="E672" s="2" t="str">
        <f>IF(NOT(ISBLANK(InfoGard!D672)),IF(OR(ISBLANK(InfoGard!E672),InfoGard!E672="N/A"),"no acb code",CONCATENATE(Lookup!F$1,A672,Lookup!G$1,B672,Lookup!H$1,H$1,Lookup!I$1)),"no attestation")</f>
        <v>no attestation</v>
      </c>
      <c r="F672" s="2" t="str">
        <f>IF(AND(NOT(ISBLANK(InfoGard!G672)),InfoGard!G672&lt;&gt;"N/A"),IF(C672="All",CONCATENATE(Lookup!F$2,D672,Lookup!G$2,B672,Lookup!H$2,H$1,Lookup!I$2),CONCATENATE(Lookup!F$3,D672,Lookup!G$3,B672,Lookup!H$3)),"no url")</f>
        <v>no url</v>
      </c>
    </row>
    <row r="673" spans="1:6" hidden="1" x14ac:dyDescent="0.25">
      <c r="A673" s="2" t="b">
        <f>IF(ISBLANK(InfoGard!D673),FALSE,LOOKUP(InfoGard!D673,Lookup!$A$2:$B$4))</f>
        <v>0</v>
      </c>
      <c r="B673" s="2" t="b">
        <f>IF(ISBLANK(InfoGard!E673),FALSE,RIGHT(TRIM(InfoGard!E673),15))</f>
        <v>0</v>
      </c>
      <c r="C673" s="2" t="b">
        <f>IF(ISBLANK(InfoGard!F673),FALSE,LOOKUP(InfoGard!F673,Lookup!$A$6:$B$7))</f>
        <v>0</v>
      </c>
      <c r="D673" s="2" t="b">
        <f>IF(ISBLANK(InfoGard!G673),FALSE,InfoGard!G673)</f>
        <v>0</v>
      </c>
      <c r="E673" s="2" t="str">
        <f>IF(NOT(ISBLANK(InfoGard!D673)),IF(OR(ISBLANK(InfoGard!E673),InfoGard!E673="N/A"),"no acb code",CONCATENATE(Lookup!F$1,A673,Lookup!G$1,B673,Lookup!H$1,H$1,Lookup!I$1)),"no attestation")</f>
        <v>no attestation</v>
      </c>
      <c r="F673" s="2" t="str">
        <f>IF(AND(NOT(ISBLANK(InfoGard!G673)),InfoGard!G673&lt;&gt;"N/A"),IF(C673="All",CONCATENATE(Lookup!F$2,D673,Lookup!G$2,B673,Lookup!H$2,H$1,Lookup!I$2),CONCATENATE(Lookup!F$3,D673,Lookup!G$3,B673,Lookup!H$3)),"no url")</f>
        <v>no url</v>
      </c>
    </row>
    <row r="674" spans="1:6" hidden="1" x14ac:dyDescent="0.25">
      <c r="A674" s="2" t="b">
        <f>IF(ISBLANK(InfoGard!D674),FALSE,LOOKUP(InfoGard!D674,Lookup!$A$2:$B$4))</f>
        <v>0</v>
      </c>
      <c r="B674" s="2" t="b">
        <f>IF(ISBLANK(InfoGard!E674),FALSE,RIGHT(TRIM(InfoGard!E674),15))</f>
        <v>0</v>
      </c>
      <c r="C674" s="2" t="b">
        <f>IF(ISBLANK(InfoGard!F674),FALSE,LOOKUP(InfoGard!F674,Lookup!$A$6:$B$7))</f>
        <v>0</v>
      </c>
      <c r="D674" s="2" t="b">
        <f>IF(ISBLANK(InfoGard!G674),FALSE,InfoGard!G674)</f>
        <v>0</v>
      </c>
      <c r="E674" s="2" t="str">
        <f>IF(NOT(ISBLANK(InfoGard!D674)),IF(OR(ISBLANK(InfoGard!E674),InfoGard!E674="N/A"),"no acb code",CONCATENATE(Lookup!F$1,A674,Lookup!G$1,B674,Lookup!H$1,H$1,Lookup!I$1)),"no attestation")</f>
        <v>no attestation</v>
      </c>
      <c r="F674" s="2" t="str">
        <f>IF(AND(NOT(ISBLANK(InfoGard!G674)),InfoGard!G674&lt;&gt;"N/A"),IF(C674="All",CONCATENATE(Lookup!F$2,D674,Lookup!G$2,B674,Lookup!H$2,H$1,Lookup!I$2),CONCATENATE(Lookup!F$3,D674,Lookup!G$3,B674,Lookup!H$3)),"no url")</f>
        <v>no url</v>
      </c>
    </row>
    <row r="675" spans="1:6" hidden="1" x14ac:dyDescent="0.25">
      <c r="A675" s="2" t="b">
        <f>IF(ISBLANK(InfoGard!D675),FALSE,LOOKUP(InfoGard!D675,Lookup!$A$2:$B$4))</f>
        <v>0</v>
      </c>
      <c r="B675" s="2" t="b">
        <f>IF(ISBLANK(InfoGard!E675),FALSE,RIGHT(TRIM(InfoGard!E675),15))</f>
        <v>0</v>
      </c>
      <c r="C675" s="2" t="b">
        <f>IF(ISBLANK(InfoGard!F675),FALSE,LOOKUP(InfoGard!F675,Lookup!$A$6:$B$7))</f>
        <v>0</v>
      </c>
      <c r="D675" s="2" t="b">
        <f>IF(ISBLANK(InfoGard!G675),FALSE,InfoGard!G675)</f>
        <v>0</v>
      </c>
      <c r="E675" s="2" t="str">
        <f>IF(NOT(ISBLANK(InfoGard!D675)),IF(OR(ISBLANK(InfoGard!E675),InfoGard!E675="N/A"),"no acb code",CONCATENATE(Lookup!F$1,A675,Lookup!G$1,B675,Lookup!H$1,H$1,Lookup!I$1)),"no attestation")</f>
        <v>no attestation</v>
      </c>
      <c r="F675" s="2" t="str">
        <f>IF(AND(NOT(ISBLANK(InfoGard!G675)),InfoGard!G675&lt;&gt;"N/A"),IF(C675="All",CONCATENATE(Lookup!F$2,D675,Lookup!G$2,B675,Lookup!H$2,H$1,Lookup!I$2),CONCATENATE(Lookup!F$3,D675,Lookup!G$3,B675,Lookup!H$3)),"no url")</f>
        <v>no url</v>
      </c>
    </row>
    <row r="676" spans="1:6" hidden="1" x14ac:dyDescent="0.25">
      <c r="A676" s="2" t="b">
        <f>IF(ISBLANK(InfoGard!D676),FALSE,LOOKUP(InfoGard!D676,Lookup!$A$2:$B$4))</f>
        <v>0</v>
      </c>
      <c r="B676" s="2" t="b">
        <f>IF(ISBLANK(InfoGard!E676),FALSE,RIGHT(TRIM(InfoGard!E676),15))</f>
        <v>0</v>
      </c>
      <c r="C676" s="2" t="b">
        <f>IF(ISBLANK(InfoGard!F676),FALSE,LOOKUP(InfoGard!F676,Lookup!$A$6:$B$7))</f>
        <v>0</v>
      </c>
      <c r="D676" s="2" t="b">
        <f>IF(ISBLANK(InfoGard!G676),FALSE,InfoGard!G676)</f>
        <v>0</v>
      </c>
      <c r="E676" s="2" t="str">
        <f>IF(NOT(ISBLANK(InfoGard!D676)),IF(OR(ISBLANK(InfoGard!E676),InfoGard!E676="N/A"),"no acb code",CONCATENATE(Lookup!F$1,A676,Lookup!G$1,B676,Lookup!H$1,H$1,Lookup!I$1)),"no attestation")</f>
        <v>no attestation</v>
      </c>
      <c r="F676" s="2" t="str">
        <f>IF(AND(NOT(ISBLANK(InfoGard!G676)),InfoGard!G676&lt;&gt;"N/A"),IF(C676="All",CONCATENATE(Lookup!F$2,D676,Lookup!G$2,B676,Lookup!H$2,H$1,Lookup!I$2),CONCATENATE(Lookup!F$3,D676,Lookup!G$3,B676,Lookup!H$3)),"no url")</f>
        <v>no url</v>
      </c>
    </row>
    <row r="677" spans="1:6" hidden="1" x14ac:dyDescent="0.25">
      <c r="A677" s="2" t="b">
        <f>IF(ISBLANK(InfoGard!D677),FALSE,LOOKUP(InfoGard!D677,Lookup!$A$2:$B$4))</f>
        <v>0</v>
      </c>
      <c r="B677" s="2" t="b">
        <f>IF(ISBLANK(InfoGard!E677),FALSE,RIGHT(TRIM(InfoGard!E677),15))</f>
        <v>0</v>
      </c>
      <c r="C677" s="2" t="b">
        <f>IF(ISBLANK(InfoGard!F677),FALSE,LOOKUP(InfoGard!F677,Lookup!$A$6:$B$7))</f>
        <v>0</v>
      </c>
      <c r="D677" s="2" t="b">
        <f>IF(ISBLANK(InfoGard!G677),FALSE,InfoGard!G677)</f>
        <v>0</v>
      </c>
      <c r="E677" s="2" t="str">
        <f>IF(NOT(ISBLANK(InfoGard!D677)),IF(OR(ISBLANK(InfoGard!E677),InfoGard!E677="N/A"),"no acb code",CONCATENATE(Lookup!F$1,A677,Lookup!G$1,B677,Lookup!H$1,H$1,Lookup!I$1)),"no attestation")</f>
        <v>no attestation</v>
      </c>
      <c r="F677" s="2" t="str">
        <f>IF(AND(NOT(ISBLANK(InfoGard!G677)),InfoGard!G677&lt;&gt;"N/A"),IF(C677="All",CONCATENATE(Lookup!F$2,D677,Lookup!G$2,B677,Lookup!H$2,H$1,Lookup!I$2),CONCATENATE(Lookup!F$3,D677,Lookup!G$3,B677,Lookup!H$3)),"no url")</f>
        <v>no url</v>
      </c>
    </row>
    <row r="678" spans="1:6" hidden="1" x14ac:dyDescent="0.25">
      <c r="A678" s="2" t="b">
        <f>IF(ISBLANK(InfoGard!D678),FALSE,LOOKUP(InfoGard!D678,Lookup!$A$2:$B$4))</f>
        <v>0</v>
      </c>
      <c r="B678" s="2" t="b">
        <f>IF(ISBLANK(InfoGard!E678),FALSE,RIGHT(TRIM(InfoGard!E678),15))</f>
        <v>0</v>
      </c>
      <c r="C678" s="2" t="b">
        <f>IF(ISBLANK(InfoGard!F678),FALSE,LOOKUP(InfoGard!F678,Lookup!$A$6:$B$7))</f>
        <v>0</v>
      </c>
      <c r="D678" s="2" t="b">
        <f>IF(ISBLANK(InfoGard!G678),FALSE,InfoGard!G678)</f>
        <v>0</v>
      </c>
      <c r="E678" s="2" t="str">
        <f>IF(NOT(ISBLANK(InfoGard!D678)),IF(OR(ISBLANK(InfoGard!E678),InfoGard!E678="N/A"),"no acb code",CONCATENATE(Lookup!F$1,A678,Lookup!G$1,B678,Lookup!H$1,H$1,Lookup!I$1)),"no attestation")</f>
        <v>no attestation</v>
      </c>
      <c r="F678" s="2" t="str">
        <f>IF(AND(NOT(ISBLANK(InfoGard!G678)),InfoGard!G678&lt;&gt;"N/A"),IF(C678="All",CONCATENATE(Lookup!F$2,D678,Lookup!G$2,B678,Lookup!H$2,H$1,Lookup!I$2),CONCATENATE(Lookup!F$3,D678,Lookup!G$3,B678,Lookup!H$3)),"no url")</f>
        <v>no url</v>
      </c>
    </row>
    <row r="679" spans="1:6" hidden="1" x14ac:dyDescent="0.25">
      <c r="A679" s="2" t="b">
        <f>IF(ISBLANK(InfoGard!D679),FALSE,LOOKUP(InfoGard!D679,Lookup!$A$2:$B$4))</f>
        <v>0</v>
      </c>
      <c r="B679" s="2" t="b">
        <f>IF(ISBLANK(InfoGard!E679),FALSE,RIGHT(TRIM(InfoGard!E679),15))</f>
        <v>0</v>
      </c>
      <c r="C679" s="2" t="b">
        <f>IF(ISBLANK(InfoGard!F679),FALSE,LOOKUP(InfoGard!F679,Lookup!$A$6:$B$7))</f>
        <v>0</v>
      </c>
      <c r="D679" s="2" t="b">
        <f>IF(ISBLANK(InfoGard!G679),FALSE,InfoGard!G679)</f>
        <v>0</v>
      </c>
      <c r="E679" s="2" t="str">
        <f>IF(NOT(ISBLANK(InfoGard!D679)),IF(OR(ISBLANK(InfoGard!E679),InfoGard!E679="N/A"),"no acb code",CONCATENATE(Lookup!F$1,A679,Lookup!G$1,B679,Lookup!H$1,H$1,Lookup!I$1)),"no attestation")</f>
        <v>no attestation</v>
      </c>
      <c r="F679" s="2" t="str">
        <f>IF(AND(NOT(ISBLANK(InfoGard!G679)),InfoGard!G679&lt;&gt;"N/A"),IF(C679="All",CONCATENATE(Lookup!F$2,D679,Lookup!G$2,B679,Lookup!H$2,H$1,Lookup!I$2),CONCATENATE(Lookup!F$3,D679,Lookup!G$3,B679,Lookup!H$3)),"no url")</f>
        <v>no url</v>
      </c>
    </row>
    <row r="680" spans="1:6" hidden="1" x14ac:dyDescent="0.25">
      <c r="A680" s="2" t="b">
        <f>IF(ISBLANK(InfoGard!D680),FALSE,LOOKUP(InfoGard!D680,Lookup!$A$2:$B$4))</f>
        <v>0</v>
      </c>
      <c r="B680" s="2" t="b">
        <f>IF(ISBLANK(InfoGard!E680),FALSE,RIGHT(TRIM(InfoGard!E680),15))</f>
        <v>0</v>
      </c>
      <c r="C680" s="2" t="b">
        <f>IF(ISBLANK(InfoGard!F680),FALSE,LOOKUP(InfoGard!F680,Lookup!$A$6:$B$7))</f>
        <v>0</v>
      </c>
      <c r="D680" s="2" t="b">
        <f>IF(ISBLANK(InfoGard!G680),FALSE,InfoGard!G680)</f>
        <v>0</v>
      </c>
      <c r="E680" s="2" t="str">
        <f>IF(NOT(ISBLANK(InfoGard!D680)),IF(OR(ISBLANK(InfoGard!E680),InfoGard!E680="N/A"),"no acb code",CONCATENATE(Lookup!F$1,A680,Lookup!G$1,B680,Lookup!H$1,H$1,Lookup!I$1)),"no attestation")</f>
        <v>no attestation</v>
      </c>
      <c r="F680" s="2" t="str">
        <f>IF(AND(NOT(ISBLANK(InfoGard!G680)),InfoGard!G680&lt;&gt;"N/A"),IF(C680="All",CONCATENATE(Lookup!F$2,D680,Lookup!G$2,B680,Lookup!H$2,H$1,Lookup!I$2),CONCATENATE(Lookup!F$3,D680,Lookup!G$3,B680,Lookup!H$3)),"no url")</f>
        <v>no url</v>
      </c>
    </row>
    <row r="681" spans="1:6" hidden="1" x14ac:dyDescent="0.25">
      <c r="A681" s="2" t="b">
        <f>IF(ISBLANK(InfoGard!D681),FALSE,LOOKUP(InfoGard!D681,Lookup!$A$2:$B$4))</f>
        <v>0</v>
      </c>
      <c r="B681" s="2" t="b">
        <f>IF(ISBLANK(InfoGard!E681),FALSE,RIGHT(TRIM(InfoGard!E681),15))</f>
        <v>0</v>
      </c>
      <c r="C681" s="2" t="b">
        <f>IF(ISBLANK(InfoGard!F681),FALSE,LOOKUP(InfoGard!F681,Lookup!$A$6:$B$7))</f>
        <v>0</v>
      </c>
      <c r="D681" s="2" t="b">
        <f>IF(ISBLANK(InfoGard!G681),FALSE,InfoGard!G681)</f>
        <v>0</v>
      </c>
      <c r="E681" s="2" t="str">
        <f>IF(NOT(ISBLANK(InfoGard!D681)),IF(OR(ISBLANK(InfoGard!E681),InfoGard!E681="N/A"),"no acb code",CONCATENATE(Lookup!F$1,A681,Lookup!G$1,B681,Lookup!H$1,H$1,Lookup!I$1)),"no attestation")</f>
        <v>no attestation</v>
      </c>
      <c r="F681" s="2" t="str">
        <f>IF(AND(NOT(ISBLANK(InfoGard!G681)),InfoGard!G681&lt;&gt;"N/A"),IF(C681="All",CONCATENATE(Lookup!F$2,D681,Lookup!G$2,B681,Lookup!H$2,H$1,Lookup!I$2),CONCATENATE(Lookup!F$3,D681,Lookup!G$3,B681,Lookup!H$3)),"no url")</f>
        <v>no url</v>
      </c>
    </row>
    <row r="682" spans="1:6" hidden="1" x14ac:dyDescent="0.25">
      <c r="A682" s="2" t="b">
        <f>IF(ISBLANK(InfoGard!D682),FALSE,LOOKUP(InfoGard!D682,Lookup!$A$2:$B$4))</f>
        <v>0</v>
      </c>
      <c r="B682" s="2" t="b">
        <f>IF(ISBLANK(InfoGard!E682),FALSE,RIGHT(TRIM(InfoGard!E682),15))</f>
        <v>0</v>
      </c>
      <c r="C682" s="2" t="b">
        <f>IF(ISBLANK(InfoGard!F682),FALSE,LOOKUP(InfoGard!F682,Lookup!$A$6:$B$7))</f>
        <v>0</v>
      </c>
      <c r="D682" s="2" t="b">
        <f>IF(ISBLANK(InfoGard!G682),FALSE,InfoGard!G682)</f>
        <v>0</v>
      </c>
      <c r="E682" s="2" t="str">
        <f>IF(NOT(ISBLANK(InfoGard!D682)),IF(OR(ISBLANK(InfoGard!E682),InfoGard!E682="N/A"),"no acb code",CONCATENATE(Lookup!F$1,A682,Lookup!G$1,B682,Lookup!H$1,H$1,Lookup!I$1)),"no attestation")</f>
        <v>no attestation</v>
      </c>
      <c r="F682" s="2" t="str">
        <f>IF(AND(NOT(ISBLANK(InfoGard!G682)),InfoGard!G682&lt;&gt;"N/A"),IF(C682="All",CONCATENATE(Lookup!F$2,D682,Lookup!G$2,B682,Lookup!H$2,H$1,Lookup!I$2),CONCATENATE(Lookup!F$3,D682,Lookup!G$3,B682,Lookup!H$3)),"no url")</f>
        <v>no url</v>
      </c>
    </row>
    <row r="683" spans="1:6" hidden="1" x14ac:dyDescent="0.25">
      <c r="A683" s="2" t="b">
        <f>IF(ISBLANK(InfoGard!D683),FALSE,LOOKUP(InfoGard!D683,Lookup!$A$2:$B$4))</f>
        <v>0</v>
      </c>
      <c r="B683" s="2" t="b">
        <f>IF(ISBLANK(InfoGard!E683),FALSE,RIGHT(TRIM(InfoGard!E683),15))</f>
        <v>0</v>
      </c>
      <c r="C683" s="2" t="b">
        <f>IF(ISBLANK(InfoGard!F683),FALSE,LOOKUP(InfoGard!F683,Lookup!$A$6:$B$7))</f>
        <v>0</v>
      </c>
      <c r="D683" s="2" t="b">
        <f>IF(ISBLANK(InfoGard!G683),FALSE,InfoGard!G683)</f>
        <v>0</v>
      </c>
      <c r="E683" s="2" t="str">
        <f>IF(NOT(ISBLANK(InfoGard!D683)),IF(OR(ISBLANK(InfoGard!E683),InfoGard!E683="N/A"),"no acb code",CONCATENATE(Lookup!F$1,A683,Lookup!G$1,B683,Lookup!H$1,H$1,Lookup!I$1)),"no attestation")</f>
        <v>no attestation</v>
      </c>
      <c r="F683" s="2" t="str">
        <f>IF(AND(NOT(ISBLANK(InfoGard!G683)),InfoGard!G683&lt;&gt;"N/A"),IF(C683="All",CONCATENATE(Lookup!F$2,D683,Lookup!G$2,B683,Lookup!H$2,H$1,Lookup!I$2),CONCATENATE(Lookup!F$3,D683,Lookup!G$3,B683,Lookup!H$3)),"no url")</f>
        <v>no url</v>
      </c>
    </row>
    <row r="684" spans="1:6" hidden="1" x14ac:dyDescent="0.25">
      <c r="A684" s="2" t="b">
        <f>IF(ISBLANK(InfoGard!D684),FALSE,LOOKUP(InfoGard!D684,Lookup!$A$2:$B$4))</f>
        <v>0</v>
      </c>
      <c r="B684" s="2" t="b">
        <f>IF(ISBLANK(InfoGard!E684),FALSE,RIGHT(TRIM(InfoGard!E684),15))</f>
        <v>0</v>
      </c>
      <c r="C684" s="2" t="b">
        <f>IF(ISBLANK(InfoGard!F684),FALSE,LOOKUP(InfoGard!F684,Lookup!$A$6:$B$7))</f>
        <v>0</v>
      </c>
      <c r="D684" s="2" t="b">
        <f>IF(ISBLANK(InfoGard!G684),FALSE,InfoGard!G684)</f>
        <v>0</v>
      </c>
      <c r="E684" s="2" t="str">
        <f>IF(NOT(ISBLANK(InfoGard!D684)),IF(OR(ISBLANK(InfoGard!E684),InfoGard!E684="N/A"),"no acb code",CONCATENATE(Lookup!F$1,A684,Lookup!G$1,B684,Lookup!H$1,H$1,Lookup!I$1)),"no attestation")</f>
        <v>no attestation</v>
      </c>
      <c r="F684" s="2" t="str">
        <f>IF(AND(NOT(ISBLANK(InfoGard!G684)),InfoGard!G684&lt;&gt;"N/A"),IF(C684="All",CONCATENATE(Lookup!F$2,D684,Lookup!G$2,B684,Lookup!H$2,H$1,Lookup!I$2),CONCATENATE(Lookup!F$3,D684,Lookup!G$3,B684,Lookup!H$3)),"no url")</f>
        <v>no url</v>
      </c>
    </row>
    <row r="685" spans="1:6" hidden="1" x14ac:dyDescent="0.25">
      <c r="A685" s="2" t="b">
        <f>IF(ISBLANK(InfoGard!D685),FALSE,LOOKUP(InfoGard!D685,Lookup!$A$2:$B$4))</f>
        <v>0</v>
      </c>
      <c r="B685" s="2" t="b">
        <f>IF(ISBLANK(InfoGard!E685),FALSE,RIGHT(TRIM(InfoGard!E685),15))</f>
        <v>0</v>
      </c>
      <c r="C685" s="2" t="b">
        <f>IF(ISBLANK(InfoGard!F685),FALSE,LOOKUP(InfoGard!F685,Lookup!$A$6:$B$7))</f>
        <v>0</v>
      </c>
      <c r="D685" s="2" t="b">
        <f>IF(ISBLANK(InfoGard!G685),FALSE,InfoGard!G685)</f>
        <v>0</v>
      </c>
      <c r="E685" s="2" t="str">
        <f>IF(NOT(ISBLANK(InfoGard!D685)),IF(OR(ISBLANK(InfoGard!E685),InfoGard!E685="N/A"),"no acb code",CONCATENATE(Lookup!F$1,A685,Lookup!G$1,B685,Lookup!H$1,H$1,Lookup!I$1)),"no attestation")</f>
        <v>no attestation</v>
      </c>
      <c r="F685" s="2" t="str">
        <f>IF(AND(NOT(ISBLANK(InfoGard!G685)),InfoGard!G685&lt;&gt;"N/A"),IF(C685="All",CONCATENATE(Lookup!F$2,D685,Lookup!G$2,B685,Lookup!H$2,H$1,Lookup!I$2),CONCATENATE(Lookup!F$3,D685,Lookup!G$3,B685,Lookup!H$3)),"no url")</f>
        <v>no url</v>
      </c>
    </row>
    <row r="686" spans="1:6" hidden="1" x14ac:dyDescent="0.25">
      <c r="A686" s="2" t="b">
        <f>IF(ISBLANK(InfoGard!D686),FALSE,LOOKUP(InfoGard!D686,Lookup!$A$2:$B$4))</f>
        <v>0</v>
      </c>
      <c r="B686" s="2" t="b">
        <f>IF(ISBLANK(InfoGard!E686),FALSE,RIGHT(TRIM(InfoGard!E686),15))</f>
        <v>0</v>
      </c>
      <c r="C686" s="2" t="b">
        <f>IF(ISBLANK(InfoGard!F686),FALSE,LOOKUP(InfoGard!F686,Lookup!$A$6:$B$7))</f>
        <v>0</v>
      </c>
      <c r="D686" s="2" t="b">
        <f>IF(ISBLANK(InfoGard!G686),FALSE,InfoGard!G686)</f>
        <v>0</v>
      </c>
      <c r="E686" s="2" t="str">
        <f>IF(NOT(ISBLANK(InfoGard!D686)),IF(OR(ISBLANK(InfoGard!E686),InfoGard!E686="N/A"),"no acb code",CONCATENATE(Lookup!F$1,A686,Lookup!G$1,B686,Lookup!H$1,H$1,Lookup!I$1)),"no attestation")</f>
        <v>no attestation</v>
      </c>
      <c r="F686" s="2" t="str">
        <f>IF(AND(NOT(ISBLANK(InfoGard!G686)),InfoGard!G686&lt;&gt;"N/A"),IF(C686="All",CONCATENATE(Lookup!F$2,D686,Lookup!G$2,B686,Lookup!H$2,H$1,Lookup!I$2),CONCATENATE(Lookup!F$3,D686,Lookup!G$3,B686,Lookup!H$3)),"no url")</f>
        <v>no url</v>
      </c>
    </row>
    <row r="687" spans="1:6" hidden="1" x14ac:dyDescent="0.25">
      <c r="A687" s="2" t="b">
        <f>IF(ISBLANK(InfoGard!D687),FALSE,LOOKUP(InfoGard!D687,Lookup!$A$2:$B$4))</f>
        <v>0</v>
      </c>
      <c r="B687" s="2" t="b">
        <f>IF(ISBLANK(InfoGard!E687),FALSE,RIGHT(TRIM(InfoGard!E687),15))</f>
        <v>0</v>
      </c>
      <c r="C687" s="2" t="b">
        <f>IF(ISBLANK(InfoGard!F687),FALSE,LOOKUP(InfoGard!F687,Lookup!$A$6:$B$7))</f>
        <v>0</v>
      </c>
      <c r="D687" s="2" t="b">
        <f>IF(ISBLANK(InfoGard!G687),FALSE,InfoGard!G687)</f>
        <v>0</v>
      </c>
      <c r="E687" s="2" t="str">
        <f>IF(NOT(ISBLANK(InfoGard!D687)),IF(OR(ISBLANK(InfoGard!E687),InfoGard!E687="N/A"),"no acb code",CONCATENATE(Lookup!F$1,A687,Lookup!G$1,B687,Lookup!H$1,H$1,Lookup!I$1)),"no attestation")</f>
        <v>no attestation</v>
      </c>
      <c r="F687" s="2" t="str">
        <f>IF(AND(NOT(ISBLANK(InfoGard!G687)),InfoGard!G687&lt;&gt;"N/A"),IF(C687="All",CONCATENATE(Lookup!F$2,D687,Lookup!G$2,B687,Lookup!H$2,H$1,Lookup!I$2),CONCATENATE(Lookup!F$3,D687,Lookup!G$3,B687,Lookup!H$3)),"no url")</f>
        <v>no url</v>
      </c>
    </row>
    <row r="688" spans="1:6" hidden="1" x14ac:dyDescent="0.25">
      <c r="A688" s="2" t="b">
        <f>IF(ISBLANK(InfoGard!D688),FALSE,LOOKUP(InfoGard!D688,Lookup!$A$2:$B$4))</f>
        <v>0</v>
      </c>
      <c r="B688" s="2" t="b">
        <f>IF(ISBLANK(InfoGard!E688),FALSE,RIGHT(TRIM(InfoGard!E688),15))</f>
        <v>0</v>
      </c>
      <c r="C688" s="2" t="b">
        <f>IF(ISBLANK(InfoGard!F688),FALSE,LOOKUP(InfoGard!F688,Lookup!$A$6:$B$7))</f>
        <v>0</v>
      </c>
      <c r="D688" s="2" t="b">
        <f>IF(ISBLANK(InfoGard!G688),FALSE,InfoGard!G688)</f>
        <v>0</v>
      </c>
      <c r="E688" s="2" t="str">
        <f>IF(NOT(ISBLANK(InfoGard!D688)),IF(OR(ISBLANK(InfoGard!E688),InfoGard!E688="N/A"),"no acb code",CONCATENATE(Lookup!F$1,A688,Lookup!G$1,B688,Lookup!H$1,H$1,Lookup!I$1)),"no attestation")</f>
        <v>no attestation</v>
      </c>
      <c r="F688" s="2" t="str">
        <f>IF(AND(NOT(ISBLANK(InfoGard!G688)),InfoGard!G688&lt;&gt;"N/A"),IF(C688="All",CONCATENATE(Lookup!F$2,D688,Lookup!G$2,B688,Lookup!H$2,H$1,Lookup!I$2),CONCATENATE(Lookup!F$3,D688,Lookup!G$3,B688,Lookup!H$3)),"no url")</f>
        <v>no url</v>
      </c>
    </row>
    <row r="689" spans="1:6" hidden="1" x14ac:dyDescent="0.25">
      <c r="A689" s="2" t="b">
        <f>IF(ISBLANK(InfoGard!D689),FALSE,LOOKUP(InfoGard!D689,Lookup!$A$2:$B$4))</f>
        <v>0</v>
      </c>
      <c r="B689" s="2" t="b">
        <f>IF(ISBLANK(InfoGard!E689),FALSE,RIGHT(TRIM(InfoGard!E689),15))</f>
        <v>0</v>
      </c>
      <c r="C689" s="2" t="b">
        <f>IF(ISBLANK(InfoGard!F689),FALSE,LOOKUP(InfoGard!F689,Lookup!$A$6:$B$7))</f>
        <v>0</v>
      </c>
      <c r="D689" s="2" t="b">
        <f>IF(ISBLANK(InfoGard!G689),FALSE,InfoGard!G689)</f>
        <v>0</v>
      </c>
      <c r="E689" s="2" t="str">
        <f>IF(NOT(ISBLANK(InfoGard!D689)),IF(OR(ISBLANK(InfoGard!E689),InfoGard!E689="N/A"),"no acb code",CONCATENATE(Lookup!F$1,A689,Lookup!G$1,B689,Lookup!H$1,H$1,Lookup!I$1)),"no attestation")</f>
        <v>no attestation</v>
      </c>
      <c r="F689" s="2" t="str">
        <f>IF(AND(NOT(ISBLANK(InfoGard!G689)),InfoGard!G689&lt;&gt;"N/A"),IF(C689="All",CONCATENATE(Lookup!F$2,D689,Lookup!G$2,B689,Lookup!H$2,H$1,Lookup!I$2),CONCATENATE(Lookup!F$3,D689,Lookup!G$3,B689,Lookup!H$3)),"no url")</f>
        <v>no url</v>
      </c>
    </row>
    <row r="690" spans="1:6" hidden="1" x14ac:dyDescent="0.25">
      <c r="A690" s="2" t="b">
        <f>IF(ISBLANK(InfoGard!D690),FALSE,LOOKUP(InfoGard!D690,Lookup!$A$2:$B$4))</f>
        <v>0</v>
      </c>
      <c r="B690" s="2" t="b">
        <f>IF(ISBLANK(InfoGard!E690),FALSE,RIGHT(TRIM(InfoGard!E690),15))</f>
        <v>0</v>
      </c>
      <c r="C690" s="2" t="b">
        <f>IF(ISBLANK(InfoGard!F690),FALSE,LOOKUP(InfoGard!F690,Lookup!$A$6:$B$7))</f>
        <v>0</v>
      </c>
      <c r="D690" s="2" t="b">
        <f>IF(ISBLANK(InfoGard!G690),FALSE,InfoGard!G690)</f>
        <v>0</v>
      </c>
      <c r="E690" s="2" t="str">
        <f>IF(NOT(ISBLANK(InfoGard!D690)),IF(OR(ISBLANK(InfoGard!E690),InfoGard!E690="N/A"),"no acb code",CONCATENATE(Lookup!F$1,A690,Lookup!G$1,B690,Lookup!H$1,H$1,Lookup!I$1)),"no attestation")</f>
        <v>no attestation</v>
      </c>
      <c r="F690" s="2" t="str">
        <f>IF(AND(NOT(ISBLANK(InfoGard!G690)),InfoGard!G690&lt;&gt;"N/A"),IF(C690="All",CONCATENATE(Lookup!F$2,D690,Lookup!G$2,B690,Lookup!H$2,H$1,Lookup!I$2),CONCATENATE(Lookup!F$3,D690,Lookup!G$3,B690,Lookup!H$3)),"no url")</f>
        <v>no url</v>
      </c>
    </row>
    <row r="691" spans="1:6" hidden="1" x14ac:dyDescent="0.25">
      <c r="A691" s="2" t="b">
        <f>IF(ISBLANK(InfoGard!D691),FALSE,LOOKUP(InfoGard!D691,Lookup!$A$2:$B$4))</f>
        <v>0</v>
      </c>
      <c r="B691" s="2" t="b">
        <f>IF(ISBLANK(InfoGard!E691),FALSE,RIGHT(TRIM(InfoGard!E691),15))</f>
        <v>0</v>
      </c>
      <c r="C691" s="2" t="b">
        <f>IF(ISBLANK(InfoGard!F691),FALSE,LOOKUP(InfoGard!F691,Lookup!$A$6:$B$7))</f>
        <v>0</v>
      </c>
      <c r="D691" s="2" t="b">
        <f>IF(ISBLANK(InfoGard!G691),FALSE,InfoGard!G691)</f>
        <v>0</v>
      </c>
      <c r="E691" s="2" t="str">
        <f>IF(NOT(ISBLANK(InfoGard!D691)),IF(OR(ISBLANK(InfoGard!E691),InfoGard!E691="N/A"),"no acb code",CONCATENATE(Lookup!F$1,A691,Lookup!G$1,B691,Lookup!H$1,H$1,Lookup!I$1)),"no attestation")</f>
        <v>no attestation</v>
      </c>
      <c r="F691" s="2" t="str">
        <f>IF(AND(NOT(ISBLANK(InfoGard!G691)),InfoGard!G691&lt;&gt;"N/A"),IF(C691="All",CONCATENATE(Lookup!F$2,D691,Lookup!G$2,B691,Lookup!H$2,H$1,Lookup!I$2),CONCATENATE(Lookup!F$3,D691,Lookup!G$3,B691,Lookup!H$3)),"no url")</f>
        <v>no url</v>
      </c>
    </row>
    <row r="692" spans="1:6" hidden="1" x14ac:dyDescent="0.25">
      <c r="A692" s="2" t="b">
        <f>IF(ISBLANK(InfoGard!D692),FALSE,LOOKUP(InfoGard!D692,Lookup!$A$2:$B$4))</f>
        <v>0</v>
      </c>
      <c r="B692" s="2" t="b">
        <f>IF(ISBLANK(InfoGard!E692),FALSE,RIGHT(TRIM(InfoGard!E692),15))</f>
        <v>0</v>
      </c>
      <c r="C692" s="2" t="b">
        <f>IF(ISBLANK(InfoGard!F692),FALSE,LOOKUP(InfoGard!F692,Lookup!$A$6:$B$7))</f>
        <v>0</v>
      </c>
      <c r="D692" s="2" t="b">
        <f>IF(ISBLANK(InfoGard!G692),FALSE,InfoGard!G692)</f>
        <v>0</v>
      </c>
      <c r="E692" s="2" t="str">
        <f>IF(NOT(ISBLANK(InfoGard!D692)),IF(OR(ISBLANK(InfoGard!E692),InfoGard!E692="N/A"),"no acb code",CONCATENATE(Lookup!F$1,A692,Lookup!G$1,B692,Lookup!H$1,H$1,Lookup!I$1)),"no attestation")</f>
        <v>no attestation</v>
      </c>
      <c r="F692" s="2" t="str">
        <f>IF(AND(NOT(ISBLANK(InfoGard!G692)),InfoGard!G692&lt;&gt;"N/A"),IF(C692="All",CONCATENATE(Lookup!F$2,D692,Lookup!G$2,B692,Lookup!H$2,H$1,Lookup!I$2),CONCATENATE(Lookup!F$3,D692,Lookup!G$3,B692,Lookup!H$3)),"no url")</f>
        <v>no url</v>
      </c>
    </row>
    <row r="693" spans="1:6" hidden="1" x14ac:dyDescent="0.25">
      <c r="A693" s="2" t="b">
        <f>IF(ISBLANK(InfoGard!D693),FALSE,LOOKUP(InfoGard!D693,Lookup!$A$2:$B$4))</f>
        <v>0</v>
      </c>
      <c r="B693" s="2" t="b">
        <f>IF(ISBLANK(InfoGard!E693),FALSE,RIGHT(TRIM(InfoGard!E693),15))</f>
        <v>0</v>
      </c>
      <c r="C693" s="2" t="b">
        <f>IF(ISBLANK(InfoGard!F693),FALSE,LOOKUP(InfoGard!F693,Lookup!$A$6:$B$7))</f>
        <v>0</v>
      </c>
      <c r="D693" s="2" t="b">
        <f>IF(ISBLANK(InfoGard!G693),FALSE,InfoGard!G693)</f>
        <v>0</v>
      </c>
      <c r="E693" s="2" t="str">
        <f>IF(NOT(ISBLANK(InfoGard!D693)),IF(OR(ISBLANK(InfoGard!E693),InfoGard!E693="N/A"),"no acb code",CONCATENATE(Lookup!F$1,A693,Lookup!G$1,B693,Lookup!H$1,H$1,Lookup!I$1)),"no attestation")</f>
        <v>no attestation</v>
      </c>
      <c r="F693" s="2" t="str">
        <f>IF(AND(NOT(ISBLANK(InfoGard!G693)),InfoGard!G693&lt;&gt;"N/A"),IF(C693="All",CONCATENATE(Lookup!F$2,D693,Lookup!G$2,B693,Lookup!H$2,H$1,Lookup!I$2),CONCATENATE(Lookup!F$3,D693,Lookup!G$3,B693,Lookup!H$3)),"no url")</f>
        <v>no url</v>
      </c>
    </row>
    <row r="694" spans="1:6" hidden="1" x14ac:dyDescent="0.25">
      <c r="A694" s="2" t="b">
        <f>IF(ISBLANK(InfoGard!D694),FALSE,LOOKUP(InfoGard!D694,Lookup!$A$2:$B$4))</f>
        <v>0</v>
      </c>
      <c r="B694" s="2" t="b">
        <f>IF(ISBLANK(InfoGard!E694),FALSE,RIGHT(TRIM(InfoGard!E694),15))</f>
        <v>0</v>
      </c>
      <c r="C694" s="2" t="b">
        <f>IF(ISBLANK(InfoGard!F694),FALSE,LOOKUP(InfoGard!F694,Lookup!$A$6:$B$7))</f>
        <v>0</v>
      </c>
      <c r="D694" s="2" t="b">
        <f>IF(ISBLANK(InfoGard!G694),FALSE,InfoGard!G694)</f>
        <v>0</v>
      </c>
      <c r="E694" s="2" t="str">
        <f>IF(NOT(ISBLANK(InfoGard!D694)),IF(OR(ISBLANK(InfoGard!E694),InfoGard!E694="N/A"),"no acb code",CONCATENATE(Lookup!F$1,A694,Lookup!G$1,B694,Lookup!H$1,H$1,Lookup!I$1)),"no attestation")</f>
        <v>no attestation</v>
      </c>
      <c r="F694" s="2" t="str">
        <f>IF(AND(NOT(ISBLANK(InfoGard!G694)),InfoGard!G694&lt;&gt;"N/A"),IF(C694="All",CONCATENATE(Lookup!F$2,D694,Lookup!G$2,B694,Lookup!H$2,H$1,Lookup!I$2),CONCATENATE(Lookup!F$3,D694,Lookup!G$3,B694,Lookup!H$3)),"no url")</f>
        <v>no url</v>
      </c>
    </row>
    <row r="695" spans="1:6" hidden="1" x14ac:dyDescent="0.25">
      <c r="A695" s="2" t="b">
        <f>IF(ISBLANK(InfoGard!D695),FALSE,LOOKUP(InfoGard!D695,Lookup!$A$2:$B$4))</f>
        <v>0</v>
      </c>
      <c r="B695" s="2" t="b">
        <f>IF(ISBLANK(InfoGard!E695),FALSE,RIGHT(TRIM(InfoGard!E695),15))</f>
        <v>0</v>
      </c>
      <c r="C695" s="2" t="b">
        <f>IF(ISBLANK(InfoGard!F695),FALSE,LOOKUP(InfoGard!F695,Lookup!$A$6:$B$7))</f>
        <v>0</v>
      </c>
      <c r="D695" s="2" t="b">
        <f>IF(ISBLANK(InfoGard!G695),FALSE,InfoGard!G695)</f>
        <v>0</v>
      </c>
      <c r="E695" s="2" t="str">
        <f>IF(NOT(ISBLANK(InfoGard!D695)),IF(OR(ISBLANK(InfoGard!E695),InfoGard!E695="N/A"),"no acb code",CONCATENATE(Lookup!F$1,A695,Lookup!G$1,B695,Lookup!H$1,H$1,Lookup!I$1)),"no attestation")</f>
        <v>no attestation</v>
      </c>
      <c r="F695" s="2" t="str">
        <f>IF(AND(NOT(ISBLANK(InfoGard!G695)),InfoGard!G695&lt;&gt;"N/A"),IF(C695="All",CONCATENATE(Lookup!F$2,D695,Lookup!G$2,B695,Lookup!H$2,H$1,Lookup!I$2),CONCATENATE(Lookup!F$3,D695,Lookup!G$3,B695,Lookup!H$3)),"no url")</f>
        <v>no url</v>
      </c>
    </row>
    <row r="696" spans="1:6" hidden="1" x14ac:dyDescent="0.25">
      <c r="A696" s="2" t="b">
        <f>IF(ISBLANK(InfoGard!D696),FALSE,LOOKUP(InfoGard!D696,Lookup!$A$2:$B$4))</f>
        <v>0</v>
      </c>
      <c r="B696" s="2" t="b">
        <f>IF(ISBLANK(InfoGard!E696),FALSE,RIGHT(TRIM(InfoGard!E696),15))</f>
        <v>0</v>
      </c>
      <c r="C696" s="2" t="b">
        <f>IF(ISBLANK(InfoGard!F696),FALSE,LOOKUP(InfoGard!F696,Lookup!$A$6:$B$7))</f>
        <v>0</v>
      </c>
      <c r="D696" s="2" t="b">
        <f>IF(ISBLANK(InfoGard!G696),FALSE,InfoGard!G696)</f>
        <v>0</v>
      </c>
      <c r="E696" s="2" t="str">
        <f>IF(NOT(ISBLANK(InfoGard!D696)),IF(OR(ISBLANK(InfoGard!E696),InfoGard!E696="N/A"),"no acb code",CONCATENATE(Lookup!F$1,A696,Lookup!G$1,B696,Lookup!H$1,H$1,Lookup!I$1)),"no attestation")</f>
        <v>no attestation</v>
      </c>
      <c r="F696" s="2" t="str">
        <f>IF(AND(NOT(ISBLANK(InfoGard!G696)),InfoGard!G696&lt;&gt;"N/A"),IF(C696="All",CONCATENATE(Lookup!F$2,D696,Lookup!G$2,B696,Lookup!H$2,H$1,Lookup!I$2),CONCATENATE(Lookup!F$3,D696,Lookup!G$3,B696,Lookup!H$3)),"no url")</f>
        <v>no url</v>
      </c>
    </row>
    <row r="697" spans="1:6" hidden="1" x14ac:dyDescent="0.25">
      <c r="A697" s="2" t="b">
        <f>IF(ISBLANK(InfoGard!D697),FALSE,LOOKUP(InfoGard!D697,Lookup!$A$2:$B$4))</f>
        <v>0</v>
      </c>
      <c r="B697" s="2" t="b">
        <f>IF(ISBLANK(InfoGard!E697),FALSE,RIGHT(TRIM(InfoGard!E697),15))</f>
        <v>0</v>
      </c>
      <c r="C697" s="2" t="b">
        <f>IF(ISBLANK(InfoGard!F697),FALSE,LOOKUP(InfoGard!F697,Lookup!$A$6:$B$7))</f>
        <v>0</v>
      </c>
      <c r="D697" s="2" t="b">
        <f>IF(ISBLANK(InfoGard!G697),FALSE,InfoGard!G697)</f>
        <v>0</v>
      </c>
      <c r="E697" s="2" t="str">
        <f>IF(NOT(ISBLANK(InfoGard!D697)),IF(OR(ISBLANK(InfoGard!E697),InfoGard!E697="N/A"),"no acb code",CONCATENATE(Lookup!F$1,A697,Lookup!G$1,B697,Lookup!H$1,H$1,Lookup!I$1)),"no attestation")</f>
        <v>no attestation</v>
      </c>
      <c r="F697" s="2" t="str">
        <f>IF(AND(NOT(ISBLANK(InfoGard!G697)),InfoGard!G697&lt;&gt;"N/A"),IF(C697="All",CONCATENATE(Lookup!F$2,D697,Lookup!G$2,B697,Lookup!H$2,H$1,Lookup!I$2),CONCATENATE(Lookup!F$3,D697,Lookup!G$3,B697,Lookup!H$3)),"no url")</f>
        <v>no url</v>
      </c>
    </row>
    <row r="698" spans="1:6" hidden="1" x14ac:dyDescent="0.25">
      <c r="A698" s="2" t="b">
        <f>IF(ISBLANK(InfoGard!D698),FALSE,LOOKUP(InfoGard!D698,Lookup!$A$2:$B$4))</f>
        <v>0</v>
      </c>
      <c r="B698" s="2" t="b">
        <f>IF(ISBLANK(InfoGard!E698),FALSE,RIGHT(TRIM(InfoGard!E698),15))</f>
        <v>0</v>
      </c>
      <c r="C698" s="2" t="b">
        <f>IF(ISBLANK(InfoGard!F698),FALSE,LOOKUP(InfoGard!F698,Lookup!$A$6:$B$7))</f>
        <v>0</v>
      </c>
      <c r="D698" s="2" t="b">
        <f>IF(ISBLANK(InfoGard!G698),FALSE,InfoGard!G698)</f>
        <v>0</v>
      </c>
      <c r="E698" s="2" t="str">
        <f>IF(NOT(ISBLANK(InfoGard!D698)),IF(OR(ISBLANK(InfoGard!E698),InfoGard!E698="N/A"),"no acb code",CONCATENATE(Lookup!F$1,A698,Lookup!G$1,B698,Lookup!H$1,H$1,Lookup!I$1)),"no attestation")</f>
        <v>no attestation</v>
      </c>
      <c r="F698" s="2" t="str">
        <f>IF(AND(NOT(ISBLANK(InfoGard!G698)),InfoGard!G698&lt;&gt;"N/A"),IF(C698="All",CONCATENATE(Lookup!F$2,D698,Lookup!G$2,B698,Lookup!H$2,H$1,Lookup!I$2),CONCATENATE(Lookup!F$3,D698,Lookup!G$3,B698,Lookup!H$3)),"no url")</f>
        <v>no url</v>
      </c>
    </row>
    <row r="699" spans="1:6" hidden="1" x14ac:dyDescent="0.25">
      <c r="A699" s="2" t="b">
        <f>IF(ISBLANK(InfoGard!D699),FALSE,LOOKUP(InfoGard!D699,Lookup!$A$2:$B$4))</f>
        <v>0</v>
      </c>
      <c r="B699" s="2" t="b">
        <f>IF(ISBLANK(InfoGard!E699),FALSE,RIGHT(TRIM(InfoGard!E699),15))</f>
        <v>0</v>
      </c>
      <c r="C699" s="2" t="b">
        <f>IF(ISBLANK(InfoGard!F699),FALSE,LOOKUP(InfoGard!F699,Lookup!$A$6:$B$7))</f>
        <v>0</v>
      </c>
      <c r="D699" s="2" t="b">
        <f>IF(ISBLANK(InfoGard!G699),FALSE,InfoGard!G699)</f>
        <v>0</v>
      </c>
      <c r="E699" s="2" t="str">
        <f>IF(NOT(ISBLANK(InfoGard!D699)),IF(OR(ISBLANK(InfoGard!E699),InfoGard!E699="N/A"),"no acb code",CONCATENATE(Lookup!F$1,A699,Lookup!G$1,B699,Lookup!H$1,H$1,Lookup!I$1)),"no attestation")</f>
        <v>no attestation</v>
      </c>
      <c r="F699" s="2" t="str">
        <f>IF(AND(NOT(ISBLANK(InfoGard!G699)),InfoGard!G699&lt;&gt;"N/A"),IF(C699="All",CONCATENATE(Lookup!F$2,D699,Lookup!G$2,B699,Lookup!H$2,H$1,Lookup!I$2),CONCATENATE(Lookup!F$3,D699,Lookup!G$3,B699,Lookup!H$3)),"no url")</f>
        <v>no url</v>
      </c>
    </row>
    <row r="700" spans="1:6" hidden="1" x14ac:dyDescent="0.25">
      <c r="A700" s="2" t="b">
        <f>IF(ISBLANK(InfoGard!D700),FALSE,LOOKUP(InfoGard!D700,Lookup!$A$2:$B$4))</f>
        <v>0</v>
      </c>
      <c r="B700" s="2" t="b">
        <f>IF(ISBLANK(InfoGard!E700),FALSE,RIGHT(TRIM(InfoGard!E700),15))</f>
        <v>0</v>
      </c>
      <c r="C700" s="2" t="b">
        <f>IF(ISBLANK(InfoGard!F700),FALSE,LOOKUP(InfoGard!F700,Lookup!$A$6:$B$7))</f>
        <v>0</v>
      </c>
      <c r="D700" s="2" t="b">
        <f>IF(ISBLANK(InfoGard!G700),FALSE,InfoGard!G700)</f>
        <v>0</v>
      </c>
      <c r="E700" s="2" t="str">
        <f>IF(NOT(ISBLANK(InfoGard!D700)),IF(OR(ISBLANK(InfoGard!E700),InfoGard!E700="N/A"),"no acb code",CONCATENATE(Lookup!F$1,A700,Lookup!G$1,B700,Lookup!H$1,H$1,Lookup!I$1)),"no attestation")</f>
        <v>no attestation</v>
      </c>
      <c r="F700" s="2" t="str">
        <f>IF(AND(NOT(ISBLANK(InfoGard!G700)),InfoGard!G700&lt;&gt;"N/A"),IF(C700="All",CONCATENATE(Lookup!F$2,D700,Lookup!G$2,B700,Lookup!H$2,H$1,Lookup!I$2),CONCATENATE(Lookup!F$3,D700,Lookup!G$3,B700,Lookup!H$3)),"no url")</f>
        <v>no url</v>
      </c>
    </row>
    <row r="701" spans="1:6" hidden="1" x14ac:dyDescent="0.25">
      <c r="A701" s="2" t="b">
        <f>IF(ISBLANK(InfoGard!D701),FALSE,LOOKUP(InfoGard!D701,Lookup!$A$2:$B$4))</f>
        <v>0</v>
      </c>
      <c r="B701" s="2" t="b">
        <f>IF(ISBLANK(InfoGard!E701),FALSE,RIGHT(TRIM(InfoGard!E701),15))</f>
        <v>0</v>
      </c>
      <c r="C701" s="2" t="b">
        <f>IF(ISBLANK(InfoGard!F701),FALSE,LOOKUP(InfoGard!F701,Lookup!$A$6:$B$7))</f>
        <v>0</v>
      </c>
      <c r="D701" s="2" t="b">
        <f>IF(ISBLANK(InfoGard!G701),FALSE,InfoGard!G701)</f>
        <v>0</v>
      </c>
      <c r="E701" s="2" t="str">
        <f>IF(NOT(ISBLANK(InfoGard!D701)),IF(OR(ISBLANK(InfoGard!E701),InfoGard!E701="N/A"),"no acb code",CONCATENATE(Lookup!F$1,A701,Lookup!G$1,B701,Lookup!H$1,H$1,Lookup!I$1)),"no attestation")</f>
        <v>no attestation</v>
      </c>
      <c r="F701" s="2" t="str">
        <f>IF(AND(NOT(ISBLANK(InfoGard!G701)),InfoGard!G701&lt;&gt;"N/A"),IF(C701="All",CONCATENATE(Lookup!F$2,D701,Lookup!G$2,B701,Lookup!H$2,H$1,Lookup!I$2),CONCATENATE(Lookup!F$3,D701,Lookup!G$3,B701,Lookup!H$3)),"no url")</f>
        <v>no url</v>
      </c>
    </row>
    <row r="702" spans="1:6" hidden="1" x14ac:dyDescent="0.25">
      <c r="A702" s="2" t="b">
        <f>IF(ISBLANK(InfoGard!D702),FALSE,LOOKUP(InfoGard!D702,Lookup!$A$2:$B$4))</f>
        <v>0</v>
      </c>
      <c r="B702" s="2" t="b">
        <f>IF(ISBLANK(InfoGard!E702),FALSE,RIGHT(TRIM(InfoGard!E702),15))</f>
        <v>0</v>
      </c>
      <c r="C702" s="2" t="b">
        <f>IF(ISBLANK(InfoGard!F702),FALSE,LOOKUP(InfoGard!F702,Lookup!$A$6:$B$7))</f>
        <v>0</v>
      </c>
      <c r="D702" s="2" t="b">
        <f>IF(ISBLANK(InfoGard!G702),FALSE,InfoGard!G702)</f>
        <v>0</v>
      </c>
      <c r="E702" s="2" t="str">
        <f>IF(NOT(ISBLANK(InfoGard!D702)),IF(OR(ISBLANK(InfoGard!E702),InfoGard!E702="N/A"),"no acb code",CONCATENATE(Lookup!F$1,A702,Lookup!G$1,B702,Lookup!H$1,H$1,Lookup!I$1)),"no attestation")</f>
        <v>no attestation</v>
      </c>
      <c r="F702" s="2" t="str">
        <f>IF(AND(NOT(ISBLANK(InfoGard!G702)),InfoGard!G702&lt;&gt;"N/A"),IF(C702="All",CONCATENATE(Lookup!F$2,D702,Lookup!G$2,B702,Lookup!H$2,H$1,Lookup!I$2),CONCATENATE(Lookup!F$3,D702,Lookup!G$3,B702,Lookup!H$3)),"no url")</f>
        <v>no url</v>
      </c>
    </row>
    <row r="703" spans="1:6" hidden="1" x14ac:dyDescent="0.25">
      <c r="A703" s="2" t="b">
        <f>IF(ISBLANK(InfoGard!D703),FALSE,LOOKUP(InfoGard!D703,Lookup!$A$2:$B$4))</f>
        <v>0</v>
      </c>
      <c r="B703" s="2" t="b">
        <f>IF(ISBLANK(InfoGard!E703),FALSE,RIGHT(TRIM(InfoGard!E703),15))</f>
        <v>0</v>
      </c>
      <c r="C703" s="2" t="b">
        <f>IF(ISBLANK(InfoGard!F703),FALSE,LOOKUP(InfoGard!F703,Lookup!$A$6:$B$7))</f>
        <v>0</v>
      </c>
      <c r="D703" s="2" t="b">
        <f>IF(ISBLANK(InfoGard!G703),FALSE,InfoGard!G703)</f>
        <v>0</v>
      </c>
      <c r="E703" s="2" t="str">
        <f>IF(NOT(ISBLANK(InfoGard!D703)),IF(OR(ISBLANK(InfoGard!E703),InfoGard!E703="N/A"),"no acb code",CONCATENATE(Lookup!F$1,A703,Lookup!G$1,B703,Lookup!H$1,H$1,Lookup!I$1)),"no attestation")</f>
        <v>no attestation</v>
      </c>
      <c r="F703" s="2" t="str">
        <f>IF(AND(NOT(ISBLANK(InfoGard!G703)),InfoGard!G703&lt;&gt;"N/A"),IF(C703="All",CONCATENATE(Lookup!F$2,D703,Lookup!G$2,B703,Lookup!H$2,H$1,Lookup!I$2),CONCATENATE(Lookup!F$3,D703,Lookup!G$3,B703,Lookup!H$3)),"no url")</f>
        <v>no url</v>
      </c>
    </row>
    <row r="704" spans="1:6" hidden="1" x14ac:dyDescent="0.25">
      <c r="A704" s="2" t="b">
        <f>IF(ISBLANK(InfoGard!D704),FALSE,LOOKUP(InfoGard!D704,Lookup!$A$2:$B$4))</f>
        <v>0</v>
      </c>
      <c r="B704" s="2" t="b">
        <f>IF(ISBLANK(InfoGard!E704),FALSE,RIGHT(TRIM(InfoGard!E704),15))</f>
        <v>0</v>
      </c>
      <c r="C704" s="2" t="b">
        <f>IF(ISBLANK(InfoGard!F704),FALSE,LOOKUP(InfoGard!F704,Lookup!$A$6:$B$7))</f>
        <v>0</v>
      </c>
      <c r="D704" s="2" t="b">
        <f>IF(ISBLANK(InfoGard!G704),FALSE,InfoGard!G704)</f>
        <v>0</v>
      </c>
      <c r="E704" s="2" t="str">
        <f>IF(NOT(ISBLANK(InfoGard!D704)),IF(OR(ISBLANK(InfoGard!E704),InfoGard!E704="N/A"),"no acb code",CONCATENATE(Lookup!F$1,A704,Lookup!G$1,B704,Lookup!H$1,H$1,Lookup!I$1)),"no attestation")</f>
        <v>no attestation</v>
      </c>
      <c r="F704" s="2" t="str">
        <f>IF(AND(NOT(ISBLANK(InfoGard!G704)),InfoGard!G704&lt;&gt;"N/A"),IF(C704="All",CONCATENATE(Lookup!F$2,D704,Lookup!G$2,B704,Lookup!H$2,H$1,Lookup!I$2),CONCATENATE(Lookup!F$3,D704,Lookup!G$3,B704,Lookup!H$3)),"no url")</f>
        <v>no url</v>
      </c>
    </row>
    <row r="705" spans="1:6" hidden="1" x14ac:dyDescent="0.25">
      <c r="A705" s="2" t="b">
        <f>IF(ISBLANK(InfoGard!D705),FALSE,LOOKUP(InfoGard!D705,Lookup!$A$2:$B$4))</f>
        <v>0</v>
      </c>
      <c r="B705" s="2" t="b">
        <f>IF(ISBLANK(InfoGard!E705),FALSE,RIGHT(TRIM(InfoGard!E705),15))</f>
        <v>0</v>
      </c>
      <c r="C705" s="2" t="b">
        <f>IF(ISBLANK(InfoGard!F705),FALSE,LOOKUP(InfoGard!F705,Lookup!$A$6:$B$7))</f>
        <v>0</v>
      </c>
      <c r="D705" s="2" t="b">
        <f>IF(ISBLANK(InfoGard!G705),FALSE,InfoGard!G705)</f>
        <v>0</v>
      </c>
      <c r="E705" s="2" t="str">
        <f>IF(NOT(ISBLANK(InfoGard!D705)),IF(OR(ISBLANK(InfoGard!E705),InfoGard!E705="N/A"),"no acb code",CONCATENATE(Lookup!F$1,A705,Lookup!G$1,B705,Lookup!H$1,H$1,Lookup!I$1)),"no attestation")</f>
        <v>no attestation</v>
      </c>
      <c r="F705" s="2" t="str">
        <f>IF(AND(NOT(ISBLANK(InfoGard!G705)),InfoGard!G705&lt;&gt;"N/A"),IF(C705="All",CONCATENATE(Lookup!F$2,D705,Lookup!G$2,B705,Lookup!H$2,H$1,Lookup!I$2),CONCATENATE(Lookup!F$3,D705,Lookup!G$3,B705,Lookup!H$3)),"no url")</f>
        <v>no url</v>
      </c>
    </row>
    <row r="706" spans="1:6" hidden="1" x14ac:dyDescent="0.25">
      <c r="A706" s="2" t="b">
        <f>IF(ISBLANK(InfoGard!D706),FALSE,LOOKUP(InfoGard!D706,Lookup!$A$2:$B$4))</f>
        <v>0</v>
      </c>
      <c r="B706" s="2" t="b">
        <f>IF(ISBLANK(InfoGard!E706),FALSE,RIGHT(TRIM(InfoGard!E706),15))</f>
        <v>0</v>
      </c>
      <c r="C706" s="2" t="b">
        <f>IF(ISBLANK(InfoGard!F706),FALSE,LOOKUP(InfoGard!F706,Lookup!$A$6:$B$7))</f>
        <v>0</v>
      </c>
      <c r="D706" s="2" t="b">
        <f>IF(ISBLANK(InfoGard!G706),FALSE,InfoGard!G706)</f>
        <v>0</v>
      </c>
      <c r="E706" s="2" t="str">
        <f>IF(NOT(ISBLANK(InfoGard!D706)),IF(OR(ISBLANK(InfoGard!E706),InfoGard!E706="N/A"),"no acb code",CONCATENATE(Lookup!F$1,A706,Lookup!G$1,B706,Lookup!H$1,H$1,Lookup!I$1)),"no attestation")</f>
        <v>no attestation</v>
      </c>
      <c r="F706" s="2" t="str">
        <f>IF(AND(NOT(ISBLANK(InfoGard!G706)),InfoGard!G706&lt;&gt;"N/A"),IF(C706="All",CONCATENATE(Lookup!F$2,D706,Lookup!G$2,B706,Lookup!H$2,H$1,Lookup!I$2),CONCATENATE(Lookup!F$3,D706,Lookup!G$3,B706,Lookup!H$3)),"no url")</f>
        <v>no url</v>
      </c>
    </row>
    <row r="707" spans="1:6" hidden="1" x14ac:dyDescent="0.25">
      <c r="A707" s="2" t="b">
        <f>IF(ISBLANK(InfoGard!D707),FALSE,LOOKUP(InfoGard!D707,Lookup!$A$2:$B$4))</f>
        <v>0</v>
      </c>
      <c r="B707" s="2" t="b">
        <f>IF(ISBLANK(InfoGard!E707),FALSE,RIGHT(TRIM(InfoGard!E707),15))</f>
        <v>0</v>
      </c>
      <c r="C707" s="2" t="b">
        <f>IF(ISBLANK(InfoGard!F707),FALSE,LOOKUP(InfoGard!F707,Lookup!$A$6:$B$7))</f>
        <v>0</v>
      </c>
      <c r="D707" s="2" t="b">
        <f>IF(ISBLANK(InfoGard!G707),FALSE,InfoGard!G707)</f>
        <v>0</v>
      </c>
      <c r="E707" s="2" t="str">
        <f>IF(NOT(ISBLANK(InfoGard!D707)),IF(OR(ISBLANK(InfoGard!E707),InfoGard!E707="N/A"),"no acb code",CONCATENATE(Lookup!F$1,A707,Lookup!G$1,B707,Lookup!H$1,H$1,Lookup!I$1)),"no attestation")</f>
        <v>no attestation</v>
      </c>
      <c r="F707" s="2" t="str">
        <f>IF(AND(NOT(ISBLANK(InfoGard!G707)),InfoGard!G707&lt;&gt;"N/A"),IF(C707="All",CONCATENATE(Lookup!F$2,D707,Lookup!G$2,B707,Lookup!H$2,H$1,Lookup!I$2),CONCATENATE(Lookup!F$3,D707,Lookup!G$3,B707,Lookup!H$3)),"no url")</f>
        <v>no url</v>
      </c>
    </row>
    <row r="708" spans="1:6" hidden="1" x14ac:dyDescent="0.25">
      <c r="A708" s="2" t="b">
        <f>IF(ISBLANK(InfoGard!D708),FALSE,LOOKUP(InfoGard!D708,Lookup!$A$2:$B$4))</f>
        <v>0</v>
      </c>
      <c r="B708" s="2" t="b">
        <f>IF(ISBLANK(InfoGard!E708),FALSE,RIGHT(TRIM(InfoGard!E708),15))</f>
        <v>0</v>
      </c>
      <c r="C708" s="2" t="b">
        <f>IF(ISBLANK(InfoGard!F708),FALSE,LOOKUP(InfoGard!F708,Lookup!$A$6:$B$7))</f>
        <v>0</v>
      </c>
      <c r="D708" s="2" t="b">
        <f>IF(ISBLANK(InfoGard!G708),FALSE,InfoGard!G708)</f>
        <v>0</v>
      </c>
      <c r="E708" s="2" t="str">
        <f>IF(NOT(ISBLANK(InfoGard!D708)),IF(OR(ISBLANK(InfoGard!E708),InfoGard!E708="N/A"),"no acb code",CONCATENATE(Lookup!F$1,A708,Lookup!G$1,B708,Lookup!H$1,H$1,Lookup!I$1)),"no attestation")</f>
        <v>no attestation</v>
      </c>
      <c r="F708" s="2" t="str">
        <f>IF(AND(NOT(ISBLANK(InfoGard!G708)),InfoGard!G708&lt;&gt;"N/A"),IF(C708="All",CONCATENATE(Lookup!F$2,D708,Lookup!G$2,B708,Lookup!H$2,H$1,Lookup!I$2),CONCATENATE(Lookup!F$3,D708,Lookup!G$3,B708,Lookup!H$3)),"no url")</f>
        <v>no url</v>
      </c>
    </row>
    <row r="709" spans="1:6" hidden="1" x14ac:dyDescent="0.25">
      <c r="A709" s="2" t="b">
        <f>IF(ISBLANK(InfoGard!D709),FALSE,LOOKUP(InfoGard!D709,Lookup!$A$2:$B$4))</f>
        <v>0</v>
      </c>
      <c r="B709" s="2" t="b">
        <f>IF(ISBLANK(InfoGard!E709),FALSE,RIGHT(TRIM(InfoGard!E709),15))</f>
        <v>0</v>
      </c>
      <c r="C709" s="2" t="b">
        <f>IF(ISBLANK(InfoGard!F709),FALSE,LOOKUP(InfoGard!F709,Lookup!$A$6:$B$7))</f>
        <v>0</v>
      </c>
      <c r="D709" s="2" t="b">
        <f>IF(ISBLANK(InfoGard!G709),FALSE,InfoGard!G709)</f>
        <v>0</v>
      </c>
      <c r="E709" s="2" t="str">
        <f>IF(NOT(ISBLANK(InfoGard!D709)),IF(OR(ISBLANK(InfoGard!E709),InfoGard!E709="N/A"),"no acb code",CONCATENATE(Lookup!F$1,A709,Lookup!G$1,B709,Lookup!H$1,H$1,Lookup!I$1)),"no attestation")</f>
        <v>no attestation</v>
      </c>
      <c r="F709" s="2" t="str">
        <f>IF(AND(NOT(ISBLANK(InfoGard!G709)),InfoGard!G709&lt;&gt;"N/A"),IF(C709="All",CONCATENATE(Lookup!F$2,D709,Lookup!G$2,B709,Lookup!H$2,H$1,Lookup!I$2),CONCATENATE(Lookup!F$3,D709,Lookup!G$3,B709,Lookup!H$3)),"no url")</f>
        <v>no url</v>
      </c>
    </row>
    <row r="710" spans="1:6" hidden="1" x14ac:dyDescent="0.25">
      <c r="A710" s="2" t="b">
        <f>IF(ISBLANK(InfoGard!D710),FALSE,LOOKUP(InfoGard!D710,Lookup!$A$2:$B$4))</f>
        <v>0</v>
      </c>
      <c r="B710" s="2" t="b">
        <f>IF(ISBLANK(InfoGard!E710),FALSE,RIGHT(TRIM(InfoGard!E710),15))</f>
        <v>0</v>
      </c>
      <c r="C710" s="2" t="b">
        <f>IF(ISBLANK(InfoGard!F710),FALSE,LOOKUP(InfoGard!F710,Lookup!$A$6:$B$7))</f>
        <v>0</v>
      </c>
      <c r="D710" s="2" t="b">
        <f>IF(ISBLANK(InfoGard!G710),FALSE,InfoGard!G710)</f>
        <v>0</v>
      </c>
      <c r="E710" s="2" t="str">
        <f>IF(NOT(ISBLANK(InfoGard!D710)),IF(OR(ISBLANK(InfoGard!E710),InfoGard!E710="N/A"),"no acb code",CONCATENATE(Lookup!F$1,A710,Lookup!G$1,B710,Lookup!H$1,H$1,Lookup!I$1)),"no attestation")</f>
        <v>no attestation</v>
      </c>
      <c r="F710" s="2" t="str">
        <f>IF(AND(NOT(ISBLANK(InfoGard!G710)),InfoGard!G710&lt;&gt;"N/A"),IF(C710="All",CONCATENATE(Lookup!F$2,D710,Lookup!G$2,B710,Lookup!H$2,H$1,Lookup!I$2),CONCATENATE(Lookup!F$3,D710,Lookup!G$3,B710,Lookup!H$3)),"no url")</f>
        <v>no url</v>
      </c>
    </row>
    <row r="711" spans="1:6" hidden="1" x14ac:dyDescent="0.25">
      <c r="A711" s="2" t="b">
        <f>IF(ISBLANK(InfoGard!D711),FALSE,LOOKUP(InfoGard!D711,Lookup!$A$2:$B$4))</f>
        <v>0</v>
      </c>
      <c r="B711" s="2" t="b">
        <f>IF(ISBLANK(InfoGard!E711),FALSE,RIGHT(TRIM(InfoGard!E711),15))</f>
        <v>0</v>
      </c>
      <c r="C711" s="2" t="b">
        <f>IF(ISBLANK(InfoGard!F711),FALSE,LOOKUP(InfoGard!F711,Lookup!$A$6:$B$7))</f>
        <v>0</v>
      </c>
      <c r="D711" s="2" t="b">
        <f>IF(ISBLANK(InfoGard!G711),FALSE,InfoGard!G711)</f>
        <v>0</v>
      </c>
      <c r="E711" s="2" t="str">
        <f>IF(NOT(ISBLANK(InfoGard!D711)),IF(OR(ISBLANK(InfoGard!E711),InfoGard!E711="N/A"),"no acb code",CONCATENATE(Lookup!F$1,A711,Lookup!G$1,B711,Lookup!H$1,H$1,Lookup!I$1)),"no attestation")</f>
        <v>no attestation</v>
      </c>
      <c r="F711" s="2" t="str">
        <f>IF(AND(NOT(ISBLANK(InfoGard!G711)),InfoGard!G711&lt;&gt;"N/A"),IF(C711="All",CONCATENATE(Lookup!F$2,D711,Lookup!G$2,B711,Lookup!H$2,H$1,Lookup!I$2),CONCATENATE(Lookup!F$3,D711,Lookup!G$3,B711,Lookup!H$3)),"no url")</f>
        <v>no url</v>
      </c>
    </row>
    <row r="712" spans="1:6" hidden="1" x14ac:dyDescent="0.25">
      <c r="A712" s="2" t="b">
        <f>IF(ISBLANK(InfoGard!D712),FALSE,LOOKUP(InfoGard!D712,Lookup!$A$2:$B$4))</f>
        <v>0</v>
      </c>
      <c r="B712" s="2" t="b">
        <f>IF(ISBLANK(InfoGard!E712),FALSE,RIGHT(TRIM(InfoGard!E712),15))</f>
        <v>0</v>
      </c>
      <c r="C712" s="2" t="b">
        <f>IF(ISBLANK(InfoGard!F712),FALSE,LOOKUP(InfoGard!F712,Lookup!$A$6:$B$7))</f>
        <v>0</v>
      </c>
      <c r="D712" s="2" t="b">
        <f>IF(ISBLANK(InfoGard!G712),FALSE,InfoGard!G712)</f>
        <v>0</v>
      </c>
      <c r="E712" s="2" t="str">
        <f>IF(NOT(ISBLANK(InfoGard!D712)),IF(OR(ISBLANK(InfoGard!E712),InfoGard!E712="N/A"),"no acb code",CONCATENATE(Lookup!F$1,A712,Lookup!G$1,B712,Lookup!H$1,H$1,Lookup!I$1)),"no attestation")</f>
        <v>no attestation</v>
      </c>
      <c r="F712" s="2" t="str">
        <f>IF(AND(NOT(ISBLANK(InfoGard!G712)),InfoGard!G712&lt;&gt;"N/A"),IF(C712="All",CONCATENATE(Lookup!F$2,D712,Lookup!G$2,B712,Lookup!H$2,H$1,Lookup!I$2),CONCATENATE(Lookup!F$3,D712,Lookup!G$3,B712,Lookup!H$3)),"no url")</f>
        <v>no url</v>
      </c>
    </row>
    <row r="713" spans="1:6" hidden="1" x14ac:dyDescent="0.25">
      <c r="A713" s="2" t="b">
        <f>IF(ISBLANK(InfoGard!D713),FALSE,LOOKUP(InfoGard!D713,Lookup!$A$2:$B$4))</f>
        <v>0</v>
      </c>
      <c r="B713" s="2" t="b">
        <f>IF(ISBLANK(InfoGard!E713),FALSE,RIGHT(TRIM(InfoGard!E713),15))</f>
        <v>0</v>
      </c>
      <c r="C713" s="2" t="b">
        <f>IF(ISBLANK(InfoGard!F713),FALSE,LOOKUP(InfoGard!F713,Lookup!$A$6:$B$7))</f>
        <v>0</v>
      </c>
      <c r="D713" s="2" t="b">
        <f>IF(ISBLANK(InfoGard!G713),FALSE,InfoGard!G713)</f>
        <v>0</v>
      </c>
      <c r="E713" s="2" t="str">
        <f>IF(NOT(ISBLANK(InfoGard!D713)),IF(OR(ISBLANK(InfoGard!E713),InfoGard!E713="N/A"),"no acb code",CONCATENATE(Lookup!F$1,A713,Lookup!G$1,B713,Lookup!H$1,H$1,Lookup!I$1)),"no attestation")</f>
        <v>no attestation</v>
      </c>
      <c r="F713" s="2" t="str">
        <f>IF(AND(NOT(ISBLANK(InfoGard!G713)),InfoGard!G713&lt;&gt;"N/A"),IF(C713="All",CONCATENATE(Lookup!F$2,D713,Lookup!G$2,B713,Lookup!H$2,H$1,Lookup!I$2),CONCATENATE(Lookup!F$3,D713,Lookup!G$3,B713,Lookup!H$3)),"no url")</f>
        <v>no url</v>
      </c>
    </row>
    <row r="714" spans="1:6" hidden="1" x14ac:dyDescent="0.25">
      <c r="A714" s="2" t="b">
        <f>IF(ISBLANK(InfoGard!D714),FALSE,LOOKUP(InfoGard!D714,Lookup!$A$2:$B$4))</f>
        <v>0</v>
      </c>
      <c r="B714" s="2" t="b">
        <f>IF(ISBLANK(InfoGard!E714),FALSE,RIGHT(TRIM(InfoGard!E714),15))</f>
        <v>0</v>
      </c>
      <c r="C714" s="2" t="b">
        <f>IF(ISBLANK(InfoGard!F714),FALSE,LOOKUP(InfoGard!F714,Lookup!$A$6:$B$7))</f>
        <v>0</v>
      </c>
      <c r="D714" s="2" t="b">
        <f>IF(ISBLANK(InfoGard!G714),FALSE,InfoGard!G714)</f>
        <v>0</v>
      </c>
      <c r="E714" s="2" t="str">
        <f>IF(NOT(ISBLANK(InfoGard!D714)),IF(OR(ISBLANK(InfoGard!E714),InfoGard!E714="N/A"),"no acb code",CONCATENATE(Lookup!F$1,A714,Lookup!G$1,B714,Lookup!H$1,H$1,Lookup!I$1)),"no attestation")</f>
        <v>no attestation</v>
      </c>
      <c r="F714" s="2" t="str">
        <f>IF(AND(NOT(ISBLANK(InfoGard!G714)),InfoGard!G714&lt;&gt;"N/A"),IF(C714="All",CONCATENATE(Lookup!F$2,D714,Lookup!G$2,B714,Lookup!H$2,H$1,Lookup!I$2),CONCATENATE(Lookup!F$3,D714,Lookup!G$3,B714,Lookup!H$3)),"no url")</f>
        <v>no url</v>
      </c>
    </row>
    <row r="715" spans="1:6" hidden="1" x14ac:dyDescent="0.25">
      <c r="A715" s="2" t="b">
        <f>IF(ISBLANK(InfoGard!D715),FALSE,LOOKUP(InfoGard!D715,Lookup!$A$2:$B$4))</f>
        <v>0</v>
      </c>
      <c r="B715" s="2" t="b">
        <f>IF(ISBLANK(InfoGard!E715),FALSE,RIGHT(TRIM(InfoGard!E715),15))</f>
        <v>0</v>
      </c>
      <c r="C715" s="2" t="b">
        <f>IF(ISBLANK(InfoGard!F715),FALSE,LOOKUP(InfoGard!F715,Lookup!$A$6:$B$7))</f>
        <v>0</v>
      </c>
      <c r="D715" s="2" t="b">
        <f>IF(ISBLANK(InfoGard!G715),FALSE,InfoGard!G715)</f>
        <v>0</v>
      </c>
      <c r="E715" s="2" t="str">
        <f>IF(NOT(ISBLANK(InfoGard!D715)),IF(OR(ISBLANK(InfoGard!E715),InfoGard!E715="N/A"),"no acb code",CONCATENATE(Lookup!F$1,A715,Lookup!G$1,B715,Lookup!H$1,H$1,Lookup!I$1)),"no attestation")</f>
        <v>no attestation</v>
      </c>
      <c r="F715" s="2" t="str">
        <f>IF(AND(NOT(ISBLANK(InfoGard!G715)),InfoGard!G715&lt;&gt;"N/A"),IF(C715="All",CONCATENATE(Lookup!F$2,D715,Lookup!G$2,B715,Lookup!H$2,H$1,Lookup!I$2),CONCATENATE(Lookup!F$3,D715,Lookup!G$3,B715,Lookup!H$3)),"no url")</f>
        <v>no url</v>
      </c>
    </row>
    <row r="716" spans="1:6" hidden="1" x14ac:dyDescent="0.25">
      <c r="A716" s="2" t="b">
        <f>IF(ISBLANK(InfoGard!D716),FALSE,LOOKUP(InfoGard!D716,Lookup!$A$2:$B$4))</f>
        <v>0</v>
      </c>
      <c r="B716" s="2" t="b">
        <f>IF(ISBLANK(InfoGard!E716),FALSE,RIGHT(TRIM(InfoGard!E716),15))</f>
        <v>0</v>
      </c>
      <c r="C716" s="2" t="b">
        <f>IF(ISBLANK(InfoGard!F716),FALSE,LOOKUP(InfoGard!F716,Lookup!$A$6:$B$7))</f>
        <v>0</v>
      </c>
      <c r="D716" s="2" t="b">
        <f>IF(ISBLANK(InfoGard!G716),FALSE,InfoGard!G716)</f>
        <v>0</v>
      </c>
      <c r="E716" s="2" t="str">
        <f>IF(NOT(ISBLANK(InfoGard!D716)),IF(OR(ISBLANK(InfoGard!E716),InfoGard!E716="N/A"),"no acb code",CONCATENATE(Lookup!F$1,A716,Lookup!G$1,B716,Lookup!H$1,H$1,Lookup!I$1)),"no attestation")</f>
        <v>no attestation</v>
      </c>
      <c r="F716" s="2" t="str">
        <f>IF(AND(NOT(ISBLANK(InfoGard!G716)),InfoGard!G716&lt;&gt;"N/A"),IF(C716="All",CONCATENATE(Lookup!F$2,D716,Lookup!G$2,B716,Lookup!H$2,H$1,Lookup!I$2),CONCATENATE(Lookup!F$3,D716,Lookup!G$3,B716,Lookup!H$3)),"no url")</f>
        <v>no url</v>
      </c>
    </row>
    <row r="717" spans="1:6" hidden="1" x14ac:dyDescent="0.25">
      <c r="A717" s="2" t="b">
        <f>IF(ISBLANK(InfoGard!D717),FALSE,LOOKUP(InfoGard!D717,Lookup!$A$2:$B$4))</f>
        <v>0</v>
      </c>
      <c r="B717" s="2" t="b">
        <f>IF(ISBLANK(InfoGard!E717),FALSE,RIGHT(TRIM(InfoGard!E717),15))</f>
        <v>0</v>
      </c>
      <c r="C717" s="2" t="b">
        <f>IF(ISBLANK(InfoGard!F717),FALSE,LOOKUP(InfoGard!F717,Lookup!$A$6:$B$7))</f>
        <v>0</v>
      </c>
      <c r="D717" s="2" t="b">
        <f>IF(ISBLANK(InfoGard!G717),FALSE,InfoGard!G717)</f>
        <v>0</v>
      </c>
      <c r="E717" s="2" t="str">
        <f>IF(NOT(ISBLANK(InfoGard!D717)),IF(OR(ISBLANK(InfoGard!E717),InfoGard!E717="N/A"),"no acb code",CONCATENATE(Lookup!F$1,A717,Lookup!G$1,B717,Lookup!H$1,H$1,Lookup!I$1)),"no attestation")</f>
        <v>no attestation</v>
      </c>
      <c r="F717" s="2" t="str">
        <f>IF(AND(NOT(ISBLANK(InfoGard!G717)),InfoGard!G717&lt;&gt;"N/A"),IF(C717="All",CONCATENATE(Lookup!F$2,D717,Lookup!G$2,B717,Lookup!H$2,H$1,Lookup!I$2),CONCATENATE(Lookup!F$3,D717,Lookup!G$3,B717,Lookup!H$3)),"no url")</f>
        <v>no url</v>
      </c>
    </row>
    <row r="718" spans="1:6" hidden="1" x14ac:dyDescent="0.25">
      <c r="A718" s="2" t="b">
        <f>IF(ISBLANK(InfoGard!D718),FALSE,LOOKUP(InfoGard!D718,Lookup!$A$2:$B$4))</f>
        <v>0</v>
      </c>
      <c r="B718" s="2" t="b">
        <f>IF(ISBLANK(InfoGard!E718),FALSE,RIGHT(TRIM(InfoGard!E718),15))</f>
        <v>0</v>
      </c>
      <c r="C718" s="2" t="b">
        <f>IF(ISBLANK(InfoGard!F718),FALSE,LOOKUP(InfoGard!F718,Lookup!$A$6:$B$7))</f>
        <v>0</v>
      </c>
      <c r="D718" s="2" t="b">
        <f>IF(ISBLANK(InfoGard!G718),FALSE,InfoGard!G718)</f>
        <v>0</v>
      </c>
      <c r="E718" s="2" t="str">
        <f>IF(NOT(ISBLANK(InfoGard!D718)),IF(OR(ISBLANK(InfoGard!E718),InfoGard!E718="N/A"),"no acb code",CONCATENATE(Lookup!F$1,A718,Lookup!G$1,B718,Lookup!H$1,H$1,Lookup!I$1)),"no attestation")</f>
        <v>no attestation</v>
      </c>
      <c r="F718" s="2" t="str">
        <f>IF(AND(NOT(ISBLANK(InfoGard!G718)),InfoGard!G718&lt;&gt;"N/A"),IF(C718="All",CONCATENATE(Lookup!F$2,D718,Lookup!G$2,B718,Lookup!H$2,H$1,Lookup!I$2),CONCATENATE(Lookup!F$3,D718,Lookup!G$3,B718,Lookup!H$3)),"no url")</f>
        <v>no url</v>
      </c>
    </row>
    <row r="719" spans="1:6" hidden="1" x14ac:dyDescent="0.25">
      <c r="A719" s="2" t="b">
        <f>IF(ISBLANK(InfoGard!D719),FALSE,LOOKUP(InfoGard!D719,Lookup!$A$2:$B$4))</f>
        <v>0</v>
      </c>
      <c r="B719" s="2" t="b">
        <f>IF(ISBLANK(InfoGard!E719),FALSE,RIGHT(TRIM(InfoGard!E719),15))</f>
        <v>0</v>
      </c>
      <c r="C719" s="2" t="b">
        <f>IF(ISBLANK(InfoGard!F719),FALSE,LOOKUP(InfoGard!F719,Lookup!$A$6:$B$7))</f>
        <v>0</v>
      </c>
      <c r="D719" s="2" t="b">
        <f>IF(ISBLANK(InfoGard!G719),FALSE,InfoGard!G719)</f>
        <v>0</v>
      </c>
      <c r="E719" s="2" t="str">
        <f>IF(NOT(ISBLANK(InfoGard!D719)),IF(OR(ISBLANK(InfoGard!E719),InfoGard!E719="N/A"),"no acb code",CONCATENATE(Lookup!F$1,A719,Lookup!G$1,B719,Lookup!H$1,H$1,Lookup!I$1)),"no attestation")</f>
        <v>no attestation</v>
      </c>
      <c r="F719" s="2" t="str">
        <f>IF(AND(NOT(ISBLANK(InfoGard!G719)),InfoGard!G719&lt;&gt;"N/A"),IF(C719="All",CONCATENATE(Lookup!F$2,D719,Lookup!G$2,B719,Lookup!H$2,H$1,Lookup!I$2),CONCATENATE(Lookup!F$3,D719,Lookup!G$3,B719,Lookup!H$3)),"no url")</f>
        <v>no url</v>
      </c>
    </row>
    <row r="720" spans="1:6" hidden="1" x14ac:dyDescent="0.25">
      <c r="A720" s="2" t="b">
        <f>IF(ISBLANK(InfoGard!D720),FALSE,LOOKUP(InfoGard!D720,Lookup!$A$2:$B$4))</f>
        <v>0</v>
      </c>
      <c r="B720" s="2" t="b">
        <f>IF(ISBLANK(InfoGard!E720),FALSE,RIGHT(TRIM(InfoGard!E720),15))</f>
        <v>0</v>
      </c>
      <c r="C720" s="2" t="b">
        <f>IF(ISBLANK(InfoGard!F720),FALSE,LOOKUP(InfoGard!F720,Lookup!$A$6:$B$7))</f>
        <v>0</v>
      </c>
      <c r="D720" s="2" t="b">
        <f>IF(ISBLANK(InfoGard!G720),FALSE,InfoGard!G720)</f>
        <v>0</v>
      </c>
      <c r="E720" s="2" t="str">
        <f>IF(NOT(ISBLANK(InfoGard!D720)),IF(OR(ISBLANK(InfoGard!E720),InfoGard!E720="N/A"),"no acb code",CONCATENATE(Lookup!F$1,A720,Lookup!G$1,B720,Lookup!H$1,H$1,Lookup!I$1)),"no attestation")</f>
        <v>no attestation</v>
      </c>
      <c r="F720" s="2" t="str">
        <f>IF(AND(NOT(ISBLANK(InfoGard!G720)),InfoGard!G720&lt;&gt;"N/A"),IF(C720="All",CONCATENATE(Lookup!F$2,D720,Lookup!G$2,B720,Lookup!H$2,H$1,Lookup!I$2),CONCATENATE(Lookup!F$3,D720,Lookup!G$3,B720,Lookup!H$3)),"no url")</f>
        <v>no url</v>
      </c>
    </row>
    <row r="721" spans="1:6" hidden="1" x14ac:dyDescent="0.25">
      <c r="A721" s="2" t="b">
        <f>IF(ISBLANK(InfoGard!D721),FALSE,LOOKUP(InfoGard!D721,Lookup!$A$2:$B$4))</f>
        <v>0</v>
      </c>
      <c r="B721" s="2" t="b">
        <f>IF(ISBLANK(InfoGard!E721),FALSE,RIGHT(TRIM(InfoGard!E721),15))</f>
        <v>0</v>
      </c>
      <c r="C721" s="2" t="b">
        <f>IF(ISBLANK(InfoGard!F721),FALSE,LOOKUP(InfoGard!F721,Lookup!$A$6:$B$7))</f>
        <v>0</v>
      </c>
      <c r="D721" s="2" t="b">
        <f>IF(ISBLANK(InfoGard!G721),FALSE,InfoGard!G721)</f>
        <v>0</v>
      </c>
      <c r="E721" s="2" t="str">
        <f>IF(NOT(ISBLANK(InfoGard!D721)),IF(OR(ISBLANK(InfoGard!E721),InfoGard!E721="N/A"),"no acb code",CONCATENATE(Lookup!F$1,A721,Lookup!G$1,B721,Lookup!H$1,H$1,Lookup!I$1)),"no attestation")</f>
        <v>no attestation</v>
      </c>
      <c r="F721" s="2" t="str">
        <f>IF(AND(NOT(ISBLANK(InfoGard!G721)),InfoGard!G721&lt;&gt;"N/A"),IF(C721="All",CONCATENATE(Lookup!F$2,D721,Lookup!G$2,B721,Lookup!H$2,H$1,Lookup!I$2),CONCATENATE(Lookup!F$3,D721,Lookup!G$3,B721,Lookup!H$3)),"no url")</f>
        <v>no url</v>
      </c>
    </row>
    <row r="722" spans="1:6" hidden="1" x14ac:dyDescent="0.25">
      <c r="A722" s="2" t="b">
        <f>IF(ISBLANK(InfoGard!D722),FALSE,LOOKUP(InfoGard!D722,Lookup!$A$2:$B$4))</f>
        <v>0</v>
      </c>
      <c r="B722" s="2" t="b">
        <f>IF(ISBLANK(InfoGard!E722),FALSE,RIGHT(TRIM(InfoGard!E722),15))</f>
        <v>0</v>
      </c>
      <c r="C722" s="2" t="b">
        <f>IF(ISBLANK(InfoGard!F722),FALSE,LOOKUP(InfoGard!F722,Lookup!$A$6:$B$7))</f>
        <v>0</v>
      </c>
      <c r="D722" s="2" t="b">
        <f>IF(ISBLANK(InfoGard!G722),FALSE,InfoGard!G722)</f>
        <v>0</v>
      </c>
      <c r="E722" s="2" t="str">
        <f>IF(NOT(ISBLANK(InfoGard!D722)),IF(OR(ISBLANK(InfoGard!E722),InfoGard!E722="N/A"),"no acb code",CONCATENATE(Lookup!F$1,A722,Lookup!G$1,B722,Lookup!H$1,H$1,Lookup!I$1)),"no attestation")</f>
        <v>no attestation</v>
      </c>
      <c r="F722" s="2" t="str">
        <f>IF(AND(NOT(ISBLANK(InfoGard!G722)),InfoGard!G722&lt;&gt;"N/A"),IF(C722="All",CONCATENATE(Lookup!F$2,D722,Lookup!G$2,B722,Lookup!H$2,H$1,Lookup!I$2),CONCATENATE(Lookup!F$3,D722,Lookup!G$3,B722,Lookup!H$3)),"no url")</f>
        <v>no url</v>
      </c>
    </row>
    <row r="723" spans="1:6" hidden="1" x14ac:dyDescent="0.25">
      <c r="A723" s="2" t="b">
        <f>IF(ISBLANK(InfoGard!D723),FALSE,LOOKUP(InfoGard!D723,Lookup!$A$2:$B$4))</f>
        <v>0</v>
      </c>
      <c r="B723" s="2" t="b">
        <f>IF(ISBLANK(InfoGard!E723),FALSE,RIGHT(TRIM(InfoGard!E723),15))</f>
        <v>0</v>
      </c>
      <c r="C723" s="2" t="b">
        <f>IF(ISBLANK(InfoGard!F723),FALSE,LOOKUP(InfoGard!F723,Lookup!$A$6:$B$7))</f>
        <v>0</v>
      </c>
      <c r="D723" s="2" t="b">
        <f>IF(ISBLANK(InfoGard!G723),FALSE,InfoGard!G723)</f>
        <v>0</v>
      </c>
      <c r="E723" s="2" t="str">
        <f>IF(NOT(ISBLANK(InfoGard!D723)),IF(OR(ISBLANK(InfoGard!E723),InfoGard!E723="N/A"),"no acb code",CONCATENATE(Lookup!F$1,A723,Lookup!G$1,B723,Lookup!H$1,H$1,Lookup!I$1)),"no attestation")</f>
        <v>no attestation</v>
      </c>
      <c r="F723" s="2" t="str">
        <f>IF(AND(NOT(ISBLANK(InfoGard!G723)),InfoGard!G723&lt;&gt;"N/A"),IF(C723="All",CONCATENATE(Lookup!F$2,D723,Lookup!G$2,B723,Lookup!H$2,H$1,Lookup!I$2),CONCATENATE(Lookup!F$3,D723,Lookup!G$3,B723,Lookup!H$3)),"no url")</f>
        <v>no url</v>
      </c>
    </row>
    <row r="724" spans="1:6" hidden="1" x14ac:dyDescent="0.25">
      <c r="A724" s="2" t="b">
        <f>IF(ISBLANK(InfoGard!D724),FALSE,LOOKUP(InfoGard!D724,Lookup!$A$2:$B$4))</f>
        <v>0</v>
      </c>
      <c r="B724" s="2" t="b">
        <f>IF(ISBLANK(InfoGard!E724),FALSE,RIGHT(TRIM(InfoGard!E724),15))</f>
        <v>0</v>
      </c>
      <c r="C724" s="2" t="b">
        <f>IF(ISBLANK(InfoGard!F724),FALSE,LOOKUP(InfoGard!F724,Lookup!$A$6:$B$7))</f>
        <v>0</v>
      </c>
      <c r="D724" s="2" t="b">
        <f>IF(ISBLANK(InfoGard!G724),FALSE,InfoGard!G724)</f>
        <v>0</v>
      </c>
      <c r="E724" s="2" t="str">
        <f>IF(NOT(ISBLANK(InfoGard!D724)),IF(OR(ISBLANK(InfoGard!E724),InfoGard!E724="N/A"),"no acb code",CONCATENATE(Lookup!F$1,A724,Lookup!G$1,B724,Lookup!H$1,H$1,Lookup!I$1)),"no attestation")</f>
        <v>no attestation</v>
      </c>
      <c r="F724" s="2" t="str">
        <f>IF(AND(NOT(ISBLANK(InfoGard!G724)),InfoGard!G724&lt;&gt;"N/A"),IF(C724="All",CONCATENATE(Lookup!F$2,D724,Lookup!G$2,B724,Lookup!H$2,H$1,Lookup!I$2),CONCATENATE(Lookup!F$3,D724,Lookup!G$3,B724,Lookup!H$3)),"no url")</f>
        <v>no url</v>
      </c>
    </row>
    <row r="725" spans="1:6" hidden="1" x14ac:dyDescent="0.25">
      <c r="A725" s="2" t="b">
        <f>IF(ISBLANK(InfoGard!D725),FALSE,LOOKUP(InfoGard!D725,Lookup!$A$2:$B$4))</f>
        <v>0</v>
      </c>
      <c r="B725" s="2" t="b">
        <f>IF(ISBLANK(InfoGard!E725),FALSE,RIGHT(TRIM(InfoGard!E725),15))</f>
        <v>0</v>
      </c>
      <c r="C725" s="2" t="b">
        <f>IF(ISBLANK(InfoGard!F725),FALSE,LOOKUP(InfoGard!F725,Lookup!$A$6:$B$7))</f>
        <v>0</v>
      </c>
      <c r="D725" s="2" t="b">
        <f>IF(ISBLANK(InfoGard!G725),FALSE,InfoGard!G725)</f>
        <v>0</v>
      </c>
      <c r="E725" s="2" t="str">
        <f>IF(NOT(ISBLANK(InfoGard!D725)),IF(OR(ISBLANK(InfoGard!E725),InfoGard!E725="N/A"),"no acb code",CONCATENATE(Lookup!F$1,A725,Lookup!G$1,B725,Lookup!H$1,H$1,Lookup!I$1)),"no attestation")</f>
        <v>no attestation</v>
      </c>
      <c r="F725" s="2" t="str">
        <f>IF(AND(NOT(ISBLANK(InfoGard!G725)),InfoGard!G725&lt;&gt;"N/A"),IF(C725="All",CONCATENATE(Lookup!F$2,D725,Lookup!G$2,B725,Lookup!H$2,H$1,Lookup!I$2),CONCATENATE(Lookup!F$3,D725,Lookup!G$3,B725,Lookup!H$3)),"no url")</f>
        <v>no url</v>
      </c>
    </row>
    <row r="726" spans="1:6" hidden="1" x14ac:dyDescent="0.25">
      <c r="A726" s="2" t="b">
        <f>IF(ISBLANK(InfoGard!D726),FALSE,LOOKUP(InfoGard!D726,Lookup!$A$2:$B$4))</f>
        <v>0</v>
      </c>
      <c r="B726" s="2" t="b">
        <f>IF(ISBLANK(InfoGard!E726),FALSE,RIGHT(TRIM(InfoGard!E726),15))</f>
        <v>0</v>
      </c>
      <c r="C726" s="2" t="b">
        <f>IF(ISBLANK(InfoGard!F726),FALSE,LOOKUP(InfoGard!F726,Lookup!$A$6:$B$7))</f>
        <v>0</v>
      </c>
      <c r="D726" s="2" t="b">
        <f>IF(ISBLANK(InfoGard!G726),FALSE,InfoGard!G726)</f>
        <v>0</v>
      </c>
      <c r="E726" s="2" t="str">
        <f>IF(NOT(ISBLANK(InfoGard!D726)),IF(OR(ISBLANK(InfoGard!E726),InfoGard!E726="N/A"),"no acb code",CONCATENATE(Lookup!F$1,A726,Lookup!G$1,B726,Lookup!H$1,H$1,Lookup!I$1)),"no attestation")</f>
        <v>no attestation</v>
      </c>
      <c r="F726" s="2" t="str">
        <f>IF(AND(NOT(ISBLANK(InfoGard!G726)),InfoGard!G726&lt;&gt;"N/A"),IF(C726="All",CONCATENATE(Lookup!F$2,D726,Lookup!G$2,B726,Lookup!H$2,H$1,Lookup!I$2),CONCATENATE(Lookup!F$3,D726,Lookup!G$3,B726,Lookup!H$3)),"no url")</f>
        <v>no url</v>
      </c>
    </row>
    <row r="727" spans="1:6" hidden="1" x14ac:dyDescent="0.25">
      <c r="A727" s="2" t="b">
        <f>IF(ISBLANK(InfoGard!D727),FALSE,LOOKUP(InfoGard!D727,Lookup!$A$2:$B$4))</f>
        <v>0</v>
      </c>
      <c r="B727" s="2" t="b">
        <f>IF(ISBLANK(InfoGard!E727),FALSE,RIGHT(TRIM(InfoGard!E727),15))</f>
        <v>0</v>
      </c>
      <c r="C727" s="2" t="b">
        <f>IF(ISBLANK(InfoGard!F727),FALSE,LOOKUP(InfoGard!F727,Lookup!$A$6:$B$7))</f>
        <v>0</v>
      </c>
      <c r="D727" s="2" t="b">
        <f>IF(ISBLANK(InfoGard!G727),FALSE,InfoGard!G727)</f>
        <v>0</v>
      </c>
      <c r="E727" s="2" t="str">
        <f>IF(NOT(ISBLANK(InfoGard!D727)),IF(OR(ISBLANK(InfoGard!E727),InfoGard!E727="N/A"),"no acb code",CONCATENATE(Lookup!F$1,A727,Lookup!G$1,B727,Lookup!H$1,H$1,Lookup!I$1)),"no attestation")</f>
        <v>no attestation</v>
      </c>
      <c r="F727" s="2" t="str">
        <f>IF(AND(NOT(ISBLANK(InfoGard!G727)),InfoGard!G727&lt;&gt;"N/A"),IF(C727="All",CONCATENATE(Lookup!F$2,D727,Lookup!G$2,B727,Lookup!H$2,H$1,Lookup!I$2),CONCATENATE(Lookup!F$3,D727,Lookup!G$3,B727,Lookup!H$3)),"no url")</f>
        <v>no url</v>
      </c>
    </row>
    <row r="728" spans="1:6" hidden="1" x14ac:dyDescent="0.25">
      <c r="A728" s="2" t="b">
        <f>IF(ISBLANK(InfoGard!D728),FALSE,LOOKUP(InfoGard!D728,Lookup!$A$2:$B$4))</f>
        <v>0</v>
      </c>
      <c r="B728" s="2" t="b">
        <f>IF(ISBLANK(InfoGard!E728),FALSE,RIGHT(TRIM(InfoGard!E728),15))</f>
        <v>0</v>
      </c>
      <c r="C728" s="2" t="b">
        <f>IF(ISBLANK(InfoGard!F728),FALSE,LOOKUP(InfoGard!F728,Lookup!$A$6:$B$7))</f>
        <v>0</v>
      </c>
      <c r="D728" s="2" t="b">
        <f>IF(ISBLANK(InfoGard!G728),FALSE,InfoGard!G728)</f>
        <v>0</v>
      </c>
      <c r="E728" s="2" t="str">
        <f>IF(NOT(ISBLANK(InfoGard!D728)),IF(OR(ISBLANK(InfoGard!E728),InfoGard!E728="N/A"),"no acb code",CONCATENATE(Lookup!F$1,A728,Lookup!G$1,B728,Lookup!H$1,H$1,Lookup!I$1)),"no attestation")</f>
        <v>no attestation</v>
      </c>
      <c r="F728" s="2" t="str">
        <f>IF(AND(NOT(ISBLANK(InfoGard!G728)),InfoGard!G728&lt;&gt;"N/A"),IF(C728="All",CONCATENATE(Lookup!F$2,D728,Lookup!G$2,B728,Lookup!H$2,H$1,Lookup!I$2),CONCATENATE(Lookup!F$3,D728,Lookup!G$3,B728,Lookup!H$3)),"no url")</f>
        <v>no url</v>
      </c>
    </row>
    <row r="729" spans="1:6" hidden="1" x14ac:dyDescent="0.25">
      <c r="A729" s="2" t="b">
        <f>IF(ISBLANK(InfoGard!D729),FALSE,LOOKUP(InfoGard!D729,Lookup!$A$2:$B$4))</f>
        <v>0</v>
      </c>
      <c r="B729" s="2" t="b">
        <f>IF(ISBLANK(InfoGard!E729),FALSE,RIGHT(TRIM(InfoGard!E729),15))</f>
        <v>0</v>
      </c>
      <c r="C729" s="2" t="b">
        <f>IF(ISBLANK(InfoGard!F729),FALSE,LOOKUP(InfoGard!F729,Lookup!$A$6:$B$7))</f>
        <v>0</v>
      </c>
      <c r="D729" s="2" t="b">
        <f>IF(ISBLANK(InfoGard!G729),FALSE,InfoGard!G729)</f>
        <v>0</v>
      </c>
      <c r="E729" s="2" t="str">
        <f>IF(NOT(ISBLANK(InfoGard!D729)),IF(OR(ISBLANK(InfoGard!E729),InfoGard!E729="N/A"),"no acb code",CONCATENATE(Lookup!F$1,A729,Lookup!G$1,B729,Lookup!H$1,H$1,Lookup!I$1)),"no attestation")</f>
        <v>no attestation</v>
      </c>
      <c r="F729" s="2" t="str">
        <f>IF(AND(NOT(ISBLANK(InfoGard!G729)),InfoGard!G729&lt;&gt;"N/A"),IF(C729="All",CONCATENATE(Lookup!F$2,D729,Lookup!G$2,B729,Lookup!H$2,H$1,Lookup!I$2),CONCATENATE(Lookup!F$3,D729,Lookup!G$3,B729,Lookup!H$3)),"no url")</f>
        <v>no url</v>
      </c>
    </row>
    <row r="730" spans="1:6" hidden="1" x14ac:dyDescent="0.25">
      <c r="A730" s="2" t="b">
        <f>IF(ISBLANK(InfoGard!D730),FALSE,LOOKUP(InfoGard!D730,Lookup!$A$2:$B$4))</f>
        <v>0</v>
      </c>
      <c r="B730" s="2" t="b">
        <f>IF(ISBLANK(InfoGard!E730),FALSE,RIGHT(TRIM(InfoGard!E730),15))</f>
        <v>0</v>
      </c>
      <c r="C730" s="2" t="b">
        <f>IF(ISBLANK(InfoGard!F730),FALSE,LOOKUP(InfoGard!F730,Lookup!$A$6:$B$7))</f>
        <v>0</v>
      </c>
      <c r="D730" s="2" t="b">
        <f>IF(ISBLANK(InfoGard!G730),FALSE,InfoGard!G730)</f>
        <v>0</v>
      </c>
      <c r="E730" s="2" t="str">
        <f>IF(NOT(ISBLANK(InfoGard!D730)),IF(OR(ISBLANK(InfoGard!E730),InfoGard!E730="N/A"),"no acb code",CONCATENATE(Lookup!F$1,A730,Lookup!G$1,B730,Lookup!H$1,H$1,Lookup!I$1)),"no attestation")</f>
        <v>no attestation</v>
      </c>
      <c r="F730" s="2" t="str">
        <f>IF(AND(NOT(ISBLANK(InfoGard!G730)),InfoGard!G730&lt;&gt;"N/A"),IF(C730="All",CONCATENATE(Lookup!F$2,D730,Lookup!G$2,B730,Lookup!H$2,H$1,Lookup!I$2),CONCATENATE(Lookup!F$3,D730,Lookup!G$3,B730,Lookup!H$3)),"no url")</f>
        <v>no url</v>
      </c>
    </row>
    <row r="731" spans="1:6" hidden="1" x14ac:dyDescent="0.25">
      <c r="A731" s="2" t="b">
        <f>IF(ISBLANK(InfoGard!D731),FALSE,LOOKUP(InfoGard!D731,Lookup!$A$2:$B$4))</f>
        <v>0</v>
      </c>
      <c r="B731" s="2" t="b">
        <f>IF(ISBLANK(InfoGard!E731),FALSE,RIGHT(TRIM(InfoGard!E731),15))</f>
        <v>0</v>
      </c>
      <c r="C731" s="2" t="b">
        <f>IF(ISBLANK(InfoGard!F731),FALSE,LOOKUP(InfoGard!F731,Lookup!$A$6:$B$7))</f>
        <v>0</v>
      </c>
      <c r="D731" s="2" t="b">
        <f>IF(ISBLANK(InfoGard!G731),FALSE,InfoGard!G731)</f>
        <v>0</v>
      </c>
      <c r="E731" s="2" t="str">
        <f>IF(NOT(ISBLANK(InfoGard!D731)),IF(OR(ISBLANK(InfoGard!E731),InfoGard!E731="N/A"),"no acb code",CONCATENATE(Lookup!F$1,A731,Lookup!G$1,B731,Lookup!H$1,H$1,Lookup!I$1)),"no attestation")</f>
        <v>no attestation</v>
      </c>
      <c r="F731" s="2" t="str">
        <f>IF(AND(NOT(ISBLANK(InfoGard!G731)),InfoGard!G731&lt;&gt;"N/A"),IF(C731="All",CONCATENATE(Lookup!F$2,D731,Lookup!G$2,B731,Lookup!H$2,H$1,Lookup!I$2),CONCATENATE(Lookup!F$3,D731,Lookup!G$3,B731,Lookup!H$3)),"no url")</f>
        <v>no url</v>
      </c>
    </row>
    <row r="732" spans="1:6" hidden="1" x14ac:dyDescent="0.25">
      <c r="A732" s="2" t="b">
        <f>IF(ISBLANK(InfoGard!D732),FALSE,LOOKUP(InfoGard!D732,Lookup!$A$2:$B$4))</f>
        <v>0</v>
      </c>
      <c r="B732" s="2" t="b">
        <f>IF(ISBLANK(InfoGard!E732),FALSE,RIGHT(TRIM(InfoGard!E732),15))</f>
        <v>0</v>
      </c>
      <c r="C732" s="2" t="b">
        <f>IF(ISBLANK(InfoGard!F732),FALSE,LOOKUP(InfoGard!F732,Lookup!$A$6:$B$7))</f>
        <v>0</v>
      </c>
      <c r="D732" s="2" t="b">
        <f>IF(ISBLANK(InfoGard!G732),FALSE,InfoGard!G732)</f>
        <v>0</v>
      </c>
      <c r="E732" s="2" t="str">
        <f>IF(NOT(ISBLANK(InfoGard!D732)),IF(OR(ISBLANK(InfoGard!E732),InfoGard!E732="N/A"),"no acb code",CONCATENATE(Lookup!F$1,A732,Lookup!G$1,B732,Lookup!H$1,H$1,Lookup!I$1)),"no attestation")</f>
        <v>no attestation</v>
      </c>
      <c r="F732" s="2" t="str">
        <f>IF(AND(NOT(ISBLANK(InfoGard!G732)),InfoGard!G732&lt;&gt;"N/A"),IF(C732="All",CONCATENATE(Lookup!F$2,D732,Lookup!G$2,B732,Lookup!H$2,H$1,Lookup!I$2),CONCATENATE(Lookup!F$3,D732,Lookup!G$3,B732,Lookup!H$3)),"no url")</f>
        <v>no url</v>
      </c>
    </row>
    <row r="733" spans="1:6" hidden="1" x14ac:dyDescent="0.25">
      <c r="A733" s="2" t="b">
        <f>IF(ISBLANK(InfoGard!D733),FALSE,LOOKUP(InfoGard!D733,Lookup!$A$2:$B$4))</f>
        <v>0</v>
      </c>
      <c r="B733" s="2" t="b">
        <f>IF(ISBLANK(InfoGard!E733),FALSE,RIGHT(TRIM(InfoGard!E733),15))</f>
        <v>0</v>
      </c>
      <c r="C733" s="2" t="b">
        <f>IF(ISBLANK(InfoGard!F733),FALSE,LOOKUP(InfoGard!F733,Lookup!$A$6:$B$7))</f>
        <v>0</v>
      </c>
      <c r="D733" s="2" t="b">
        <f>IF(ISBLANK(InfoGard!G733),FALSE,InfoGard!G733)</f>
        <v>0</v>
      </c>
      <c r="E733" s="2" t="str">
        <f>IF(NOT(ISBLANK(InfoGard!D733)),IF(OR(ISBLANK(InfoGard!E733),InfoGard!E733="N/A"),"no acb code",CONCATENATE(Lookup!F$1,A733,Lookup!G$1,B733,Lookup!H$1,H$1,Lookup!I$1)),"no attestation")</f>
        <v>no attestation</v>
      </c>
      <c r="F733" s="2" t="str">
        <f>IF(AND(NOT(ISBLANK(InfoGard!G733)),InfoGard!G733&lt;&gt;"N/A"),IF(C733="All",CONCATENATE(Lookup!F$2,D733,Lookup!G$2,B733,Lookup!H$2,H$1,Lookup!I$2),CONCATENATE(Lookup!F$3,D733,Lookup!G$3,B733,Lookup!H$3)),"no url")</f>
        <v>no url</v>
      </c>
    </row>
    <row r="734" spans="1:6" hidden="1" x14ac:dyDescent="0.25">
      <c r="A734" s="2" t="b">
        <f>IF(ISBLANK(InfoGard!D734),FALSE,LOOKUP(InfoGard!D734,Lookup!$A$2:$B$4))</f>
        <v>0</v>
      </c>
      <c r="B734" s="2" t="b">
        <f>IF(ISBLANK(InfoGard!E734),FALSE,RIGHT(TRIM(InfoGard!E734),15))</f>
        <v>0</v>
      </c>
      <c r="C734" s="2" t="b">
        <f>IF(ISBLANK(InfoGard!F734),FALSE,LOOKUP(InfoGard!F734,Lookup!$A$6:$B$7))</f>
        <v>0</v>
      </c>
      <c r="D734" s="2" t="b">
        <f>IF(ISBLANK(InfoGard!G734),FALSE,InfoGard!G734)</f>
        <v>0</v>
      </c>
      <c r="E734" s="2" t="str">
        <f>IF(NOT(ISBLANK(InfoGard!D734)),IF(OR(ISBLANK(InfoGard!E734),InfoGard!E734="N/A"),"no acb code",CONCATENATE(Lookup!F$1,A734,Lookup!G$1,B734,Lookup!H$1,H$1,Lookup!I$1)),"no attestation")</f>
        <v>no attestation</v>
      </c>
      <c r="F734" s="2" t="str">
        <f>IF(AND(NOT(ISBLANK(InfoGard!G734)),InfoGard!G734&lt;&gt;"N/A"),IF(C734="All",CONCATENATE(Lookup!F$2,D734,Lookup!G$2,B734,Lookup!H$2,H$1,Lookup!I$2),CONCATENATE(Lookup!F$3,D734,Lookup!G$3,B734,Lookup!H$3)),"no url")</f>
        <v>no url</v>
      </c>
    </row>
    <row r="735" spans="1:6" x14ac:dyDescent="0.25">
      <c r="A735" s="2" t="str">
        <f>IF(ISBLANK(InfoGard!D735),FALSE,LOOKUP(InfoGard!D735,Lookup!$A$2:$B$4))</f>
        <v>Affirmative</v>
      </c>
      <c r="B735" s="2" t="str">
        <f>IF(ISBLANK(InfoGard!E735),FALSE,RIGHT(TRIM(InfoGard!E735),15))</f>
        <v>IG-2824-15-0013</v>
      </c>
      <c r="C735" s="2" t="str">
        <f>IF(ISBLANK(InfoGard!F735),FALSE,LOOKUP(InfoGard!F735,Lookup!$A$6:$B$7))</f>
        <v>All</v>
      </c>
      <c r="D735" s="2" t="str">
        <f>IF(ISBLANK(InfoGard!G735),FALSE,InfoGard!G735)</f>
        <v>http://www.krassons.com/gateway.htm</v>
      </c>
      <c r="E735" s="2" t="str">
        <f>IF(NOT(ISBLANK(InfoGard!D735)),IF(OR(ISBLANK(InfoGard!E735),InfoGard!E735="N/A"),"no acb code",CONCATENATE(Lookup!F$1,A735,Lookup!G$1,B735,Lookup!H$1,H$1,Lookup!I$1)),"no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'IG-2824-15-0013' and cb."name" = 'InfoGard' and cp.product_version_id = pv.product_version_id and pv.product_id = p.product_id and p.vendor_id = vend.vendor_id;</v>
      </c>
      <c r="F735" s="2" t="str">
        <f>IF(AND(NOT(ISBLANK(InfoGard!G735)),InfoGard!G735&lt;&gt;"N/A"),IF(C735="All",CONCATENATE(Lookup!F$2,D735,Lookup!G$2,B735,Lookup!H$2,H$1,Lookup!I$2),CONCATENATE(Lookup!F$3,D735,Lookup!G$3,B735,Lookup!H$3)),"no url")</f>
        <v>update openchpl.certified_product as cp set transparency_attestation_url = 'http://www.krassons.com/gateway.htm' from (select certified_product_id from (select vend.vendor_code from openchpl.certified_product as cp, openchpl.product_version as pv, openchpl.product as p, openchpl.vendor as vend where cp.acb_certification_id = 'IG-2824-15-0013'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36" spans="1:6" hidden="1" x14ac:dyDescent="0.25">
      <c r="A736" s="2" t="b">
        <f>IF(ISBLANK(InfoGard!D736),FALSE,LOOKUP(InfoGard!D736,Lookup!$A$2:$B$4))</f>
        <v>0</v>
      </c>
      <c r="B736" s="2" t="b">
        <f>IF(ISBLANK(InfoGard!E736),FALSE,RIGHT(TRIM(InfoGard!E736),15))</f>
        <v>0</v>
      </c>
      <c r="C736" s="2" t="b">
        <f>IF(ISBLANK(InfoGard!F736),FALSE,LOOKUP(InfoGard!F736,Lookup!$A$6:$B$7))</f>
        <v>0</v>
      </c>
      <c r="D736" s="2" t="b">
        <f>IF(ISBLANK(InfoGard!G736),FALSE,InfoGard!G736)</f>
        <v>0</v>
      </c>
      <c r="E736" s="2" t="str">
        <f>IF(NOT(ISBLANK(InfoGard!D736)),IF(OR(ISBLANK(InfoGard!E736),InfoGard!E736="N/A"),"no acb code",CONCATENATE(Lookup!F$1,A736,Lookup!G$1,B736,Lookup!H$1,H$1,Lookup!I$1)),"no attestation")</f>
        <v>no attestation</v>
      </c>
      <c r="F736" s="2" t="str">
        <f>IF(AND(NOT(ISBLANK(InfoGard!G736)),InfoGard!G736&lt;&gt;"N/A"),IF(C736="All",CONCATENATE(Lookup!F$2,D736,Lookup!G$2,B736,Lookup!H$2,H$1,Lookup!I$2),CONCATENATE(Lookup!F$3,D736,Lookup!G$3,B736,Lookup!H$3)),"no url")</f>
        <v>no url</v>
      </c>
    </row>
    <row r="737" spans="1:6" hidden="1" x14ac:dyDescent="0.25">
      <c r="A737" s="2" t="b">
        <f>IF(ISBLANK(InfoGard!D737),FALSE,LOOKUP(InfoGard!D737,Lookup!$A$2:$B$4))</f>
        <v>0</v>
      </c>
      <c r="B737" s="2" t="b">
        <f>IF(ISBLANK(InfoGard!E737),FALSE,RIGHT(TRIM(InfoGard!E737),15))</f>
        <v>0</v>
      </c>
      <c r="C737" s="2" t="b">
        <f>IF(ISBLANK(InfoGard!F737),FALSE,LOOKUP(InfoGard!F737,Lookup!$A$6:$B$7))</f>
        <v>0</v>
      </c>
      <c r="D737" s="2" t="b">
        <f>IF(ISBLANK(InfoGard!G737),FALSE,InfoGard!G737)</f>
        <v>0</v>
      </c>
      <c r="E737" s="2" t="str">
        <f>IF(NOT(ISBLANK(InfoGard!D737)),IF(OR(ISBLANK(InfoGard!E737),InfoGard!E737="N/A"),"no acb code",CONCATENATE(Lookup!F$1,A737,Lookup!G$1,B737,Lookup!H$1,H$1,Lookup!I$1)),"no attestation")</f>
        <v>no attestation</v>
      </c>
      <c r="F737" s="2" t="str">
        <f>IF(AND(NOT(ISBLANK(InfoGard!G737)),InfoGard!G737&lt;&gt;"N/A"),IF(C737="All",CONCATENATE(Lookup!F$2,D737,Lookup!G$2,B737,Lookup!H$2,H$1,Lookup!I$2),CONCATENATE(Lookup!F$3,D737,Lookup!G$3,B737,Lookup!H$3)),"no url")</f>
        <v>no url</v>
      </c>
    </row>
    <row r="738" spans="1:6" hidden="1" x14ac:dyDescent="0.25">
      <c r="A738" s="2" t="b">
        <f>IF(ISBLANK(InfoGard!D738),FALSE,LOOKUP(InfoGard!D738,Lookup!$A$2:$B$4))</f>
        <v>0</v>
      </c>
      <c r="B738" s="2" t="b">
        <f>IF(ISBLANK(InfoGard!E738),FALSE,RIGHT(TRIM(InfoGard!E738),15))</f>
        <v>0</v>
      </c>
      <c r="C738" s="2" t="b">
        <f>IF(ISBLANK(InfoGard!F738),FALSE,LOOKUP(InfoGard!F738,Lookup!$A$6:$B$7))</f>
        <v>0</v>
      </c>
      <c r="D738" s="2" t="b">
        <f>IF(ISBLANK(InfoGard!G738),FALSE,InfoGard!G738)</f>
        <v>0</v>
      </c>
      <c r="E738" s="2" t="str">
        <f>IF(NOT(ISBLANK(InfoGard!D738)),IF(OR(ISBLANK(InfoGard!E738),InfoGard!E738="N/A"),"no acb code",CONCATENATE(Lookup!F$1,A738,Lookup!G$1,B738,Lookup!H$1,H$1,Lookup!I$1)),"no attestation")</f>
        <v>no attestation</v>
      </c>
      <c r="F738" s="2" t="str">
        <f>IF(AND(NOT(ISBLANK(InfoGard!G738)),InfoGard!G738&lt;&gt;"N/A"),IF(C738="All",CONCATENATE(Lookup!F$2,D738,Lookup!G$2,B738,Lookup!H$2,H$1,Lookup!I$2),CONCATENATE(Lookup!F$3,D738,Lookup!G$3,B738,Lookup!H$3)),"no url")</f>
        <v>no url</v>
      </c>
    </row>
    <row r="739" spans="1:6" hidden="1" x14ac:dyDescent="0.25">
      <c r="A739" s="2" t="b">
        <f>IF(ISBLANK(InfoGard!D739),FALSE,LOOKUP(InfoGard!D739,Lookup!$A$2:$B$4))</f>
        <v>0</v>
      </c>
      <c r="B739" s="2" t="b">
        <f>IF(ISBLANK(InfoGard!E739),FALSE,RIGHT(TRIM(InfoGard!E739),15))</f>
        <v>0</v>
      </c>
      <c r="C739" s="2" t="b">
        <f>IF(ISBLANK(InfoGard!F739),FALSE,LOOKUP(InfoGard!F739,Lookup!$A$6:$B$7))</f>
        <v>0</v>
      </c>
      <c r="D739" s="2" t="b">
        <f>IF(ISBLANK(InfoGard!G739),FALSE,InfoGard!G739)</f>
        <v>0</v>
      </c>
      <c r="E739" s="2" t="str">
        <f>IF(NOT(ISBLANK(InfoGard!D739)),IF(OR(ISBLANK(InfoGard!E739),InfoGard!E739="N/A"),"no acb code",CONCATENATE(Lookup!F$1,A739,Lookup!G$1,B739,Lookup!H$1,H$1,Lookup!I$1)),"no attestation")</f>
        <v>no attestation</v>
      </c>
      <c r="F739" s="2" t="str">
        <f>IF(AND(NOT(ISBLANK(InfoGard!G739)),InfoGard!G739&lt;&gt;"N/A"),IF(C739="All",CONCATENATE(Lookup!F$2,D739,Lookup!G$2,B739,Lookup!H$2,H$1,Lookup!I$2),CONCATENATE(Lookup!F$3,D739,Lookup!G$3,B739,Lookup!H$3)),"no url")</f>
        <v>no url</v>
      </c>
    </row>
    <row r="740" spans="1:6" hidden="1" x14ac:dyDescent="0.25">
      <c r="A740" s="2" t="b">
        <f>IF(ISBLANK(InfoGard!D740),FALSE,LOOKUP(InfoGard!D740,Lookup!$A$2:$B$4))</f>
        <v>0</v>
      </c>
      <c r="B740" s="2" t="b">
        <f>IF(ISBLANK(InfoGard!E740),FALSE,RIGHT(TRIM(InfoGard!E740),15))</f>
        <v>0</v>
      </c>
      <c r="C740" s="2" t="b">
        <f>IF(ISBLANK(InfoGard!F740),FALSE,LOOKUP(InfoGard!F740,Lookup!$A$6:$B$7))</f>
        <v>0</v>
      </c>
      <c r="D740" s="2" t="b">
        <f>IF(ISBLANK(InfoGard!G740),FALSE,InfoGard!G740)</f>
        <v>0</v>
      </c>
      <c r="E740" s="2" t="str">
        <f>IF(NOT(ISBLANK(InfoGard!D740)),IF(OR(ISBLANK(InfoGard!E740),InfoGard!E740="N/A"),"no acb code",CONCATENATE(Lookup!F$1,A740,Lookup!G$1,B740,Lookup!H$1,H$1,Lookup!I$1)),"no attestation")</f>
        <v>no attestation</v>
      </c>
      <c r="F740" s="2" t="str">
        <f>IF(AND(NOT(ISBLANK(InfoGard!G740)),InfoGard!G740&lt;&gt;"N/A"),IF(C740="All",CONCATENATE(Lookup!F$2,D740,Lookup!G$2,B740,Lookup!H$2,H$1,Lookup!I$2),CONCATENATE(Lookup!F$3,D740,Lookup!G$3,B740,Lookup!H$3)),"no url")</f>
        <v>no url</v>
      </c>
    </row>
    <row r="741" spans="1:6" hidden="1" x14ac:dyDescent="0.25">
      <c r="A741" s="2" t="b">
        <f>IF(ISBLANK(InfoGard!D741),FALSE,LOOKUP(InfoGard!D741,Lookup!$A$2:$B$4))</f>
        <v>0</v>
      </c>
      <c r="B741" s="2" t="b">
        <f>IF(ISBLANK(InfoGard!E741),FALSE,RIGHT(TRIM(InfoGard!E741),15))</f>
        <v>0</v>
      </c>
      <c r="C741" s="2" t="b">
        <f>IF(ISBLANK(InfoGard!F741),FALSE,LOOKUP(InfoGard!F741,Lookup!$A$6:$B$7))</f>
        <v>0</v>
      </c>
      <c r="D741" s="2" t="b">
        <f>IF(ISBLANK(InfoGard!G741),FALSE,InfoGard!G741)</f>
        <v>0</v>
      </c>
      <c r="E741" s="2" t="str">
        <f>IF(NOT(ISBLANK(InfoGard!D741)),IF(OR(ISBLANK(InfoGard!E741),InfoGard!E741="N/A"),"no acb code",CONCATENATE(Lookup!F$1,A741,Lookup!G$1,B741,Lookup!H$1,H$1,Lookup!I$1)),"no attestation")</f>
        <v>no attestation</v>
      </c>
      <c r="F741" s="2" t="str">
        <f>IF(AND(NOT(ISBLANK(InfoGard!G741)),InfoGard!G741&lt;&gt;"N/A"),IF(C741="All",CONCATENATE(Lookup!F$2,D741,Lookup!G$2,B741,Lookup!H$2,H$1,Lookup!I$2),CONCATENATE(Lookup!F$3,D741,Lookup!G$3,B741,Lookup!H$3)),"no url")</f>
        <v>no url</v>
      </c>
    </row>
    <row r="742" spans="1:6" hidden="1" x14ac:dyDescent="0.25">
      <c r="A742" s="2" t="b">
        <f>IF(ISBLANK(InfoGard!D742),FALSE,LOOKUP(InfoGard!D742,Lookup!$A$2:$B$4))</f>
        <v>0</v>
      </c>
      <c r="B742" s="2" t="b">
        <f>IF(ISBLANK(InfoGard!E742),FALSE,RIGHT(TRIM(InfoGard!E742),15))</f>
        <v>0</v>
      </c>
      <c r="C742" s="2" t="b">
        <f>IF(ISBLANK(InfoGard!F742),FALSE,LOOKUP(InfoGard!F742,Lookup!$A$6:$B$7))</f>
        <v>0</v>
      </c>
      <c r="D742" s="2" t="b">
        <f>IF(ISBLANK(InfoGard!G742),FALSE,InfoGard!G742)</f>
        <v>0</v>
      </c>
      <c r="E742" s="2" t="str">
        <f>IF(NOT(ISBLANK(InfoGard!D742)),IF(OR(ISBLANK(InfoGard!E742),InfoGard!E742="N/A"),"no acb code",CONCATENATE(Lookup!F$1,A742,Lookup!G$1,B742,Lookup!H$1,H$1,Lookup!I$1)),"no attestation")</f>
        <v>no attestation</v>
      </c>
      <c r="F742" s="2" t="str">
        <f>IF(AND(NOT(ISBLANK(InfoGard!G742)),InfoGard!G742&lt;&gt;"N/A"),IF(C742="All",CONCATENATE(Lookup!F$2,D742,Lookup!G$2,B742,Lookup!H$2,H$1,Lookup!I$2),CONCATENATE(Lookup!F$3,D742,Lookup!G$3,B742,Lookup!H$3)),"no url")</f>
        <v>no url</v>
      </c>
    </row>
    <row r="743" spans="1:6" hidden="1" x14ac:dyDescent="0.25">
      <c r="A743" s="2" t="b">
        <f>IF(ISBLANK(InfoGard!D743),FALSE,LOOKUP(InfoGard!D743,Lookup!$A$2:$B$4))</f>
        <v>0</v>
      </c>
      <c r="B743" s="2" t="b">
        <f>IF(ISBLANK(InfoGard!E743),FALSE,RIGHT(TRIM(InfoGard!E743),15))</f>
        <v>0</v>
      </c>
      <c r="C743" s="2" t="b">
        <f>IF(ISBLANK(InfoGard!F743),FALSE,LOOKUP(InfoGard!F743,Lookup!$A$6:$B$7))</f>
        <v>0</v>
      </c>
      <c r="D743" s="2" t="b">
        <f>IF(ISBLANK(InfoGard!G743),FALSE,InfoGard!G743)</f>
        <v>0</v>
      </c>
      <c r="E743" s="2" t="str">
        <f>IF(NOT(ISBLANK(InfoGard!D743)),IF(OR(ISBLANK(InfoGard!E743),InfoGard!E743="N/A"),"no acb code",CONCATENATE(Lookup!F$1,A743,Lookup!G$1,B743,Lookup!H$1,H$1,Lookup!I$1)),"no attestation")</f>
        <v>no attestation</v>
      </c>
      <c r="F743" s="2" t="str">
        <f>IF(AND(NOT(ISBLANK(InfoGard!G743)),InfoGard!G743&lt;&gt;"N/A"),IF(C743="All",CONCATENATE(Lookup!F$2,D743,Lookup!G$2,B743,Lookup!H$2,H$1,Lookup!I$2),CONCATENATE(Lookup!F$3,D743,Lookup!G$3,B743,Lookup!H$3)),"no url")</f>
        <v>no url</v>
      </c>
    </row>
    <row r="744" spans="1:6" hidden="1" x14ac:dyDescent="0.25">
      <c r="A744" s="2" t="b">
        <f>IF(ISBLANK(InfoGard!D744),FALSE,LOOKUP(InfoGard!D744,Lookup!$A$2:$B$4))</f>
        <v>0</v>
      </c>
      <c r="B744" s="2" t="b">
        <f>IF(ISBLANK(InfoGard!E744),FALSE,RIGHT(TRIM(InfoGard!E744),15))</f>
        <v>0</v>
      </c>
      <c r="C744" s="2" t="b">
        <f>IF(ISBLANK(InfoGard!F744),FALSE,LOOKUP(InfoGard!F744,Lookup!$A$6:$B$7))</f>
        <v>0</v>
      </c>
      <c r="D744" s="2" t="b">
        <f>IF(ISBLANK(InfoGard!G744),FALSE,InfoGard!G744)</f>
        <v>0</v>
      </c>
      <c r="E744" s="2" t="str">
        <f>IF(NOT(ISBLANK(InfoGard!D744)),IF(OR(ISBLANK(InfoGard!E744),InfoGard!E744="N/A"),"no acb code",CONCATENATE(Lookup!F$1,A744,Lookup!G$1,B744,Lookup!H$1,H$1,Lookup!I$1)),"no attestation")</f>
        <v>no attestation</v>
      </c>
      <c r="F744" s="2" t="str">
        <f>IF(AND(NOT(ISBLANK(InfoGard!G744)),InfoGard!G744&lt;&gt;"N/A"),IF(C744="All",CONCATENATE(Lookup!F$2,D744,Lookup!G$2,B744,Lookup!H$2,H$1,Lookup!I$2),CONCATENATE(Lookup!F$3,D744,Lookup!G$3,B744,Lookup!H$3)),"no url")</f>
        <v>no url</v>
      </c>
    </row>
    <row r="745" spans="1:6" hidden="1" x14ac:dyDescent="0.25">
      <c r="A745" s="2" t="b">
        <f>IF(ISBLANK(InfoGard!D745),FALSE,LOOKUP(InfoGard!D745,Lookup!$A$2:$B$4))</f>
        <v>0</v>
      </c>
      <c r="B745" s="2" t="b">
        <f>IF(ISBLANK(InfoGard!E745),FALSE,RIGHT(TRIM(InfoGard!E745),15))</f>
        <v>0</v>
      </c>
      <c r="C745" s="2" t="b">
        <f>IF(ISBLANK(InfoGard!F745),FALSE,LOOKUP(InfoGard!F745,Lookup!$A$6:$B$7))</f>
        <v>0</v>
      </c>
      <c r="D745" s="2" t="b">
        <f>IF(ISBLANK(InfoGard!G745),FALSE,InfoGard!G745)</f>
        <v>0</v>
      </c>
      <c r="E745" s="2" t="str">
        <f>IF(NOT(ISBLANK(InfoGard!D745)),IF(OR(ISBLANK(InfoGard!E745),InfoGard!E745="N/A"),"no acb code",CONCATENATE(Lookup!F$1,A745,Lookup!G$1,B745,Lookup!H$1,H$1,Lookup!I$1)),"no attestation")</f>
        <v>no attestation</v>
      </c>
      <c r="F745" s="2" t="str">
        <f>IF(AND(NOT(ISBLANK(InfoGard!G745)),InfoGard!G745&lt;&gt;"N/A"),IF(C745="All",CONCATENATE(Lookup!F$2,D745,Lookup!G$2,B745,Lookup!H$2,H$1,Lookup!I$2),CONCATENATE(Lookup!F$3,D745,Lookup!G$3,B745,Lookup!H$3)),"no url")</f>
        <v>no url</v>
      </c>
    </row>
    <row r="746" spans="1:6" hidden="1" x14ac:dyDescent="0.25">
      <c r="A746" s="2" t="b">
        <f>IF(ISBLANK(InfoGard!D746),FALSE,LOOKUP(InfoGard!D746,Lookup!$A$2:$B$4))</f>
        <v>0</v>
      </c>
      <c r="B746" s="2" t="b">
        <f>IF(ISBLANK(InfoGard!E746),FALSE,RIGHT(TRIM(InfoGard!E746),15))</f>
        <v>0</v>
      </c>
      <c r="C746" s="2" t="b">
        <f>IF(ISBLANK(InfoGard!F746),FALSE,LOOKUP(InfoGard!F746,Lookup!$A$6:$B$7))</f>
        <v>0</v>
      </c>
      <c r="D746" s="2" t="b">
        <f>IF(ISBLANK(InfoGard!G746),FALSE,InfoGard!G746)</f>
        <v>0</v>
      </c>
      <c r="E746" s="2" t="str">
        <f>IF(NOT(ISBLANK(InfoGard!D746)),IF(OR(ISBLANK(InfoGard!E746),InfoGard!E746="N/A"),"no acb code",CONCATENATE(Lookup!F$1,A746,Lookup!G$1,B746,Lookup!H$1,H$1,Lookup!I$1)),"no attestation")</f>
        <v>no attestation</v>
      </c>
      <c r="F746" s="2" t="str">
        <f>IF(AND(NOT(ISBLANK(InfoGard!G746)),InfoGard!G746&lt;&gt;"N/A"),IF(C746="All",CONCATENATE(Lookup!F$2,D746,Lookup!G$2,B746,Lookup!H$2,H$1,Lookup!I$2),CONCATENATE(Lookup!F$3,D746,Lookup!G$3,B746,Lookup!H$3)),"no url")</f>
        <v>no url</v>
      </c>
    </row>
    <row r="747" spans="1:6" hidden="1" x14ac:dyDescent="0.25">
      <c r="A747" s="2" t="b">
        <f>IF(ISBLANK(InfoGard!D747),FALSE,LOOKUP(InfoGard!D747,Lookup!$A$2:$B$4))</f>
        <v>0</v>
      </c>
      <c r="B747" s="2" t="b">
        <f>IF(ISBLANK(InfoGard!E747),FALSE,RIGHT(TRIM(InfoGard!E747),15))</f>
        <v>0</v>
      </c>
      <c r="C747" s="2" t="b">
        <f>IF(ISBLANK(InfoGard!F747),FALSE,LOOKUP(InfoGard!F747,Lookup!$A$6:$B$7))</f>
        <v>0</v>
      </c>
      <c r="D747" s="2" t="b">
        <f>IF(ISBLANK(InfoGard!G747),FALSE,InfoGard!G747)</f>
        <v>0</v>
      </c>
      <c r="E747" s="2" t="str">
        <f>IF(NOT(ISBLANK(InfoGard!D747)),IF(OR(ISBLANK(InfoGard!E747),InfoGard!E747="N/A"),"no acb code",CONCATENATE(Lookup!F$1,A747,Lookup!G$1,B747,Lookup!H$1,H$1,Lookup!I$1)),"no attestation")</f>
        <v>no attestation</v>
      </c>
      <c r="F747" s="2" t="str">
        <f>IF(AND(NOT(ISBLANK(InfoGard!G747)),InfoGard!G747&lt;&gt;"N/A"),IF(C747="All",CONCATENATE(Lookup!F$2,D747,Lookup!G$2,B747,Lookup!H$2,H$1,Lookup!I$2),CONCATENATE(Lookup!F$3,D747,Lookup!G$3,B747,Lookup!H$3)),"no url")</f>
        <v>no url</v>
      </c>
    </row>
    <row r="748" spans="1:6" hidden="1" x14ac:dyDescent="0.25">
      <c r="A748" s="2" t="b">
        <f>IF(ISBLANK(InfoGard!D748),FALSE,LOOKUP(InfoGard!D748,Lookup!$A$2:$B$4))</f>
        <v>0</v>
      </c>
      <c r="B748" s="2" t="b">
        <f>IF(ISBLANK(InfoGard!E748),FALSE,RIGHT(TRIM(InfoGard!E748),15))</f>
        <v>0</v>
      </c>
      <c r="C748" s="2" t="b">
        <f>IF(ISBLANK(InfoGard!F748),FALSE,LOOKUP(InfoGard!F748,Lookup!$A$6:$B$7))</f>
        <v>0</v>
      </c>
      <c r="D748" s="2" t="b">
        <f>IF(ISBLANK(InfoGard!G748),FALSE,InfoGard!G748)</f>
        <v>0</v>
      </c>
      <c r="E748" s="2" t="str">
        <f>IF(NOT(ISBLANK(InfoGard!D748)),IF(OR(ISBLANK(InfoGard!E748),InfoGard!E748="N/A"),"no acb code",CONCATENATE(Lookup!F$1,A748,Lookup!G$1,B748,Lookup!H$1,H$1,Lookup!I$1)),"no attestation")</f>
        <v>no attestation</v>
      </c>
      <c r="F748" s="2" t="str">
        <f>IF(AND(NOT(ISBLANK(InfoGard!G748)),InfoGard!G748&lt;&gt;"N/A"),IF(C748="All",CONCATENATE(Lookup!F$2,D748,Lookup!G$2,B748,Lookup!H$2,H$1,Lookup!I$2),CONCATENATE(Lookup!F$3,D748,Lookup!G$3,B748,Lookup!H$3)),"no url")</f>
        <v>no url</v>
      </c>
    </row>
    <row r="749" spans="1:6" hidden="1" x14ac:dyDescent="0.25">
      <c r="A749" s="2" t="b">
        <f>IF(ISBLANK(InfoGard!D749),FALSE,LOOKUP(InfoGard!D749,Lookup!$A$2:$B$4))</f>
        <v>0</v>
      </c>
      <c r="B749" s="2" t="b">
        <f>IF(ISBLANK(InfoGard!E749),FALSE,RIGHT(TRIM(InfoGard!E749),15))</f>
        <v>0</v>
      </c>
      <c r="C749" s="2" t="b">
        <f>IF(ISBLANK(InfoGard!F749),FALSE,LOOKUP(InfoGard!F749,Lookup!$A$6:$B$7))</f>
        <v>0</v>
      </c>
      <c r="D749" s="2" t="b">
        <f>IF(ISBLANK(InfoGard!G749),FALSE,InfoGard!G749)</f>
        <v>0</v>
      </c>
      <c r="E749" s="2" t="str">
        <f>IF(NOT(ISBLANK(InfoGard!D749)),IF(OR(ISBLANK(InfoGard!E749),InfoGard!E749="N/A"),"no acb code",CONCATENATE(Lookup!F$1,A749,Lookup!G$1,B749,Lookup!H$1,H$1,Lookup!I$1)),"no attestation")</f>
        <v>no attestation</v>
      </c>
      <c r="F749" s="2" t="str">
        <f>IF(AND(NOT(ISBLANK(InfoGard!G749)),InfoGard!G749&lt;&gt;"N/A"),IF(C749="All",CONCATENATE(Lookup!F$2,D749,Lookup!G$2,B749,Lookup!H$2,H$1,Lookup!I$2),CONCATENATE(Lookup!F$3,D749,Lookup!G$3,B749,Lookup!H$3)),"no url")</f>
        <v>no url</v>
      </c>
    </row>
    <row r="750" spans="1:6" hidden="1" x14ac:dyDescent="0.25">
      <c r="A750" s="2" t="b">
        <f>IF(ISBLANK(InfoGard!D750),FALSE,LOOKUP(InfoGard!D750,Lookup!$A$2:$B$4))</f>
        <v>0</v>
      </c>
      <c r="B750" s="2" t="b">
        <f>IF(ISBLANK(InfoGard!E750),FALSE,RIGHT(TRIM(InfoGard!E750),15))</f>
        <v>0</v>
      </c>
      <c r="C750" s="2" t="b">
        <f>IF(ISBLANK(InfoGard!F750),FALSE,LOOKUP(InfoGard!F750,Lookup!$A$6:$B$7))</f>
        <v>0</v>
      </c>
      <c r="D750" s="2" t="b">
        <f>IF(ISBLANK(InfoGard!G750),FALSE,InfoGard!G750)</f>
        <v>0</v>
      </c>
      <c r="E750" s="2" t="str">
        <f>IF(NOT(ISBLANK(InfoGard!D750)),IF(OR(ISBLANK(InfoGard!E750),InfoGard!E750="N/A"),"no acb code",CONCATENATE(Lookup!F$1,A750,Lookup!G$1,B750,Lookup!H$1,H$1,Lookup!I$1)),"no attestation")</f>
        <v>no attestation</v>
      </c>
      <c r="F750" s="2" t="str">
        <f>IF(AND(NOT(ISBLANK(InfoGard!G750)),InfoGard!G750&lt;&gt;"N/A"),IF(C750="All",CONCATENATE(Lookup!F$2,D750,Lookup!G$2,B750,Lookup!H$2,H$1,Lookup!I$2),CONCATENATE(Lookup!F$3,D750,Lookup!G$3,B750,Lookup!H$3)),"no url")</f>
        <v>no url</v>
      </c>
    </row>
    <row r="751" spans="1:6" hidden="1" x14ac:dyDescent="0.25">
      <c r="A751" s="2" t="b">
        <f>IF(ISBLANK(InfoGard!D751),FALSE,LOOKUP(InfoGard!D751,Lookup!$A$2:$B$4))</f>
        <v>0</v>
      </c>
      <c r="B751" s="2" t="b">
        <f>IF(ISBLANK(InfoGard!E751),FALSE,RIGHT(TRIM(InfoGard!E751),15))</f>
        <v>0</v>
      </c>
      <c r="C751" s="2" t="b">
        <f>IF(ISBLANK(InfoGard!F751),FALSE,LOOKUP(InfoGard!F751,Lookup!$A$6:$B$7))</f>
        <v>0</v>
      </c>
      <c r="D751" s="2" t="b">
        <f>IF(ISBLANK(InfoGard!G751),FALSE,InfoGard!G751)</f>
        <v>0</v>
      </c>
      <c r="E751" s="2" t="str">
        <f>IF(NOT(ISBLANK(InfoGard!D751)),IF(OR(ISBLANK(InfoGard!E751),InfoGard!E751="N/A"),"no acb code",CONCATENATE(Lookup!F$1,A751,Lookup!G$1,B751,Lookup!H$1,H$1,Lookup!I$1)),"no attestation")</f>
        <v>no attestation</v>
      </c>
      <c r="F751" s="2" t="str">
        <f>IF(AND(NOT(ISBLANK(InfoGard!G751)),InfoGard!G751&lt;&gt;"N/A"),IF(C751="All",CONCATENATE(Lookup!F$2,D751,Lookup!G$2,B751,Lookup!H$2,H$1,Lookup!I$2),CONCATENATE(Lookup!F$3,D751,Lookup!G$3,B751,Lookup!H$3)),"no url")</f>
        <v>no url</v>
      </c>
    </row>
    <row r="752" spans="1:6" hidden="1" x14ac:dyDescent="0.25">
      <c r="A752" s="2" t="b">
        <f>IF(ISBLANK(InfoGard!D752),FALSE,LOOKUP(InfoGard!D752,Lookup!$A$2:$B$4))</f>
        <v>0</v>
      </c>
      <c r="B752" s="2" t="b">
        <f>IF(ISBLANK(InfoGard!E752),FALSE,RIGHT(TRIM(InfoGard!E752),15))</f>
        <v>0</v>
      </c>
      <c r="C752" s="2" t="b">
        <f>IF(ISBLANK(InfoGard!F752),FALSE,LOOKUP(InfoGard!F752,Lookup!$A$6:$B$7))</f>
        <v>0</v>
      </c>
      <c r="D752" s="2" t="b">
        <f>IF(ISBLANK(InfoGard!G752),FALSE,InfoGard!G752)</f>
        <v>0</v>
      </c>
      <c r="E752" s="2" t="str">
        <f>IF(NOT(ISBLANK(InfoGard!D752)),IF(OR(ISBLANK(InfoGard!E752),InfoGard!E752="N/A"),"no acb code",CONCATENATE(Lookup!F$1,A752,Lookup!G$1,B752,Lookup!H$1,H$1,Lookup!I$1)),"no attestation")</f>
        <v>no attestation</v>
      </c>
      <c r="F752" s="2" t="str">
        <f>IF(AND(NOT(ISBLANK(InfoGard!G752)),InfoGard!G752&lt;&gt;"N/A"),IF(C752="All",CONCATENATE(Lookup!F$2,D752,Lookup!G$2,B752,Lookup!H$2,H$1,Lookup!I$2),CONCATENATE(Lookup!F$3,D752,Lookup!G$3,B752,Lookup!H$3)),"no url")</f>
        <v>no url</v>
      </c>
    </row>
    <row r="753" spans="1:6" hidden="1" x14ac:dyDescent="0.25">
      <c r="A753" s="2" t="b">
        <f>IF(ISBLANK(InfoGard!D753),FALSE,LOOKUP(InfoGard!D753,Lookup!$A$2:$B$4))</f>
        <v>0</v>
      </c>
      <c r="B753" s="2" t="b">
        <f>IF(ISBLANK(InfoGard!E753),FALSE,RIGHT(TRIM(InfoGard!E753),15))</f>
        <v>0</v>
      </c>
      <c r="C753" s="2" t="b">
        <f>IF(ISBLANK(InfoGard!F753),FALSE,LOOKUP(InfoGard!F753,Lookup!$A$6:$B$7))</f>
        <v>0</v>
      </c>
      <c r="D753" s="2" t="b">
        <f>IF(ISBLANK(InfoGard!G753),FALSE,InfoGard!G753)</f>
        <v>0</v>
      </c>
      <c r="E753" s="2" t="str">
        <f>IF(NOT(ISBLANK(InfoGard!D753)),IF(OR(ISBLANK(InfoGard!E753),InfoGard!E753="N/A"),"no acb code",CONCATENATE(Lookup!F$1,A753,Lookup!G$1,B753,Lookup!H$1,H$1,Lookup!I$1)),"no attestation")</f>
        <v>no attestation</v>
      </c>
      <c r="F753" s="2" t="str">
        <f>IF(AND(NOT(ISBLANK(InfoGard!G753)),InfoGard!G753&lt;&gt;"N/A"),IF(C753="All",CONCATENATE(Lookup!F$2,D753,Lookup!G$2,B753,Lookup!H$2,H$1,Lookup!I$2),CONCATENATE(Lookup!F$3,D753,Lookup!G$3,B753,Lookup!H$3)),"no url")</f>
        <v>no url</v>
      </c>
    </row>
    <row r="754" spans="1:6" hidden="1" x14ac:dyDescent="0.25">
      <c r="A754" s="2" t="b">
        <f>IF(ISBLANK(InfoGard!D754),FALSE,LOOKUP(InfoGard!D754,Lookup!$A$2:$B$4))</f>
        <v>0</v>
      </c>
      <c r="B754" s="2" t="b">
        <f>IF(ISBLANK(InfoGard!E754),FALSE,RIGHT(TRIM(InfoGard!E754),15))</f>
        <v>0</v>
      </c>
      <c r="C754" s="2" t="b">
        <f>IF(ISBLANK(InfoGard!F754),FALSE,LOOKUP(InfoGard!F754,Lookup!$A$6:$B$7))</f>
        <v>0</v>
      </c>
      <c r="D754" s="2" t="b">
        <f>IF(ISBLANK(InfoGard!G754),FALSE,InfoGard!G754)</f>
        <v>0</v>
      </c>
      <c r="E754" s="2" t="str">
        <f>IF(NOT(ISBLANK(InfoGard!D754)),IF(OR(ISBLANK(InfoGard!E754),InfoGard!E754="N/A"),"no acb code",CONCATENATE(Lookup!F$1,A754,Lookup!G$1,B754,Lookup!H$1,H$1,Lookup!I$1)),"no attestation")</f>
        <v>no attestation</v>
      </c>
      <c r="F754" s="2" t="str">
        <f>IF(AND(NOT(ISBLANK(InfoGard!G754)),InfoGard!G754&lt;&gt;"N/A"),IF(C754="All",CONCATENATE(Lookup!F$2,D754,Lookup!G$2,B754,Lookup!H$2,H$1,Lookup!I$2),CONCATENATE(Lookup!F$3,D754,Lookup!G$3,B754,Lookup!H$3)),"no url")</f>
        <v>no url</v>
      </c>
    </row>
    <row r="755" spans="1:6" hidden="1" x14ac:dyDescent="0.25">
      <c r="A755" s="2" t="b">
        <f>IF(ISBLANK(InfoGard!D755),FALSE,LOOKUP(InfoGard!D755,Lookup!$A$2:$B$4))</f>
        <v>0</v>
      </c>
      <c r="B755" s="2" t="b">
        <f>IF(ISBLANK(InfoGard!E755),FALSE,RIGHT(TRIM(InfoGard!E755),15))</f>
        <v>0</v>
      </c>
      <c r="C755" s="2" t="b">
        <f>IF(ISBLANK(InfoGard!F755),FALSE,LOOKUP(InfoGard!F755,Lookup!$A$6:$B$7))</f>
        <v>0</v>
      </c>
      <c r="D755" s="2" t="b">
        <f>IF(ISBLANK(InfoGard!G755),FALSE,InfoGard!G755)</f>
        <v>0</v>
      </c>
      <c r="E755" s="2" t="str">
        <f>IF(NOT(ISBLANK(InfoGard!D755)),IF(OR(ISBLANK(InfoGard!E755),InfoGard!E755="N/A"),"no acb code",CONCATENATE(Lookup!F$1,A755,Lookup!G$1,B755,Lookup!H$1,H$1,Lookup!I$1)),"no attestation")</f>
        <v>no attestation</v>
      </c>
      <c r="F755" s="2" t="str">
        <f>IF(AND(NOT(ISBLANK(InfoGard!G755)),InfoGard!G755&lt;&gt;"N/A"),IF(C755="All",CONCATENATE(Lookup!F$2,D755,Lookup!G$2,B755,Lookup!H$2,H$1,Lookup!I$2),CONCATENATE(Lookup!F$3,D755,Lookup!G$3,B755,Lookup!H$3)),"no url")</f>
        <v>no url</v>
      </c>
    </row>
    <row r="756" spans="1:6" hidden="1" x14ac:dyDescent="0.25">
      <c r="A756" s="2" t="b">
        <f>IF(ISBLANK(InfoGard!D756),FALSE,LOOKUP(InfoGard!D756,Lookup!$A$2:$B$4))</f>
        <v>0</v>
      </c>
      <c r="B756" s="2" t="b">
        <f>IF(ISBLANK(InfoGard!E756),FALSE,RIGHT(TRIM(InfoGard!E756),15))</f>
        <v>0</v>
      </c>
      <c r="C756" s="2" t="b">
        <f>IF(ISBLANK(InfoGard!F756),FALSE,LOOKUP(InfoGard!F756,Lookup!$A$6:$B$7))</f>
        <v>0</v>
      </c>
      <c r="D756" s="2" t="b">
        <f>IF(ISBLANK(InfoGard!G756),FALSE,InfoGard!G756)</f>
        <v>0</v>
      </c>
      <c r="E756" s="2" t="str">
        <f>IF(NOT(ISBLANK(InfoGard!D756)),IF(OR(ISBLANK(InfoGard!E756),InfoGard!E756="N/A"),"no acb code",CONCATENATE(Lookup!F$1,A756,Lookup!G$1,B756,Lookup!H$1,H$1,Lookup!I$1)),"no attestation")</f>
        <v>no attestation</v>
      </c>
      <c r="F756" s="2" t="str">
        <f>IF(AND(NOT(ISBLANK(InfoGard!G756)),InfoGard!G756&lt;&gt;"N/A"),IF(C756="All",CONCATENATE(Lookup!F$2,D756,Lookup!G$2,B756,Lookup!H$2,H$1,Lookup!I$2),CONCATENATE(Lookup!F$3,D756,Lookup!G$3,B756,Lookup!H$3)),"no url")</f>
        <v>no url</v>
      </c>
    </row>
    <row r="757" spans="1:6" hidden="1" x14ac:dyDescent="0.25">
      <c r="A757" s="2" t="b">
        <f>IF(ISBLANK(InfoGard!D757),FALSE,LOOKUP(InfoGard!D757,Lookup!$A$2:$B$4))</f>
        <v>0</v>
      </c>
      <c r="B757" s="2" t="b">
        <f>IF(ISBLANK(InfoGard!E757),FALSE,RIGHT(TRIM(InfoGard!E757),15))</f>
        <v>0</v>
      </c>
      <c r="C757" s="2" t="b">
        <f>IF(ISBLANK(InfoGard!F757),FALSE,LOOKUP(InfoGard!F757,Lookup!$A$6:$B$7))</f>
        <v>0</v>
      </c>
      <c r="D757" s="2" t="b">
        <f>IF(ISBLANK(InfoGard!G757),FALSE,InfoGard!G757)</f>
        <v>0</v>
      </c>
      <c r="E757" s="2" t="str">
        <f>IF(NOT(ISBLANK(InfoGard!D757)),IF(OR(ISBLANK(InfoGard!E757),InfoGard!E757="N/A"),"no acb code",CONCATENATE(Lookup!F$1,A757,Lookup!G$1,B757,Lookup!H$1,H$1,Lookup!I$1)),"no attestation")</f>
        <v>no attestation</v>
      </c>
      <c r="F757" s="2" t="str">
        <f>IF(AND(NOT(ISBLANK(InfoGard!G757)),InfoGard!G757&lt;&gt;"N/A"),IF(C757="All",CONCATENATE(Lookup!F$2,D757,Lookup!G$2,B757,Lookup!H$2,H$1,Lookup!I$2),CONCATENATE(Lookup!F$3,D757,Lookup!G$3,B757,Lookup!H$3)),"no url")</f>
        <v>no url</v>
      </c>
    </row>
    <row r="758" spans="1:6" hidden="1" x14ac:dyDescent="0.25">
      <c r="A758" s="2" t="b">
        <f>IF(ISBLANK(InfoGard!D758),FALSE,LOOKUP(InfoGard!D758,Lookup!$A$2:$B$4))</f>
        <v>0</v>
      </c>
      <c r="B758" s="2" t="b">
        <f>IF(ISBLANK(InfoGard!E758),FALSE,RIGHT(TRIM(InfoGard!E758),15))</f>
        <v>0</v>
      </c>
      <c r="C758" s="2" t="b">
        <f>IF(ISBLANK(InfoGard!F758),FALSE,LOOKUP(InfoGard!F758,Lookup!$A$6:$B$7))</f>
        <v>0</v>
      </c>
      <c r="D758" s="2" t="b">
        <f>IF(ISBLANK(InfoGard!G758),FALSE,InfoGard!G758)</f>
        <v>0</v>
      </c>
      <c r="E758" s="2" t="str">
        <f>IF(NOT(ISBLANK(InfoGard!D758)),IF(OR(ISBLANK(InfoGard!E758),InfoGard!E758="N/A"),"no acb code",CONCATENATE(Lookup!F$1,A758,Lookup!G$1,B758,Lookup!H$1,H$1,Lookup!I$1)),"no attestation")</f>
        <v>no attestation</v>
      </c>
      <c r="F758" s="2" t="str">
        <f>IF(AND(NOT(ISBLANK(InfoGard!G758)),InfoGard!G758&lt;&gt;"N/A"),IF(C758="All",CONCATENATE(Lookup!F$2,D758,Lookup!G$2,B758,Lookup!H$2,H$1,Lookup!I$2),CONCATENATE(Lookup!F$3,D758,Lookup!G$3,B758,Lookup!H$3)),"no url")</f>
        <v>no url</v>
      </c>
    </row>
    <row r="759" spans="1:6" hidden="1" x14ac:dyDescent="0.25">
      <c r="A759" s="2" t="b">
        <f>IF(ISBLANK(InfoGard!D759),FALSE,LOOKUP(InfoGard!D759,Lookup!$A$2:$B$4))</f>
        <v>0</v>
      </c>
      <c r="B759" s="2" t="b">
        <f>IF(ISBLANK(InfoGard!E759),FALSE,RIGHT(TRIM(InfoGard!E759),15))</f>
        <v>0</v>
      </c>
      <c r="C759" s="2" t="b">
        <f>IF(ISBLANK(InfoGard!F759),FALSE,LOOKUP(InfoGard!F759,Lookup!$A$6:$B$7))</f>
        <v>0</v>
      </c>
      <c r="D759" s="2" t="b">
        <f>IF(ISBLANK(InfoGard!G759),FALSE,InfoGard!G759)</f>
        <v>0</v>
      </c>
      <c r="E759" s="2" t="str">
        <f>IF(NOT(ISBLANK(InfoGard!D759)),IF(OR(ISBLANK(InfoGard!E759),InfoGard!E759="N/A"),"no acb code",CONCATENATE(Lookup!F$1,A759,Lookup!G$1,B759,Lookup!H$1,H$1,Lookup!I$1)),"no attestation")</f>
        <v>no attestation</v>
      </c>
      <c r="F759" s="2" t="str">
        <f>IF(AND(NOT(ISBLANK(InfoGard!G759)),InfoGard!G759&lt;&gt;"N/A"),IF(C759="All",CONCATENATE(Lookup!F$2,D759,Lookup!G$2,B759,Lookup!H$2,H$1,Lookup!I$2),CONCATENATE(Lookup!F$3,D759,Lookup!G$3,B759,Lookup!H$3)),"no url")</f>
        <v>no url</v>
      </c>
    </row>
    <row r="760" spans="1:6" hidden="1" x14ac:dyDescent="0.25">
      <c r="A760" s="2" t="b">
        <f>IF(ISBLANK(InfoGard!D760),FALSE,LOOKUP(InfoGard!D760,Lookup!$A$2:$B$4))</f>
        <v>0</v>
      </c>
      <c r="B760" s="2" t="b">
        <f>IF(ISBLANK(InfoGard!E760),FALSE,RIGHT(TRIM(InfoGard!E760),15))</f>
        <v>0</v>
      </c>
      <c r="C760" s="2" t="b">
        <f>IF(ISBLANK(InfoGard!F760),FALSE,LOOKUP(InfoGard!F760,Lookup!$A$6:$B$7))</f>
        <v>0</v>
      </c>
      <c r="D760" s="2" t="b">
        <f>IF(ISBLANK(InfoGard!G760),FALSE,InfoGard!G760)</f>
        <v>0</v>
      </c>
      <c r="E760" s="2" t="str">
        <f>IF(NOT(ISBLANK(InfoGard!D760)),IF(OR(ISBLANK(InfoGard!E760),InfoGard!E760="N/A"),"no acb code",CONCATENATE(Lookup!F$1,A760,Lookup!G$1,B760,Lookup!H$1,H$1,Lookup!I$1)),"no attestation")</f>
        <v>no attestation</v>
      </c>
      <c r="F760" s="2" t="str">
        <f>IF(AND(NOT(ISBLANK(InfoGard!G760)),InfoGard!G760&lt;&gt;"N/A"),IF(C760="All",CONCATENATE(Lookup!F$2,D760,Lookup!G$2,B760,Lookup!H$2,H$1,Lookup!I$2),CONCATENATE(Lookup!F$3,D760,Lookup!G$3,B760,Lookup!H$3)),"no url")</f>
        <v>no url</v>
      </c>
    </row>
    <row r="761" spans="1:6" hidden="1" x14ac:dyDescent="0.25">
      <c r="A761" s="2" t="b">
        <f>IF(ISBLANK(InfoGard!D761),FALSE,LOOKUP(InfoGard!D761,Lookup!$A$2:$B$4))</f>
        <v>0</v>
      </c>
      <c r="B761" s="2" t="b">
        <f>IF(ISBLANK(InfoGard!E761),FALSE,RIGHT(TRIM(InfoGard!E761),15))</f>
        <v>0</v>
      </c>
      <c r="C761" s="2" t="b">
        <f>IF(ISBLANK(InfoGard!F761),FALSE,LOOKUP(InfoGard!F761,Lookup!$A$6:$B$7))</f>
        <v>0</v>
      </c>
      <c r="D761" s="2" t="b">
        <f>IF(ISBLANK(InfoGard!G761),FALSE,InfoGard!G761)</f>
        <v>0</v>
      </c>
      <c r="E761" s="2" t="str">
        <f>IF(NOT(ISBLANK(InfoGard!D761)),IF(OR(ISBLANK(InfoGard!E761),InfoGard!E761="N/A"),"no acb code",CONCATENATE(Lookup!F$1,A761,Lookup!G$1,B761,Lookup!H$1,H$1,Lookup!I$1)),"no attestation")</f>
        <v>no attestation</v>
      </c>
      <c r="F761" s="2" t="str">
        <f>IF(AND(NOT(ISBLANK(InfoGard!G761)),InfoGard!G761&lt;&gt;"N/A"),IF(C761="All",CONCATENATE(Lookup!F$2,D761,Lookup!G$2,B761,Lookup!H$2,H$1,Lookup!I$2),CONCATENATE(Lookup!F$3,D761,Lookup!G$3,B761,Lookup!H$3)),"no url")</f>
        <v>no url</v>
      </c>
    </row>
    <row r="762" spans="1:6" hidden="1" x14ac:dyDescent="0.25">
      <c r="A762" s="2" t="b">
        <f>IF(ISBLANK(InfoGard!D762),FALSE,LOOKUP(InfoGard!D762,Lookup!$A$2:$B$4))</f>
        <v>0</v>
      </c>
      <c r="B762" s="2" t="b">
        <f>IF(ISBLANK(InfoGard!E762),FALSE,RIGHT(TRIM(InfoGard!E762),15))</f>
        <v>0</v>
      </c>
      <c r="C762" s="2" t="b">
        <f>IF(ISBLANK(InfoGard!F762),FALSE,LOOKUP(InfoGard!F762,Lookup!$A$6:$B$7))</f>
        <v>0</v>
      </c>
      <c r="D762" s="2" t="b">
        <f>IF(ISBLANK(InfoGard!G762),FALSE,InfoGard!G762)</f>
        <v>0</v>
      </c>
      <c r="E762" s="2" t="str">
        <f>IF(NOT(ISBLANK(InfoGard!D762)),IF(OR(ISBLANK(InfoGard!E762),InfoGard!E762="N/A"),"no acb code",CONCATENATE(Lookup!F$1,A762,Lookup!G$1,B762,Lookup!H$1,H$1,Lookup!I$1)),"no attestation")</f>
        <v>no attestation</v>
      </c>
      <c r="F762" s="2" t="str">
        <f>IF(AND(NOT(ISBLANK(InfoGard!G762)),InfoGard!G762&lt;&gt;"N/A"),IF(C762="All",CONCATENATE(Lookup!F$2,D762,Lookup!G$2,B762,Lookup!H$2,H$1,Lookup!I$2),CONCATENATE(Lookup!F$3,D762,Lookup!G$3,B762,Lookup!H$3)),"no url")</f>
        <v>no url</v>
      </c>
    </row>
    <row r="763" spans="1:6" x14ac:dyDescent="0.25">
      <c r="A763" s="2" t="str">
        <f>IF(ISBLANK(InfoGard!D763),FALSE,LOOKUP(InfoGard!D763,Lookup!$A$2:$B$4))</f>
        <v>Affirmative</v>
      </c>
      <c r="B763" s="2" t="str">
        <f>IF(ISBLANK(InfoGard!E763),FALSE,RIGHT(TRIM(InfoGard!E763),15))</f>
        <v>IG-3201-14-0028</v>
      </c>
      <c r="C763" s="2" t="str">
        <f>IF(ISBLANK(InfoGard!F763),FALSE,LOOKUP(InfoGard!F763,Lookup!$A$6:$B$7))</f>
        <v>All</v>
      </c>
      <c r="D763" s="2" t="str">
        <f>IF(ISBLANK(InfoGard!G763),FALSE,InfoGard!G763)</f>
        <v>https://logrhythm.com/solutions/meaningful-use/</v>
      </c>
      <c r="E763" s="2" t="str">
        <f>IF(NOT(ISBLANK(InfoGard!D763)),IF(OR(ISBLANK(InfoGard!E763),InfoGard!E763="N/A"),"no acb code",CONCATENATE(Lookup!F$1,A763,Lookup!G$1,B763,Lookup!H$1,H$1,Lookup!I$1)),"no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'IG-3201-14-0028' and cb."name" = 'InfoGard' and cp.product_version_id = pv.product_version_id and pv.product_id = p.product_id and p.vendor_id = vend.vendor_id;</v>
      </c>
      <c r="F763" s="2" t="str">
        <f>IF(AND(NOT(ISBLANK(InfoGard!G763)),InfoGard!G763&lt;&gt;"N/A"),IF(C763="All",CONCATENATE(Lookup!F$2,D763,Lookup!G$2,B763,Lookup!H$2,H$1,Lookup!I$2),CONCATENATE(Lookup!F$3,D763,Lookup!G$3,B763,Lookup!H$3)),"no url")</f>
        <v>update openchpl.certified_product as cp set transparency_attestation_url = 'https://logrhythm.com/solutions/meaningful-use/' from (select certified_product_id from (select vend.vendor_code from openchpl.certified_product as cp, openchpl.product_version as pv, openchpl.product as p, openchpl.vendor as vend where cp.acb_certification_id = 'IG-3201-14-0028'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64" spans="1:6" x14ac:dyDescent="0.25">
      <c r="A764" s="2" t="str">
        <f>IF(ISBLANK(InfoGard!D764),FALSE,LOOKUP(InfoGard!D764,Lookup!$A$2:$B$4))</f>
        <v>Affirmative</v>
      </c>
      <c r="B764" s="2" t="str">
        <f>IF(ISBLANK(InfoGard!E764),FALSE,RIGHT(TRIM(InfoGard!E764),15))</f>
        <v>IG-3201-15-0045</v>
      </c>
      <c r="C764" s="2" t="str">
        <f>IF(ISBLANK(InfoGard!F764),FALSE,LOOKUP(InfoGard!F764,Lookup!$A$6:$B$7))</f>
        <v>All</v>
      </c>
      <c r="D764" s="2" t="str">
        <f>IF(ISBLANK(InfoGard!G764),FALSE,InfoGard!G764)</f>
        <v>https://logrhythm.com/solutions/meaningful-use/</v>
      </c>
      <c r="E764" s="2" t="str">
        <f>IF(NOT(ISBLANK(InfoGard!D764)),IF(OR(ISBLANK(InfoGard!E764),InfoGard!E764="N/A"),"no acb code",CONCATENATE(Lookup!F$1,A764,Lookup!G$1,B764,Lookup!H$1,H$1,Lookup!I$1)),"no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'IG-3201-15-0045' and cb."name" = 'InfoGard' and cp.product_version_id = pv.product_version_id and pv.product_id = p.product_id and p.vendor_id = vend.vendor_id;</v>
      </c>
      <c r="F764" s="2" t="str">
        <f>IF(AND(NOT(ISBLANK(InfoGard!G764)),InfoGard!G764&lt;&gt;"N/A"),IF(C764="All",CONCATENATE(Lookup!F$2,D764,Lookup!G$2,B764,Lookup!H$2,H$1,Lookup!I$2),CONCATENATE(Lookup!F$3,D764,Lookup!G$3,B764,Lookup!H$3)),"no url")</f>
        <v>update openchpl.certified_product as cp set transparency_attestation_url = 'https://logrhythm.com/solutions/meaningful-use/' from (select certified_product_id from (select vend.vendor_code from openchpl.certified_product as cp, openchpl.product_version as pv, openchpl.product as p, openchpl.vendor as vend where cp.acb_certification_id = 'IG-3201-15-0045'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65" spans="1:6" hidden="1" x14ac:dyDescent="0.25">
      <c r="A765" s="2" t="b">
        <f>IF(ISBLANK(InfoGard!D765),FALSE,LOOKUP(InfoGard!D765,Lookup!$A$2:$B$4))</f>
        <v>0</v>
      </c>
      <c r="B765" s="2" t="b">
        <f>IF(ISBLANK(InfoGard!E765),FALSE,RIGHT(TRIM(InfoGard!E765),15))</f>
        <v>0</v>
      </c>
      <c r="C765" s="2" t="b">
        <f>IF(ISBLANK(InfoGard!F765),FALSE,LOOKUP(InfoGard!F765,Lookup!$A$6:$B$7))</f>
        <v>0</v>
      </c>
      <c r="D765" s="2" t="b">
        <f>IF(ISBLANK(InfoGard!G765),FALSE,InfoGard!G765)</f>
        <v>0</v>
      </c>
      <c r="E765" s="2" t="str">
        <f>IF(NOT(ISBLANK(InfoGard!D765)),IF(OR(ISBLANK(InfoGard!E765),InfoGard!E765="N/A"),"no acb code",CONCATENATE(Lookup!F$1,A765,Lookup!G$1,B765,Lookup!H$1,H$1,Lookup!I$1)),"no attestation")</f>
        <v>no attestation</v>
      </c>
      <c r="F765" s="2" t="str">
        <f>IF(AND(NOT(ISBLANK(InfoGard!G765)),InfoGard!G765&lt;&gt;"N/A"),IF(C765="All",CONCATENATE(Lookup!F$2,D765,Lookup!G$2,B765,Lookup!H$2,H$1,Lookup!I$2),CONCATENATE(Lookup!F$3,D765,Lookup!G$3,B765,Lookup!H$3)),"no url")</f>
        <v>no url</v>
      </c>
    </row>
    <row r="766" spans="1:6" hidden="1" x14ac:dyDescent="0.25">
      <c r="A766" s="2" t="b">
        <f>IF(ISBLANK(InfoGard!D766),FALSE,LOOKUP(InfoGard!D766,Lookup!$A$2:$B$4))</f>
        <v>0</v>
      </c>
      <c r="B766" s="2" t="b">
        <f>IF(ISBLANK(InfoGard!E766),FALSE,RIGHT(TRIM(InfoGard!E766),15))</f>
        <v>0</v>
      </c>
      <c r="C766" s="2" t="b">
        <f>IF(ISBLANK(InfoGard!F766),FALSE,LOOKUP(InfoGard!F766,Lookup!$A$6:$B$7))</f>
        <v>0</v>
      </c>
      <c r="D766" s="2" t="b">
        <f>IF(ISBLANK(InfoGard!G766),FALSE,InfoGard!G766)</f>
        <v>0</v>
      </c>
      <c r="E766" s="2" t="str">
        <f>IF(NOT(ISBLANK(InfoGard!D766)),IF(OR(ISBLANK(InfoGard!E766),InfoGard!E766="N/A"),"no acb code",CONCATENATE(Lookup!F$1,A766,Lookup!G$1,B766,Lookup!H$1,H$1,Lookup!I$1)),"no attestation")</f>
        <v>no attestation</v>
      </c>
      <c r="F766" s="2" t="str">
        <f>IF(AND(NOT(ISBLANK(InfoGard!G766)),InfoGard!G766&lt;&gt;"N/A"),IF(C766="All",CONCATENATE(Lookup!F$2,D766,Lookup!G$2,B766,Lookup!H$2,H$1,Lookup!I$2),CONCATENATE(Lookup!F$3,D766,Lookup!G$3,B766,Lookup!H$3)),"no url")</f>
        <v>no url</v>
      </c>
    </row>
    <row r="767" spans="1:6" hidden="1" x14ac:dyDescent="0.25">
      <c r="A767" s="2" t="b">
        <f>IF(ISBLANK(InfoGard!D767),FALSE,LOOKUP(InfoGard!D767,Lookup!$A$2:$B$4))</f>
        <v>0</v>
      </c>
      <c r="B767" s="2" t="b">
        <f>IF(ISBLANK(InfoGard!E767),FALSE,RIGHT(TRIM(InfoGard!E767),15))</f>
        <v>0</v>
      </c>
      <c r="C767" s="2" t="b">
        <f>IF(ISBLANK(InfoGard!F767),FALSE,LOOKUP(InfoGard!F767,Lookup!$A$6:$B$7))</f>
        <v>0</v>
      </c>
      <c r="D767" s="2" t="b">
        <f>IF(ISBLANK(InfoGard!G767),FALSE,InfoGard!G767)</f>
        <v>0</v>
      </c>
      <c r="E767" s="2" t="str">
        <f>IF(NOT(ISBLANK(InfoGard!D767)),IF(OR(ISBLANK(InfoGard!E767),InfoGard!E767="N/A"),"no acb code",CONCATENATE(Lookup!F$1,A767,Lookup!G$1,B767,Lookup!H$1,H$1,Lookup!I$1)),"no attestation")</f>
        <v>no attestation</v>
      </c>
      <c r="F767" s="2" t="str">
        <f>IF(AND(NOT(ISBLANK(InfoGard!G767)),InfoGard!G767&lt;&gt;"N/A"),IF(C767="All",CONCATENATE(Lookup!F$2,D767,Lookup!G$2,B767,Lookup!H$2,H$1,Lookup!I$2),CONCATENATE(Lookup!F$3,D767,Lookup!G$3,B767,Lookup!H$3)),"no url")</f>
        <v>no url</v>
      </c>
    </row>
    <row r="768" spans="1:6" hidden="1" x14ac:dyDescent="0.25">
      <c r="A768" s="2" t="b">
        <f>IF(ISBLANK(InfoGard!D768),FALSE,LOOKUP(InfoGard!D768,Lookup!$A$2:$B$4))</f>
        <v>0</v>
      </c>
      <c r="B768" s="2" t="b">
        <f>IF(ISBLANK(InfoGard!E768),FALSE,RIGHT(TRIM(InfoGard!E768),15))</f>
        <v>0</v>
      </c>
      <c r="C768" s="2" t="b">
        <f>IF(ISBLANK(InfoGard!F768),FALSE,LOOKUP(InfoGard!F768,Lookup!$A$6:$B$7))</f>
        <v>0</v>
      </c>
      <c r="D768" s="2" t="b">
        <f>IF(ISBLANK(InfoGard!G768),FALSE,InfoGard!G768)</f>
        <v>0</v>
      </c>
      <c r="E768" s="2" t="str">
        <f>IF(NOT(ISBLANK(InfoGard!D768)),IF(OR(ISBLANK(InfoGard!E768),InfoGard!E768="N/A"),"no acb code",CONCATENATE(Lookup!F$1,A768,Lookup!G$1,B768,Lookup!H$1,H$1,Lookup!I$1)),"no attestation")</f>
        <v>no attestation</v>
      </c>
      <c r="F768" s="2" t="str">
        <f>IF(AND(NOT(ISBLANK(InfoGard!G768)),InfoGard!G768&lt;&gt;"N/A"),IF(C768="All",CONCATENATE(Lookup!F$2,D768,Lookup!G$2,B768,Lookup!H$2,H$1,Lookup!I$2),CONCATENATE(Lookup!F$3,D768,Lookup!G$3,B768,Lookup!H$3)),"no url")</f>
        <v>no url</v>
      </c>
    </row>
    <row r="769" spans="1:6" hidden="1" x14ac:dyDescent="0.25">
      <c r="A769" s="2" t="b">
        <f>IF(ISBLANK(InfoGard!D769),FALSE,LOOKUP(InfoGard!D769,Lookup!$A$2:$B$4))</f>
        <v>0</v>
      </c>
      <c r="B769" s="2" t="b">
        <f>IF(ISBLANK(InfoGard!E769),FALSE,RIGHT(TRIM(InfoGard!E769),15))</f>
        <v>0</v>
      </c>
      <c r="C769" s="2" t="b">
        <f>IF(ISBLANK(InfoGard!F769),FALSE,LOOKUP(InfoGard!F769,Lookup!$A$6:$B$7))</f>
        <v>0</v>
      </c>
      <c r="D769" s="2" t="b">
        <f>IF(ISBLANK(InfoGard!G769),FALSE,InfoGard!G769)</f>
        <v>0</v>
      </c>
      <c r="E769" s="2" t="str">
        <f>IF(NOT(ISBLANK(InfoGard!D769)),IF(OR(ISBLANK(InfoGard!E769),InfoGard!E769="N/A"),"no acb code",CONCATENATE(Lookup!F$1,A769,Lookup!G$1,B769,Lookup!H$1,H$1,Lookup!I$1)),"no attestation")</f>
        <v>no attestation</v>
      </c>
      <c r="F769" s="2" t="str">
        <f>IF(AND(NOT(ISBLANK(InfoGard!G769)),InfoGard!G769&lt;&gt;"N/A"),IF(C769="All",CONCATENATE(Lookup!F$2,D769,Lookup!G$2,B769,Lookup!H$2,H$1,Lookup!I$2),CONCATENATE(Lookup!F$3,D769,Lookup!G$3,B769,Lookup!H$3)),"no url")</f>
        <v>no url</v>
      </c>
    </row>
    <row r="770" spans="1:6" hidden="1" x14ac:dyDescent="0.25">
      <c r="A770" s="2" t="b">
        <f>IF(ISBLANK(InfoGard!D770),FALSE,LOOKUP(InfoGard!D770,Lookup!$A$2:$B$4))</f>
        <v>0</v>
      </c>
      <c r="B770" s="2" t="b">
        <f>IF(ISBLANK(InfoGard!E770),FALSE,RIGHT(TRIM(InfoGard!E770),15))</f>
        <v>0</v>
      </c>
      <c r="C770" s="2" t="b">
        <f>IF(ISBLANK(InfoGard!F770),FALSE,LOOKUP(InfoGard!F770,Lookup!$A$6:$B$7))</f>
        <v>0</v>
      </c>
      <c r="D770" s="2" t="b">
        <f>IF(ISBLANK(InfoGard!G770),FALSE,InfoGard!G770)</f>
        <v>0</v>
      </c>
      <c r="E770" s="2" t="str">
        <f>IF(NOT(ISBLANK(InfoGard!D770)),IF(OR(ISBLANK(InfoGard!E770),InfoGard!E770="N/A"),"no acb code",CONCATENATE(Lookup!F$1,A770,Lookup!G$1,B770,Lookup!H$1,H$1,Lookup!I$1)),"no attestation")</f>
        <v>no attestation</v>
      </c>
      <c r="F770" s="2" t="str">
        <f>IF(AND(NOT(ISBLANK(InfoGard!G770)),InfoGard!G770&lt;&gt;"N/A"),IF(C770="All",CONCATENATE(Lookup!F$2,D770,Lookup!G$2,B770,Lookup!H$2,H$1,Lookup!I$2),CONCATENATE(Lookup!F$3,D770,Lookup!G$3,B770,Lookup!H$3)),"no url")</f>
        <v>no url</v>
      </c>
    </row>
    <row r="771" spans="1:6" hidden="1" x14ac:dyDescent="0.25">
      <c r="A771" s="2" t="b">
        <f>IF(ISBLANK(InfoGard!D771),FALSE,LOOKUP(InfoGard!D771,Lookup!$A$2:$B$4))</f>
        <v>0</v>
      </c>
      <c r="B771" s="2" t="b">
        <f>IF(ISBLANK(InfoGard!E771),FALSE,RIGHT(TRIM(InfoGard!E771),15))</f>
        <v>0</v>
      </c>
      <c r="C771" s="2" t="b">
        <f>IF(ISBLANK(InfoGard!F771),FALSE,LOOKUP(InfoGard!F771,Lookup!$A$6:$B$7))</f>
        <v>0</v>
      </c>
      <c r="D771" s="2" t="b">
        <f>IF(ISBLANK(InfoGard!G771),FALSE,InfoGard!G771)</f>
        <v>0</v>
      </c>
      <c r="E771" s="2" t="str">
        <f>IF(NOT(ISBLANK(InfoGard!D771)),IF(OR(ISBLANK(InfoGard!E771),InfoGard!E771="N/A"),"no acb code",CONCATENATE(Lookup!F$1,A771,Lookup!G$1,B771,Lookup!H$1,H$1,Lookup!I$1)),"no attestation")</f>
        <v>no attestation</v>
      </c>
      <c r="F771" s="2" t="str">
        <f>IF(AND(NOT(ISBLANK(InfoGard!G771)),InfoGard!G771&lt;&gt;"N/A"),IF(C771="All",CONCATENATE(Lookup!F$2,D771,Lookup!G$2,B771,Lookup!H$2,H$1,Lookup!I$2),CONCATENATE(Lookup!F$3,D771,Lookup!G$3,B771,Lookup!H$3)),"no url")</f>
        <v>no url</v>
      </c>
    </row>
    <row r="772" spans="1:6" hidden="1" x14ac:dyDescent="0.25">
      <c r="A772" s="2" t="b">
        <f>IF(ISBLANK(InfoGard!D772),FALSE,LOOKUP(InfoGard!D772,Lookup!$A$2:$B$4))</f>
        <v>0</v>
      </c>
      <c r="B772" s="2" t="b">
        <f>IF(ISBLANK(InfoGard!E772),FALSE,RIGHT(TRIM(InfoGard!E772),15))</f>
        <v>0</v>
      </c>
      <c r="C772" s="2" t="b">
        <f>IF(ISBLANK(InfoGard!F772),FALSE,LOOKUP(InfoGard!F772,Lookup!$A$6:$B$7))</f>
        <v>0</v>
      </c>
      <c r="D772" s="2" t="b">
        <f>IF(ISBLANK(InfoGard!G772),FALSE,InfoGard!G772)</f>
        <v>0</v>
      </c>
      <c r="E772" s="2" t="str">
        <f>IF(NOT(ISBLANK(InfoGard!D772)),IF(OR(ISBLANK(InfoGard!E772),InfoGard!E772="N/A"),"no acb code",CONCATENATE(Lookup!F$1,A772,Lookup!G$1,B772,Lookup!H$1,H$1,Lookup!I$1)),"no attestation")</f>
        <v>no attestation</v>
      </c>
      <c r="F772" s="2" t="str">
        <f>IF(AND(NOT(ISBLANK(InfoGard!G772)),InfoGard!G772&lt;&gt;"N/A"),IF(C772="All",CONCATENATE(Lookup!F$2,D772,Lookup!G$2,B772,Lookup!H$2,H$1,Lookup!I$2),CONCATENATE(Lookup!F$3,D772,Lookup!G$3,B772,Lookup!H$3)),"no url")</f>
        <v>no url</v>
      </c>
    </row>
    <row r="773" spans="1:6" hidden="1" x14ac:dyDescent="0.25">
      <c r="A773" s="2" t="b">
        <f>IF(ISBLANK(InfoGard!D773),FALSE,LOOKUP(InfoGard!D773,Lookup!$A$2:$B$4))</f>
        <v>0</v>
      </c>
      <c r="B773" s="2" t="b">
        <f>IF(ISBLANK(InfoGard!E773),FALSE,RIGHT(TRIM(InfoGard!E773),15))</f>
        <v>0</v>
      </c>
      <c r="C773" s="2" t="b">
        <f>IF(ISBLANK(InfoGard!F773),FALSE,LOOKUP(InfoGard!F773,Lookup!$A$6:$B$7))</f>
        <v>0</v>
      </c>
      <c r="D773" s="2" t="b">
        <f>IF(ISBLANK(InfoGard!G773),FALSE,InfoGard!G773)</f>
        <v>0</v>
      </c>
      <c r="E773" s="2" t="str">
        <f>IF(NOT(ISBLANK(InfoGard!D773)),IF(OR(ISBLANK(InfoGard!E773),InfoGard!E773="N/A"),"no acb code",CONCATENATE(Lookup!F$1,A773,Lookup!G$1,B773,Lookup!H$1,H$1,Lookup!I$1)),"no attestation")</f>
        <v>no attestation</v>
      </c>
      <c r="F773" s="2" t="str">
        <f>IF(AND(NOT(ISBLANK(InfoGard!G773)),InfoGard!G773&lt;&gt;"N/A"),IF(C773="All",CONCATENATE(Lookup!F$2,D773,Lookup!G$2,B773,Lookup!H$2,H$1,Lookup!I$2),CONCATENATE(Lookup!F$3,D773,Lookup!G$3,B773,Lookup!H$3)),"no url")</f>
        <v>no url</v>
      </c>
    </row>
    <row r="774" spans="1:6" hidden="1" x14ac:dyDescent="0.25">
      <c r="A774" s="2" t="b">
        <f>IF(ISBLANK(InfoGard!D774),FALSE,LOOKUP(InfoGard!D774,Lookup!$A$2:$B$4))</f>
        <v>0</v>
      </c>
      <c r="B774" s="2" t="b">
        <f>IF(ISBLANK(InfoGard!E774),FALSE,RIGHT(TRIM(InfoGard!E774),15))</f>
        <v>0</v>
      </c>
      <c r="C774" s="2" t="b">
        <f>IF(ISBLANK(InfoGard!F774),FALSE,LOOKUP(InfoGard!F774,Lookup!$A$6:$B$7))</f>
        <v>0</v>
      </c>
      <c r="D774" s="2" t="b">
        <f>IF(ISBLANK(InfoGard!G774),FALSE,InfoGard!G774)</f>
        <v>0</v>
      </c>
      <c r="E774" s="2" t="str">
        <f>IF(NOT(ISBLANK(InfoGard!D774)),IF(OR(ISBLANK(InfoGard!E774),InfoGard!E774="N/A"),"no acb code",CONCATENATE(Lookup!F$1,A774,Lookup!G$1,B774,Lookup!H$1,H$1,Lookup!I$1)),"no attestation")</f>
        <v>no attestation</v>
      </c>
      <c r="F774" s="2" t="str">
        <f>IF(AND(NOT(ISBLANK(InfoGard!G774)),InfoGard!G774&lt;&gt;"N/A"),IF(C774="All",CONCATENATE(Lookup!F$2,D774,Lookup!G$2,B774,Lookup!H$2,H$1,Lookup!I$2),CONCATENATE(Lookup!F$3,D774,Lookup!G$3,B774,Lookup!H$3)),"no url")</f>
        <v>no url</v>
      </c>
    </row>
    <row r="775" spans="1:6" hidden="1" x14ac:dyDescent="0.25">
      <c r="A775" s="2" t="b">
        <f>IF(ISBLANK(InfoGard!D775),FALSE,LOOKUP(InfoGard!D775,Lookup!$A$2:$B$4))</f>
        <v>0</v>
      </c>
      <c r="B775" s="2" t="b">
        <f>IF(ISBLANK(InfoGard!E775),FALSE,RIGHT(TRIM(InfoGard!E775),15))</f>
        <v>0</v>
      </c>
      <c r="C775" s="2" t="b">
        <f>IF(ISBLANK(InfoGard!F775),FALSE,LOOKUP(InfoGard!F775,Lookup!$A$6:$B$7))</f>
        <v>0</v>
      </c>
      <c r="D775" s="2" t="b">
        <f>IF(ISBLANK(InfoGard!G775),FALSE,InfoGard!G775)</f>
        <v>0</v>
      </c>
      <c r="E775" s="2" t="str">
        <f>IF(NOT(ISBLANK(InfoGard!D775)),IF(OR(ISBLANK(InfoGard!E775),InfoGard!E775="N/A"),"no acb code",CONCATENATE(Lookup!F$1,A775,Lookup!G$1,B775,Lookup!H$1,H$1,Lookup!I$1)),"no attestation")</f>
        <v>no attestation</v>
      </c>
      <c r="F775" s="2" t="str">
        <f>IF(AND(NOT(ISBLANK(InfoGard!G775)),InfoGard!G775&lt;&gt;"N/A"),IF(C775="All",CONCATENATE(Lookup!F$2,D775,Lookup!G$2,B775,Lookup!H$2,H$1,Lookup!I$2),CONCATENATE(Lookup!F$3,D775,Lookup!G$3,B775,Lookup!H$3)),"no url")</f>
        <v>no url</v>
      </c>
    </row>
    <row r="776" spans="1:6" hidden="1" x14ac:dyDescent="0.25">
      <c r="A776" s="2" t="b">
        <f>IF(ISBLANK(InfoGard!D776),FALSE,LOOKUP(InfoGard!D776,Lookup!$A$2:$B$4))</f>
        <v>0</v>
      </c>
      <c r="B776" s="2" t="b">
        <f>IF(ISBLANK(InfoGard!E776),FALSE,RIGHT(TRIM(InfoGard!E776),15))</f>
        <v>0</v>
      </c>
      <c r="C776" s="2" t="b">
        <f>IF(ISBLANK(InfoGard!F776),FALSE,LOOKUP(InfoGard!F776,Lookup!$A$6:$B$7))</f>
        <v>0</v>
      </c>
      <c r="D776" s="2" t="b">
        <f>IF(ISBLANK(InfoGard!G776),FALSE,InfoGard!G776)</f>
        <v>0</v>
      </c>
      <c r="E776" s="2" t="str">
        <f>IF(NOT(ISBLANK(InfoGard!D776)),IF(OR(ISBLANK(InfoGard!E776),InfoGard!E776="N/A"),"no acb code",CONCATENATE(Lookup!F$1,A776,Lookup!G$1,B776,Lookup!H$1,H$1,Lookup!I$1)),"no attestation")</f>
        <v>no attestation</v>
      </c>
      <c r="F776" s="2" t="str">
        <f>IF(AND(NOT(ISBLANK(InfoGard!G776)),InfoGard!G776&lt;&gt;"N/A"),IF(C776="All",CONCATENATE(Lookup!F$2,D776,Lookup!G$2,B776,Lookup!H$2,H$1,Lookup!I$2),CONCATENATE(Lookup!F$3,D776,Lookup!G$3,B776,Lookup!H$3)),"no url")</f>
        <v>no url</v>
      </c>
    </row>
    <row r="777" spans="1:6" hidden="1" x14ac:dyDescent="0.25">
      <c r="A777" s="2" t="b">
        <f>IF(ISBLANK(InfoGard!D777),FALSE,LOOKUP(InfoGard!D777,Lookup!$A$2:$B$4))</f>
        <v>0</v>
      </c>
      <c r="B777" s="2" t="b">
        <f>IF(ISBLANK(InfoGard!E777),FALSE,RIGHT(TRIM(InfoGard!E777),15))</f>
        <v>0</v>
      </c>
      <c r="C777" s="2" t="b">
        <f>IF(ISBLANK(InfoGard!F777),FALSE,LOOKUP(InfoGard!F777,Lookup!$A$6:$B$7))</f>
        <v>0</v>
      </c>
      <c r="D777" s="2" t="b">
        <f>IF(ISBLANK(InfoGard!G777),FALSE,InfoGard!G777)</f>
        <v>0</v>
      </c>
      <c r="E777" s="2" t="str">
        <f>IF(NOT(ISBLANK(InfoGard!D777)),IF(OR(ISBLANK(InfoGard!E777),InfoGard!E777="N/A"),"no acb code",CONCATENATE(Lookup!F$1,A777,Lookup!G$1,B777,Lookup!H$1,H$1,Lookup!I$1)),"no attestation")</f>
        <v>no attestation</v>
      </c>
      <c r="F777" s="2" t="str">
        <f>IF(AND(NOT(ISBLANK(InfoGard!G777)),InfoGard!G777&lt;&gt;"N/A"),IF(C777="All",CONCATENATE(Lookup!F$2,D777,Lookup!G$2,B777,Lookup!H$2,H$1,Lookup!I$2),CONCATENATE(Lookup!F$3,D777,Lookup!G$3,B777,Lookup!H$3)),"no url")</f>
        <v>no url</v>
      </c>
    </row>
    <row r="778" spans="1:6" x14ac:dyDescent="0.25">
      <c r="A778" s="2" t="str">
        <f>IF(ISBLANK(InfoGard!D778),FALSE,LOOKUP(InfoGard!D778,Lookup!$A$2:$B$4))</f>
        <v>Affirmative</v>
      </c>
      <c r="B778" s="2" t="str">
        <f>IF(ISBLANK(InfoGard!E778),FALSE,RIGHT(TRIM(InfoGard!E778),15))</f>
        <v>IG-3282-14-0050</v>
      </c>
      <c r="C778" s="2" t="str">
        <f>IF(ISBLANK(InfoGard!F778),FALSE,LOOKUP(InfoGard!F778,Lookup!$A$6:$B$7))</f>
        <v>All</v>
      </c>
      <c r="D778" s="2" t="str">
        <f>IF(ISBLANK(InfoGard!G778),FALSE,InfoGard!G778)</f>
        <v xml:space="preserve">http://insynchcs.com/meaningful-use-certification.html </v>
      </c>
      <c r="E778" s="2" t="str">
        <f>IF(NOT(ISBLANK(InfoGard!D778)),IF(OR(ISBLANK(InfoGard!E778),InfoGard!E778="N/A"),"no acb code",CONCATENATE(Lookup!F$1,A778,Lookup!G$1,B778,Lookup!H$1,H$1,Lookup!I$1)),"no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'IG-3282-14-0050' and cb."name" = 'InfoGard' and cp.product_version_id = pv.product_version_id and pv.product_id = p.product_id and p.vendor_id = vend.vendor_id;</v>
      </c>
      <c r="F778" s="2" t="str">
        <f>IF(AND(NOT(ISBLANK(InfoGard!G778)),InfoGard!G778&lt;&gt;"N/A"),IF(C778="All",CONCATENATE(Lookup!F$2,D778,Lookup!G$2,B778,Lookup!H$2,H$1,Lookup!I$2),CONCATENATE(Lookup!F$3,D778,Lookup!G$3,B778,Lookup!H$3)),"no url")</f>
        <v>update openchpl.certified_product as cp set transparency_attestation_url = 'http://insynchcs.com/meaningful-use-certification.html ' from (select certified_product_id from (select vend.vendor_code from openchpl.certified_product as cp, openchpl.product_version as pv, openchpl.product as p, openchpl.vendor as vend where cp.acb_certification_id = 'IG-3282-14-0050'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79" spans="1:6" hidden="1" x14ac:dyDescent="0.25">
      <c r="A779" s="2" t="b">
        <f>IF(ISBLANK(InfoGard!D779),FALSE,LOOKUP(InfoGard!D779,Lookup!$A$2:$B$4))</f>
        <v>0</v>
      </c>
      <c r="B779" s="2" t="b">
        <f>IF(ISBLANK(InfoGard!E779),FALSE,RIGHT(TRIM(InfoGard!E779),15))</f>
        <v>0</v>
      </c>
      <c r="C779" s="2" t="b">
        <f>IF(ISBLANK(InfoGard!F779),FALSE,LOOKUP(InfoGard!F779,Lookup!$A$6:$B$7))</f>
        <v>0</v>
      </c>
      <c r="D779" s="2" t="b">
        <f>IF(ISBLANK(InfoGard!G779),FALSE,InfoGard!G779)</f>
        <v>0</v>
      </c>
      <c r="E779" s="2" t="str">
        <f>IF(NOT(ISBLANK(InfoGard!D779)),IF(OR(ISBLANK(InfoGard!E779),InfoGard!E779="N/A"),"no acb code",CONCATENATE(Lookup!F$1,A779,Lookup!G$1,B779,Lookup!H$1,H$1,Lookup!I$1)),"no attestation")</f>
        <v>no attestation</v>
      </c>
      <c r="F779" s="2" t="str">
        <f>IF(AND(NOT(ISBLANK(InfoGard!G779)),InfoGard!G779&lt;&gt;"N/A"),IF(C779="All",CONCATENATE(Lookup!F$2,D779,Lookup!G$2,B779,Lookup!H$2,H$1,Lookup!I$2),CONCATENATE(Lookup!F$3,D779,Lookup!G$3,B779,Lookup!H$3)),"no url")</f>
        <v>no url</v>
      </c>
    </row>
    <row r="780" spans="1:6" hidden="1" x14ac:dyDescent="0.25">
      <c r="A780" s="2" t="b">
        <f>IF(ISBLANK(InfoGard!D780),FALSE,LOOKUP(InfoGard!D780,Lookup!$A$2:$B$4))</f>
        <v>0</v>
      </c>
      <c r="B780" s="2" t="b">
        <f>IF(ISBLANK(InfoGard!E780),FALSE,RIGHT(TRIM(InfoGard!E780),15))</f>
        <v>0</v>
      </c>
      <c r="C780" s="2" t="b">
        <f>IF(ISBLANK(InfoGard!F780),FALSE,LOOKUP(InfoGard!F780,Lookup!$A$6:$B$7))</f>
        <v>0</v>
      </c>
      <c r="D780" s="2" t="b">
        <f>IF(ISBLANK(InfoGard!G780),FALSE,InfoGard!G780)</f>
        <v>0</v>
      </c>
      <c r="E780" s="2" t="str">
        <f>IF(NOT(ISBLANK(InfoGard!D780)),IF(OR(ISBLANK(InfoGard!E780),InfoGard!E780="N/A"),"no acb code",CONCATENATE(Lookup!F$1,A780,Lookup!G$1,B780,Lookup!H$1,H$1,Lookup!I$1)),"no attestation")</f>
        <v>no attestation</v>
      </c>
      <c r="F780" s="2" t="str">
        <f>IF(AND(NOT(ISBLANK(InfoGard!G780)),InfoGard!G780&lt;&gt;"N/A"),IF(C780="All",CONCATENATE(Lookup!F$2,D780,Lookup!G$2,B780,Lookup!H$2,H$1,Lookup!I$2),CONCATENATE(Lookup!F$3,D780,Lookup!G$3,B780,Lookup!H$3)),"no url")</f>
        <v>no url</v>
      </c>
    </row>
    <row r="781" spans="1:6" hidden="1" x14ac:dyDescent="0.25">
      <c r="A781" s="2" t="b">
        <f>IF(ISBLANK(InfoGard!D781),FALSE,LOOKUP(InfoGard!D781,Lookup!$A$2:$B$4))</f>
        <v>0</v>
      </c>
      <c r="B781" s="2" t="b">
        <f>IF(ISBLANK(InfoGard!E781),FALSE,RIGHT(TRIM(InfoGard!E781),15))</f>
        <v>0</v>
      </c>
      <c r="C781" s="2" t="b">
        <f>IF(ISBLANK(InfoGard!F781),FALSE,LOOKUP(InfoGard!F781,Lookup!$A$6:$B$7))</f>
        <v>0</v>
      </c>
      <c r="D781" s="2" t="b">
        <f>IF(ISBLANK(InfoGard!G781),FALSE,InfoGard!G781)</f>
        <v>0</v>
      </c>
      <c r="E781" s="2" t="str">
        <f>IF(NOT(ISBLANK(InfoGard!D781)),IF(OR(ISBLANK(InfoGard!E781),InfoGard!E781="N/A"),"no acb code",CONCATENATE(Lookup!F$1,A781,Lookup!G$1,B781,Lookup!H$1,H$1,Lookup!I$1)),"no attestation")</f>
        <v>no attestation</v>
      </c>
      <c r="F781" s="2" t="str">
        <f>IF(AND(NOT(ISBLANK(InfoGard!G781)),InfoGard!G781&lt;&gt;"N/A"),IF(C781="All",CONCATENATE(Lookup!F$2,D781,Lookup!G$2,B781,Lookup!H$2,H$1,Lookup!I$2),CONCATENATE(Lookup!F$3,D781,Lookup!G$3,B781,Lookup!H$3)),"no url")</f>
        <v>no url</v>
      </c>
    </row>
    <row r="782" spans="1:6" hidden="1" x14ac:dyDescent="0.25">
      <c r="A782" s="2" t="b">
        <f>IF(ISBLANK(InfoGard!D782),FALSE,LOOKUP(InfoGard!D782,Lookup!$A$2:$B$4))</f>
        <v>0</v>
      </c>
      <c r="B782" s="2" t="b">
        <f>IF(ISBLANK(InfoGard!E782),FALSE,RIGHT(TRIM(InfoGard!E782),15))</f>
        <v>0</v>
      </c>
      <c r="C782" s="2" t="b">
        <f>IF(ISBLANK(InfoGard!F782),FALSE,LOOKUP(InfoGard!F782,Lookup!$A$6:$B$7))</f>
        <v>0</v>
      </c>
      <c r="D782" s="2" t="b">
        <f>IF(ISBLANK(InfoGard!G782),FALSE,InfoGard!G782)</f>
        <v>0</v>
      </c>
      <c r="E782" s="2" t="str">
        <f>IF(NOT(ISBLANK(InfoGard!D782)),IF(OR(ISBLANK(InfoGard!E782),InfoGard!E782="N/A"),"no acb code",CONCATENATE(Lookup!F$1,A782,Lookup!G$1,B782,Lookup!H$1,H$1,Lookup!I$1)),"no attestation")</f>
        <v>no attestation</v>
      </c>
      <c r="F782" s="2" t="str">
        <f>IF(AND(NOT(ISBLANK(InfoGard!G782)),InfoGard!G782&lt;&gt;"N/A"),IF(C782="All",CONCATENATE(Lookup!F$2,D782,Lookup!G$2,B782,Lookup!H$2,H$1,Lookup!I$2),CONCATENATE(Lookup!F$3,D782,Lookup!G$3,B782,Lookup!H$3)),"no url")</f>
        <v>no url</v>
      </c>
    </row>
    <row r="783" spans="1:6" hidden="1" x14ac:dyDescent="0.25">
      <c r="A783" s="2" t="b">
        <f>IF(ISBLANK(InfoGard!D783),FALSE,LOOKUP(InfoGard!D783,Lookup!$A$2:$B$4))</f>
        <v>0</v>
      </c>
      <c r="B783" s="2" t="b">
        <f>IF(ISBLANK(InfoGard!E783),FALSE,RIGHT(TRIM(InfoGard!E783),15))</f>
        <v>0</v>
      </c>
      <c r="C783" s="2" t="b">
        <f>IF(ISBLANK(InfoGard!F783),FALSE,LOOKUP(InfoGard!F783,Lookup!$A$6:$B$7))</f>
        <v>0</v>
      </c>
      <c r="D783" s="2" t="b">
        <f>IF(ISBLANK(InfoGard!G783),FALSE,InfoGard!G783)</f>
        <v>0</v>
      </c>
      <c r="E783" s="2" t="str">
        <f>IF(NOT(ISBLANK(InfoGard!D783)),IF(OR(ISBLANK(InfoGard!E783),InfoGard!E783="N/A"),"no acb code",CONCATENATE(Lookup!F$1,A783,Lookup!G$1,B783,Lookup!H$1,H$1,Lookup!I$1)),"no attestation")</f>
        <v>no attestation</v>
      </c>
      <c r="F783" s="2" t="str">
        <f>IF(AND(NOT(ISBLANK(InfoGard!G783)),InfoGard!G783&lt;&gt;"N/A"),IF(C783="All",CONCATENATE(Lookup!F$2,D783,Lookup!G$2,B783,Lookup!H$2,H$1,Lookup!I$2),CONCATENATE(Lookup!F$3,D783,Lookup!G$3,B783,Lookup!H$3)),"no url")</f>
        <v>no url</v>
      </c>
    </row>
    <row r="784" spans="1:6" hidden="1" x14ac:dyDescent="0.25">
      <c r="A784" s="2" t="b">
        <f>IF(ISBLANK(InfoGard!D784),FALSE,LOOKUP(InfoGard!D784,Lookup!$A$2:$B$4))</f>
        <v>0</v>
      </c>
      <c r="B784" s="2" t="b">
        <f>IF(ISBLANK(InfoGard!E784),FALSE,RIGHT(TRIM(InfoGard!E784),15))</f>
        <v>0</v>
      </c>
      <c r="C784" s="2" t="b">
        <f>IF(ISBLANK(InfoGard!F784),FALSE,LOOKUP(InfoGard!F784,Lookup!$A$6:$B$7))</f>
        <v>0</v>
      </c>
      <c r="D784" s="2" t="b">
        <f>IF(ISBLANK(InfoGard!G784),FALSE,InfoGard!G784)</f>
        <v>0</v>
      </c>
      <c r="E784" s="2" t="str">
        <f>IF(NOT(ISBLANK(InfoGard!D784)),IF(OR(ISBLANK(InfoGard!E784),InfoGard!E784="N/A"),"no acb code",CONCATENATE(Lookup!F$1,A784,Lookup!G$1,B784,Lookup!H$1,H$1,Lookup!I$1)),"no attestation")</f>
        <v>no attestation</v>
      </c>
      <c r="F784" s="2" t="str">
        <f>IF(AND(NOT(ISBLANK(InfoGard!G784)),InfoGard!G784&lt;&gt;"N/A"),IF(C784="All",CONCATENATE(Lookup!F$2,D784,Lookup!G$2,B784,Lookup!H$2,H$1,Lookup!I$2),CONCATENATE(Lookup!F$3,D784,Lookup!G$3,B784,Lookup!H$3)),"no url")</f>
        <v>no url</v>
      </c>
    </row>
    <row r="785" spans="1:6" hidden="1" x14ac:dyDescent="0.25">
      <c r="A785" s="2" t="b">
        <f>IF(ISBLANK(InfoGard!D785),FALSE,LOOKUP(InfoGard!D785,Lookup!$A$2:$B$4))</f>
        <v>0</v>
      </c>
      <c r="B785" s="2" t="b">
        <f>IF(ISBLANK(InfoGard!E785),FALSE,RIGHT(TRIM(InfoGard!E785),15))</f>
        <v>0</v>
      </c>
      <c r="C785" s="2" t="b">
        <f>IF(ISBLANK(InfoGard!F785),FALSE,LOOKUP(InfoGard!F785,Lookup!$A$6:$B$7))</f>
        <v>0</v>
      </c>
      <c r="D785" s="2" t="b">
        <f>IF(ISBLANK(InfoGard!G785),FALSE,InfoGard!G785)</f>
        <v>0</v>
      </c>
      <c r="E785" s="2" t="str">
        <f>IF(NOT(ISBLANK(InfoGard!D785)),IF(OR(ISBLANK(InfoGard!E785),InfoGard!E785="N/A"),"no acb code",CONCATENATE(Lookup!F$1,A785,Lookup!G$1,B785,Lookup!H$1,H$1,Lookup!I$1)),"no attestation")</f>
        <v>no attestation</v>
      </c>
      <c r="F785" s="2" t="str">
        <f>IF(AND(NOT(ISBLANK(InfoGard!G785)),InfoGard!G785&lt;&gt;"N/A"),IF(C785="All",CONCATENATE(Lookup!F$2,D785,Lookup!G$2,B785,Lookup!H$2,H$1,Lookup!I$2),CONCATENATE(Lookup!F$3,D785,Lookup!G$3,B785,Lookup!H$3)),"no url")</f>
        <v>no url</v>
      </c>
    </row>
    <row r="786" spans="1:6" hidden="1" x14ac:dyDescent="0.25">
      <c r="A786" s="2" t="b">
        <f>IF(ISBLANK(InfoGard!D786),FALSE,LOOKUP(InfoGard!D786,Lookup!$A$2:$B$4))</f>
        <v>0</v>
      </c>
      <c r="B786" s="2" t="b">
        <f>IF(ISBLANK(InfoGard!E786),FALSE,RIGHT(TRIM(InfoGard!E786),15))</f>
        <v>0</v>
      </c>
      <c r="C786" s="2" t="b">
        <f>IF(ISBLANK(InfoGard!F786),FALSE,LOOKUP(InfoGard!F786,Lookup!$A$6:$B$7))</f>
        <v>0</v>
      </c>
      <c r="D786" s="2" t="b">
        <f>IF(ISBLANK(InfoGard!G786),FALSE,InfoGard!G786)</f>
        <v>0</v>
      </c>
      <c r="E786" s="2" t="str">
        <f>IF(NOT(ISBLANK(InfoGard!D786)),IF(OR(ISBLANK(InfoGard!E786),InfoGard!E786="N/A"),"no acb code",CONCATENATE(Lookup!F$1,A786,Lookup!G$1,B786,Lookup!H$1,H$1,Lookup!I$1)),"no attestation")</f>
        <v>no attestation</v>
      </c>
      <c r="F786" s="2" t="str">
        <f>IF(AND(NOT(ISBLANK(InfoGard!G786)),InfoGard!G786&lt;&gt;"N/A"),IF(C786="All",CONCATENATE(Lookup!F$2,D786,Lookup!G$2,B786,Lookup!H$2,H$1,Lookup!I$2),CONCATENATE(Lookup!F$3,D786,Lookup!G$3,B786,Lookup!H$3)),"no url")</f>
        <v>no url</v>
      </c>
    </row>
    <row r="787" spans="1:6" hidden="1" x14ac:dyDescent="0.25">
      <c r="A787" s="2" t="b">
        <f>IF(ISBLANK(InfoGard!D787),FALSE,LOOKUP(InfoGard!D787,Lookup!$A$2:$B$4))</f>
        <v>0</v>
      </c>
      <c r="B787" s="2" t="b">
        <f>IF(ISBLANK(InfoGard!E787),FALSE,RIGHT(TRIM(InfoGard!E787),15))</f>
        <v>0</v>
      </c>
      <c r="C787" s="2" t="b">
        <f>IF(ISBLANK(InfoGard!F787),FALSE,LOOKUP(InfoGard!F787,Lookup!$A$6:$B$7))</f>
        <v>0</v>
      </c>
      <c r="D787" s="2" t="b">
        <f>IF(ISBLANK(InfoGard!G787),FALSE,InfoGard!G787)</f>
        <v>0</v>
      </c>
      <c r="E787" s="2" t="str">
        <f>IF(NOT(ISBLANK(InfoGard!D787)),IF(OR(ISBLANK(InfoGard!E787),InfoGard!E787="N/A"),"no acb code",CONCATENATE(Lookup!F$1,A787,Lookup!G$1,B787,Lookup!H$1,H$1,Lookup!I$1)),"no attestation")</f>
        <v>no attestation</v>
      </c>
      <c r="F787" s="2" t="str">
        <f>IF(AND(NOT(ISBLANK(InfoGard!G787)),InfoGard!G787&lt;&gt;"N/A"),IF(C787="All",CONCATENATE(Lookup!F$2,D787,Lookup!G$2,B787,Lookup!H$2,H$1,Lookup!I$2),CONCATENATE(Lookup!F$3,D787,Lookup!G$3,B787,Lookup!H$3)),"no url")</f>
        <v>no url</v>
      </c>
    </row>
    <row r="788" spans="1:6" hidden="1" x14ac:dyDescent="0.25">
      <c r="A788" s="2" t="b">
        <f>IF(ISBLANK(InfoGard!D788),FALSE,LOOKUP(InfoGard!D788,Lookup!$A$2:$B$4))</f>
        <v>0</v>
      </c>
      <c r="B788" s="2" t="b">
        <f>IF(ISBLANK(InfoGard!E788),FALSE,RIGHT(TRIM(InfoGard!E788),15))</f>
        <v>0</v>
      </c>
      <c r="C788" s="2" t="b">
        <f>IF(ISBLANK(InfoGard!F788),FALSE,LOOKUP(InfoGard!F788,Lookup!$A$6:$B$7))</f>
        <v>0</v>
      </c>
      <c r="D788" s="2" t="b">
        <f>IF(ISBLANK(InfoGard!G788),FALSE,InfoGard!G788)</f>
        <v>0</v>
      </c>
      <c r="E788" s="2" t="str">
        <f>IF(NOT(ISBLANK(InfoGard!D788)),IF(OR(ISBLANK(InfoGard!E788),InfoGard!E788="N/A"),"no acb code",CONCATENATE(Lookup!F$1,A788,Lookup!G$1,B788,Lookup!H$1,H$1,Lookup!I$1)),"no attestation")</f>
        <v>no attestation</v>
      </c>
      <c r="F788" s="2" t="str">
        <f>IF(AND(NOT(ISBLANK(InfoGard!G788)),InfoGard!G788&lt;&gt;"N/A"),IF(C788="All",CONCATENATE(Lookup!F$2,D788,Lookup!G$2,B788,Lookup!H$2,H$1,Lookup!I$2),CONCATENATE(Lookup!F$3,D788,Lookup!G$3,B788,Lookup!H$3)),"no url")</f>
        <v>no url</v>
      </c>
    </row>
    <row r="789" spans="1:6" hidden="1" x14ac:dyDescent="0.25">
      <c r="A789" s="2" t="b">
        <f>IF(ISBLANK(InfoGard!D789),FALSE,LOOKUP(InfoGard!D789,Lookup!$A$2:$B$4))</f>
        <v>0</v>
      </c>
      <c r="B789" s="2" t="b">
        <f>IF(ISBLANK(InfoGard!E789),FALSE,RIGHT(TRIM(InfoGard!E789),15))</f>
        <v>0</v>
      </c>
      <c r="C789" s="2" t="b">
        <f>IF(ISBLANK(InfoGard!F789),FALSE,LOOKUP(InfoGard!F789,Lookup!$A$6:$B$7))</f>
        <v>0</v>
      </c>
      <c r="D789" s="2" t="b">
        <f>IF(ISBLANK(InfoGard!G789),FALSE,InfoGard!G789)</f>
        <v>0</v>
      </c>
      <c r="E789" s="2" t="str">
        <f>IF(NOT(ISBLANK(InfoGard!D789)),IF(OR(ISBLANK(InfoGard!E789),InfoGard!E789="N/A"),"no acb code",CONCATENATE(Lookup!F$1,A789,Lookup!G$1,B789,Lookup!H$1,H$1,Lookup!I$1)),"no attestation")</f>
        <v>no attestation</v>
      </c>
      <c r="F789" s="2" t="str">
        <f>IF(AND(NOT(ISBLANK(InfoGard!G789)),InfoGard!G789&lt;&gt;"N/A"),IF(C789="All",CONCATENATE(Lookup!F$2,D789,Lookup!G$2,B789,Lookup!H$2,H$1,Lookup!I$2),CONCATENATE(Lookup!F$3,D789,Lookup!G$3,B789,Lookup!H$3)),"no url")</f>
        <v>no url</v>
      </c>
    </row>
    <row r="790" spans="1:6" hidden="1" x14ac:dyDescent="0.25">
      <c r="A790" s="2" t="b">
        <f>IF(ISBLANK(InfoGard!D790),FALSE,LOOKUP(InfoGard!D790,Lookup!$A$2:$B$4))</f>
        <v>0</v>
      </c>
      <c r="B790" s="2" t="b">
        <f>IF(ISBLANK(InfoGard!E790),FALSE,RIGHT(TRIM(InfoGard!E790),15))</f>
        <v>0</v>
      </c>
      <c r="C790" s="2" t="b">
        <f>IF(ISBLANK(InfoGard!F790),FALSE,LOOKUP(InfoGard!F790,Lookup!$A$6:$B$7))</f>
        <v>0</v>
      </c>
      <c r="D790" s="2" t="b">
        <f>IF(ISBLANK(InfoGard!G790),FALSE,InfoGard!G790)</f>
        <v>0</v>
      </c>
      <c r="E790" s="2" t="str">
        <f>IF(NOT(ISBLANK(InfoGard!D790)),IF(OR(ISBLANK(InfoGard!E790),InfoGard!E790="N/A"),"no acb code",CONCATENATE(Lookup!F$1,A790,Lookup!G$1,B790,Lookup!H$1,H$1,Lookup!I$1)),"no attestation")</f>
        <v>no attestation</v>
      </c>
      <c r="F790" s="2" t="str">
        <f>IF(AND(NOT(ISBLANK(InfoGard!G790)),InfoGard!G790&lt;&gt;"N/A"),IF(C790="All",CONCATENATE(Lookup!F$2,D790,Lookup!G$2,B790,Lookup!H$2,H$1,Lookup!I$2),CONCATENATE(Lookup!F$3,D790,Lookup!G$3,B790,Lookup!H$3)),"no url")</f>
        <v>no url</v>
      </c>
    </row>
    <row r="791" spans="1:6" hidden="1" x14ac:dyDescent="0.25">
      <c r="A791" s="2" t="b">
        <f>IF(ISBLANK(InfoGard!D791),FALSE,LOOKUP(InfoGard!D791,Lookup!$A$2:$B$4))</f>
        <v>0</v>
      </c>
      <c r="B791" s="2" t="b">
        <f>IF(ISBLANK(InfoGard!E791),FALSE,RIGHT(TRIM(InfoGard!E791),15))</f>
        <v>0</v>
      </c>
      <c r="C791" s="2" t="b">
        <f>IF(ISBLANK(InfoGard!F791),FALSE,LOOKUP(InfoGard!F791,Lookup!$A$6:$B$7))</f>
        <v>0</v>
      </c>
      <c r="D791" s="2" t="b">
        <f>IF(ISBLANK(InfoGard!G791),FALSE,InfoGard!G791)</f>
        <v>0</v>
      </c>
      <c r="E791" s="2" t="str">
        <f>IF(NOT(ISBLANK(InfoGard!D791)),IF(OR(ISBLANK(InfoGard!E791),InfoGard!E791="N/A"),"no acb code",CONCATENATE(Lookup!F$1,A791,Lookup!G$1,B791,Lookup!H$1,H$1,Lookup!I$1)),"no attestation")</f>
        <v>no attestation</v>
      </c>
      <c r="F791" s="2" t="str">
        <f>IF(AND(NOT(ISBLANK(InfoGard!G791)),InfoGard!G791&lt;&gt;"N/A"),IF(C791="All",CONCATENATE(Lookup!F$2,D791,Lookup!G$2,B791,Lookup!H$2,H$1,Lookup!I$2),CONCATENATE(Lookup!F$3,D791,Lookup!G$3,B791,Lookup!H$3)),"no url")</f>
        <v>no url</v>
      </c>
    </row>
    <row r="792" spans="1:6" hidden="1" x14ac:dyDescent="0.25">
      <c r="A792" s="2" t="b">
        <f>IF(ISBLANK(InfoGard!D792),FALSE,LOOKUP(InfoGard!D792,Lookup!$A$2:$B$4))</f>
        <v>0</v>
      </c>
      <c r="B792" s="2" t="b">
        <f>IF(ISBLANK(InfoGard!E792),FALSE,RIGHT(TRIM(InfoGard!E792),15))</f>
        <v>0</v>
      </c>
      <c r="C792" s="2" t="b">
        <f>IF(ISBLANK(InfoGard!F792),FALSE,LOOKUP(InfoGard!F792,Lookup!$A$6:$B$7))</f>
        <v>0</v>
      </c>
      <c r="D792" s="2" t="b">
        <f>IF(ISBLANK(InfoGard!G792),FALSE,InfoGard!G792)</f>
        <v>0</v>
      </c>
      <c r="E792" s="2" t="str">
        <f>IF(NOT(ISBLANK(InfoGard!D792)),IF(OR(ISBLANK(InfoGard!E792),InfoGard!E792="N/A"),"no acb code",CONCATENATE(Lookup!F$1,A792,Lookup!G$1,B792,Lookup!H$1,H$1,Lookup!I$1)),"no attestation")</f>
        <v>no attestation</v>
      </c>
      <c r="F792" s="2" t="str">
        <f>IF(AND(NOT(ISBLANK(InfoGard!G792)),InfoGard!G792&lt;&gt;"N/A"),IF(C792="All",CONCATENATE(Lookup!F$2,D792,Lookup!G$2,B792,Lookup!H$2,H$1,Lookup!I$2),CONCATENATE(Lookup!F$3,D792,Lookup!G$3,B792,Lookup!H$3)),"no url")</f>
        <v>no url</v>
      </c>
    </row>
    <row r="793" spans="1:6" hidden="1" x14ac:dyDescent="0.25">
      <c r="A793" s="2" t="b">
        <f>IF(ISBLANK(InfoGard!D793),FALSE,LOOKUP(InfoGard!D793,Lookup!$A$2:$B$4))</f>
        <v>0</v>
      </c>
      <c r="B793" s="2" t="b">
        <f>IF(ISBLANK(InfoGard!E793),FALSE,RIGHT(TRIM(InfoGard!E793),15))</f>
        <v>0</v>
      </c>
      <c r="C793" s="2" t="b">
        <f>IF(ISBLANK(InfoGard!F793),FALSE,LOOKUP(InfoGard!F793,Lookup!$A$6:$B$7))</f>
        <v>0</v>
      </c>
      <c r="D793" s="2" t="b">
        <f>IF(ISBLANK(InfoGard!G793),FALSE,InfoGard!G793)</f>
        <v>0</v>
      </c>
      <c r="E793" s="2" t="str">
        <f>IF(NOT(ISBLANK(InfoGard!D793)),IF(OR(ISBLANK(InfoGard!E793),InfoGard!E793="N/A"),"no acb code",CONCATENATE(Lookup!F$1,A793,Lookup!G$1,B793,Lookup!H$1,H$1,Lookup!I$1)),"no attestation")</f>
        <v>no attestation</v>
      </c>
      <c r="F793" s="2" t="str">
        <f>IF(AND(NOT(ISBLANK(InfoGard!G793)),InfoGard!G793&lt;&gt;"N/A"),IF(C793="All",CONCATENATE(Lookup!F$2,D793,Lookup!G$2,B793,Lookup!H$2,H$1,Lookup!I$2),CONCATENATE(Lookup!F$3,D793,Lookup!G$3,B793,Lookup!H$3)),"no url")</f>
        <v>no url</v>
      </c>
    </row>
    <row r="794" spans="1:6" hidden="1" x14ac:dyDescent="0.25">
      <c r="A794" s="2" t="b">
        <f>IF(ISBLANK(InfoGard!D794),FALSE,LOOKUP(InfoGard!D794,Lookup!$A$2:$B$4))</f>
        <v>0</v>
      </c>
      <c r="B794" s="2" t="b">
        <f>IF(ISBLANK(InfoGard!E794),FALSE,RIGHT(TRIM(InfoGard!E794),15))</f>
        <v>0</v>
      </c>
      <c r="C794" s="2" t="b">
        <f>IF(ISBLANK(InfoGard!F794),FALSE,LOOKUP(InfoGard!F794,Lookup!$A$6:$B$7))</f>
        <v>0</v>
      </c>
      <c r="D794" s="2" t="b">
        <f>IF(ISBLANK(InfoGard!G794),FALSE,InfoGard!G794)</f>
        <v>0</v>
      </c>
      <c r="E794" s="2" t="str">
        <f>IF(NOT(ISBLANK(InfoGard!D794)),IF(OR(ISBLANK(InfoGard!E794),InfoGard!E794="N/A"),"no acb code",CONCATENATE(Lookup!F$1,A794,Lookup!G$1,B794,Lookup!H$1,H$1,Lookup!I$1)),"no attestation")</f>
        <v>no attestation</v>
      </c>
      <c r="F794" s="2" t="str">
        <f>IF(AND(NOT(ISBLANK(InfoGard!G794)),InfoGard!G794&lt;&gt;"N/A"),IF(C794="All",CONCATENATE(Lookup!F$2,D794,Lookup!G$2,B794,Lookup!H$2,H$1,Lookup!I$2),CONCATENATE(Lookup!F$3,D794,Lookup!G$3,B794,Lookup!H$3)),"no url")</f>
        <v>no url</v>
      </c>
    </row>
    <row r="795" spans="1:6" hidden="1" x14ac:dyDescent="0.25">
      <c r="A795" s="2" t="b">
        <f>IF(ISBLANK(InfoGard!D795),FALSE,LOOKUP(InfoGard!D795,Lookup!$A$2:$B$4))</f>
        <v>0</v>
      </c>
      <c r="B795" s="2" t="b">
        <f>IF(ISBLANK(InfoGard!E795),FALSE,RIGHT(TRIM(InfoGard!E795),15))</f>
        <v>0</v>
      </c>
      <c r="C795" s="2" t="b">
        <f>IF(ISBLANK(InfoGard!F795),FALSE,LOOKUP(InfoGard!F795,Lookup!$A$6:$B$7))</f>
        <v>0</v>
      </c>
      <c r="D795" s="2" t="b">
        <f>IF(ISBLANK(InfoGard!G795),FALSE,InfoGard!G795)</f>
        <v>0</v>
      </c>
      <c r="E795" s="2" t="str">
        <f>IF(NOT(ISBLANK(InfoGard!D795)),IF(OR(ISBLANK(InfoGard!E795),InfoGard!E795="N/A"),"no acb code",CONCATENATE(Lookup!F$1,A795,Lookup!G$1,B795,Lookup!H$1,H$1,Lookup!I$1)),"no attestation")</f>
        <v>no attestation</v>
      </c>
      <c r="F795" s="2" t="str">
        <f>IF(AND(NOT(ISBLANK(InfoGard!G795)),InfoGard!G795&lt;&gt;"N/A"),IF(C795="All",CONCATENATE(Lookup!F$2,D795,Lookup!G$2,B795,Lookup!H$2,H$1,Lookup!I$2),CONCATENATE(Lookup!F$3,D795,Lookup!G$3,B795,Lookup!H$3)),"no url")</f>
        <v>no url</v>
      </c>
    </row>
    <row r="796" spans="1:6" hidden="1" x14ac:dyDescent="0.25">
      <c r="A796" s="2" t="b">
        <f>IF(ISBLANK(InfoGard!D796),FALSE,LOOKUP(InfoGard!D796,Lookup!$A$2:$B$4))</f>
        <v>0</v>
      </c>
      <c r="B796" s="2" t="b">
        <f>IF(ISBLANK(InfoGard!E796),FALSE,RIGHT(TRIM(InfoGard!E796),15))</f>
        <v>0</v>
      </c>
      <c r="C796" s="2" t="b">
        <f>IF(ISBLANK(InfoGard!F796),FALSE,LOOKUP(InfoGard!F796,Lookup!$A$6:$B$7))</f>
        <v>0</v>
      </c>
      <c r="D796" s="2" t="b">
        <f>IF(ISBLANK(InfoGard!G796),FALSE,InfoGard!G796)</f>
        <v>0</v>
      </c>
      <c r="E796" s="2" t="str">
        <f>IF(NOT(ISBLANK(InfoGard!D796)),IF(OR(ISBLANK(InfoGard!E796),InfoGard!E796="N/A"),"no acb code",CONCATENATE(Lookup!F$1,A796,Lookup!G$1,B796,Lookup!H$1,H$1,Lookup!I$1)),"no attestation")</f>
        <v>no attestation</v>
      </c>
      <c r="F796" s="2" t="str">
        <f>IF(AND(NOT(ISBLANK(InfoGard!G796)),InfoGard!G796&lt;&gt;"N/A"),IF(C796="All",CONCATENATE(Lookup!F$2,D796,Lookup!G$2,B796,Lookup!H$2,H$1,Lookup!I$2),CONCATENATE(Lookup!F$3,D796,Lookup!G$3,B796,Lookup!H$3)),"no url")</f>
        <v>no url</v>
      </c>
    </row>
    <row r="797" spans="1:6" hidden="1" x14ac:dyDescent="0.25">
      <c r="A797" s="2" t="b">
        <f>IF(ISBLANK(InfoGard!D797),FALSE,LOOKUP(InfoGard!D797,Lookup!$A$2:$B$4))</f>
        <v>0</v>
      </c>
      <c r="B797" s="2" t="b">
        <f>IF(ISBLANK(InfoGard!E797),FALSE,RIGHT(TRIM(InfoGard!E797),15))</f>
        <v>0</v>
      </c>
      <c r="C797" s="2" t="b">
        <f>IF(ISBLANK(InfoGard!F797),FALSE,LOOKUP(InfoGard!F797,Lookup!$A$6:$B$7))</f>
        <v>0</v>
      </c>
      <c r="D797" s="2" t="b">
        <f>IF(ISBLANK(InfoGard!G797),FALSE,InfoGard!G797)</f>
        <v>0</v>
      </c>
      <c r="E797" s="2" t="str">
        <f>IF(NOT(ISBLANK(InfoGard!D797)),IF(OR(ISBLANK(InfoGard!E797),InfoGard!E797="N/A"),"no acb code",CONCATENATE(Lookup!F$1,A797,Lookup!G$1,B797,Lookup!H$1,H$1,Lookup!I$1)),"no attestation")</f>
        <v>no attestation</v>
      </c>
      <c r="F797" s="2" t="str">
        <f>IF(AND(NOT(ISBLANK(InfoGard!G797)),InfoGard!G797&lt;&gt;"N/A"),IF(C797="All",CONCATENATE(Lookup!F$2,D797,Lookup!G$2,B797,Lookup!H$2,H$1,Lookup!I$2),CONCATENATE(Lookup!F$3,D797,Lookup!G$3,B797,Lookup!H$3)),"no url")</f>
        <v>no url</v>
      </c>
    </row>
    <row r="798" spans="1:6" hidden="1" x14ac:dyDescent="0.25">
      <c r="A798" s="2" t="b">
        <f>IF(ISBLANK(InfoGard!D798),FALSE,LOOKUP(InfoGard!D798,Lookup!$A$2:$B$4))</f>
        <v>0</v>
      </c>
      <c r="B798" s="2" t="b">
        <f>IF(ISBLANK(InfoGard!E798),FALSE,RIGHT(TRIM(InfoGard!E798),15))</f>
        <v>0</v>
      </c>
      <c r="C798" s="2" t="b">
        <f>IF(ISBLANK(InfoGard!F798),FALSE,LOOKUP(InfoGard!F798,Lookup!$A$6:$B$7))</f>
        <v>0</v>
      </c>
      <c r="D798" s="2" t="b">
        <f>IF(ISBLANK(InfoGard!G798),FALSE,InfoGard!G798)</f>
        <v>0</v>
      </c>
      <c r="E798" s="2" t="str">
        <f>IF(NOT(ISBLANK(InfoGard!D798)),IF(OR(ISBLANK(InfoGard!E798),InfoGard!E798="N/A"),"no acb code",CONCATENATE(Lookup!F$1,A798,Lookup!G$1,B798,Lookup!H$1,H$1,Lookup!I$1)),"no attestation")</f>
        <v>no attestation</v>
      </c>
      <c r="F798" s="2" t="str">
        <f>IF(AND(NOT(ISBLANK(InfoGard!G798)),InfoGard!G798&lt;&gt;"N/A"),IF(C798="All",CONCATENATE(Lookup!F$2,D798,Lookup!G$2,B798,Lookup!H$2,H$1,Lookup!I$2),CONCATENATE(Lookup!F$3,D798,Lookup!G$3,B798,Lookup!H$3)),"no url")</f>
        <v>no url</v>
      </c>
    </row>
    <row r="799" spans="1:6" hidden="1" x14ac:dyDescent="0.25">
      <c r="A799" s="2" t="b">
        <f>IF(ISBLANK(InfoGard!D799),FALSE,LOOKUP(InfoGard!D799,Lookup!$A$2:$B$4))</f>
        <v>0</v>
      </c>
      <c r="B799" s="2" t="b">
        <f>IF(ISBLANK(InfoGard!E799),FALSE,RIGHT(TRIM(InfoGard!E799),15))</f>
        <v>0</v>
      </c>
      <c r="C799" s="2" t="b">
        <f>IF(ISBLANK(InfoGard!F799),FALSE,LOOKUP(InfoGard!F799,Lookup!$A$6:$B$7))</f>
        <v>0</v>
      </c>
      <c r="D799" s="2" t="b">
        <f>IF(ISBLANK(InfoGard!G799),FALSE,InfoGard!G799)</f>
        <v>0</v>
      </c>
      <c r="E799" s="2" t="str">
        <f>IF(NOT(ISBLANK(InfoGard!D799)),IF(OR(ISBLANK(InfoGard!E799),InfoGard!E799="N/A"),"no acb code",CONCATENATE(Lookup!F$1,A799,Lookup!G$1,B799,Lookup!H$1,H$1,Lookup!I$1)),"no attestation")</f>
        <v>no attestation</v>
      </c>
      <c r="F799" s="2" t="str">
        <f>IF(AND(NOT(ISBLANK(InfoGard!G799)),InfoGard!G799&lt;&gt;"N/A"),IF(C799="All",CONCATENATE(Lookup!F$2,D799,Lookup!G$2,B799,Lookup!H$2,H$1,Lookup!I$2),CONCATENATE(Lookup!F$3,D799,Lookup!G$3,B799,Lookup!H$3)),"no url")</f>
        <v>no url</v>
      </c>
    </row>
    <row r="800" spans="1:6" hidden="1" x14ac:dyDescent="0.25">
      <c r="A800" s="2" t="b">
        <f>IF(ISBLANK(InfoGard!D800),FALSE,LOOKUP(InfoGard!D800,Lookup!$A$2:$B$4))</f>
        <v>0</v>
      </c>
      <c r="B800" s="2" t="b">
        <f>IF(ISBLANK(InfoGard!E800),FALSE,RIGHT(TRIM(InfoGard!E800),15))</f>
        <v>0</v>
      </c>
      <c r="C800" s="2" t="b">
        <f>IF(ISBLANK(InfoGard!F800),FALSE,LOOKUP(InfoGard!F800,Lookup!$A$6:$B$7))</f>
        <v>0</v>
      </c>
      <c r="D800" s="2" t="b">
        <f>IF(ISBLANK(InfoGard!G800),FALSE,InfoGard!G800)</f>
        <v>0</v>
      </c>
      <c r="E800" s="2" t="str">
        <f>IF(NOT(ISBLANK(InfoGard!D800)),IF(OR(ISBLANK(InfoGard!E800),InfoGard!E800="N/A"),"no acb code",CONCATENATE(Lookup!F$1,A800,Lookup!G$1,B800,Lookup!H$1,H$1,Lookup!I$1)),"no attestation")</f>
        <v>no attestation</v>
      </c>
      <c r="F800" s="2" t="str">
        <f>IF(AND(NOT(ISBLANK(InfoGard!G800)),InfoGard!G800&lt;&gt;"N/A"),IF(C800="All",CONCATENATE(Lookup!F$2,D800,Lookup!G$2,B800,Lookup!H$2,H$1,Lookup!I$2),CONCATENATE(Lookup!F$3,D800,Lookup!G$3,B800,Lookup!H$3)),"no url")</f>
        <v>no url</v>
      </c>
    </row>
    <row r="801" spans="1:6" hidden="1" x14ac:dyDescent="0.25">
      <c r="A801" s="2" t="b">
        <f>IF(ISBLANK(InfoGard!D801),FALSE,LOOKUP(InfoGard!D801,Lookup!$A$2:$B$4))</f>
        <v>0</v>
      </c>
      <c r="B801" s="2" t="b">
        <f>IF(ISBLANK(InfoGard!E801),FALSE,RIGHT(TRIM(InfoGard!E801),15))</f>
        <v>0</v>
      </c>
      <c r="C801" s="2" t="b">
        <f>IF(ISBLANK(InfoGard!F801),FALSE,LOOKUP(InfoGard!F801,Lookup!$A$6:$B$7))</f>
        <v>0</v>
      </c>
      <c r="D801" s="2" t="b">
        <f>IF(ISBLANK(InfoGard!G801),FALSE,InfoGard!G801)</f>
        <v>0</v>
      </c>
      <c r="E801" s="2" t="str">
        <f>IF(NOT(ISBLANK(InfoGard!D801)),IF(OR(ISBLANK(InfoGard!E801),InfoGard!E801="N/A"),"no acb code",CONCATENATE(Lookup!F$1,A801,Lookup!G$1,B801,Lookup!H$1,H$1,Lookup!I$1)),"no attestation")</f>
        <v>no attestation</v>
      </c>
      <c r="F801" s="2" t="str">
        <f>IF(AND(NOT(ISBLANK(InfoGard!G801)),InfoGard!G801&lt;&gt;"N/A"),IF(C801="All",CONCATENATE(Lookup!F$2,D801,Lookup!G$2,B801,Lookup!H$2,H$1,Lookup!I$2),CONCATENATE(Lookup!F$3,D801,Lookup!G$3,B801,Lookup!H$3)),"no url")</f>
        <v>no url</v>
      </c>
    </row>
    <row r="802" spans="1:6" hidden="1" x14ac:dyDescent="0.25">
      <c r="A802" s="2" t="b">
        <f>IF(ISBLANK(InfoGard!D802),FALSE,LOOKUP(InfoGard!D802,Lookup!$A$2:$B$4))</f>
        <v>0</v>
      </c>
      <c r="B802" s="2" t="b">
        <f>IF(ISBLANK(InfoGard!E802),FALSE,RIGHT(TRIM(InfoGard!E802),15))</f>
        <v>0</v>
      </c>
      <c r="C802" s="2" t="b">
        <f>IF(ISBLANK(InfoGard!F802),FALSE,LOOKUP(InfoGard!F802,Lookup!$A$6:$B$7))</f>
        <v>0</v>
      </c>
      <c r="D802" s="2" t="b">
        <f>IF(ISBLANK(InfoGard!G802),FALSE,InfoGard!G802)</f>
        <v>0</v>
      </c>
      <c r="E802" s="2" t="str">
        <f>IF(NOT(ISBLANK(InfoGard!D802)),IF(OR(ISBLANK(InfoGard!E802),InfoGard!E802="N/A"),"no acb code",CONCATENATE(Lookup!F$1,A802,Lookup!G$1,B802,Lookup!H$1,H$1,Lookup!I$1)),"no attestation")</f>
        <v>no attestation</v>
      </c>
      <c r="F802" s="2" t="str">
        <f>IF(AND(NOT(ISBLANK(InfoGard!G802)),InfoGard!G802&lt;&gt;"N/A"),IF(C802="All",CONCATENATE(Lookup!F$2,D802,Lookup!G$2,B802,Lookup!H$2,H$1,Lookup!I$2),CONCATENATE(Lookup!F$3,D802,Lookup!G$3,B802,Lookup!H$3)),"no url")</f>
        <v>no url</v>
      </c>
    </row>
    <row r="803" spans="1:6" hidden="1" x14ac:dyDescent="0.25">
      <c r="A803" s="2" t="b">
        <f>IF(ISBLANK(InfoGard!D803),FALSE,LOOKUP(InfoGard!D803,Lookup!$A$2:$B$4))</f>
        <v>0</v>
      </c>
      <c r="B803" s="2" t="b">
        <f>IF(ISBLANK(InfoGard!E803),FALSE,RIGHT(TRIM(InfoGard!E803),15))</f>
        <v>0</v>
      </c>
      <c r="C803" s="2" t="b">
        <f>IF(ISBLANK(InfoGard!F803),FALSE,LOOKUP(InfoGard!F803,Lookup!$A$6:$B$7))</f>
        <v>0</v>
      </c>
      <c r="D803" s="2" t="b">
        <f>IF(ISBLANK(InfoGard!G803),FALSE,InfoGard!G803)</f>
        <v>0</v>
      </c>
      <c r="E803" s="2" t="str">
        <f>IF(NOT(ISBLANK(InfoGard!D803)),IF(OR(ISBLANK(InfoGard!E803),InfoGard!E803="N/A"),"no acb code",CONCATENATE(Lookup!F$1,A803,Lookup!G$1,B803,Lookup!H$1,H$1,Lookup!I$1)),"no attestation")</f>
        <v>no attestation</v>
      </c>
      <c r="F803" s="2" t="str">
        <f>IF(AND(NOT(ISBLANK(InfoGard!G803)),InfoGard!G803&lt;&gt;"N/A"),IF(C803="All",CONCATENATE(Lookup!F$2,D803,Lookup!G$2,B803,Lookup!H$2,H$1,Lookup!I$2),CONCATENATE(Lookup!F$3,D803,Lookup!G$3,B803,Lookup!H$3)),"no url")</f>
        <v>no url</v>
      </c>
    </row>
    <row r="804" spans="1:6" hidden="1" x14ac:dyDescent="0.25">
      <c r="A804" s="2" t="b">
        <f>IF(ISBLANK(InfoGard!D804),FALSE,LOOKUP(InfoGard!D804,Lookup!$A$2:$B$4))</f>
        <v>0</v>
      </c>
      <c r="B804" s="2" t="b">
        <f>IF(ISBLANK(InfoGard!E804),FALSE,RIGHT(TRIM(InfoGard!E804),15))</f>
        <v>0</v>
      </c>
      <c r="C804" s="2" t="b">
        <f>IF(ISBLANK(InfoGard!F804),FALSE,LOOKUP(InfoGard!F804,Lookup!$A$6:$B$7))</f>
        <v>0</v>
      </c>
      <c r="D804" s="2" t="b">
        <f>IF(ISBLANK(InfoGard!G804),FALSE,InfoGard!G804)</f>
        <v>0</v>
      </c>
      <c r="E804" s="2" t="str">
        <f>IF(NOT(ISBLANK(InfoGard!D804)),IF(OR(ISBLANK(InfoGard!E804),InfoGard!E804="N/A"),"no acb code",CONCATENATE(Lookup!F$1,A804,Lookup!G$1,B804,Lookup!H$1,H$1,Lookup!I$1)),"no attestation")</f>
        <v>no attestation</v>
      </c>
      <c r="F804" s="2" t="str">
        <f>IF(AND(NOT(ISBLANK(InfoGard!G804)),InfoGard!G804&lt;&gt;"N/A"),IF(C804="All",CONCATENATE(Lookup!F$2,D804,Lookup!G$2,B804,Lookup!H$2,H$1,Lookup!I$2),CONCATENATE(Lookup!F$3,D804,Lookup!G$3,B804,Lookup!H$3)),"no url")</f>
        <v>no url</v>
      </c>
    </row>
    <row r="805" spans="1:6" hidden="1" x14ac:dyDescent="0.25">
      <c r="A805" s="2" t="b">
        <f>IF(ISBLANK(InfoGard!D805),FALSE,LOOKUP(InfoGard!D805,Lookup!$A$2:$B$4))</f>
        <v>0</v>
      </c>
      <c r="B805" s="2" t="b">
        <f>IF(ISBLANK(InfoGard!E805),FALSE,RIGHT(TRIM(InfoGard!E805),15))</f>
        <v>0</v>
      </c>
      <c r="C805" s="2" t="b">
        <f>IF(ISBLANK(InfoGard!F805),FALSE,LOOKUP(InfoGard!F805,Lookup!$A$6:$B$7))</f>
        <v>0</v>
      </c>
      <c r="D805" s="2" t="b">
        <f>IF(ISBLANK(InfoGard!G805),FALSE,InfoGard!G805)</f>
        <v>0</v>
      </c>
      <c r="E805" s="2" t="str">
        <f>IF(NOT(ISBLANK(InfoGard!D805)),IF(OR(ISBLANK(InfoGard!E805),InfoGard!E805="N/A"),"no acb code",CONCATENATE(Lookup!F$1,A805,Lookup!G$1,B805,Lookup!H$1,H$1,Lookup!I$1)),"no attestation")</f>
        <v>no attestation</v>
      </c>
      <c r="F805" s="2" t="str">
        <f>IF(AND(NOT(ISBLANK(InfoGard!G805)),InfoGard!G805&lt;&gt;"N/A"),IF(C805="All",CONCATENATE(Lookup!F$2,D805,Lookup!G$2,B805,Lookup!H$2,H$1,Lookup!I$2),CONCATENATE(Lookup!F$3,D805,Lookup!G$3,B805,Lookup!H$3)),"no url")</f>
        <v>no url</v>
      </c>
    </row>
    <row r="806" spans="1:6" hidden="1" x14ac:dyDescent="0.25">
      <c r="A806" s="2" t="b">
        <f>IF(ISBLANK(InfoGard!D806),FALSE,LOOKUP(InfoGard!D806,Lookup!$A$2:$B$4))</f>
        <v>0</v>
      </c>
      <c r="B806" s="2" t="b">
        <f>IF(ISBLANK(InfoGard!E806),FALSE,RIGHT(TRIM(InfoGard!E806),15))</f>
        <v>0</v>
      </c>
      <c r="C806" s="2" t="b">
        <f>IF(ISBLANK(InfoGard!F806),FALSE,LOOKUP(InfoGard!F806,Lookup!$A$6:$B$7))</f>
        <v>0</v>
      </c>
      <c r="D806" s="2" t="b">
        <f>IF(ISBLANK(InfoGard!G806),FALSE,InfoGard!G806)</f>
        <v>0</v>
      </c>
      <c r="E806" s="2" t="str">
        <f>IF(NOT(ISBLANK(InfoGard!D806)),IF(OR(ISBLANK(InfoGard!E806),InfoGard!E806="N/A"),"no acb code",CONCATENATE(Lookup!F$1,A806,Lookup!G$1,B806,Lookup!H$1,H$1,Lookup!I$1)),"no attestation")</f>
        <v>no attestation</v>
      </c>
      <c r="F806" s="2" t="str">
        <f>IF(AND(NOT(ISBLANK(InfoGard!G806)),InfoGard!G806&lt;&gt;"N/A"),IF(C806="All",CONCATENATE(Lookup!F$2,D806,Lookup!G$2,B806,Lookup!H$2,H$1,Lookup!I$2),CONCATENATE(Lookup!F$3,D806,Lookup!G$3,B806,Lookup!H$3)),"no url")</f>
        <v>no url</v>
      </c>
    </row>
    <row r="807" spans="1:6" hidden="1" x14ac:dyDescent="0.25">
      <c r="A807" s="2" t="b">
        <f>IF(ISBLANK(InfoGard!D807),FALSE,LOOKUP(InfoGard!D807,Lookup!$A$2:$B$4))</f>
        <v>0</v>
      </c>
      <c r="B807" s="2" t="b">
        <f>IF(ISBLANK(InfoGard!E807),FALSE,RIGHT(TRIM(InfoGard!E807),15))</f>
        <v>0</v>
      </c>
      <c r="C807" s="2" t="b">
        <f>IF(ISBLANK(InfoGard!F807),FALSE,LOOKUP(InfoGard!F807,Lookup!$A$6:$B$7))</f>
        <v>0</v>
      </c>
      <c r="D807" s="2" t="b">
        <f>IF(ISBLANK(InfoGard!G807),FALSE,InfoGard!G807)</f>
        <v>0</v>
      </c>
      <c r="E807" s="2" t="str">
        <f>IF(NOT(ISBLANK(InfoGard!D807)),IF(OR(ISBLANK(InfoGard!E807),InfoGard!E807="N/A"),"no acb code",CONCATENATE(Lookup!F$1,A807,Lookup!G$1,B807,Lookup!H$1,H$1,Lookup!I$1)),"no attestation")</f>
        <v>no attestation</v>
      </c>
      <c r="F807" s="2" t="str">
        <f>IF(AND(NOT(ISBLANK(InfoGard!G807)),InfoGard!G807&lt;&gt;"N/A"),IF(C807="All",CONCATENATE(Lookup!F$2,D807,Lookup!G$2,B807,Lookup!H$2,H$1,Lookup!I$2),CONCATENATE(Lookup!F$3,D807,Lookup!G$3,B807,Lookup!H$3)),"no url")</f>
        <v>no url</v>
      </c>
    </row>
    <row r="808" spans="1:6" hidden="1" x14ac:dyDescent="0.25">
      <c r="A808" s="2" t="b">
        <f>IF(ISBLANK(InfoGard!D808),FALSE,LOOKUP(InfoGard!D808,Lookup!$A$2:$B$4))</f>
        <v>0</v>
      </c>
      <c r="B808" s="2" t="b">
        <f>IF(ISBLANK(InfoGard!E808),FALSE,RIGHT(TRIM(InfoGard!E808),15))</f>
        <v>0</v>
      </c>
      <c r="C808" s="2" t="b">
        <f>IF(ISBLANK(InfoGard!F808),FALSE,LOOKUP(InfoGard!F808,Lookup!$A$6:$B$7))</f>
        <v>0</v>
      </c>
      <c r="D808" s="2" t="b">
        <f>IF(ISBLANK(InfoGard!G808),FALSE,InfoGard!G808)</f>
        <v>0</v>
      </c>
      <c r="E808" s="2" t="str">
        <f>IF(NOT(ISBLANK(InfoGard!D808)),IF(OR(ISBLANK(InfoGard!E808),InfoGard!E808="N/A"),"no acb code",CONCATENATE(Lookup!F$1,A808,Lookup!G$1,B808,Lookup!H$1,H$1,Lookup!I$1)),"no attestation")</f>
        <v>no attestation</v>
      </c>
      <c r="F808" s="2" t="str">
        <f>IF(AND(NOT(ISBLANK(InfoGard!G808)),InfoGard!G808&lt;&gt;"N/A"),IF(C808="All",CONCATENATE(Lookup!F$2,D808,Lookup!G$2,B808,Lookup!H$2,H$1,Lookup!I$2),CONCATENATE(Lookup!F$3,D808,Lookup!G$3,B808,Lookup!H$3)),"no url")</f>
        <v>no url</v>
      </c>
    </row>
    <row r="809" spans="1:6" hidden="1" x14ac:dyDescent="0.25">
      <c r="A809" s="2" t="b">
        <f>IF(ISBLANK(InfoGard!D809),FALSE,LOOKUP(InfoGard!D809,Lookup!$A$2:$B$4))</f>
        <v>0</v>
      </c>
      <c r="B809" s="2" t="b">
        <f>IF(ISBLANK(InfoGard!E809),FALSE,RIGHT(TRIM(InfoGard!E809),15))</f>
        <v>0</v>
      </c>
      <c r="C809" s="2" t="b">
        <f>IF(ISBLANK(InfoGard!F809),FALSE,LOOKUP(InfoGard!F809,Lookup!$A$6:$B$7))</f>
        <v>0</v>
      </c>
      <c r="D809" s="2" t="b">
        <f>IF(ISBLANK(InfoGard!G809),FALSE,InfoGard!G809)</f>
        <v>0</v>
      </c>
      <c r="E809" s="2" t="str">
        <f>IF(NOT(ISBLANK(InfoGard!D809)),IF(OR(ISBLANK(InfoGard!E809),InfoGard!E809="N/A"),"no acb code",CONCATENATE(Lookup!F$1,A809,Lookup!G$1,B809,Lookup!H$1,H$1,Lookup!I$1)),"no attestation")</f>
        <v>no attestation</v>
      </c>
      <c r="F809" s="2" t="str">
        <f>IF(AND(NOT(ISBLANK(InfoGard!G809)),InfoGard!G809&lt;&gt;"N/A"),IF(C809="All",CONCATENATE(Lookup!F$2,D809,Lookup!G$2,B809,Lookup!H$2,H$1,Lookup!I$2),CONCATENATE(Lookup!F$3,D809,Lookup!G$3,B809,Lookup!H$3)),"no url")</f>
        <v>no url</v>
      </c>
    </row>
    <row r="810" spans="1:6" hidden="1" x14ac:dyDescent="0.25">
      <c r="A810" s="2" t="b">
        <f>IF(ISBLANK(InfoGard!D810),FALSE,LOOKUP(InfoGard!D810,Lookup!$A$2:$B$4))</f>
        <v>0</v>
      </c>
      <c r="B810" s="2" t="b">
        <f>IF(ISBLANK(InfoGard!E810),FALSE,RIGHT(TRIM(InfoGard!E810),15))</f>
        <v>0</v>
      </c>
      <c r="C810" s="2" t="b">
        <f>IF(ISBLANK(InfoGard!F810),FALSE,LOOKUP(InfoGard!F810,Lookup!$A$6:$B$7))</f>
        <v>0</v>
      </c>
      <c r="D810" s="2" t="b">
        <f>IF(ISBLANK(InfoGard!G810),FALSE,InfoGard!G810)</f>
        <v>0</v>
      </c>
      <c r="E810" s="2" t="str">
        <f>IF(NOT(ISBLANK(InfoGard!D810)),IF(OR(ISBLANK(InfoGard!E810),InfoGard!E810="N/A"),"no acb code",CONCATENATE(Lookup!F$1,A810,Lookup!G$1,B810,Lookup!H$1,H$1,Lookup!I$1)),"no attestation")</f>
        <v>no attestation</v>
      </c>
      <c r="F810" s="2" t="str">
        <f>IF(AND(NOT(ISBLANK(InfoGard!G810)),InfoGard!G810&lt;&gt;"N/A"),IF(C810="All",CONCATENATE(Lookup!F$2,D810,Lookup!G$2,B810,Lookup!H$2,H$1,Lookup!I$2),CONCATENATE(Lookup!F$3,D810,Lookup!G$3,B810,Lookup!H$3)),"no url")</f>
        <v>no url</v>
      </c>
    </row>
    <row r="811" spans="1:6" hidden="1" x14ac:dyDescent="0.25">
      <c r="A811" s="2" t="b">
        <f>IF(ISBLANK(InfoGard!D811),FALSE,LOOKUP(InfoGard!D811,Lookup!$A$2:$B$4))</f>
        <v>0</v>
      </c>
      <c r="B811" s="2" t="b">
        <f>IF(ISBLANK(InfoGard!E811),FALSE,RIGHT(TRIM(InfoGard!E811),15))</f>
        <v>0</v>
      </c>
      <c r="C811" s="2" t="b">
        <f>IF(ISBLANK(InfoGard!F811),FALSE,LOOKUP(InfoGard!F811,Lookup!$A$6:$B$7))</f>
        <v>0</v>
      </c>
      <c r="D811" s="2" t="b">
        <f>IF(ISBLANK(InfoGard!G811),FALSE,InfoGard!G811)</f>
        <v>0</v>
      </c>
      <c r="E811" s="2" t="str">
        <f>IF(NOT(ISBLANK(InfoGard!D811)),IF(OR(ISBLANK(InfoGard!E811),InfoGard!E811="N/A"),"no acb code",CONCATENATE(Lookup!F$1,A811,Lookup!G$1,B811,Lookup!H$1,H$1,Lookup!I$1)),"no attestation")</f>
        <v>no attestation</v>
      </c>
      <c r="F811" s="2" t="str">
        <f>IF(AND(NOT(ISBLANK(InfoGard!G811)),InfoGard!G811&lt;&gt;"N/A"),IF(C811="All",CONCATENATE(Lookup!F$2,D811,Lookup!G$2,B811,Lookup!H$2,H$1,Lookup!I$2),CONCATENATE(Lookup!F$3,D811,Lookup!G$3,B811,Lookup!H$3)),"no url")</f>
        <v>no url</v>
      </c>
    </row>
    <row r="812" spans="1:6" hidden="1" x14ac:dyDescent="0.25">
      <c r="A812" s="2" t="b">
        <f>IF(ISBLANK(InfoGard!D812),FALSE,LOOKUP(InfoGard!D812,Lookup!$A$2:$B$4))</f>
        <v>0</v>
      </c>
      <c r="B812" s="2" t="b">
        <f>IF(ISBLANK(InfoGard!E812),FALSE,RIGHT(TRIM(InfoGard!E812),15))</f>
        <v>0</v>
      </c>
      <c r="C812" s="2" t="b">
        <f>IF(ISBLANK(InfoGard!F812),FALSE,LOOKUP(InfoGard!F812,Lookup!$A$6:$B$7))</f>
        <v>0</v>
      </c>
      <c r="D812" s="2" t="b">
        <f>IF(ISBLANK(InfoGard!G812),FALSE,InfoGard!G812)</f>
        <v>0</v>
      </c>
      <c r="E812" s="2" t="str">
        <f>IF(NOT(ISBLANK(InfoGard!D812)),IF(OR(ISBLANK(InfoGard!E812),InfoGard!E812="N/A"),"no acb code",CONCATENATE(Lookup!F$1,A812,Lookup!G$1,B812,Lookup!H$1,H$1,Lookup!I$1)),"no attestation")</f>
        <v>no attestation</v>
      </c>
      <c r="F812" s="2" t="str">
        <f>IF(AND(NOT(ISBLANK(InfoGard!G812)),InfoGard!G812&lt;&gt;"N/A"),IF(C812="All",CONCATENATE(Lookup!F$2,D812,Lookup!G$2,B812,Lookup!H$2,H$1,Lookup!I$2),CONCATENATE(Lookup!F$3,D812,Lookup!G$3,B812,Lookup!H$3)),"no url")</f>
        <v>no url</v>
      </c>
    </row>
    <row r="813" spans="1:6" hidden="1" x14ac:dyDescent="0.25">
      <c r="A813" s="2" t="b">
        <f>IF(ISBLANK(InfoGard!D813),FALSE,LOOKUP(InfoGard!D813,Lookup!$A$2:$B$4))</f>
        <v>0</v>
      </c>
      <c r="B813" s="2" t="b">
        <f>IF(ISBLANK(InfoGard!E813),FALSE,RIGHT(TRIM(InfoGard!E813),15))</f>
        <v>0</v>
      </c>
      <c r="C813" s="2" t="b">
        <f>IF(ISBLANK(InfoGard!F813),FALSE,LOOKUP(InfoGard!F813,Lookup!$A$6:$B$7))</f>
        <v>0</v>
      </c>
      <c r="D813" s="2" t="b">
        <f>IF(ISBLANK(InfoGard!G813),FALSE,InfoGard!G813)</f>
        <v>0</v>
      </c>
      <c r="E813" s="2" t="str">
        <f>IF(NOT(ISBLANK(InfoGard!D813)),IF(OR(ISBLANK(InfoGard!E813),InfoGard!E813="N/A"),"no acb code",CONCATENATE(Lookup!F$1,A813,Lookup!G$1,B813,Lookup!H$1,H$1,Lookup!I$1)),"no attestation")</f>
        <v>no attestation</v>
      </c>
      <c r="F813" s="2" t="str">
        <f>IF(AND(NOT(ISBLANK(InfoGard!G813)),InfoGard!G813&lt;&gt;"N/A"),IF(C813="All",CONCATENATE(Lookup!F$2,D813,Lookup!G$2,B813,Lookup!H$2,H$1,Lookup!I$2),CONCATENATE(Lookup!F$3,D813,Lookup!G$3,B813,Lookup!H$3)),"no url")</f>
        <v>no url</v>
      </c>
    </row>
    <row r="814" spans="1:6" hidden="1" x14ac:dyDescent="0.25">
      <c r="A814" s="2" t="b">
        <f>IF(ISBLANK(InfoGard!D814),FALSE,LOOKUP(InfoGard!D814,Lookup!$A$2:$B$4))</f>
        <v>0</v>
      </c>
      <c r="B814" s="2" t="b">
        <f>IF(ISBLANK(InfoGard!E814),FALSE,RIGHT(TRIM(InfoGard!E814),15))</f>
        <v>0</v>
      </c>
      <c r="C814" s="2" t="b">
        <f>IF(ISBLANK(InfoGard!F814),FALSE,LOOKUP(InfoGard!F814,Lookup!$A$6:$B$7))</f>
        <v>0</v>
      </c>
      <c r="D814" s="2" t="b">
        <f>IF(ISBLANK(InfoGard!G814),FALSE,InfoGard!G814)</f>
        <v>0</v>
      </c>
      <c r="E814" s="2" t="str">
        <f>IF(NOT(ISBLANK(InfoGard!D814)),IF(OR(ISBLANK(InfoGard!E814),InfoGard!E814="N/A"),"no acb code",CONCATENATE(Lookup!F$1,A814,Lookup!G$1,B814,Lookup!H$1,H$1,Lookup!I$1)),"no attestation")</f>
        <v>no attestation</v>
      </c>
      <c r="F814" s="2" t="str">
        <f>IF(AND(NOT(ISBLANK(InfoGard!G814)),InfoGard!G814&lt;&gt;"N/A"),IF(C814="All",CONCATENATE(Lookup!F$2,D814,Lookup!G$2,B814,Lookup!H$2,H$1,Lookup!I$2),CONCATENATE(Lookup!F$3,D814,Lookup!G$3,B814,Lookup!H$3)),"no url")</f>
        <v>no url</v>
      </c>
    </row>
    <row r="815" spans="1:6" hidden="1" x14ac:dyDescent="0.25">
      <c r="A815" s="2" t="b">
        <f>IF(ISBLANK(InfoGard!D815),FALSE,LOOKUP(InfoGard!D815,Lookup!$A$2:$B$4))</f>
        <v>0</v>
      </c>
      <c r="B815" s="2" t="b">
        <f>IF(ISBLANK(InfoGard!E815),FALSE,RIGHT(TRIM(InfoGard!E815),15))</f>
        <v>0</v>
      </c>
      <c r="C815" s="2" t="b">
        <f>IF(ISBLANK(InfoGard!F815),FALSE,LOOKUP(InfoGard!F815,Lookup!$A$6:$B$7))</f>
        <v>0</v>
      </c>
      <c r="D815" s="2" t="b">
        <f>IF(ISBLANK(InfoGard!G815),FALSE,InfoGard!G815)</f>
        <v>0</v>
      </c>
      <c r="E815" s="2" t="str">
        <f>IF(NOT(ISBLANK(InfoGard!D815)),IF(OR(ISBLANK(InfoGard!E815),InfoGard!E815="N/A"),"no acb code",CONCATENATE(Lookup!F$1,A815,Lookup!G$1,B815,Lookup!H$1,H$1,Lookup!I$1)),"no attestation")</f>
        <v>no attestation</v>
      </c>
      <c r="F815" s="2" t="str">
        <f>IF(AND(NOT(ISBLANK(InfoGard!G815)),InfoGard!G815&lt;&gt;"N/A"),IF(C815="All",CONCATENATE(Lookup!F$2,D815,Lookup!G$2,B815,Lookup!H$2,H$1,Lookup!I$2),CONCATENATE(Lookup!F$3,D815,Lookup!G$3,B815,Lookup!H$3)),"no url")</f>
        <v>no url</v>
      </c>
    </row>
    <row r="816" spans="1:6" hidden="1" x14ac:dyDescent="0.25">
      <c r="A816" s="2" t="b">
        <f>IF(ISBLANK(InfoGard!D816),FALSE,LOOKUP(InfoGard!D816,Lookup!$A$2:$B$4))</f>
        <v>0</v>
      </c>
      <c r="B816" s="2" t="b">
        <f>IF(ISBLANK(InfoGard!E816),FALSE,RIGHT(TRIM(InfoGard!E816),15))</f>
        <v>0</v>
      </c>
      <c r="C816" s="2" t="b">
        <f>IF(ISBLANK(InfoGard!F816),FALSE,LOOKUP(InfoGard!F816,Lookup!$A$6:$B$7))</f>
        <v>0</v>
      </c>
      <c r="D816" s="2" t="b">
        <f>IF(ISBLANK(InfoGard!G816),FALSE,InfoGard!G816)</f>
        <v>0</v>
      </c>
      <c r="E816" s="2" t="str">
        <f>IF(NOT(ISBLANK(InfoGard!D816)),IF(OR(ISBLANK(InfoGard!E816),InfoGard!E816="N/A"),"no acb code",CONCATENATE(Lookup!F$1,A816,Lookup!G$1,B816,Lookup!H$1,H$1,Lookup!I$1)),"no attestation")</f>
        <v>no attestation</v>
      </c>
      <c r="F816" s="2" t="str">
        <f>IF(AND(NOT(ISBLANK(InfoGard!G816)),InfoGard!G816&lt;&gt;"N/A"),IF(C816="All",CONCATENATE(Lookup!F$2,D816,Lookup!G$2,B816,Lookup!H$2,H$1,Lookup!I$2),CONCATENATE(Lookup!F$3,D816,Lookup!G$3,B816,Lookup!H$3)),"no url")</f>
        <v>no url</v>
      </c>
    </row>
    <row r="817" spans="1:6" hidden="1" x14ac:dyDescent="0.25">
      <c r="A817" s="2" t="b">
        <f>IF(ISBLANK(InfoGard!D817),FALSE,LOOKUP(InfoGard!D817,Lookup!$A$2:$B$4))</f>
        <v>0</v>
      </c>
      <c r="B817" s="2" t="b">
        <f>IF(ISBLANK(InfoGard!E817),FALSE,RIGHT(TRIM(InfoGard!E817),15))</f>
        <v>0</v>
      </c>
      <c r="C817" s="2" t="b">
        <f>IF(ISBLANK(InfoGard!F817),FALSE,LOOKUP(InfoGard!F817,Lookup!$A$6:$B$7))</f>
        <v>0</v>
      </c>
      <c r="D817" s="2" t="b">
        <f>IF(ISBLANK(InfoGard!G817),FALSE,InfoGard!G817)</f>
        <v>0</v>
      </c>
      <c r="E817" s="2" t="str">
        <f>IF(NOT(ISBLANK(InfoGard!D817)),IF(OR(ISBLANK(InfoGard!E817),InfoGard!E817="N/A"),"no acb code",CONCATENATE(Lookup!F$1,A817,Lookup!G$1,B817,Lookup!H$1,H$1,Lookup!I$1)),"no attestation")</f>
        <v>no attestation</v>
      </c>
      <c r="F817" s="2" t="str">
        <f>IF(AND(NOT(ISBLANK(InfoGard!G817)),InfoGard!G817&lt;&gt;"N/A"),IF(C817="All",CONCATENATE(Lookup!F$2,D817,Lookup!G$2,B817,Lookup!H$2,H$1,Lookup!I$2),CONCATENATE(Lookup!F$3,D817,Lookup!G$3,B817,Lookup!H$3)),"no url")</f>
        <v>no url</v>
      </c>
    </row>
    <row r="818" spans="1:6" hidden="1" x14ac:dyDescent="0.25">
      <c r="A818" s="2" t="b">
        <f>IF(ISBLANK(InfoGard!D818),FALSE,LOOKUP(InfoGard!D818,Lookup!$A$2:$B$4))</f>
        <v>0</v>
      </c>
      <c r="B818" s="2" t="b">
        <f>IF(ISBLANK(InfoGard!E818),FALSE,RIGHT(TRIM(InfoGard!E818),15))</f>
        <v>0</v>
      </c>
      <c r="C818" s="2" t="b">
        <f>IF(ISBLANK(InfoGard!F818),FALSE,LOOKUP(InfoGard!F818,Lookup!$A$6:$B$7))</f>
        <v>0</v>
      </c>
      <c r="D818" s="2" t="b">
        <f>IF(ISBLANK(InfoGard!G818),FALSE,InfoGard!G818)</f>
        <v>0</v>
      </c>
      <c r="E818" s="2" t="str">
        <f>IF(NOT(ISBLANK(InfoGard!D818)),IF(OR(ISBLANK(InfoGard!E818),InfoGard!E818="N/A"),"no acb code",CONCATENATE(Lookup!F$1,A818,Lookup!G$1,B818,Lookup!H$1,H$1,Lookup!I$1)),"no attestation")</f>
        <v>no attestation</v>
      </c>
      <c r="F818" s="2" t="str">
        <f>IF(AND(NOT(ISBLANK(InfoGard!G818)),InfoGard!G818&lt;&gt;"N/A"),IF(C818="All",CONCATENATE(Lookup!F$2,D818,Lookup!G$2,B818,Lookup!H$2,H$1,Lookup!I$2),CONCATENATE(Lookup!F$3,D818,Lookup!G$3,B818,Lookup!H$3)),"no url")</f>
        <v>no url</v>
      </c>
    </row>
    <row r="819" spans="1:6" hidden="1" x14ac:dyDescent="0.25">
      <c r="A819" s="2" t="b">
        <f>IF(ISBLANK(InfoGard!D819),FALSE,LOOKUP(InfoGard!D819,Lookup!$A$2:$B$4))</f>
        <v>0</v>
      </c>
      <c r="B819" s="2" t="b">
        <f>IF(ISBLANK(InfoGard!E819),FALSE,RIGHT(TRIM(InfoGard!E819),15))</f>
        <v>0</v>
      </c>
      <c r="C819" s="2" t="b">
        <f>IF(ISBLANK(InfoGard!F819),FALSE,LOOKUP(InfoGard!F819,Lookup!$A$6:$B$7))</f>
        <v>0</v>
      </c>
      <c r="D819" s="2" t="b">
        <f>IF(ISBLANK(InfoGard!G819),FALSE,InfoGard!G819)</f>
        <v>0</v>
      </c>
      <c r="E819" s="2" t="str">
        <f>IF(NOT(ISBLANK(InfoGard!D819)),IF(OR(ISBLANK(InfoGard!E819),InfoGard!E819="N/A"),"no acb code",CONCATENATE(Lookup!F$1,A819,Lookup!G$1,B819,Lookup!H$1,H$1,Lookup!I$1)),"no attestation")</f>
        <v>no attestation</v>
      </c>
      <c r="F819" s="2" t="str">
        <f>IF(AND(NOT(ISBLANK(InfoGard!G819)),InfoGard!G819&lt;&gt;"N/A"),IF(C819="All",CONCATENATE(Lookup!F$2,D819,Lookup!G$2,B819,Lookup!H$2,H$1,Lookup!I$2),CONCATENATE(Lookup!F$3,D819,Lookup!G$3,B819,Lookup!H$3)),"no url")</f>
        <v>no url</v>
      </c>
    </row>
    <row r="820" spans="1:6" hidden="1" x14ac:dyDescent="0.25">
      <c r="A820" s="2" t="b">
        <f>IF(ISBLANK(InfoGard!D820),FALSE,LOOKUP(InfoGard!D820,Lookup!$A$2:$B$4))</f>
        <v>0</v>
      </c>
      <c r="B820" s="2" t="b">
        <f>IF(ISBLANK(InfoGard!E820),FALSE,RIGHT(TRIM(InfoGard!E820),15))</f>
        <v>0</v>
      </c>
      <c r="C820" s="2" t="b">
        <f>IF(ISBLANK(InfoGard!F820),FALSE,LOOKUP(InfoGard!F820,Lookup!$A$6:$B$7))</f>
        <v>0</v>
      </c>
      <c r="D820" s="2" t="b">
        <f>IF(ISBLANK(InfoGard!G820),FALSE,InfoGard!G820)</f>
        <v>0</v>
      </c>
      <c r="E820" s="2" t="str">
        <f>IF(NOT(ISBLANK(InfoGard!D820)),IF(OR(ISBLANK(InfoGard!E820),InfoGard!E820="N/A"),"no acb code",CONCATENATE(Lookup!F$1,A820,Lookup!G$1,B820,Lookup!H$1,H$1,Lookup!I$1)),"no attestation")</f>
        <v>no attestation</v>
      </c>
      <c r="F820" s="2" t="str">
        <f>IF(AND(NOT(ISBLANK(InfoGard!G820)),InfoGard!G820&lt;&gt;"N/A"),IF(C820="All",CONCATENATE(Lookup!F$2,D820,Lookup!G$2,B820,Lookup!H$2,H$1,Lookup!I$2),CONCATENATE(Lookup!F$3,D820,Lookup!G$3,B820,Lookup!H$3)),"no url")</f>
        <v>no url</v>
      </c>
    </row>
    <row r="821" spans="1:6" hidden="1" x14ac:dyDescent="0.25">
      <c r="A821" s="2" t="b">
        <f>IF(ISBLANK(InfoGard!D821),FALSE,LOOKUP(InfoGard!D821,Lookup!$A$2:$B$4))</f>
        <v>0</v>
      </c>
      <c r="B821" s="2" t="b">
        <f>IF(ISBLANK(InfoGard!E821),FALSE,RIGHT(TRIM(InfoGard!E821),15))</f>
        <v>0</v>
      </c>
      <c r="C821" s="2" t="b">
        <f>IF(ISBLANK(InfoGard!F821),FALSE,LOOKUP(InfoGard!F821,Lookup!$A$6:$B$7))</f>
        <v>0</v>
      </c>
      <c r="D821" s="2" t="b">
        <f>IF(ISBLANK(InfoGard!G821),FALSE,InfoGard!G821)</f>
        <v>0</v>
      </c>
      <c r="E821" s="2" t="str">
        <f>IF(NOT(ISBLANK(InfoGard!D821)),IF(OR(ISBLANK(InfoGard!E821),InfoGard!E821="N/A"),"no acb code",CONCATENATE(Lookup!F$1,A821,Lookup!G$1,B821,Lookup!H$1,H$1,Lookup!I$1)),"no attestation")</f>
        <v>no attestation</v>
      </c>
      <c r="F821" s="2" t="str">
        <f>IF(AND(NOT(ISBLANK(InfoGard!G821)),InfoGard!G821&lt;&gt;"N/A"),IF(C821="All",CONCATENATE(Lookup!F$2,D821,Lookup!G$2,B821,Lookup!H$2,H$1,Lookup!I$2),CONCATENATE(Lookup!F$3,D821,Lookup!G$3,B821,Lookup!H$3)),"no url")</f>
        <v>no url</v>
      </c>
    </row>
    <row r="822" spans="1:6" hidden="1" x14ac:dyDescent="0.25">
      <c r="A822" s="2" t="b">
        <f>IF(ISBLANK(InfoGard!D822),FALSE,LOOKUP(InfoGard!D822,Lookup!$A$2:$B$4))</f>
        <v>0</v>
      </c>
      <c r="B822" s="2" t="b">
        <f>IF(ISBLANK(InfoGard!E822),FALSE,RIGHT(TRIM(InfoGard!E822),15))</f>
        <v>0</v>
      </c>
      <c r="C822" s="2" t="b">
        <f>IF(ISBLANK(InfoGard!F822),FALSE,LOOKUP(InfoGard!F822,Lookup!$A$6:$B$7))</f>
        <v>0</v>
      </c>
      <c r="D822" s="2" t="b">
        <f>IF(ISBLANK(InfoGard!G822),FALSE,InfoGard!G822)</f>
        <v>0</v>
      </c>
      <c r="E822" s="2" t="str">
        <f>IF(NOT(ISBLANK(InfoGard!D822)),IF(OR(ISBLANK(InfoGard!E822),InfoGard!E822="N/A"),"no acb code",CONCATENATE(Lookup!F$1,A822,Lookup!G$1,B822,Lookup!H$1,H$1,Lookup!I$1)),"no attestation")</f>
        <v>no attestation</v>
      </c>
      <c r="F822" s="2" t="str">
        <f>IF(AND(NOT(ISBLANK(InfoGard!G822)),InfoGard!G822&lt;&gt;"N/A"),IF(C822="All",CONCATENATE(Lookup!F$2,D822,Lookup!G$2,B822,Lookup!H$2,H$1,Lookup!I$2),CONCATENATE(Lookup!F$3,D822,Lookup!G$3,B822,Lookup!H$3)),"no url")</f>
        <v>no url</v>
      </c>
    </row>
    <row r="823" spans="1:6" hidden="1" x14ac:dyDescent="0.25">
      <c r="A823" s="2" t="b">
        <f>IF(ISBLANK(InfoGard!D823),FALSE,LOOKUP(InfoGard!D823,Lookup!$A$2:$B$4))</f>
        <v>0</v>
      </c>
      <c r="B823" s="2" t="b">
        <f>IF(ISBLANK(InfoGard!E823),FALSE,RIGHT(TRIM(InfoGard!E823),15))</f>
        <v>0</v>
      </c>
      <c r="C823" s="2" t="b">
        <f>IF(ISBLANK(InfoGard!F823),FALSE,LOOKUP(InfoGard!F823,Lookup!$A$6:$B$7))</f>
        <v>0</v>
      </c>
      <c r="D823" s="2" t="b">
        <f>IF(ISBLANK(InfoGard!G823),FALSE,InfoGard!G823)</f>
        <v>0</v>
      </c>
      <c r="E823" s="2" t="str">
        <f>IF(NOT(ISBLANK(InfoGard!D823)),IF(OR(ISBLANK(InfoGard!E823),InfoGard!E823="N/A"),"no acb code",CONCATENATE(Lookup!F$1,A823,Lookup!G$1,B823,Lookup!H$1,H$1,Lookup!I$1)),"no attestation")</f>
        <v>no attestation</v>
      </c>
      <c r="F823" s="2" t="str">
        <f>IF(AND(NOT(ISBLANK(InfoGard!G823)),InfoGard!G823&lt;&gt;"N/A"),IF(C823="All",CONCATENATE(Lookup!F$2,D823,Lookup!G$2,B823,Lookup!H$2,H$1,Lookup!I$2),CONCATENATE(Lookup!F$3,D823,Lookup!G$3,B823,Lookup!H$3)),"no url")</f>
        <v>no url</v>
      </c>
    </row>
    <row r="824" spans="1:6" hidden="1" x14ac:dyDescent="0.25">
      <c r="A824" s="2" t="b">
        <f>IF(ISBLANK(InfoGard!D824),FALSE,LOOKUP(InfoGard!D824,Lookup!$A$2:$B$4))</f>
        <v>0</v>
      </c>
      <c r="B824" s="2" t="b">
        <f>IF(ISBLANK(InfoGard!E824),FALSE,RIGHT(TRIM(InfoGard!E824),15))</f>
        <v>0</v>
      </c>
      <c r="C824" s="2" t="b">
        <f>IF(ISBLANK(InfoGard!F824),FALSE,LOOKUP(InfoGard!F824,Lookup!$A$6:$B$7))</f>
        <v>0</v>
      </c>
      <c r="D824" s="2" t="b">
        <f>IF(ISBLANK(InfoGard!G824),FALSE,InfoGard!G824)</f>
        <v>0</v>
      </c>
      <c r="E824" s="2" t="str">
        <f>IF(NOT(ISBLANK(InfoGard!D824)),IF(OR(ISBLANK(InfoGard!E824),InfoGard!E824="N/A"),"no acb code",CONCATENATE(Lookup!F$1,A824,Lookup!G$1,B824,Lookup!H$1,H$1,Lookup!I$1)),"no attestation")</f>
        <v>no attestation</v>
      </c>
      <c r="F824" s="2" t="str">
        <f>IF(AND(NOT(ISBLANK(InfoGard!G824)),InfoGard!G824&lt;&gt;"N/A"),IF(C824="All",CONCATENATE(Lookup!F$2,D824,Lookup!G$2,B824,Lookup!H$2,H$1,Lookup!I$2),CONCATENATE(Lookup!F$3,D824,Lookup!G$3,B824,Lookup!H$3)),"no url")</f>
        <v>no url</v>
      </c>
    </row>
    <row r="825" spans="1:6" hidden="1" x14ac:dyDescent="0.25">
      <c r="A825" s="2" t="b">
        <f>IF(ISBLANK(InfoGard!D825),FALSE,LOOKUP(InfoGard!D825,Lookup!$A$2:$B$4))</f>
        <v>0</v>
      </c>
      <c r="B825" s="2" t="b">
        <f>IF(ISBLANK(InfoGard!E825),FALSE,RIGHT(TRIM(InfoGard!E825),15))</f>
        <v>0</v>
      </c>
      <c r="C825" s="2" t="b">
        <f>IF(ISBLANK(InfoGard!F825),FALSE,LOOKUP(InfoGard!F825,Lookup!$A$6:$B$7))</f>
        <v>0</v>
      </c>
      <c r="D825" s="2" t="b">
        <f>IF(ISBLANK(InfoGard!G825),FALSE,InfoGard!G825)</f>
        <v>0</v>
      </c>
      <c r="E825" s="2" t="str">
        <f>IF(NOT(ISBLANK(InfoGard!D825)),IF(OR(ISBLANK(InfoGard!E825),InfoGard!E825="N/A"),"no acb code",CONCATENATE(Lookup!F$1,A825,Lookup!G$1,B825,Lookup!H$1,H$1,Lookup!I$1)),"no attestation")</f>
        <v>no attestation</v>
      </c>
      <c r="F825" s="2" t="str">
        <f>IF(AND(NOT(ISBLANK(InfoGard!G825)),InfoGard!G825&lt;&gt;"N/A"),IF(C825="All",CONCATENATE(Lookup!F$2,D825,Lookup!G$2,B825,Lookup!H$2,H$1,Lookup!I$2),CONCATENATE(Lookup!F$3,D825,Lookup!G$3,B825,Lookup!H$3)),"no url")</f>
        <v>no url</v>
      </c>
    </row>
    <row r="826" spans="1:6" hidden="1" x14ac:dyDescent="0.25">
      <c r="A826" s="2" t="b">
        <f>IF(ISBLANK(InfoGard!D826),FALSE,LOOKUP(InfoGard!D826,Lookup!$A$2:$B$4))</f>
        <v>0</v>
      </c>
      <c r="B826" s="2" t="b">
        <f>IF(ISBLANK(InfoGard!E826),FALSE,RIGHT(TRIM(InfoGard!E826),15))</f>
        <v>0</v>
      </c>
      <c r="C826" s="2" t="b">
        <f>IF(ISBLANK(InfoGard!F826),FALSE,LOOKUP(InfoGard!F826,Lookup!$A$6:$B$7))</f>
        <v>0</v>
      </c>
      <c r="D826" s="2" t="b">
        <f>IF(ISBLANK(InfoGard!G826),FALSE,InfoGard!G826)</f>
        <v>0</v>
      </c>
      <c r="E826" s="2" t="str">
        <f>IF(NOT(ISBLANK(InfoGard!D826)),IF(OR(ISBLANK(InfoGard!E826),InfoGard!E826="N/A"),"no acb code",CONCATENATE(Lookup!F$1,A826,Lookup!G$1,B826,Lookup!H$1,H$1,Lookup!I$1)),"no attestation")</f>
        <v>no attestation</v>
      </c>
      <c r="F826" s="2" t="str">
        <f>IF(AND(NOT(ISBLANK(InfoGard!G826)),InfoGard!G826&lt;&gt;"N/A"),IF(C826="All",CONCATENATE(Lookup!F$2,D826,Lookup!G$2,B826,Lookup!H$2,H$1,Lookup!I$2),CONCATENATE(Lookup!F$3,D826,Lookup!G$3,B826,Lookup!H$3)),"no url")</f>
        <v>no url</v>
      </c>
    </row>
    <row r="827" spans="1:6" hidden="1" x14ac:dyDescent="0.25">
      <c r="A827" s="2" t="b">
        <f>IF(ISBLANK(InfoGard!D827),FALSE,LOOKUP(InfoGard!D827,Lookup!$A$2:$B$4))</f>
        <v>0</v>
      </c>
      <c r="B827" s="2" t="b">
        <f>IF(ISBLANK(InfoGard!E827),FALSE,RIGHT(TRIM(InfoGard!E827),15))</f>
        <v>0</v>
      </c>
      <c r="C827" s="2" t="b">
        <f>IF(ISBLANK(InfoGard!F827),FALSE,LOOKUP(InfoGard!F827,Lookup!$A$6:$B$7))</f>
        <v>0</v>
      </c>
      <c r="D827" s="2" t="b">
        <f>IF(ISBLANK(InfoGard!G827),FALSE,InfoGard!G827)</f>
        <v>0</v>
      </c>
      <c r="E827" s="2" t="str">
        <f>IF(NOT(ISBLANK(InfoGard!D827)),IF(OR(ISBLANK(InfoGard!E827),InfoGard!E827="N/A"),"no acb code",CONCATENATE(Lookup!F$1,A827,Lookup!G$1,B827,Lookup!H$1,H$1,Lookup!I$1)),"no attestation")</f>
        <v>no attestation</v>
      </c>
      <c r="F827" s="2" t="str">
        <f>IF(AND(NOT(ISBLANK(InfoGard!G827)),InfoGard!G827&lt;&gt;"N/A"),IF(C827="All",CONCATENATE(Lookup!F$2,D827,Lookup!G$2,B827,Lookup!H$2,H$1,Lookup!I$2),CONCATENATE(Lookup!F$3,D827,Lookup!G$3,B827,Lookup!H$3)),"no url")</f>
        <v>no url</v>
      </c>
    </row>
    <row r="828" spans="1:6" hidden="1" x14ac:dyDescent="0.25">
      <c r="A828" s="2" t="b">
        <f>IF(ISBLANK(InfoGard!D828),FALSE,LOOKUP(InfoGard!D828,Lookup!$A$2:$B$4))</f>
        <v>0</v>
      </c>
      <c r="B828" s="2" t="b">
        <f>IF(ISBLANK(InfoGard!E828),FALSE,RIGHT(TRIM(InfoGard!E828),15))</f>
        <v>0</v>
      </c>
      <c r="C828" s="2" t="b">
        <f>IF(ISBLANK(InfoGard!F828),FALSE,LOOKUP(InfoGard!F828,Lookup!$A$6:$B$7))</f>
        <v>0</v>
      </c>
      <c r="D828" s="2" t="b">
        <f>IF(ISBLANK(InfoGard!G828),FALSE,InfoGard!G828)</f>
        <v>0</v>
      </c>
      <c r="E828" s="2" t="str">
        <f>IF(NOT(ISBLANK(InfoGard!D828)),IF(OR(ISBLANK(InfoGard!E828),InfoGard!E828="N/A"),"no acb code",CONCATENATE(Lookup!F$1,A828,Lookup!G$1,B828,Lookup!H$1,H$1,Lookup!I$1)),"no attestation")</f>
        <v>no attestation</v>
      </c>
      <c r="F828" s="2" t="str">
        <f>IF(AND(NOT(ISBLANK(InfoGard!G828)),InfoGard!G828&lt;&gt;"N/A"),IF(C828="All",CONCATENATE(Lookup!F$2,D828,Lookup!G$2,B828,Lookup!H$2,H$1,Lookup!I$2),CONCATENATE(Lookup!F$3,D828,Lookup!G$3,B828,Lookup!H$3)),"no url")</f>
        <v>no url</v>
      </c>
    </row>
    <row r="829" spans="1:6" hidden="1" x14ac:dyDescent="0.25">
      <c r="A829" s="2" t="b">
        <f>IF(ISBLANK(InfoGard!D829),FALSE,LOOKUP(InfoGard!D829,Lookup!$A$2:$B$4))</f>
        <v>0</v>
      </c>
      <c r="B829" s="2" t="b">
        <f>IF(ISBLANK(InfoGard!E829),FALSE,RIGHT(TRIM(InfoGard!E829),15))</f>
        <v>0</v>
      </c>
      <c r="C829" s="2" t="b">
        <f>IF(ISBLANK(InfoGard!F829),FALSE,LOOKUP(InfoGard!F829,Lookup!$A$6:$B$7))</f>
        <v>0</v>
      </c>
      <c r="D829" s="2" t="b">
        <f>IF(ISBLANK(InfoGard!G829),FALSE,InfoGard!G829)</f>
        <v>0</v>
      </c>
      <c r="E829" s="2" t="str">
        <f>IF(NOT(ISBLANK(InfoGard!D829)),IF(OR(ISBLANK(InfoGard!E829),InfoGard!E829="N/A"),"no acb code",CONCATENATE(Lookup!F$1,A829,Lookup!G$1,B829,Lookup!H$1,H$1,Lookup!I$1)),"no attestation")</f>
        <v>no attestation</v>
      </c>
      <c r="F829" s="2" t="str">
        <f>IF(AND(NOT(ISBLANK(InfoGard!G829)),InfoGard!G829&lt;&gt;"N/A"),IF(C829="All",CONCATENATE(Lookup!F$2,D829,Lookup!G$2,B829,Lookup!H$2,H$1,Lookup!I$2),CONCATENATE(Lookup!F$3,D829,Lookup!G$3,B829,Lookup!H$3)),"no url")</f>
        <v>no url</v>
      </c>
    </row>
    <row r="830" spans="1:6" hidden="1" x14ac:dyDescent="0.25">
      <c r="A830" s="2" t="b">
        <f>IF(ISBLANK(InfoGard!D830),FALSE,LOOKUP(InfoGard!D830,Lookup!$A$2:$B$4))</f>
        <v>0</v>
      </c>
      <c r="B830" s="2" t="b">
        <f>IF(ISBLANK(InfoGard!E830),FALSE,RIGHT(TRIM(InfoGard!E830),15))</f>
        <v>0</v>
      </c>
      <c r="C830" s="2" t="b">
        <f>IF(ISBLANK(InfoGard!F830),FALSE,LOOKUP(InfoGard!F830,Lookup!$A$6:$B$7))</f>
        <v>0</v>
      </c>
      <c r="D830" s="2" t="b">
        <f>IF(ISBLANK(InfoGard!G830),FALSE,InfoGard!G830)</f>
        <v>0</v>
      </c>
      <c r="E830" s="2" t="str">
        <f>IF(NOT(ISBLANK(InfoGard!D830)),IF(OR(ISBLANK(InfoGard!E830),InfoGard!E830="N/A"),"no acb code",CONCATENATE(Lookup!F$1,A830,Lookup!G$1,B830,Lookup!H$1,H$1,Lookup!I$1)),"no attestation")</f>
        <v>no attestation</v>
      </c>
      <c r="F830" s="2" t="str">
        <f>IF(AND(NOT(ISBLANK(InfoGard!G830)),InfoGard!G830&lt;&gt;"N/A"),IF(C830="All",CONCATENATE(Lookup!F$2,D830,Lookup!G$2,B830,Lookup!H$2,H$1,Lookup!I$2),CONCATENATE(Lookup!F$3,D830,Lookup!G$3,B830,Lookup!H$3)),"no url")</f>
        <v>no url</v>
      </c>
    </row>
    <row r="831" spans="1:6" hidden="1" x14ac:dyDescent="0.25">
      <c r="A831" s="2" t="b">
        <f>IF(ISBLANK(InfoGard!D831),FALSE,LOOKUP(InfoGard!D831,Lookup!$A$2:$B$4))</f>
        <v>0</v>
      </c>
      <c r="B831" s="2" t="b">
        <f>IF(ISBLANK(InfoGard!E831),FALSE,RIGHT(TRIM(InfoGard!E831),15))</f>
        <v>0</v>
      </c>
      <c r="C831" s="2" t="b">
        <f>IF(ISBLANK(InfoGard!F831),FALSE,LOOKUP(InfoGard!F831,Lookup!$A$6:$B$7))</f>
        <v>0</v>
      </c>
      <c r="D831" s="2" t="b">
        <f>IF(ISBLANK(InfoGard!G831),FALSE,InfoGard!G831)</f>
        <v>0</v>
      </c>
      <c r="E831" s="2" t="str">
        <f>IF(NOT(ISBLANK(InfoGard!D831)),IF(OR(ISBLANK(InfoGard!E831),InfoGard!E831="N/A"),"no acb code",CONCATENATE(Lookup!F$1,A831,Lookup!G$1,B831,Lookup!H$1,H$1,Lookup!I$1)),"no attestation")</f>
        <v>no attestation</v>
      </c>
      <c r="F831" s="2" t="str">
        <f>IF(AND(NOT(ISBLANK(InfoGard!G831)),InfoGard!G831&lt;&gt;"N/A"),IF(C831="All",CONCATENATE(Lookup!F$2,D831,Lookup!G$2,B831,Lookup!H$2,H$1,Lookup!I$2),CONCATENATE(Lookup!F$3,D831,Lookup!G$3,B831,Lookup!H$3)),"no url")</f>
        <v>no url</v>
      </c>
    </row>
    <row r="832" spans="1:6" hidden="1" x14ac:dyDescent="0.25">
      <c r="A832" s="2" t="b">
        <f>IF(ISBLANK(InfoGard!D832),FALSE,LOOKUP(InfoGard!D832,Lookup!$A$2:$B$4))</f>
        <v>0</v>
      </c>
      <c r="B832" s="2" t="b">
        <f>IF(ISBLANK(InfoGard!E832),FALSE,RIGHT(TRIM(InfoGard!E832),15))</f>
        <v>0</v>
      </c>
      <c r="C832" s="2" t="b">
        <f>IF(ISBLANK(InfoGard!F832),FALSE,LOOKUP(InfoGard!F832,Lookup!$A$6:$B$7))</f>
        <v>0</v>
      </c>
      <c r="D832" s="2" t="b">
        <f>IF(ISBLANK(InfoGard!G832),FALSE,InfoGard!G832)</f>
        <v>0</v>
      </c>
      <c r="E832" s="2" t="str">
        <f>IF(NOT(ISBLANK(InfoGard!D832)),IF(OR(ISBLANK(InfoGard!E832),InfoGard!E832="N/A"),"no acb code",CONCATENATE(Lookup!F$1,A832,Lookup!G$1,B832,Lookup!H$1,H$1,Lookup!I$1)),"no attestation")</f>
        <v>no attestation</v>
      </c>
      <c r="F832" s="2" t="str">
        <f>IF(AND(NOT(ISBLANK(InfoGard!G832)),InfoGard!G832&lt;&gt;"N/A"),IF(C832="All",CONCATENATE(Lookup!F$2,D832,Lookup!G$2,B832,Lookup!H$2,H$1,Lookup!I$2),CONCATENATE(Lookup!F$3,D832,Lookup!G$3,B832,Lookup!H$3)),"no url")</f>
        <v>no url</v>
      </c>
    </row>
    <row r="833" spans="1:6" hidden="1" x14ac:dyDescent="0.25">
      <c r="A833" s="2" t="b">
        <f>IF(ISBLANK(InfoGard!D833),FALSE,LOOKUP(InfoGard!D833,Lookup!$A$2:$B$4))</f>
        <v>0</v>
      </c>
      <c r="B833" s="2" t="b">
        <f>IF(ISBLANK(InfoGard!E833),FALSE,RIGHT(TRIM(InfoGard!E833),15))</f>
        <v>0</v>
      </c>
      <c r="C833" s="2" t="b">
        <f>IF(ISBLANK(InfoGard!F833),FALSE,LOOKUP(InfoGard!F833,Lookup!$A$6:$B$7))</f>
        <v>0</v>
      </c>
      <c r="D833" s="2" t="b">
        <f>IF(ISBLANK(InfoGard!G833),FALSE,InfoGard!G833)</f>
        <v>0</v>
      </c>
      <c r="E833" s="2" t="str">
        <f>IF(NOT(ISBLANK(InfoGard!D833)),IF(OR(ISBLANK(InfoGard!E833),InfoGard!E833="N/A"),"no acb code",CONCATENATE(Lookup!F$1,A833,Lookup!G$1,B833,Lookup!H$1,H$1,Lookup!I$1)),"no attestation")</f>
        <v>no attestation</v>
      </c>
      <c r="F833" s="2" t="str">
        <f>IF(AND(NOT(ISBLANK(InfoGard!G833)),InfoGard!G833&lt;&gt;"N/A"),IF(C833="All",CONCATENATE(Lookup!F$2,D833,Lookup!G$2,B833,Lookup!H$2,H$1,Lookup!I$2),CONCATENATE(Lookup!F$3,D833,Lookup!G$3,B833,Lookup!H$3)),"no url")</f>
        <v>no url</v>
      </c>
    </row>
    <row r="834" spans="1:6" hidden="1" x14ac:dyDescent="0.25">
      <c r="A834" s="2" t="b">
        <f>IF(ISBLANK(InfoGard!D834),FALSE,LOOKUP(InfoGard!D834,Lookup!$A$2:$B$4))</f>
        <v>0</v>
      </c>
      <c r="B834" s="2" t="b">
        <f>IF(ISBLANK(InfoGard!E834),FALSE,RIGHT(TRIM(InfoGard!E834),15))</f>
        <v>0</v>
      </c>
      <c r="C834" s="2" t="b">
        <f>IF(ISBLANK(InfoGard!F834),FALSE,LOOKUP(InfoGard!F834,Lookup!$A$6:$B$7))</f>
        <v>0</v>
      </c>
      <c r="D834" s="2" t="b">
        <f>IF(ISBLANK(InfoGard!G834),FALSE,InfoGard!G834)</f>
        <v>0</v>
      </c>
      <c r="E834" s="2" t="str">
        <f>IF(NOT(ISBLANK(InfoGard!D834)),IF(OR(ISBLANK(InfoGard!E834),InfoGard!E834="N/A"),"no acb code",CONCATENATE(Lookup!F$1,A834,Lookup!G$1,B834,Lookup!H$1,H$1,Lookup!I$1)),"no attestation")</f>
        <v>no attestation</v>
      </c>
      <c r="F834" s="2" t="str">
        <f>IF(AND(NOT(ISBLANK(InfoGard!G834)),InfoGard!G834&lt;&gt;"N/A"),IF(C834="All",CONCATENATE(Lookup!F$2,D834,Lookup!G$2,B834,Lookup!H$2,H$1,Lookup!I$2),CONCATENATE(Lookup!F$3,D834,Lookup!G$3,B834,Lookup!H$3)),"no url")</f>
        <v>no url</v>
      </c>
    </row>
    <row r="835" spans="1:6" hidden="1" x14ac:dyDescent="0.25">
      <c r="A835" s="2" t="b">
        <f>IF(ISBLANK(InfoGard!D835),FALSE,LOOKUP(InfoGard!D835,Lookup!$A$2:$B$4))</f>
        <v>0</v>
      </c>
      <c r="B835" s="2" t="b">
        <f>IF(ISBLANK(InfoGard!E835),FALSE,RIGHT(TRIM(InfoGard!E835),15))</f>
        <v>0</v>
      </c>
      <c r="C835" s="2" t="b">
        <f>IF(ISBLANK(InfoGard!F835),FALSE,LOOKUP(InfoGard!F835,Lookup!$A$6:$B$7))</f>
        <v>0</v>
      </c>
      <c r="D835" s="2" t="b">
        <f>IF(ISBLANK(InfoGard!G835),FALSE,InfoGard!G835)</f>
        <v>0</v>
      </c>
      <c r="E835" s="2" t="str">
        <f>IF(NOT(ISBLANK(InfoGard!D835)),IF(OR(ISBLANK(InfoGard!E835),InfoGard!E835="N/A"),"no acb code",CONCATENATE(Lookup!F$1,A835,Lookup!G$1,B835,Lookup!H$1,H$1,Lookup!I$1)),"no attestation")</f>
        <v>no attestation</v>
      </c>
      <c r="F835" s="2" t="str">
        <f>IF(AND(NOT(ISBLANK(InfoGard!G835)),InfoGard!G835&lt;&gt;"N/A"),IF(C835="All",CONCATENATE(Lookup!F$2,D835,Lookup!G$2,B835,Lookup!H$2,H$1,Lookup!I$2),CONCATENATE(Lookup!F$3,D835,Lookup!G$3,B835,Lookup!H$3)),"no url")</f>
        <v>no url</v>
      </c>
    </row>
    <row r="836" spans="1:6" hidden="1" x14ac:dyDescent="0.25">
      <c r="A836" s="2" t="b">
        <f>IF(ISBLANK(InfoGard!D836),FALSE,LOOKUP(InfoGard!D836,Lookup!$A$2:$B$4))</f>
        <v>0</v>
      </c>
      <c r="B836" s="2" t="b">
        <f>IF(ISBLANK(InfoGard!E836),FALSE,RIGHT(TRIM(InfoGard!E836),15))</f>
        <v>0</v>
      </c>
      <c r="C836" s="2" t="b">
        <f>IF(ISBLANK(InfoGard!F836),FALSE,LOOKUP(InfoGard!F836,Lookup!$A$6:$B$7))</f>
        <v>0</v>
      </c>
      <c r="D836" s="2" t="b">
        <f>IF(ISBLANK(InfoGard!G836),FALSE,InfoGard!G836)</f>
        <v>0</v>
      </c>
      <c r="E836" s="2" t="str">
        <f>IF(NOT(ISBLANK(InfoGard!D836)),IF(OR(ISBLANK(InfoGard!E836),InfoGard!E836="N/A"),"no acb code",CONCATENATE(Lookup!F$1,A836,Lookup!G$1,B836,Lookup!H$1,H$1,Lookup!I$1)),"no attestation")</f>
        <v>no attestation</v>
      </c>
      <c r="F836" s="2" t="str">
        <f>IF(AND(NOT(ISBLANK(InfoGard!G836)),InfoGard!G836&lt;&gt;"N/A"),IF(C836="All",CONCATENATE(Lookup!F$2,D836,Lookup!G$2,B836,Lookup!H$2,H$1,Lookup!I$2),CONCATENATE(Lookup!F$3,D836,Lookup!G$3,B836,Lookup!H$3)),"no url")</f>
        <v>no url</v>
      </c>
    </row>
    <row r="837" spans="1:6" hidden="1" x14ac:dyDescent="0.25">
      <c r="A837" s="2" t="b">
        <f>IF(ISBLANK(InfoGard!D837),FALSE,LOOKUP(InfoGard!D837,Lookup!$A$2:$B$4))</f>
        <v>0</v>
      </c>
      <c r="B837" s="2" t="b">
        <f>IF(ISBLANK(InfoGard!E837),FALSE,RIGHT(TRIM(InfoGard!E837),15))</f>
        <v>0</v>
      </c>
      <c r="C837" s="2" t="b">
        <f>IF(ISBLANK(InfoGard!F837),FALSE,LOOKUP(InfoGard!F837,Lookup!$A$6:$B$7))</f>
        <v>0</v>
      </c>
      <c r="D837" s="2" t="b">
        <f>IF(ISBLANK(InfoGard!G837),FALSE,InfoGard!G837)</f>
        <v>0</v>
      </c>
      <c r="E837" s="2" t="str">
        <f>IF(NOT(ISBLANK(InfoGard!D837)),IF(OR(ISBLANK(InfoGard!E837),InfoGard!E837="N/A"),"no acb code",CONCATENATE(Lookup!F$1,A837,Lookup!G$1,B837,Lookup!H$1,H$1,Lookup!I$1)),"no attestation")</f>
        <v>no attestation</v>
      </c>
      <c r="F837" s="2" t="str">
        <f>IF(AND(NOT(ISBLANK(InfoGard!G837)),InfoGard!G837&lt;&gt;"N/A"),IF(C837="All",CONCATENATE(Lookup!F$2,D837,Lookup!G$2,B837,Lookup!H$2,H$1,Lookup!I$2),CONCATENATE(Lookup!F$3,D837,Lookup!G$3,B837,Lookup!H$3)),"no url")</f>
        <v>no url</v>
      </c>
    </row>
    <row r="838" spans="1:6" hidden="1" x14ac:dyDescent="0.25">
      <c r="A838" s="2" t="b">
        <f>IF(ISBLANK(InfoGard!D838),FALSE,LOOKUP(InfoGard!D838,Lookup!$A$2:$B$4))</f>
        <v>0</v>
      </c>
      <c r="B838" s="2" t="b">
        <f>IF(ISBLANK(InfoGard!E838),FALSE,RIGHT(TRIM(InfoGard!E838),15))</f>
        <v>0</v>
      </c>
      <c r="C838" s="2" t="b">
        <f>IF(ISBLANK(InfoGard!F838),FALSE,LOOKUP(InfoGard!F838,Lookup!$A$6:$B$7))</f>
        <v>0</v>
      </c>
      <c r="D838" s="2" t="b">
        <f>IF(ISBLANK(InfoGard!G838),FALSE,InfoGard!G838)</f>
        <v>0</v>
      </c>
      <c r="E838" s="2" t="str">
        <f>IF(NOT(ISBLANK(InfoGard!D838)),IF(OR(ISBLANK(InfoGard!E838),InfoGard!E838="N/A"),"no acb code",CONCATENATE(Lookup!F$1,A838,Lookup!G$1,B838,Lookup!H$1,H$1,Lookup!I$1)),"no attestation")</f>
        <v>no attestation</v>
      </c>
      <c r="F838" s="2" t="str">
        <f>IF(AND(NOT(ISBLANK(InfoGard!G838)),InfoGard!G838&lt;&gt;"N/A"),IF(C838="All",CONCATENATE(Lookup!F$2,D838,Lookup!G$2,B838,Lookup!H$2,H$1,Lookup!I$2),CONCATENATE(Lookup!F$3,D838,Lookup!G$3,B838,Lookup!H$3)),"no url")</f>
        <v>no url</v>
      </c>
    </row>
    <row r="839" spans="1:6" hidden="1" x14ac:dyDescent="0.25">
      <c r="A839" s="2" t="b">
        <f>IF(ISBLANK(InfoGard!D839),FALSE,LOOKUP(InfoGard!D839,Lookup!$A$2:$B$4))</f>
        <v>0</v>
      </c>
      <c r="B839" s="2" t="b">
        <f>IF(ISBLANK(InfoGard!E839),FALSE,RIGHT(TRIM(InfoGard!E839),15))</f>
        <v>0</v>
      </c>
      <c r="C839" s="2" t="b">
        <f>IF(ISBLANK(InfoGard!F839),FALSE,LOOKUP(InfoGard!F839,Lookup!$A$6:$B$7))</f>
        <v>0</v>
      </c>
      <c r="D839" s="2" t="b">
        <f>IF(ISBLANK(InfoGard!G839),FALSE,InfoGard!G839)</f>
        <v>0</v>
      </c>
      <c r="E839" s="2" t="str">
        <f>IF(NOT(ISBLANK(InfoGard!D839)),IF(OR(ISBLANK(InfoGard!E839),InfoGard!E839="N/A"),"no acb code",CONCATENATE(Lookup!F$1,A839,Lookup!G$1,B839,Lookup!H$1,H$1,Lookup!I$1)),"no attestation")</f>
        <v>no attestation</v>
      </c>
      <c r="F839" s="2" t="str">
        <f>IF(AND(NOT(ISBLANK(InfoGard!G839)),InfoGard!G839&lt;&gt;"N/A"),IF(C839="All",CONCATENATE(Lookup!F$2,D839,Lookup!G$2,B839,Lookup!H$2,H$1,Lookup!I$2),CONCATENATE(Lookup!F$3,D839,Lookup!G$3,B839,Lookup!H$3)),"no url")</f>
        <v>no url</v>
      </c>
    </row>
    <row r="840" spans="1:6" hidden="1" x14ac:dyDescent="0.25">
      <c r="A840" s="2" t="b">
        <f>IF(ISBLANK(InfoGard!D840),FALSE,LOOKUP(InfoGard!D840,Lookup!$A$2:$B$4))</f>
        <v>0</v>
      </c>
      <c r="B840" s="2" t="b">
        <f>IF(ISBLANK(InfoGard!E840),FALSE,RIGHT(TRIM(InfoGard!E840),15))</f>
        <v>0</v>
      </c>
      <c r="C840" s="2" t="b">
        <f>IF(ISBLANK(InfoGard!F840),FALSE,LOOKUP(InfoGard!F840,Lookup!$A$6:$B$7))</f>
        <v>0</v>
      </c>
      <c r="D840" s="2" t="b">
        <f>IF(ISBLANK(InfoGard!G840),FALSE,InfoGard!G840)</f>
        <v>0</v>
      </c>
      <c r="E840" s="2" t="str">
        <f>IF(NOT(ISBLANK(InfoGard!D840)),IF(OR(ISBLANK(InfoGard!E840),InfoGard!E840="N/A"),"no acb code",CONCATENATE(Lookup!F$1,A840,Lookup!G$1,B840,Lookup!H$1,H$1,Lookup!I$1)),"no attestation")</f>
        <v>no attestation</v>
      </c>
      <c r="F840" s="2" t="str">
        <f>IF(AND(NOT(ISBLANK(InfoGard!G840)),InfoGard!G840&lt;&gt;"N/A"),IF(C840="All",CONCATENATE(Lookup!F$2,D840,Lookup!G$2,B840,Lookup!H$2,H$1,Lookup!I$2),CONCATENATE(Lookup!F$3,D840,Lookup!G$3,B840,Lookup!H$3)),"no url")</f>
        <v>no url</v>
      </c>
    </row>
    <row r="841" spans="1:6" hidden="1" x14ac:dyDescent="0.25">
      <c r="A841" s="2" t="b">
        <f>IF(ISBLANK(InfoGard!D841),FALSE,LOOKUP(InfoGard!D841,Lookup!$A$2:$B$4))</f>
        <v>0</v>
      </c>
      <c r="B841" s="2" t="b">
        <f>IF(ISBLANK(InfoGard!E841),FALSE,RIGHT(TRIM(InfoGard!E841),15))</f>
        <v>0</v>
      </c>
      <c r="C841" s="2" t="b">
        <f>IF(ISBLANK(InfoGard!F841),FALSE,LOOKUP(InfoGard!F841,Lookup!$A$6:$B$7))</f>
        <v>0</v>
      </c>
      <c r="D841" s="2" t="b">
        <f>IF(ISBLANK(InfoGard!G841),FALSE,InfoGard!G841)</f>
        <v>0</v>
      </c>
      <c r="E841" s="2" t="str">
        <f>IF(NOT(ISBLANK(InfoGard!D841)),IF(OR(ISBLANK(InfoGard!E841),InfoGard!E841="N/A"),"no acb code",CONCATENATE(Lookup!F$1,A841,Lookup!G$1,B841,Lookup!H$1,H$1,Lookup!I$1)),"no attestation")</f>
        <v>no attestation</v>
      </c>
      <c r="F841" s="2" t="str">
        <f>IF(AND(NOT(ISBLANK(InfoGard!G841)),InfoGard!G841&lt;&gt;"N/A"),IF(C841="All",CONCATENATE(Lookup!F$2,D841,Lookup!G$2,B841,Lookup!H$2,H$1,Lookup!I$2),CONCATENATE(Lookup!F$3,D841,Lookup!G$3,B841,Lookup!H$3)),"no url")</f>
        <v>no url</v>
      </c>
    </row>
    <row r="842" spans="1:6" x14ac:dyDescent="0.25">
      <c r="A842" s="2" t="str">
        <f>IF(ISBLANK(InfoGard!D842),FALSE,LOOKUP(InfoGard!D842,Lookup!$A$2:$B$4))</f>
        <v>Affirmative</v>
      </c>
      <c r="B842" s="2" t="str">
        <f>IF(ISBLANK(InfoGard!E842),FALSE,RIGHT(TRIM(InfoGard!E842),15))</f>
        <v>IG-2349-14-0098</v>
      </c>
      <c r="C842" s="2" t="str">
        <f>IF(ISBLANK(InfoGard!F842),FALSE,LOOKUP(InfoGard!F842,Lookup!$A$6:$B$7))</f>
        <v>All</v>
      </c>
      <c r="D842" s="2" t="str">
        <f>IF(ISBLANK(InfoGard!G842),FALSE,InfoGard!G842)</f>
        <v>www.medaz.net</v>
      </c>
      <c r="E842" s="2" t="str">
        <f>IF(NOT(ISBLANK(InfoGard!D842)),IF(OR(ISBLANK(InfoGard!E842),InfoGard!E842="N/A"),"no acb code",CONCATENATE(Lookup!F$1,A842,Lookup!G$1,B842,Lookup!H$1,H$1,Lookup!I$1)),"no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'IG-2349-14-0098' and cb."name" = 'InfoGard' and cp.product_version_id = pv.product_version_id and pv.product_id = p.product_id and p.vendor_id = vend.vendor_id;</v>
      </c>
      <c r="F842" s="2" t="str">
        <f>IF(AND(NOT(ISBLANK(InfoGard!G842)),InfoGard!G842&lt;&gt;"N/A"),IF(C842="All",CONCATENATE(Lookup!F$2,D842,Lookup!G$2,B842,Lookup!H$2,H$1,Lookup!I$2),CONCATENATE(Lookup!F$3,D842,Lookup!G$3,B842,Lookup!H$3)),"no url")</f>
        <v>update openchpl.certified_product as cp set transparency_attestation_url = 'www.medaz.net' from (select certified_product_id from (select vend.vendor_code from openchpl.certified_product as cp, openchpl.product_version as pv, openchpl.product as p, openchpl.vendor as vend where cp.acb_certification_id = 'IG-2349-14-0098'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43" spans="1:6" hidden="1" x14ac:dyDescent="0.25">
      <c r="A843" s="2" t="b">
        <f>IF(ISBLANK(InfoGard!D843),FALSE,LOOKUP(InfoGard!D843,Lookup!$A$2:$B$4))</f>
        <v>0</v>
      </c>
      <c r="B843" s="2" t="b">
        <f>IF(ISBLANK(InfoGard!E843),FALSE,RIGHT(TRIM(InfoGard!E843),15))</f>
        <v>0</v>
      </c>
      <c r="C843" s="2" t="b">
        <f>IF(ISBLANK(InfoGard!F843),FALSE,LOOKUP(InfoGard!F843,Lookup!$A$6:$B$7))</f>
        <v>0</v>
      </c>
      <c r="D843" s="2" t="b">
        <f>IF(ISBLANK(InfoGard!G843),FALSE,InfoGard!G843)</f>
        <v>0</v>
      </c>
      <c r="E843" s="2" t="str">
        <f>IF(NOT(ISBLANK(InfoGard!D843)),IF(OR(ISBLANK(InfoGard!E843),InfoGard!E843="N/A"),"no acb code",CONCATENATE(Lookup!F$1,A843,Lookup!G$1,B843,Lookup!H$1,H$1,Lookup!I$1)),"no attestation")</f>
        <v>no attestation</v>
      </c>
      <c r="F843" s="2" t="str">
        <f>IF(AND(NOT(ISBLANK(InfoGard!G843)),InfoGard!G843&lt;&gt;"N/A"),IF(C843="All",CONCATENATE(Lookup!F$2,D843,Lookup!G$2,B843,Lookup!H$2,H$1,Lookup!I$2),CONCATENATE(Lookup!F$3,D843,Lookup!G$3,B843,Lookup!H$3)),"no url")</f>
        <v>no url</v>
      </c>
    </row>
    <row r="844" spans="1:6" hidden="1" x14ac:dyDescent="0.25">
      <c r="A844" s="2" t="b">
        <f>IF(ISBLANK(InfoGard!D844),FALSE,LOOKUP(InfoGard!D844,Lookup!$A$2:$B$4))</f>
        <v>0</v>
      </c>
      <c r="B844" s="2" t="b">
        <f>IF(ISBLANK(InfoGard!E844),FALSE,RIGHT(TRIM(InfoGard!E844),15))</f>
        <v>0</v>
      </c>
      <c r="C844" s="2" t="b">
        <f>IF(ISBLANK(InfoGard!F844),FALSE,LOOKUP(InfoGard!F844,Lookup!$A$6:$B$7))</f>
        <v>0</v>
      </c>
      <c r="D844" s="2" t="b">
        <f>IF(ISBLANK(InfoGard!G844),FALSE,InfoGard!G844)</f>
        <v>0</v>
      </c>
      <c r="E844" s="2" t="str">
        <f>IF(NOT(ISBLANK(InfoGard!D844)),IF(OR(ISBLANK(InfoGard!E844),InfoGard!E844="N/A"),"no acb code",CONCATENATE(Lookup!F$1,A844,Lookup!G$1,B844,Lookup!H$1,H$1,Lookup!I$1)),"no attestation")</f>
        <v>no attestation</v>
      </c>
      <c r="F844" s="2" t="str">
        <f>IF(AND(NOT(ISBLANK(InfoGard!G844)),InfoGard!G844&lt;&gt;"N/A"),IF(C844="All",CONCATENATE(Lookup!F$2,D844,Lookup!G$2,B844,Lookup!H$2,H$1,Lookup!I$2),CONCATENATE(Lookup!F$3,D844,Lookup!G$3,B844,Lookup!H$3)),"no url")</f>
        <v>no url</v>
      </c>
    </row>
    <row r="845" spans="1:6" hidden="1" x14ac:dyDescent="0.25">
      <c r="A845" s="2" t="b">
        <f>IF(ISBLANK(InfoGard!D845),FALSE,LOOKUP(InfoGard!D845,Lookup!$A$2:$B$4))</f>
        <v>0</v>
      </c>
      <c r="B845" s="2" t="b">
        <f>IF(ISBLANK(InfoGard!E845),FALSE,RIGHT(TRIM(InfoGard!E845),15))</f>
        <v>0</v>
      </c>
      <c r="C845" s="2" t="b">
        <f>IF(ISBLANK(InfoGard!F845),FALSE,LOOKUP(InfoGard!F845,Lookup!$A$6:$B$7))</f>
        <v>0</v>
      </c>
      <c r="D845" s="2" t="b">
        <f>IF(ISBLANK(InfoGard!G845),FALSE,InfoGard!G845)</f>
        <v>0</v>
      </c>
      <c r="E845" s="2" t="str">
        <f>IF(NOT(ISBLANK(InfoGard!D845)),IF(OR(ISBLANK(InfoGard!E845),InfoGard!E845="N/A"),"no acb code",CONCATENATE(Lookup!F$1,A845,Lookup!G$1,B845,Lookup!H$1,H$1,Lookup!I$1)),"no attestation")</f>
        <v>no attestation</v>
      </c>
      <c r="F845" s="2" t="str">
        <f>IF(AND(NOT(ISBLANK(InfoGard!G845)),InfoGard!G845&lt;&gt;"N/A"),IF(C845="All",CONCATENATE(Lookup!F$2,D845,Lookup!G$2,B845,Lookup!H$2,H$1,Lookup!I$2),CONCATENATE(Lookup!F$3,D845,Lookup!G$3,B845,Lookup!H$3)),"no url")</f>
        <v>no url</v>
      </c>
    </row>
    <row r="846" spans="1:6" hidden="1" x14ac:dyDescent="0.25">
      <c r="A846" s="2" t="b">
        <f>IF(ISBLANK(InfoGard!D846),FALSE,LOOKUP(InfoGard!D846,Lookup!$A$2:$B$4))</f>
        <v>0</v>
      </c>
      <c r="B846" s="2" t="b">
        <f>IF(ISBLANK(InfoGard!E846),FALSE,RIGHT(TRIM(InfoGard!E846),15))</f>
        <v>0</v>
      </c>
      <c r="C846" s="2" t="b">
        <f>IF(ISBLANK(InfoGard!F846),FALSE,LOOKUP(InfoGard!F846,Lookup!$A$6:$B$7))</f>
        <v>0</v>
      </c>
      <c r="D846" s="2" t="b">
        <f>IF(ISBLANK(InfoGard!G846),FALSE,InfoGard!G846)</f>
        <v>0</v>
      </c>
      <c r="E846" s="2" t="str">
        <f>IF(NOT(ISBLANK(InfoGard!D846)),IF(OR(ISBLANK(InfoGard!E846),InfoGard!E846="N/A"),"no acb code",CONCATENATE(Lookup!F$1,A846,Lookup!G$1,B846,Lookup!H$1,H$1,Lookup!I$1)),"no attestation")</f>
        <v>no attestation</v>
      </c>
      <c r="F846" s="2" t="str">
        <f>IF(AND(NOT(ISBLANK(InfoGard!G846)),InfoGard!G846&lt;&gt;"N/A"),IF(C846="All",CONCATENATE(Lookup!F$2,D846,Lookup!G$2,B846,Lookup!H$2,H$1,Lookup!I$2),CONCATENATE(Lookup!F$3,D846,Lookup!G$3,B846,Lookup!H$3)),"no url")</f>
        <v>no url</v>
      </c>
    </row>
    <row r="847" spans="1:6" hidden="1" x14ac:dyDescent="0.25">
      <c r="A847" s="2" t="b">
        <f>IF(ISBLANK(InfoGard!D847),FALSE,LOOKUP(InfoGard!D847,Lookup!$A$2:$B$4))</f>
        <v>0</v>
      </c>
      <c r="B847" s="2" t="b">
        <f>IF(ISBLANK(InfoGard!E847),FALSE,RIGHT(TRIM(InfoGard!E847),15))</f>
        <v>0</v>
      </c>
      <c r="C847" s="2" t="b">
        <f>IF(ISBLANK(InfoGard!F847),FALSE,LOOKUP(InfoGard!F847,Lookup!$A$6:$B$7))</f>
        <v>0</v>
      </c>
      <c r="D847" s="2" t="b">
        <f>IF(ISBLANK(InfoGard!G847),FALSE,InfoGard!G847)</f>
        <v>0</v>
      </c>
      <c r="E847" s="2" t="str">
        <f>IF(NOT(ISBLANK(InfoGard!D847)),IF(OR(ISBLANK(InfoGard!E847),InfoGard!E847="N/A"),"no acb code",CONCATENATE(Lookup!F$1,A847,Lookup!G$1,B847,Lookup!H$1,H$1,Lookup!I$1)),"no attestation")</f>
        <v>no attestation</v>
      </c>
      <c r="F847" s="2" t="str">
        <f>IF(AND(NOT(ISBLANK(InfoGard!G847)),InfoGard!G847&lt;&gt;"N/A"),IF(C847="All",CONCATENATE(Lookup!F$2,D847,Lookup!G$2,B847,Lookup!H$2,H$1,Lookup!I$2),CONCATENATE(Lookup!F$3,D847,Lookup!G$3,B847,Lookup!H$3)),"no url")</f>
        <v>no url</v>
      </c>
    </row>
    <row r="848" spans="1:6" hidden="1" x14ac:dyDescent="0.25">
      <c r="A848" s="2" t="b">
        <f>IF(ISBLANK(InfoGard!D848),FALSE,LOOKUP(InfoGard!D848,Lookup!$A$2:$B$4))</f>
        <v>0</v>
      </c>
      <c r="B848" s="2" t="b">
        <f>IF(ISBLANK(InfoGard!E848),FALSE,RIGHT(TRIM(InfoGard!E848),15))</f>
        <v>0</v>
      </c>
      <c r="C848" s="2" t="b">
        <f>IF(ISBLANK(InfoGard!F848),FALSE,LOOKUP(InfoGard!F848,Lookup!$A$6:$B$7))</f>
        <v>0</v>
      </c>
      <c r="D848" s="2" t="b">
        <f>IF(ISBLANK(InfoGard!G848),FALSE,InfoGard!G848)</f>
        <v>0</v>
      </c>
      <c r="E848" s="2" t="str">
        <f>IF(NOT(ISBLANK(InfoGard!D848)),IF(OR(ISBLANK(InfoGard!E848),InfoGard!E848="N/A"),"no acb code",CONCATENATE(Lookup!F$1,A848,Lookup!G$1,B848,Lookup!H$1,H$1,Lookup!I$1)),"no attestation")</f>
        <v>no attestation</v>
      </c>
      <c r="F848" s="2" t="str">
        <f>IF(AND(NOT(ISBLANK(InfoGard!G848)),InfoGard!G848&lt;&gt;"N/A"),IF(C848="All",CONCATENATE(Lookup!F$2,D848,Lookup!G$2,B848,Lookup!H$2,H$1,Lookup!I$2),CONCATENATE(Lookup!F$3,D848,Lookup!G$3,B848,Lookup!H$3)),"no url")</f>
        <v>no url</v>
      </c>
    </row>
    <row r="849" spans="1:6" hidden="1" x14ac:dyDescent="0.25">
      <c r="A849" s="2" t="b">
        <f>IF(ISBLANK(InfoGard!D849),FALSE,LOOKUP(InfoGard!D849,Lookup!$A$2:$B$4))</f>
        <v>0</v>
      </c>
      <c r="B849" s="2" t="b">
        <f>IF(ISBLANK(InfoGard!E849),FALSE,RIGHT(TRIM(InfoGard!E849),15))</f>
        <v>0</v>
      </c>
      <c r="C849" s="2" t="b">
        <f>IF(ISBLANK(InfoGard!F849),FALSE,LOOKUP(InfoGard!F849,Lookup!$A$6:$B$7))</f>
        <v>0</v>
      </c>
      <c r="D849" s="2" t="b">
        <f>IF(ISBLANK(InfoGard!G849),FALSE,InfoGard!G849)</f>
        <v>0</v>
      </c>
      <c r="E849" s="2" t="str">
        <f>IF(NOT(ISBLANK(InfoGard!D849)),IF(OR(ISBLANK(InfoGard!E849),InfoGard!E849="N/A"),"no acb code",CONCATENATE(Lookup!F$1,A849,Lookup!G$1,B849,Lookup!H$1,H$1,Lookup!I$1)),"no attestation")</f>
        <v>no attestation</v>
      </c>
      <c r="F849" s="2" t="str">
        <f>IF(AND(NOT(ISBLANK(InfoGard!G849)),InfoGard!G849&lt;&gt;"N/A"),IF(C849="All",CONCATENATE(Lookup!F$2,D849,Lookup!G$2,B849,Lookup!H$2,H$1,Lookup!I$2),CONCATENATE(Lookup!F$3,D849,Lookup!G$3,B849,Lookup!H$3)),"no url")</f>
        <v>no url</v>
      </c>
    </row>
    <row r="850" spans="1:6" hidden="1" x14ac:dyDescent="0.25">
      <c r="A850" s="2" t="b">
        <f>IF(ISBLANK(InfoGard!D850),FALSE,LOOKUP(InfoGard!D850,Lookup!$A$2:$B$4))</f>
        <v>0</v>
      </c>
      <c r="B850" s="2" t="b">
        <f>IF(ISBLANK(InfoGard!E850),FALSE,RIGHT(TRIM(InfoGard!E850),15))</f>
        <v>0</v>
      </c>
      <c r="C850" s="2" t="b">
        <f>IF(ISBLANK(InfoGard!F850),FALSE,LOOKUP(InfoGard!F850,Lookup!$A$6:$B$7))</f>
        <v>0</v>
      </c>
      <c r="D850" s="2" t="b">
        <f>IF(ISBLANK(InfoGard!G850),FALSE,InfoGard!G850)</f>
        <v>0</v>
      </c>
      <c r="E850" s="2" t="str">
        <f>IF(NOT(ISBLANK(InfoGard!D850)),IF(OR(ISBLANK(InfoGard!E850),InfoGard!E850="N/A"),"no acb code",CONCATENATE(Lookup!F$1,A850,Lookup!G$1,B850,Lookup!H$1,H$1,Lookup!I$1)),"no attestation")</f>
        <v>no attestation</v>
      </c>
      <c r="F850" s="2" t="str">
        <f>IF(AND(NOT(ISBLANK(InfoGard!G850)),InfoGard!G850&lt;&gt;"N/A"),IF(C850="All",CONCATENATE(Lookup!F$2,D850,Lookup!G$2,B850,Lookup!H$2,H$1,Lookup!I$2),CONCATENATE(Lookup!F$3,D850,Lookup!G$3,B850,Lookup!H$3)),"no url")</f>
        <v>no url</v>
      </c>
    </row>
    <row r="851" spans="1:6" hidden="1" x14ac:dyDescent="0.25">
      <c r="A851" s="2" t="b">
        <f>IF(ISBLANK(InfoGard!D851),FALSE,LOOKUP(InfoGard!D851,Lookup!$A$2:$B$4))</f>
        <v>0</v>
      </c>
      <c r="B851" s="2" t="b">
        <f>IF(ISBLANK(InfoGard!E851),FALSE,RIGHT(TRIM(InfoGard!E851),15))</f>
        <v>0</v>
      </c>
      <c r="C851" s="2" t="b">
        <f>IF(ISBLANK(InfoGard!F851),FALSE,LOOKUP(InfoGard!F851,Lookup!$A$6:$B$7))</f>
        <v>0</v>
      </c>
      <c r="D851" s="2" t="b">
        <f>IF(ISBLANK(InfoGard!G851),FALSE,InfoGard!G851)</f>
        <v>0</v>
      </c>
      <c r="E851" s="2" t="str">
        <f>IF(NOT(ISBLANK(InfoGard!D851)),IF(OR(ISBLANK(InfoGard!E851),InfoGard!E851="N/A"),"no acb code",CONCATENATE(Lookup!F$1,A851,Lookup!G$1,B851,Lookup!H$1,H$1,Lookup!I$1)),"no attestation")</f>
        <v>no attestation</v>
      </c>
      <c r="F851" s="2" t="str">
        <f>IF(AND(NOT(ISBLANK(InfoGard!G851)),InfoGard!G851&lt;&gt;"N/A"),IF(C851="All",CONCATENATE(Lookup!F$2,D851,Lookup!G$2,B851,Lookup!H$2,H$1,Lookup!I$2),CONCATENATE(Lookup!F$3,D851,Lookup!G$3,B851,Lookup!H$3)),"no url")</f>
        <v>no url</v>
      </c>
    </row>
    <row r="852" spans="1:6" hidden="1" x14ac:dyDescent="0.25">
      <c r="A852" s="2" t="b">
        <f>IF(ISBLANK(InfoGard!D852),FALSE,LOOKUP(InfoGard!D852,Lookup!$A$2:$B$4))</f>
        <v>0</v>
      </c>
      <c r="B852" s="2" t="b">
        <f>IF(ISBLANK(InfoGard!E852),FALSE,RIGHT(TRIM(InfoGard!E852),15))</f>
        <v>0</v>
      </c>
      <c r="C852" s="2" t="b">
        <f>IF(ISBLANK(InfoGard!F852),FALSE,LOOKUP(InfoGard!F852,Lookup!$A$6:$B$7))</f>
        <v>0</v>
      </c>
      <c r="D852" s="2" t="b">
        <f>IF(ISBLANK(InfoGard!G852),FALSE,InfoGard!G852)</f>
        <v>0</v>
      </c>
      <c r="E852" s="2" t="str">
        <f>IF(NOT(ISBLANK(InfoGard!D852)),IF(OR(ISBLANK(InfoGard!E852),InfoGard!E852="N/A"),"no acb code",CONCATENATE(Lookup!F$1,A852,Lookup!G$1,B852,Lookup!H$1,H$1,Lookup!I$1)),"no attestation")</f>
        <v>no attestation</v>
      </c>
      <c r="F852" s="2" t="str">
        <f>IF(AND(NOT(ISBLANK(InfoGard!G852)),InfoGard!G852&lt;&gt;"N/A"),IF(C852="All",CONCATENATE(Lookup!F$2,D852,Lookup!G$2,B852,Lookup!H$2,H$1,Lookup!I$2),CONCATENATE(Lookup!F$3,D852,Lookup!G$3,B852,Lookup!H$3)),"no url")</f>
        <v>no url</v>
      </c>
    </row>
    <row r="853" spans="1:6" hidden="1" x14ac:dyDescent="0.25">
      <c r="A853" s="2" t="b">
        <f>IF(ISBLANK(InfoGard!D853),FALSE,LOOKUP(InfoGard!D853,Lookup!$A$2:$B$4))</f>
        <v>0</v>
      </c>
      <c r="B853" s="2" t="b">
        <f>IF(ISBLANK(InfoGard!E853),FALSE,RIGHT(TRIM(InfoGard!E853),15))</f>
        <v>0</v>
      </c>
      <c r="C853" s="2" t="b">
        <f>IF(ISBLANK(InfoGard!F853),FALSE,LOOKUP(InfoGard!F853,Lookup!$A$6:$B$7))</f>
        <v>0</v>
      </c>
      <c r="D853" s="2" t="b">
        <f>IF(ISBLANK(InfoGard!G853),FALSE,InfoGard!G853)</f>
        <v>0</v>
      </c>
      <c r="E853" s="2" t="str">
        <f>IF(NOT(ISBLANK(InfoGard!D853)),IF(OR(ISBLANK(InfoGard!E853),InfoGard!E853="N/A"),"no acb code",CONCATENATE(Lookup!F$1,A853,Lookup!G$1,B853,Lookup!H$1,H$1,Lookup!I$1)),"no attestation")</f>
        <v>no attestation</v>
      </c>
      <c r="F853" s="2" t="str">
        <f>IF(AND(NOT(ISBLANK(InfoGard!G853)),InfoGard!G853&lt;&gt;"N/A"),IF(C853="All",CONCATENATE(Lookup!F$2,D853,Lookup!G$2,B853,Lookup!H$2,H$1,Lookup!I$2),CONCATENATE(Lookup!F$3,D853,Lookup!G$3,B853,Lookup!H$3)),"no url")</f>
        <v>no url</v>
      </c>
    </row>
    <row r="854" spans="1:6" hidden="1" x14ac:dyDescent="0.25">
      <c r="A854" s="2" t="b">
        <f>IF(ISBLANK(InfoGard!D854),FALSE,LOOKUP(InfoGard!D854,Lookup!$A$2:$B$4))</f>
        <v>0</v>
      </c>
      <c r="B854" s="2" t="b">
        <f>IF(ISBLANK(InfoGard!E854),FALSE,RIGHT(TRIM(InfoGard!E854),15))</f>
        <v>0</v>
      </c>
      <c r="C854" s="2" t="b">
        <f>IF(ISBLANK(InfoGard!F854),FALSE,LOOKUP(InfoGard!F854,Lookup!$A$6:$B$7))</f>
        <v>0</v>
      </c>
      <c r="D854" s="2" t="b">
        <f>IF(ISBLANK(InfoGard!G854),FALSE,InfoGard!G854)</f>
        <v>0</v>
      </c>
      <c r="E854" s="2" t="str">
        <f>IF(NOT(ISBLANK(InfoGard!D854)),IF(OR(ISBLANK(InfoGard!E854),InfoGard!E854="N/A"),"no acb code",CONCATENATE(Lookup!F$1,A854,Lookup!G$1,B854,Lookup!H$1,H$1,Lookup!I$1)),"no attestation")</f>
        <v>no attestation</v>
      </c>
      <c r="F854" s="2" t="str">
        <f>IF(AND(NOT(ISBLANK(InfoGard!G854)),InfoGard!G854&lt;&gt;"N/A"),IF(C854="All",CONCATENATE(Lookup!F$2,D854,Lookup!G$2,B854,Lookup!H$2,H$1,Lookup!I$2),CONCATENATE(Lookup!F$3,D854,Lookup!G$3,B854,Lookup!H$3)),"no url")</f>
        <v>no url</v>
      </c>
    </row>
    <row r="855" spans="1:6" hidden="1" x14ac:dyDescent="0.25">
      <c r="A855" s="2" t="b">
        <f>IF(ISBLANK(InfoGard!D855),FALSE,LOOKUP(InfoGard!D855,Lookup!$A$2:$B$4))</f>
        <v>0</v>
      </c>
      <c r="B855" s="2" t="b">
        <f>IF(ISBLANK(InfoGard!E855),FALSE,RIGHT(TRIM(InfoGard!E855),15))</f>
        <v>0</v>
      </c>
      <c r="C855" s="2" t="b">
        <f>IF(ISBLANK(InfoGard!F855),FALSE,LOOKUP(InfoGard!F855,Lookup!$A$6:$B$7))</f>
        <v>0</v>
      </c>
      <c r="D855" s="2" t="b">
        <f>IF(ISBLANK(InfoGard!G855),FALSE,InfoGard!G855)</f>
        <v>0</v>
      </c>
      <c r="E855" s="2" t="str">
        <f>IF(NOT(ISBLANK(InfoGard!D855)),IF(OR(ISBLANK(InfoGard!E855),InfoGard!E855="N/A"),"no acb code",CONCATENATE(Lookup!F$1,A855,Lookup!G$1,B855,Lookup!H$1,H$1,Lookup!I$1)),"no attestation")</f>
        <v>no attestation</v>
      </c>
      <c r="F855" s="2" t="str">
        <f>IF(AND(NOT(ISBLANK(InfoGard!G855)),InfoGard!G855&lt;&gt;"N/A"),IF(C855="All",CONCATENATE(Lookup!F$2,D855,Lookup!G$2,B855,Lookup!H$2,H$1,Lookup!I$2),CONCATENATE(Lookup!F$3,D855,Lookup!G$3,B855,Lookup!H$3)),"no url")</f>
        <v>no url</v>
      </c>
    </row>
    <row r="856" spans="1:6" hidden="1" x14ac:dyDescent="0.25">
      <c r="A856" s="2" t="b">
        <f>IF(ISBLANK(InfoGard!D856),FALSE,LOOKUP(InfoGard!D856,Lookup!$A$2:$B$4))</f>
        <v>0</v>
      </c>
      <c r="B856" s="2" t="b">
        <f>IF(ISBLANK(InfoGard!E856),FALSE,RIGHT(TRIM(InfoGard!E856),15))</f>
        <v>0</v>
      </c>
      <c r="C856" s="2" t="b">
        <f>IF(ISBLANK(InfoGard!F856),FALSE,LOOKUP(InfoGard!F856,Lookup!$A$6:$B$7))</f>
        <v>0</v>
      </c>
      <c r="D856" s="2" t="b">
        <f>IF(ISBLANK(InfoGard!G856),FALSE,InfoGard!G856)</f>
        <v>0</v>
      </c>
      <c r="E856" s="2" t="str">
        <f>IF(NOT(ISBLANK(InfoGard!D856)),IF(OR(ISBLANK(InfoGard!E856),InfoGard!E856="N/A"),"no acb code",CONCATENATE(Lookup!F$1,A856,Lookup!G$1,B856,Lookup!H$1,H$1,Lookup!I$1)),"no attestation")</f>
        <v>no attestation</v>
      </c>
      <c r="F856" s="2" t="str">
        <f>IF(AND(NOT(ISBLANK(InfoGard!G856)),InfoGard!G856&lt;&gt;"N/A"),IF(C856="All",CONCATENATE(Lookup!F$2,D856,Lookup!G$2,B856,Lookup!H$2,H$1,Lookup!I$2),CONCATENATE(Lookup!F$3,D856,Lookup!G$3,B856,Lookup!H$3)),"no url")</f>
        <v>no url</v>
      </c>
    </row>
    <row r="857" spans="1:6" hidden="1" x14ac:dyDescent="0.25">
      <c r="A857" s="2" t="b">
        <f>IF(ISBLANK(InfoGard!D857),FALSE,LOOKUP(InfoGard!D857,Lookup!$A$2:$B$4))</f>
        <v>0</v>
      </c>
      <c r="B857" s="2" t="b">
        <f>IF(ISBLANK(InfoGard!E857),FALSE,RIGHT(TRIM(InfoGard!E857),15))</f>
        <v>0</v>
      </c>
      <c r="C857" s="2" t="b">
        <f>IF(ISBLANK(InfoGard!F857),FALSE,LOOKUP(InfoGard!F857,Lookup!$A$6:$B$7))</f>
        <v>0</v>
      </c>
      <c r="D857" s="2" t="b">
        <f>IF(ISBLANK(InfoGard!G857),FALSE,InfoGard!G857)</f>
        <v>0</v>
      </c>
      <c r="E857" s="2" t="str">
        <f>IF(NOT(ISBLANK(InfoGard!D857)),IF(OR(ISBLANK(InfoGard!E857),InfoGard!E857="N/A"),"no acb code",CONCATENATE(Lookup!F$1,A857,Lookup!G$1,B857,Lookup!H$1,H$1,Lookup!I$1)),"no attestation")</f>
        <v>no attestation</v>
      </c>
      <c r="F857" s="2" t="str">
        <f>IF(AND(NOT(ISBLANK(InfoGard!G857)),InfoGard!G857&lt;&gt;"N/A"),IF(C857="All",CONCATENATE(Lookup!F$2,D857,Lookup!G$2,B857,Lookup!H$2,H$1,Lookup!I$2),CONCATENATE(Lookup!F$3,D857,Lookup!G$3,B857,Lookup!H$3)),"no url")</f>
        <v>no url</v>
      </c>
    </row>
    <row r="858" spans="1:6" hidden="1" x14ac:dyDescent="0.25">
      <c r="A858" s="2" t="b">
        <f>IF(ISBLANK(InfoGard!D858),FALSE,LOOKUP(InfoGard!D858,Lookup!$A$2:$B$4))</f>
        <v>0</v>
      </c>
      <c r="B858" s="2" t="b">
        <f>IF(ISBLANK(InfoGard!E858),FALSE,RIGHT(TRIM(InfoGard!E858),15))</f>
        <v>0</v>
      </c>
      <c r="C858" s="2" t="b">
        <f>IF(ISBLANK(InfoGard!F858),FALSE,LOOKUP(InfoGard!F858,Lookup!$A$6:$B$7))</f>
        <v>0</v>
      </c>
      <c r="D858" s="2" t="b">
        <f>IF(ISBLANK(InfoGard!G858),FALSE,InfoGard!G858)</f>
        <v>0</v>
      </c>
      <c r="E858" s="2" t="str">
        <f>IF(NOT(ISBLANK(InfoGard!D858)),IF(OR(ISBLANK(InfoGard!E858),InfoGard!E858="N/A"),"no acb code",CONCATENATE(Lookup!F$1,A858,Lookup!G$1,B858,Lookup!H$1,H$1,Lookup!I$1)),"no attestation")</f>
        <v>no attestation</v>
      </c>
      <c r="F858" s="2" t="str">
        <f>IF(AND(NOT(ISBLANK(InfoGard!G858)),InfoGard!G858&lt;&gt;"N/A"),IF(C858="All",CONCATENATE(Lookup!F$2,D858,Lookup!G$2,B858,Lookup!H$2,H$1,Lookup!I$2),CONCATENATE(Lookup!F$3,D858,Lookup!G$3,B858,Lookup!H$3)),"no url")</f>
        <v>no url</v>
      </c>
    </row>
    <row r="859" spans="1:6" hidden="1" x14ac:dyDescent="0.25">
      <c r="A859" s="2" t="b">
        <f>IF(ISBLANK(InfoGard!D859),FALSE,LOOKUP(InfoGard!D859,Lookup!$A$2:$B$4))</f>
        <v>0</v>
      </c>
      <c r="B859" s="2" t="b">
        <f>IF(ISBLANK(InfoGard!E859),FALSE,RIGHT(TRIM(InfoGard!E859),15))</f>
        <v>0</v>
      </c>
      <c r="C859" s="2" t="b">
        <f>IF(ISBLANK(InfoGard!F859),FALSE,LOOKUP(InfoGard!F859,Lookup!$A$6:$B$7))</f>
        <v>0</v>
      </c>
      <c r="D859" s="2" t="b">
        <f>IF(ISBLANK(InfoGard!G859),FALSE,InfoGard!G859)</f>
        <v>0</v>
      </c>
      <c r="E859" s="2" t="str">
        <f>IF(NOT(ISBLANK(InfoGard!D859)),IF(OR(ISBLANK(InfoGard!E859),InfoGard!E859="N/A"),"no acb code",CONCATENATE(Lookup!F$1,A859,Lookup!G$1,B859,Lookup!H$1,H$1,Lookup!I$1)),"no attestation")</f>
        <v>no attestation</v>
      </c>
      <c r="F859" s="2" t="str">
        <f>IF(AND(NOT(ISBLANK(InfoGard!G859)),InfoGard!G859&lt;&gt;"N/A"),IF(C859="All",CONCATENATE(Lookup!F$2,D859,Lookup!G$2,B859,Lookup!H$2,H$1,Lookup!I$2),CONCATENATE(Lookup!F$3,D859,Lookup!G$3,B859,Lookup!H$3)),"no url")</f>
        <v>no url</v>
      </c>
    </row>
    <row r="860" spans="1:6" hidden="1" x14ac:dyDescent="0.25">
      <c r="A860" s="2" t="b">
        <f>IF(ISBLANK(InfoGard!D860),FALSE,LOOKUP(InfoGard!D860,Lookup!$A$2:$B$4))</f>
        <v>0</v>
      </c>
      <c r="B860" s="2" t="b">
        <f>IF(ISBLANK(InfoGard!E860),FALSE,RIGHT(TRIM(InfoGard!E860),15))</f>
        <v>0</v>
      </c>
      <c r="C860" s="2" t="b">
        <f>IF(ISBLANK(InfoGard!F860),FALSE,LOOKUP(InfoGard!F860,Lookup!$A$6:$B$7))</f>
        <v>0</v>
      </c>
      <c r="D860" s="2" t="b">
        <f>IF(ISBLANK(InfoGard!G860),FALSE,InfoGard!G860)</f>
        <v>0</v>
      </c>
      <c r="E860" s="2" t="str">
        <f>IF(NOT(ISBLANK(InfoGard!D860)),IF(OR(ISBLANK(InfoGard!E860),InfoGard!E860="N/A"),"no acb code",CONCATENATE(Lookup!F$1,A860,Lookup!G$1,B860,Lookup!H$1,H$1,Lookup!I$1)),"no attestation")</f>
        <v>no attestation</v>
      </c>
      <c r="F860" s="2" t="str">
        <f>IF(AND(NOT(ISBLANK(InfoGard!G860)),InfoGard!G860&lt;&gt;"N/A"),IF(C860="All",CONCATENATE(Lookup!F$2,D860,Lookup!G$2,B860,Lookup!H$2,H$1,Lookup!I$2),CONCATENATE(Lookup!F$3,D860,Lookup!G$3,B860,Lookup!H$3)),"no url")</f>
        <v>no url</v>
      </c>
    </row>
    <row r="861" spans="1:6" hidden="1" x14ac:dyDescent="0.25">
      <c r="A861" s="2" t="b">
        <f>IF(ISBLANK(InfoGard!D861),FALSE,LOOKUP(InfoGard!D861,Lookup!$A$2:$B$4))</f>
        <v>0</v>
      </c>
      <c r="B861" s="2" t="b">
        <f>IF(ISBLANK(InfoGard!E861),FALSE,RIGHT(TRIM(InfoGard!E861),15))</f>
        <v>0</v>
      </c>
      <c r="C861" s="2" t="b">
        <f>IF(ISBLANK(InfoGard!F861),FALSE,LOOKUP(InfoGard!F861,Lookup!$A$6:$B$7))</f>
        <v>0</v>
      </c>
      <c r="D861" s="2" t="b">
        <f>IF(ISBLANK(InfoGard!G861),FALSE,InfoGard!G861)</f>
        <v>0</v>
      </c>
      <c r="E861" s="2" t="str">
        <f>IF(NOT(ISBLANK(InfoGard!D861)),IF(OR(ISBLANK(InfoGard!E861),InfoGard!E861="N/A"),"no acb code",CONCATENATE(Lookup!F$1,A861,Lookup!G$1,B861,Lookup!H$1,H$1,Lookup!I$1)),"no attestation")</f>
        <v>no attestation</v>
      </c>
      <c r="F861" s="2" t="str">
        <f>IF(AND(NOT(ISBLANK(InfoGard!G861)),InfoGard!G861&lt;&gt;"N/A"),IF(C861="All",CONCATENATE(Lookup!F$2,D861,Lookup!G$2,B861,Lookup!H$2,H$1,Lookup!I$2),CONCATENATE(Lookup!F$3,D861,Lookup!G$3,B861,Lookup!H$3)),"no url")</f>
        <v>no url</v>
      </c>
    </row>
    <row r="862" spans="1:6" hidden="1" x14ac:dyDescent="0.25">
      <c r="A862" s="2" t="b">
        <f>IF(ISBLANK(InfoGard!D862),FALSE,LOOKUP(InfoGard!D862,Lookup!$A$2:$B$4))</f>
        <v>0</v>
      </c>
      <c r="B862" s="2" t="b">
        <f>IF(ISBLANK(InfoGard!E862),FALSE,RIGHT(TRIM(InfoGard!E862),15))</f>
        <v>0</v>
      </c>
      <c r="C862" s="2" t="b">
        <f>IF(ISBLANK(InfoGard!F862),FALSE,LOOKUP(InfoGard!F862,Lookup!$A$6:$B$7))</f>
        <v>0</v>
      </c>
      <c r="D862" s="2" t="b">
        <f>IF(ISBLANK(InfoGard!G862),FALSE,InfoGard!G862)</f>
        <v>0</v>
      </c>
      <c r="E862" s="2" t="str">
        <f>IF(NOT(ISBLANK(InfoGard!D862)),IF(OR(ISBLANK(InfoGard!E862),InfoGard!E862="N/A"),"no acb code",CONCATENATE(Lookup!F$1,A862,Lookup!G$1,B862,Lookup!H$1,H$1,Lookup!I$1)),"no attestation")</f>
        <v>no attestation</v>
      </c>
      <c r="F862" s="2" t="str">
        <f>IF(AND(NOT(ISBLANK(InfoGard!G862)),InfoGard!G862&lt;&gt;"N/A"),IF(C862="All",CONCATENATE(Lookup!F$2,D862,Lookup!G$2,B862,Lookup!H$2,H$1,Lookup!I$2),CONCATENATE(Lookup!F$3,D862,Lookup!G$3,B862,Lookup!H$3)),"no url")</f>
        <v>no url</v>
      </c>
    </row>
    <row r="863" spans="1:6" hidden="1" x14ac:dyDescent="0.25">
      <c r="A863" s="2" t="b">
        <f>IF(ISBLANK(InfoGard!D863),FALSE,LOOKUP(InfoGard!D863,Lookup!$A$2:$B$4))</f>
        <v>0</v>
      </c>
      <c r="B863" s="2" t="b">
        <f>IF(ISBLANK(InfoGard!E863),FALSE,RIGHT(TRIM(InfoGard!E863),15))</f>
        <v>0</v>
      </c>
      <c r="C863" s="2" t="b">
        <f>IF(ISBLANK(InfoGard!F863),FALSE,LOOKUP(InfoGard!F863,Lookup!$A$6:$B$7))</f>
        <v>0</v>
      </c>
      <c r="D863" s="2" t="b">
        <f>IF(ISBLANK(InfoGard!G863),FALSE,InfoGard!G863)</f>
        <v>0</v>
      </c>
      <c r="E863" s="2" t="str">
        <f>IF(NOT(ISBLANK(InfoGard!D863)),IF(OR(ISBLANK(InfoGard!E863),InfoGard!E863="N/A"),"no acb code",CONCATENATE(Lookup!F$1,A863,Lookup!G$1,B863,Lookup!H$1,H$1,Lookup!I$1)),"no attestation")</f>
        <v>no attestation</v>
      </c>
      <c r="F863" s="2" t="str">
        <f>IF(AND(NOT(ISBLANK(InfoGard!G863)),InfoGard!G863&lt;&gt;"N/A"),IF(C863="All",CONCATENATE(Lookup!F$2,D863,Lookup!G$2,B863,Lookup!H$2,H$1,Lookup!I$2),CONCATENATE(Lookup!F$3,D863,Lookup!G$3,B863,Lookup!H$3)),"no url")</f>
        <v>no url</v>
      </c>
    </row>
    <row r="864" spans="1:6" hidden="1" x14ac:dyDescent="0.25">
      <c r="A864" s="2" t="b">
        <f>IF(ISBLANK(InfoGard!D864),FALSE,LOOKUP(InfoGard!D864,Lookup!$A$2:$B$4))</f>
        <v>0</v>
      </c>
      <c r="B864" s="2" t="b">
        <f>IF(ISBLANK(InfoGard!E864),FALSE,RIGHT(TRIM(InfoGard!E864),15))</f>
        <v>0</v>
      </c>
      <c r="C864" s="2" t="b">
        <f>IF(ISBLANK(InfoGard!F864),FALSE,LOOKUP(InfoGard!F864,Lookup!$A$6:$B$7))</f>
        <v>0</v>
      </c>
      <c r="D864" s="2" t="b">
        <f>IF(ISBLANK(InfoGard!G864),FALSE,InfoGard!G864)</f>
        <v>0</v>
      </c>
      <c r="E864" s="2" t="str">
        <f>IF(NOT(ISBLANK(InfoGard!D864)),IF(OR(ISBLANK(InfoGard!E864),InfoGard!E864="N/A"),"no acb code",CONCATENATE(Lookup!F$1,A864,Lookup!G$1,B864,Lookup!H$1,H$1,Lookup!I$1)),"no attestation")</f>
        <v>no attestation</v>
      </c>
      <c r="F864" s="2" t="str">
        <f>IF(AND(NOT(ISBLANK(InfoGard!G864)),InfoGard!G864&lt;&gt;"N/A"),IF(C864="All",CONCATENATE(Lookup!F$2,D864,Lookup!G$2,B864,Lookup!H$2,H$1,Lookup!I$2),CONCATENATE(Lookup!F$3,D864,Lookup!G$3,B864,Lookup!H$3)),"no url")</f>
        <v>no url</v>
      </c>
    </row>
    <row r="865" spans="1:6" hidden="1" x14ac:dyDescent="0.25">
      <c r="A865" s="2" t="b">
        <f>IF(ISBLANK(InfoGard!D865),FALSE,LOOKUP(InfoGard!D865,Lookup!$A$2:$B$4))</f>
        <v>0</v>
      </c>
      <c r="B865" s="2" t="b">
        <f>IF(ISBLANK(InfoGard!E865),FALSE,RIGHT(TRIM(InfoGard!E865),15))</f>
        <v>0</v>
      </c>
      <c r="C865" s="2" t="b">
        <f>IF(ISBLANK(InfoGard!F865),FALSE,LOOKUP(InfoGard!F865,Lookup!$A$6:$B$7))</f>
        <v>0</v>
      </c>
      <c r="D865" s="2" t="b">
        <f>IF(ISBLANK(InfoGard!G865),FALSE,InfoGard!G865)</f>
        <v>0</v>
      </c>
      <c r="E865" s="2" t="str">
        <f>IF(NOT(ISBLANK(InfoGard!D865)),IF(OR(ISBLANK(InfoGard!E865),InfoGard!E865="N/A"),"no acb code",CONCATENATE(Lookup!F$1,A865,Lookup!G$1,B865,Lookup!H$1,H$1,Lookup!I$1)),"no attestation")</f>
        <v>no attestation</v>
      </c>
      <c r="F865" s="2" t="str">
        <f>IF(AND(NOT(ISBLANK(InfoGard!G865)),InfoGard!G865&lt;&gt;"N/A"),IF(C865="All",CONCATENATE(Lookup!F$2,D865,Lookup!G$2,B865,Lookup!H$2,H$1,Lookup!I$2),CONCATENATE(Lookup!F$3,D865,Lookup!G$3,B865,Lookup!H$3)),"no url")</f>
        <v>no url</v>
      </c>
    </row>
    <row r="866" spans="1:6" hidden="1" x14ac:dyDescent="0.25">
      <c r="A866" s="2" t="b">
        <f>IF(ISBLANK(InfoGard!D866),FALSE,LOOKUP(InfoGard!D866,Lookup!$A$2:$B$4))</f>
        <v>0</v>
      </c>
      <c r="B866" s="2" t="b">
        <f>IF(ISBLANK(InfoGard!E866),FALSE,RIGHT(TRIM(InfoGard!E866),15))</f>
        <v>0</v>
      </c>
      <c r="C866" s="2" t="b">
        <f>IF(ISBLANK(InfoGard!F866),FALSE,LOOKUP(InfoGard!F866,Lookup!$A$6:$B$7))</f>
        <v>0</v>
      </c>
      <c r="D866" s="2" t="b">
        <f>IF(ISBLANK(InfoGard!G866),FALSE,InfoGard!G866)</f>
        <v>0</v>
      </c>
      <c r="E866" s="2" t="str">
        <f>IF(NOT(ISBLANK(InfoGard!D866)),IF(OR(ISBLANK(InfoGard!E866),InfoGard!E866="N/A"),"no acb code",CONCATENATE(Lookup!F$1,A866,Lookup!G$1,B866,Lookup!H$1,H$1,Lookup!I$1)),"no attestation")</f>
        <v>no attestation</v>
      </c>
      <c r="F866" s="2" t="str">
        <f>IF(AND(NOT(ISBLANK(InfoGard!G866)),InfoGard!G866&lt;&gt;"N/A"),IF(C866="All",CONCATENATE(Lookup!F$2,D866,Lookup!G$2,B866,Lookup!H$2,H$1,Lookup!I$2),CONCATENATE(Lookup!F$3,D866,Lookup!G$3,B866,Lookup!H$3)),"no url")</f>
        <v>no url</v>
      </c>
    </row>
    <row r="867" spans="1:6" hidden="1" x14ac:dyDescent="0.25">
      <c r="A867" s="2" t="b">
        <f>IF(ISBLANK(InfoGard!D867),FALSE,LOOKUP(InfoGard!D867,Lookup!$A$2:$B$4))</f>
        <v>0</v>
      </c>
      <c r="B867" s="2" t="b">
        <f>IF(ISBLANK(InfoGard!E867),FALSE,RIGHT(TRIM(InfoGard!E867),15))</f>
        <v>0</v>
      </c>
      <c r="C867" s="2" t="b">
        <f>IF(ISBLANK(InfoGard!F867),FALSE,LOOKUP(InfoGard!F867,Lookup!$A$6:$B$7))</f>
        <v>0</v>
      </c>
      <c r="D867" s="2" t="b">
        <f>IF(ISBLANK(InfoGard!G867),FALSE,InfoGard!G867)</f>
        <v>0</v>
      </c>
      <c r="E867" s="2" t="str">
        <f>IF(NOT(ISBLANK(InfoGard!D867)),IF(OR(ISBLANK(InfoGard!E867),InfoGard!E867="N/A"),"no acb code",CONCATENATE(Lookup!F$1,A867,Lookup!G$1,B867,Lookup!H$1,H$1,Lookup!I$1)),"no attestation")</f>
        <v>no attestation</v>
      </c>
      <c r="F867" s="2" t="str">
        <f>IF(AND(NOT(ISBLANK(InfoGard!G867)),InfoGard!G867&lt;&gt;"N/A"),IF(C867="All",CONCATENATE(Lookup!F$2,D867,Lookup!G$2,B867,Lookup!H$2,H$1,Lookup!I$2),CONCATENATE(Lookup!F$3,D867,Lookup!G$3,B867,Lookup!H$3)),"no url")</f>
        <v>no url</v>
      </c>
    </row>
    <row r="868" spans="1:6" hidden="1" x14ac:dyDescent="0.25">
      <c r="A868" s="2" t="b">
        <f>IF(ISBLANK(InfoGard!D868),FALSE,LOOKUP(InfoGard!D868,Lookup!$A$2:$B$4))</f>
        <v>0</v>
      </c>
      <c r="B868" s="2" t="b">
        <f>IF(ISBLANK(InfoGard!E868),FALSE,RIGHT(TRIM(InfoGard!E868),15))</f>
        <v>0</v>
      </c>
      <c r="C868" s="2" t="b">
        <f>IF(ISBLANK(InfoGard!F868),FALSE,LOOKUP(InfoGard!F868,Lookup!$A$6:$B$7))</f>
        <v>0</v>
      </c>
      <c r="D868" s="2" t="b">
        <f>IF(ISBLANK(InfoGard!G868),FALSE,InfoGard!G868)</f>
        <v>0</v>
      </c>
      <c r="E868" s="2" t="str">
        <f>IF(NOT(ISBLANK(InfoGard!D868)),IF(OR(ISBLANK(InfoGard!E868),InfoGard!E868="N/A"),"no acb code",CONCATENATE(Lookup!F$1,A868,Lookup!G$1,B868,Lookup!H$1,H$1,Lookup!I$1)),"no attestation")</f>
        <v>no attestation</v>
      </c>
      <c r="F868" s="2" t="str">
        <f>IF(AND(NOT(ISBLANK(InfoGard!G868)),InfoGard!G868&lt;&gt;"N/A"),IF(C868="All",CONCATENATE(Lookup!F$2,D868,Lookup!G$2,B868,Lookup!H$2,H$1,Lookup!I$2),CONCATENATE(Lookup!F$3,D868,Lookup!G$3,B868,Lookup!H$3)),"no url")</f>
        <v>no url</v>
      </c>
    </row>
    <row r="869" spans="1:6" hidden="1" x14ac:dyDescent="0.25">
      <c r="A869" s="2" t="b">
        <f>IF(ISBLANK(InfoGard!D869),FALSE,LOOKUP(InfoGard!D869,Lookup!$A$2:$B$4))</f>
        <v>0</v>
      </c>
      <c r="B869" s="2" t="b">
        <f>IF(ISBLANK(InfoGard!E869),FALSE,RIGHT(TRIM(InfoGard!E869),15))</f>
        <v>0</v>
      </c>
      <c r="C869" s="2" t="b">
        <f>IF(ISBLANK(InfoGard!F869),FALSE,LOOKUP(InfoGard!F869,Lookup!$A$6:$B$7))</f>
        <v>0</v>
      </c>
      <c r="D869" s="2" t="b">
        <f>IF(ISBLANK(InfoGard!G869),FALSE,InfoGard!G869)</f>
        <v>0</v>
      </c>
      <c r="E869" s="2" t="str">
        <f>IF(NOT(ISBLANK(InfoGard!D869)),IF(OR(ISBLANK(InfoGard!E869),InfoGard!E869="N/A"),"no acb code",CONCATENATE(Lookup!F$1,A869,Lookup!G$1,B869,Lookup!H$1,H$1,Lookup!I$1)),"no attestation")</f>
        <v>no attestation</v>
      </c>
      <c r="F869" s="2" t="str">
        <f>IF(AND(NOT(ISBLANK(InfoGard!G869)),InfoGard!G869&lt;&gt;"N/A"),IF(C869="All",CONCATENATE(Lookup!F$2,D869,Lookup!G$2,B869,Lookup!H$2,H$1,Lookup!I$2),CONCATENATE(Lookup!F$3,D869,Lookup!G$3,B869,Lookup!H$3)),"no url")</f>
        <v>no url</v>
      </c>
    </row>
    <row r="870" spans="1:6" hidden="1" x14ac:dyDescent="0.25">
      <c r="A870" s="2" t="b">
        <f>IF(ISBLANK(InfoGard!D870),FALSE,LOOKUP(InfoGard!D870,Lookup!$A$2:$B$4))</f>
        <v>0</v>
      </c>
      <c r="B870" s="2" t="b">
        <f>IF(ISBLANK(InfoGard!E870),FALSE,RIGHT(TRIM(InfoGard!E870),15))</f>
        <v>0</v>
      </c>
      <c r="C870" s="2" t="b">
        <f>IF(ISBLANK(InfoGard!F870),FALSE,LOOKUP(InfoGard!F870,Lookup!$A$6:$B$7))</f>
        <v>0</v>
      </c>
      <c r="D870" s="2" t="b">
        <f>IF(ISBLANK(InfoGard!G870),FALSE,InfoGard!G870)</f>
        <v>0</v>
      </c>
      <c r="E870" s="2" t="str">
        <f>IF(NOT(ISBLANK(InfoGard!D870)),IF(OR(ISBLANK(InfoGard!E870),InfoGard!E870="N/A"),"no acb code",CONCATENATE(Lookup!F$1,A870,Lookup!G$1,B870,Lookup!H$1,H$1,Lookup!I$1)),"no attestation")</f>
        <v>no attestation</v>
      </c>
      <c r="F870" s="2" t="str">
        <f>IF(AND(NOT(ISBLANK(InfoGard!G870)),InfoGard!G870&lt;&gt;"N/A"),IF(C870="All",CONCATENATE(Lookup!F$2,D870,Lookup!G$2,B870,Lookup!H$2,H$1,Lookup!I$2),CONCATENATE(Lookup!F$3,D870,Lookup!G$3,B870,Lookup!H$3)),"no url")</f>
        <v>no url</v>
      </c>
    </row>
    <row r="871" spans="1:6" hidden="1" x14ac:dyDescent="0.25">
      <c r="A871" s="2" t="b">
        <f>IF(ISBLANK(InfoGard!D871),FALSE,LOOKUP(InfoGard!D871,Lookup!$A$2:$B$4))</f>
        <v>0</v>
      </c>
      <c r="B871" s="2" t="b">
        <f>IF(ISBLANK(InfoGard!E871),FALSE,RIGHT(TRIM(InfoGard!E871),15))</f>
        <v>0</v>
      </c>
      <c r="C871" s="2" t="b">
        <f>IF(ISBLANK(InfoGard!F871),FALSE,LOOKUP(InfoGard!F871,Lookup!$A$6:$B$7))</f>
        <v>0</v>
      </c>
      <c r="D871" s="2" t="b">
        <f>IF(ISBLANK(InfoGard!G871),FALSE,InfoGard!G871)</f>
        <v>0</v>
      </c>
      <c r="E871" s="2" t="str">
        <f>IF(NOT(ISBLANK(InfoGard!D871)),IF(OR(ISBLANK(InfoGard!E871),InfoGard!E871="N/A"),"no acb code",CONCATENATE(Lookup!F$1,A871,Lookup!G$1,B871,Lookup!H$1,H$1,Lookup!I$1)),"no attestation")</f>
        <v>no attestation</v>
      </c>
      <c r="F871" s="2" t="str">
        <f>IF(AND(NOT(ISBLANK(InfoGard!G871)),InfoGard!G871&lt;&gt;"N/A"),IF(C871="All",CONCATENATE(Lookup!F$2,D871,Lookup!G$2,B871,Lookup!H$2,H$1,Lookup!I$2),CONCATENATE(Lookup!F$3,D871,Lookup!G$3,B871,Lookup!H$3)),"no url")</f>
        <v>no url</v>
      </c>
    </row>
    <row r="872" spans="1:6" hidden="1" x14ac:dyDescent="0.25">
      <c r="A872" s="2" t="b">
        <f>IF(ISBLANK(InfoGard!D872),FALSE,LOOKUP(InfoGard!D872,Lookup!$A$2:$B$4))</f>
        <v>0</v>
      </c>
      <c r="B872" s="2" t="b">
        <f>IF(ISBLANK(InfoGard!E872),FALSE,RIGHT(TRIM(InfoGard!E872),15))</f>
        <v>0</v>
      </c>
      <c r="C872" s="2" t="b">
        <f>IF(ISBLANK(InfoGard!F872),FALSE,LOOKUP(InfoGard!F872,Lookup!$A$6:$B$7))</f>
        <v>0</v>
      </c>
      <c r="D872" s="2" t="b">
        <f>IF(ISBLANK(InfoGard!G872),FALSE,InfoGard!G872)</f>
        <v>0</v>
      </c>
      <c r="E872" s="2" t="str">
        <f>IF(NOT(ISBLANK(InfoGard!D872)),IF(OR(ISBLANK(InfoGard!E872),InfoGard!E872="N/A"),"no acb code",CONCATENATE(Lookup!F$1,A872,Lookup!G$1,B872,Lookup!H$1,H$1,Lookup!I$1)),"no attestation")</f>
        <v>no attestation</v>
      </c>
      <c r="F872" s="2" t="str">
        <f>IF(AND(NOT(ISBLANK(InfoGard!G872)),InfoGard!G872&lt;&gt;"N/A"),IF(C872="All",CONCATENATE(Lookup!F$2,D872,Lookup!G$2,B872,Lookup!H$2,H$1,Lookup!I$2),CONCATENATE(Lookup!F$3,D872,Lookup!G$3,B872,Lookup!H$3)),"no url")</f>
        <v>no url</v>
      </c>
    </row>
    <row r="873" spans="1:6" hidden="1" x14ac:dyDescent="0.25">
      <c r="A873" s="2" t="b">
        <f>IF(ISBLANK(InfoGard!D873),FALSE,LOOKUP(InfoGard!D873,Lookup!$A$2:$B$4))</f>
        <v>0</v>
      </c>
      <c r="B873" s="2" t="b">
        <f>IF(ISBLANK(InfoGard!E873),FALSE,RIGHT(TRIM(InfoGard!E873),15))</f>
        <v>0</v>
      </c>
      <c r="C873" s="2" t="b">
        <f>IF(ISBLANK(InfoGard!F873),FALSE,LOOKUP(InfoGard!F873,Lookup!$A$6:$B$7))</f>
        <v>0</v>
      </c>
      <c r="D873" s="2" t="b">
        <f>IF(ISBLANK(InfoGard!G873),FALSE,InfoGard!G873)</f>
        <v>0</v>
      </c>
      <c r="E873" s="2" t="str">
        <f>IF(NOT(ISBLANK(InfoGard!D873)),IF(OR(ISBLANK(InfoGard!E873),InfoGard!E873="N/A"),"no acb code",CONCATENATE(Lookup!F$1,A873,Lookup!G$1,B873,Lookup!H$1,H$1,Lookup!I$1)),"no attestation")</f>
        <v>no attestation</v>
      </c>
      <c r="F873" s="2" t="str">
        <f>IF(AND(NOT(ISBLANK(InfoGard!G873)),InfoGard!G873&lt;&gt;"N/A"),IF(C873="All",CONCATENATE(Lookup!F$2,D873,Lookup!G$2,B873,Lookup!H$2,H$1,Lookup!I$2),CONCATENATE(Lookup!F$3,D873,Lookup!G$3,B873,Lookup!H$3)),"no url")</f>
        <v>no url</v>
      </c>
    </row>
    <row r="874" spans="1:6" hidden="1" x14ac:dyDescent="0.25">
      <c r="A874" s="2" t="b">
        <f>IF(ISBLANK(InfoGard!D874),FALSE,LOOKUP(InfoGard!D874,Lookup!$A$2:$B$4))</f>
        <v>0</v>
      </c>
      <c r="B874" s="2" t="b">
        <f>IF(ISBLANK(InfoGard!E874),FALSE,RIGHT(TRIM(InfoGard!E874),15))</f>
        <v>0</v>
      </c>
      <c r="C874" s="2" t="b">
        <f>IF(ISBLANK(InfoGard!F874),FALSE,LOOKUP(InfoGard!F874,Lookup!$A$6:$B$7))</f>
        <v>0</v>
      </c>
      <c r="D874" s="2" t="b">
        <f>IF(ISBLANK(InfoGard!G874),FALSE,InfoGard!G874)</f>
        <v>0</v>
      </c>
      <c r="E874" s="2" t="str">
        <f>IF(NOT(ISBLANK(InfoGard!D874)),IF(OR(ISBLANK(InfoGard!E874),InfoGard!E874="N/A"),"no acb code",CONCATENATE(Lookup!F$1,A874,Lookup!G$1,B874,Lookup!H$1,H$1,Lookup!I$1)),"no attestation")</f>
        <v>no attestation</v>
      </c>
      <c r="F874" s="2" t="str">
        <f>IF(AND(NOT(ISBLANK(InfoGard!G874)),InfoGard!G874&lt;&gt;"N/A"),IF(C874="All",CONCATENATE(Lookup!F$2,D874,Lookup!G$2,B874,Lookup!H$2,H$1,Lookup!I$2),CONCATENATE(Lookup!F$3,D874,Lookup!G$3,B874,Lookup!H$3)),"no url")</f>
        <v>no url</v>
      </c>
    </row>
    <row r="875" spans="1:6" hidden="1" x14ac:dyDescent="0.25">
      <c r="A875" s="2" t="b">
        <f>IF(ISBLANK(InfoGard!D875),FALSE,LOOKUP(InfoGard!D875,Lookup!$A$2:$B$4))</f>
        <v>0</v>
      </c>
      <c r="B875" s="2" t="b">
        <f>IF(ISBLANK(InfoGard!E875),FALSE,RIGHT(TRIM(InfoGard!E875),15))</f>
        <v>0</v>
      </c>
      <c r="C875" s="2" t="b">
        <f>IF(ISBLANK(InfoGard!F875),FALSE,LOOKUP(InfoGard!F875,Lookup!$A$6:$B$7))</f>
        <v>0</v>
      </c>
      <c r="D875" s="2" t="b">
        <f>IF(ISBLANK(InfoGard!G875),FALSE,InfoGard!G875)</f>
        <v>0</v>
      </c>
      <c r="E875" s="2" t="str">
        <f>IF(NOT(ISBLANK(InfoGard!D875)),IF(OR(ISBLANK(InfoGard!E875),InfoGard!E875="N/A"),"no acb code",CONCATENATE(Lookup!F$1,A875,Lookup!G$1,B875,Lookup!H$1,H$1,Lookup!I$1)),"no attestation")</f>
        <v>no attestation</v>
      </c>
      <c r="F875" s="2" t="str">
        <f>IF(AND(NOT(ISBLANK(InfoGard!G875)),InfoGard!G875&lt;&gt;"N/A"),IF(C875="All",CONCATENATE(Lookup!F$2,D875,Lookup!G$2,B875,Lookup!H$2,H$1,Lookup!I$2),CONCATENATE(Lookup!F$3,D875,Lookup!G$3,B875,Lookup!H$3)),"no url")</f>
        <v>no url</v>
      </c>
    </row>
    <row r="876" spans="1:6" hidden="1" x14ac:dyDescent="0.25">
      <c r="A876" s="2" t="b">
        <f>IF(ISBLANK(InfoGard!D876),FALSE,LOOKUP(InfoGard!D876,Lookup!$A$2:$B$4))</f>
        <v>0</v>
      </c>
      <c r="B876" s="2" t="b">
        <f>IF(ISBLANK(InfoGard!E876),FALSE,RIGHT(TRIM(InfoGard!E876),15))</f>
        <v>0</v>
      </c>
      <c r="C876" s="2" t="b">
        <f>IF(ISBLANK(InfoGard!F876),FALSE,LOOKUP(InfoGard!F876,Lookup!$A$6:$B$7))</f>
        <v>0</v>
      </c>
      <c r="D876" s="2" t="b">
        <f>IF(ISBLANK(InfoGard!G876),FALSE,InfoGard!G876)</f>
        <v>0</v>
      </c>
      <c r="E876" s="2" t="str">
        <f>IF(NOT(ISBLANK(InfoGard!D876)),IF(OR(ISBLANK(InfoGard!E876),InfoGard!E876="N/A"),"no acb code",CONCATENATE(Lookup!F$1,A876,Lookup!G$1,B876,Lookup!H$1,H$1,Lookup!I$1)),"no attestation")</f>
        <v>no attestation</v>
      </c>
      <c r="F876" s="2" t="str">
        <f>IF(AND(NOT(ISBLANK(InfoGard!G876)),InfoGard!G876&lt;&gt;"N/A"),IF(C876="All",CONCATENATE(Lookup!F$2,D876,Lookup!G$2,B876,Lookup!H$2,H$1,Lookup!I$2),CONCATENATE(Lookup!F$3,D876,Lookup!G$3,B876,Lookup!H$3)),"no url")</f>
        <v>no url</v>
      </c>
    </row>
    <row r="877" spans="1:6" hidden="1" x14ac:dyDescent="0.25">
      <c r="A877" s="2" t="b">
        <f>IF(ISBLANK(InfoGard!D877),FALSE,LOOKUP(InfoGard!D877,Lookup!$A$2:$B$4))</f>
        <v>0</v>
      </c>
      <c r="B877" s="2" t="b">
        <f>IF(ISBLANK(InfoGard!E877),FALSE,RIGHT(TRIM(InfoGard!E877),15))</f>
        <v>0</v>
      </c>
      <c r="C877" s="2" t="b">
        <f>IF(ISBLANK(InfoGard!F877),FALSE,LOOKUP(InfoGard!F877,Lookup!$A$6:$B$7))</f>
        <v>0</v>
      </c>
      <c r="D877" s="2" t="b">
        <f>IF(ISBLANK(InfoGard!G877),FALSE,InfoGard!G877)</f>
        <v>0</v>
      </c>
      <c r="E877" s="2" t="str">
        <f>IF(NOT(ISBLANK(InfoGard!D877)),IF(OR(ISBLANK(InfoGard!E877),InfoGard!E877="N/A"),"no acb code",CONCATENATE(Lookup!F$1,A877,Lookup!G$1,B877,Lookup!H$1,H$1,Lookup!I$1)),"no attestation")</f>
        <v>no attestation</v>
      </c>
      <c r="F877" s="2" t="str">
        <f>IF(AND(NOT(ISBLANK(InfoGard!G877)),InfoGard!G877&lt;&gt;"N/A"),IF(C877="All",CONCATENATE(Lookup!F$2,D877,Lookup!G$2,B877,Lookup!H$2,H$1,Lookup!I$2),CONCATENATE(Lookup!F$3,D877,Lookup!G$3,B877,Lookup!H$3)),"no url")</f>
        <v>no url</v>
      </c>
    </row>
    <row r="878" spans="1:6" hidden="1" x14ac:dyDescent="0.25">
      <c r="A878" s="2" t="b">
        <f>IF(ISBLANK(InfoGard!D878),FALSE,LOOKUP(InfoGard!D878,Lookup!$A$2:$B$4))</f>
        <v>0</v>
      </c>
      <c r="B878" s="2" t="b">
        <f>IF(ISBLANK(InfoGard!E878),FALSE,RIGHT(TRIM(InfoGard!E878),15))</f>
        <v>0</v>
      </c>
      <c r="C878" s="2" t="b">
        <f>IF(ISBLANK(InfoGard!F878),FALSE,LOOKUP(InfoGard!F878,Lookup!$A$6:$B$7))</f>
        <v>0</v>
      </c>
      <c r="D878" s="2" t="b">
        <f>IF(ISBLANK(InfoGard!G878),FALSE,InfoGard!G878)</f>
        <v>0</v>
      </c>
      <c r="E878" s="2" t="str">
        <f>IF(NOT(ISBLANK(InfoGard!D878)),IF(OR(ISBLANK(InfoGard!E878),InfoGard!E878="N/A"),"no acb code",CONCATENATE(Lookup!F$1,A878,Lookup!G$1,B878,Lookup!H$1,H$1,Lookup!I$1)),"no attestation")</f>
        <v>no attestation</v>
      </c>
      <c r="F878" s="2" t="str">
        <f>IF(AND(NOT(ISBLANK(InfoGard!G878)),InfoGard!G878&lt;&gt;"N/A"),IF(C878="All",CONCATENATE(Lookup!F$2,D878,Lookup!G$2,B878,Lookup!H$2,H$1,Lookup!I$2),CONCATENATE(Lookup!F$3,D878,Lookup!G$3,B878,Lookup!H$3)),"no url")</f>
        <v>no url</v>
      </c>
    </row>
    <row r="879" spans="1:6" hidden="1" x14ac:dyDescent="0.25">
      <c r="A879" s="2" t="b">
        <f>IF(ISBLANK(InfoGard!D879),FALSE,LOOKUP(InfoGard!D879,Lookup!$A$2:$B$4))</f>
        <v>0</v>
      </c>
      <c r="B879" s="2" t="b">
        <f>IF(ISBLANK(InfoGard!E879),FALSE,RIGHT(TRIM(InfoGard!E879),15))</f>
        <v>0</v>
      </c>
      <c r="C879" s="2" t="b">
        <f>IF(ISBLANK(InfoGard!F879),FALSE,LOOKUP(InfoGard!F879,Lookup!$A$6:$B$7))</f>
        <v>0</v>
      </c>
      <c r="D879" s="2" t="b">
        <f>IF(ISBLANK(InfoGard!G879),FALSE,InfoGard!G879)</f>
        <v>0</v>
      </c>
      <c r="E879" s="2" t="str">
        <f>IF(NOT(ISBLANK(InfoGard!D879)),IF(OR(ISBLANK(InfoGard!E879),InfoGard!E879="N/A"),"no acb code",CONCATENATE(Lookup!F$1,A879,Lookup!G$1,B879,Lookup!H$1,H$1,Lookup!I$1)),"no attestation")</f>
        <v>no attestation</v>
      </c>
      <c r="F879" s="2" t="str">
        <f>IF(AND(NOT(ISBLANK(InfoGard!G879)),InfoGard!G879&lt;&gt;"N/A"),IF(C879="All",CONCATENATE(Lookup!F$2,D879,Lookup!G$2,B879,Lookup!H$2,H$1,Lookup!I$2),CONCATENATE(Lookup!F$3,D879,Lookup!G$3,B879,Lookup!H$3)),"no url")</f>
        <v>no url</v>
      </c>
    </row>
    <row r="880" spans="1:6" hidden="1" x14ac:dyDescent="0.25">
      <c r="A880" s="2" t="b">
        <f>IF(ISBLANK(InfoGard!D880),FALSE,LOOKUP(InfoGard!D880,Lookup!$A$2:$B$4))</f>
        <v>0</v>
      </c>
      <c r="B880" s="2" t="b">
        <f>IF(ISBLANK(InfoGard!E880),FALSE,RIGHT(TRIM(InfoGard!E880),15))</f>
        <v>0</v>
      </c>
      <c r="C880" s="2" t="b">
        <f>IF(ISBLANK(InfoGard!F880),FALSE,LOOKUP(InfoGard!F880,Lookup!$A$6:$B$7))</f>
        <v>0</v>
      </c>
      <c r="D880" s="2" t="b">
        <f>IF(ISBLANK(InfoGard!G880),FALSE,InfoGard!G880)</f>
        <v>0</v>
      </c>
      <c r="E880" s="2" t="str">
        <f>IF(NOT(ISBLANK(InfoGard!D880)),IF(OR(ISBLANK(InfoGard!E880),InfoGard!E880="N/A"),"no acb code",CONCATENATE(Lookup!F$1,A880,Lookup!G$1,B880,Lookup!H$1,H$1,Lookup!I$1)),"no attestation")</f>
        <v>no attestation</v>
      </c>
      <c r="F880" s="2" t="str">
        <f>IF(AND(NOT(ISBLANK(InfoGard!G880)),InfoGard!G880&lt;&gt;"N/A"),IF(C880="All",CONCATENATE(Lookup!F$2,D880,Lookup!G$2,B880,Lookup!H$2,H$1,Lookup!I$2),CONCATENATE(Lookup!F$3,D880,Lookup!G$3,B880,Lookup!H$3)),"no url")</f>
        <v>no url</v>
      </c>
    </row>
    <row r="881" spans="1:6" hidden="1" x14ac:dyDescent="0.25">
      <c r="A881" s="2" t="b">
        <f>IF(ISBLANK(InfoGard!D881),FALSE,LOOKUP(InfoGard!D881,Lookup!$A$2:$B$4))</f>
        <v>0</v>
      </c>
      <c r="B881" s="2" t="b">
        <f>IF(ISBLANK(InfoGard!E881),FALSE,RIGHT(TRIM(InfoGard!E881),15))</f>
        <v>0</v>
      </c>
      <c r="C881" s="2" t="b">
        <f>IF(ISBLANK(InfoGard!F881),FALSE,LOOKUP(InfoGard!F881,Lookup!$A$6:$B$7))</f>
        <v>0</v>
      </c>
      <c r="D881" s="2" t="b">
        <f>IF(ISBLANK(InfoGard!G881),FALSE,InfoGard!G881)</f>
        <v>0</v>
      </c>
      <c r="E881" s="2" t="str">
        <f>IF(NOT(ISBLANK(InfoGard!D881)),IF(OR(ISBLANK(InfoGard!E881),InfoGard!E881="N/A"),"no acb code",CONCATENATE(Lookup!F$1,A881,Lookup!G$1,B881,Lookup!H$1,H$1,Lookup!I$1)),"no attestation")</f>
        <v>no attestation</v>
      </c>
      <c r="F881" s="2" t="str">
        <f>IF(AND(NOT(ISBLANK(InfoGard!G881)),InfoGard!G881&lt;&gt;"N/A"),IF(C881="All",CONCATENATE(Lookup!F$2,D881,Lookup!G$2,B881,Lookup!H$2,H$1,Lookup!I$2),CONCATENATE(Lookup!F$3,D881,Lookup!G$3,B881,Lookup!H$3)),"no url")</f>
        <v>no url</v>
      </c>
    </row>
    <row r="882" spans="1:6" hidden="1" x14ac:dyDescent="0.25">
      <c r="A882" s="2" t="b">
        <f>IF(ISBLANK(InfoGard!D882),FALSE,LOOKUP(InfoGard!D882,Lookup!$A$2:$B$4))</f>
        <v>0</v>
      </c>
      <c r="B882" s="2" t="b">
        <f>IF(ISBLANK(InfoGard!E882),FALSE,RIGHT(TRIM(InfoGard!E882),15))</f>
        <v>0</v>
      </c>
      <c r="C882" s="2" t="b">
        <f>IF(ISBLANK(InfoGard!F882),FALSE,LOOKUP(InfoGard!F882,Lookup!$A$6:$B$7))</f>
        <v>0</v>
      </c>
      <c r="D882" s="2" t="b">
        <f>IF(ISBLANK(InfoGard!G882),FALSE,InfoGard!G882)</f>
        <v>0</v>
      </c>
      <c r="E882" s="2" t="str">
        <f>IF(NOT(ISBLANK(InfoGard!D882)),IF(OR(ISBLANK(InfoGard!E882),InfoGard!E882="N/A"),"no acb code",CONCATENATE(Lookup!F$1,A882,Lookup!G$1,B882,Lookup!H$1,H$1,Lookup!I$1)),"no attestation")</f>
        <v>no attestation</v>
      </c>
      <c r="F882" s="2" t="str">
        <f>IF(AND(NOT(ISBLANK(InfoGard!G882)),InfoGard!G882&lt;&gt;"N/A"),IF(C882="All",CONCATENATE(Lookup!F$2,D882,Lookup!G$2,B882,Lookup!H$2,H$1,Lookup!I$2),CONCATENATE(Lookup!F$3,D882,Lookup!G$3,B882,Lookup!H$3)),"no url")</f>
        <v>no url</v>
      </c>
    </row>
    <row r="883" spans="1:6" hidden="1" x14ac:dyDescent="0.25">
      <c r="A883" s="2" t="b">
        <f>IF(ISBLANK(InfoGard!D883),FALSE,LOOKUP(InfoGard!D883,Lookup!$A$2:$B$4))</f>
        <v>0</v>
      </c>
      <c r="B883" s="2" t="b">
        <f>IF(ISBLANK(InfoGard!E883),FALSE,RIGHT(TRIM(InfoGard!E883),15))</f>
        <v>0</v>
      </c>
      <c r="C883" s="2" t="b">
        <f>IF(ISBLANK(InfoGard!F883),FALSE,LOOKUP(InfoGard!F883,Lookup!$A$6:$B$7))</f>
        <v>0</v>
      </c>
      <c r="D883" s="2" t="b">
        <f>IF(ISBLANK(InfoGard!G883),FALSE,InfoGard!G883)</f>
        <v>0</v>
      </c>
      <c r="E883" s="2" t="str">
        <f>IF(NOT(ISBLANK(InfoGard!D883)),IF(OR(ISBLANK(InfoGard!E883),InfoGard!E883="N/A"),"no acb code",CONCATENATE(Lookup!F$1,A883,Lookup!G$1,B883,Lookup!H$1,H$1,Lookup!I$1)),"no attestation")</f>
        <v>no attestation</v>
      </c>
      <c r="F883" s="2" t="str">
        <f>IF(AND(NOT(ISBLANK(InfoGard!G883)),InfoGard!G883&lt;&gt;"N/A"),IF(C883="All",CONCATENATE(Lookup!F$2,D883,Lookup!G$2,B883,Lookup!H$2,H$1,Lookup!I$2),CONCATENATE(Lookup!F$3,D883,Lookup!G$3,B883,Lookup!H$3)),"no url")</f>
        <v>no url</v>
      </c>
    </row>
    <row r="884" spans="1:6" hidden="1" x14ac:dyDescent="0.25">
      <c r="A884" s="2" t="b">
        <f>IF(ISBLANK(InfoGard!D884),FALSE,LOOKUP(InfoGard!D884,Lookup!$A$2:$B$4))</f>
        <v>0</v>
      </c>
      <c r="B884" s="2" t="b">
        <f>IF(ISBLANK(InfoGard!E884),FALSE,RIGHT(TRIM(InfoGard!E884),15))</f>
        <v>0</v>
      </c>
      <c r="C884" s="2" t="b">
        <f>IF(ISBLANK(InfoGard!F884),FALSE,LOOKUP(InfoGard!F884,Lookup!$A$6:$B$7))</f>
        <v>0</v>
      </c>
      <c r="D884" s="2" t="b">
        <f>IF(ISBLANK(InfoGard!G884),FALSE,InfoGard!G884)</f>
        <v>0</v>
      </c>
      <c r="E884" s="2" t="str">
        <f>IF(NOT(ISBLANK(InfoGard!D884)),IF(OR(ISBLANK(InfoGard!E884),InfoGard!E884="N/A"),"no acb code",CONCATENATE(Lookup!F$1,A884,Lookup!G$1,B884,Lookup!H$1,H$1,Lookup!I$1)),"no attestation")</f>
        <v>no attestation</v>
      </c>
      <c r="F884" s="2" t="str">
        <f>IF(AND(NOT(ISBLANK(InfoGard!G884)),InfoGard!G884&lt;&gt;"N/A"),IF(C884="All",CONCATENATE(Lookup!F$2,D884,Lookup!G$2,B884,Lookup!H$2,H$1,Lookup!I$2),CONCATENATE(Lookup!F$3,D884,Lookup!G$3,B884,Lookup!H$3)),"no url")</f>
        <v>no url</v>
      </c>
    </row>
    <row r="885" spans="1:6" hidden="1" x14ac:dyDescent="0.25">
      <c r="A885" s="2" t="b">
        <f>IF(ISBLANK(InfoGard!D885),FALSE,LOOKUP(InfoGard!D885,Lookup!$A$2:$B$4))</f>
        <v>0</v>
      </c>
      <c r="B885" s="2" t="b">
        <f>IF(ISBLANK(InfoGard!E885),FALSE,RIGHT(TRIM(InfoGard!E885),15))</f>
        <v>0</v>
      </c>
      <c r="C885" s="2" t="b">
        <f>IF(ISBLANK(InfoGard!F885),FALSE,LOOKUP(InfoGard!F885,Lookup!$A$6:$B$7))</f>
        <v>0</v>
      </c>
      <c r="D885" s="2" t="b">
        <f>IF(ISBLANK(InfoGard!G885),FALSE,InfoGard!G885)</f>
        <v>0</v>
      </c>
      <c r="E885" s="2" t="str">
        <f>IF(NOT(ISBLANK(InfoGard!D885)),IF(OR(ISBLANK(InfoGard!E885),InfoGard!E885="N/A"),"no acb code",CONCATENATE(Lookup!F$1,A885,Lookup!G$1,B885,Lookup!H$1,H$1,Lookup!I$1)),"no attestation")</f>
        <v>no attestation</v>
      </c>
      <c r="F885" s="2" t="str">
        <f>IF(AND(NOT(ISBLANK(InfoGard!G885)),InfoGard!G885&lt;&gt;"N/A"),IF(C885="All",CONCATENATE(Lookup!F$2,D885,Lookup!G$2,B885,Lookup!H$2,H$1,Lookup!I$2),CONCATENATE(Lookup!F$3,D885,Lookup!G$3,B885,Lookup!H$3)),"no url")</f>
        <v>no url</v>
      </c>
    </row>
    <row r="886" spans="1:6" hidden="1" x14ac:dyDescent="0.25">
      <c r="A886" s="2" t="b">
        <f>IF(ISBLANK(InfoGard!D886),FALSE,LOOKUP(InfoGard!D886,Lookup!$A$2:$B$4))</f>
        <v>0</v>
      </c>
      <c r="B886" s="2" t="b">
        <f>IF(ISBLANK(InfoGard!E886),FALSE,RIGHT(TRIM(InfoGard!E886),15))</f>
        <v>0</v>
      </c>
      <c r="C886" s="2" t="b">
        <f>IF(ISBLANK(InfoGard!F886),FALSE,LOOKUP(InfoGard!F886,Lookup!$A$6:$B$7))</f>
        <v>0</v>
      </c>
      <c r="D886" s="2" t="b">
        <f>IF(ISBLANK(InfoGard!G886),FALSE,InfoGard!G886)</f>
        <v>0</v>
      </c>
      <c r="E886" s="2" t="str">
        <f>IF(NOT(ISBLANK(InfoGard!D886)),IF(OR(ISBLANK(InfoGard!E886),InfoGard!E886="N/A"),"no acb code",CONCATENATE(Lookup!F$1,A886,Lookup!G$1,B886,Lookup!H$1,H$1,Lookup!I$1)),"no attestation")</f>
        <v>no attestation</v>
      </c>
      <c r="F886" s="2" t="str">
        <f>IF(AND(NOT(ISBLANK(InfoGard!G886)),InfoGard!G886&lt;&gt;"N/A"),IF(C886="All",CONCATENATE(Lookup!F$2,D886,Lookup!G$2,B886,Lookup!H$2,H$1,Lookup!I$2),CONCATENATE(Lookup!F$3,D886,Lookup!G$3,B886,Lookup!H$3)),"no url")</f>
        <v>no url</v>
      </c>
    </row>
    <row r="887" spans="1:6" hidden="1" x14ac:dyDescent="0.25">
      <c r="A887" s="2" t="b">
        <f>IF(ISBLANK(InfoGard!D887),FALSE,LOOKUP(InfoGard!D887,Lookup!$A$2:$B$4))</f>
        <v>0</v>
      </c>
      <c r="B887" s="2" t="b">
        <f>IF(ISBLANK(InfoGard!E887),FALSE,RIGHT(TRIM(InfoGard!E887),15))</f>
        <v>0</v>
      </c>
      <c r="C887" s="2" t="b">
        <f>IF(ISBLANK(InfoGard!F887),FALSE,LOOKUP(InfoGard!F887,Lookup!$A$6:$B$7))</f>
        <v>0</v>
      </c>
      <c r="D887" s="2" t="b">
        <f>IF(ISBLANK(InfoGard!G887),FALSE,InfoGard!G887)</f>
        <v>0</v>
      </c>
      <c r="E887" s="2" t="str">
        <f>IF(NOT(ISBLANK(InfoGard!D887)),IF(OR(ISBLANK(InfoGard!E887),InfoGard!E887="N/A"),"no acb code",CONCATENATE(Lookup!F$1,A887,Lookup!G$1,B887,Lookup!H$1,H$1,Lookup!I$1)),"no attestation")</f>
        <v>no attestation</v>
      </c>
      <c r="F887" s="2" t="str">
        <f>IF(AND(NOT(ISBLANK(InfoGard!G887)),InfoGard!G887&lt;&gt;"N/A"),IF(C887="All",CONCATENATE(Lookup!F$2,D887,Lookup!G$2,B887,Lookup!H$2,H$1,Lookup!I$2),CONCATENATE(Lookup!F$3,D887,Lookup!G$3,B887,Lookup!H$3)),"no url")</f>
        <v>no url</v>
      </c>
    </row>
    <row r="888" spans="1:6" hidden="1" x14ac:dyDescent="0.25">
      <c r="A888" s="2" t="b">
        <f>IF(ISBLANK(InfoGard!D888),FALSE,LOOKUP(InfoGard!D888,Lookup!$A$2:$B$4))</f>
        <v>0</v>
      </c>
      <c r="B888" s="2" t="b">
        <f>IF(ISBLANK(InfoGard!E888),FALSE,RIGHT(TRIM(InfoGard!E888),15))</f>
        <v>0</v>
      </c>
      <c r="C888" s="2" t="b">
        <f>IF(ISBLANK(InfoGard!F888),FALSE,LOOKUP(InfoGard!F888,Lookup!$A$6:$B$7))</f>
        <v>0</v>
      </c>
      <c r="D888" s="2" t="b">
        <f>IF(ISBLANK(InfoGard!G888),FALSE,InfoGard!G888)</f>
        <v>0</v>
      </c>
      <c r="E888" s="2" t="str">
        <f>IF(NOT(ISBLANK(InfoGard!D888)),IF(OR(ISBLANK(InfoGard!E888),InfoGard!E888="N/A"),"no acb code",CONCATENATE(Lookup!F$1,A888,Lookup!G$1,B888,Lookup!H$1,H$1,Lookup!I$1)),"no attestation")</f>
        <v>no attestation</v>
      </c>
      <c r="F888" s="2" t="str">
        <f>IF(AND(NOT(ISBLANK(InfoGard!G888)),InfoGard!G888&lt;&gt;"N/A"),IF(C888="All",CONCATENATE(Lookup!F$2,D888,Lookup!G$2,B888,Lookup!H$2,H$1,Lookup!I$2),CONCATENATE(Lookup!F$3,D888,Lookup!G$3,B888,Lookup!H$3)),"no url")</f>
        <v>no url</v>
      </c>
    </row>
    <row r="889" spans="1:6" hidden="1" x14ac:dyDescent="0.25">
      <c r="A889" s="2" t="b">
        <f>IF(ISBLANK(InfoGard!D889),FALSE,LOOKUP(InfoGard!D889,Lookup!$A$2:$B$4))</f>
        <v>0</v>
      </c>
      <c r="B889" s="2" t="b">
        <f>IF(ISBLANK(InfoGard!E889),FALSE,RIGHT(TRIM(InfoGard!E889),15))</f>
        <v>0</v>
      </c>
      <c r="C889" s="2" t="b">
        <f>IF(ISBLANK(InfoGard!F889),FALSE,LOOKUP(InfoGard!F889,Lookup!$A$6:$B$7))</f>
        <v>0</v>
      </c>
      <c r="D889" s="2" t="b">
        <f>IF(ISBLANK(InfoGard!G889),FALSE,InfoGard!G889)</f>
        <v>0</v>
      </c>
      <c r="E889" s="2" t="str">
        <f>IF(NOT(ISBLANK(InfoGard!D889)),IF(OR(ISBLANK(InfoGard!E889),InfoGard!E889="N/A"),"no acb code",CONCATENATE(Lookup!F$1,A889,Lookup!G$1,B889,Lookup!H$1,H$1,Lookup!I$1)),"no attestation")</f>
        <v>no attestation</v>
      </c>
      <c r="F889" s="2" t="str">
        <f>IF(AND(NOT(ISBLANK(InfoGard!G889)),InfoGard!G889&lt;&gt;"N/A"),IF(C889="All",CONCATENATE(Lookup!F$2,D889,Lookup!G$2,B889,Lookup!H$2,H$1,Lookup!I$2),CONCATENATE(Lookup!F$3,D889,Lookup!G$3,B889,Lookup!H$3)),"no url")</f>
        <v>no url</v>
      </c>
    </row>
    <row r="890" spans="1:6" hidden="1" x14ac:dyDescent="0.25">
      <c r="A890" s="2" t="b">
        <f>IF(ISBLANK(InfoGard!D890),FALSE,LOOKUP(InfoGard!D890,Lookup!$A$2:$B$4))</f>
        <v>0</v>
      </c>
      <c r="B890" s="2" t="b">
        <f>IF(ISBLANK(InfoGard!E890),FALSE,RIGHT(TRIM(InfoGard!E890),15))</f>
        <v>0</v>
      </c>
      <c r="C890" s="2" t="b">
        <f>IF(ISBLANK(InfoGard!F890),FALSE,LOOKUP(InfoGard!F890,Lookup!$A$6:$B$7))</f>
        <v>0</v>
      </c>
      <c r="D890" s="2" t="b">
        <f>IF(ISBLANK(InfoGard!G890),FALSE,InfoGard!G890)</f>
        <v>0</v>
      </c>
      <c r="E890" s="2" t="str">
        <f>IF(NOT(ISBLANK(InfoGard!D890)),IF(OR(ISBLANK(InfoGard!E890),InfoGard!E890="N/A"),"no acb code",CONCATENATE(Lookup!F$1,A890,Lookup!G$1,B890,Lookup!H$1,H$1,Lookup!I$1)),"no attestation")</f>
        <v>no attestation</v>
      </c>
      <c r="F890" s="2" t="str">
        <f>IF(AND(NOT(ISBLANK(InfoGard!G890)),InfoGard!G890&lt;&gt;"N/A"),IF(C890="All",CONCATENATE(Lookup!F$2,D890,Lookup!G$2,B890,Lookup!H$2,H$1,Lookup!I$2),CONCATENATE(Lookup!F$3,D890,Lookup!G$3,B890,Lookup!H$3)),"no url")</f>
        <v>no url</v>
      </c>
    </row>
    <row r="891" spans="1:6" hidden="1" x14ac:dyDescent="0.25">
      <c r="A891" s="2" t="b">
        <f>IF(ISBLANK(InfoGard!D891),FALSE,LOOKUP(InfoGard!D891,Lookup!$A$2:$B$4))</f>
        <v>0</v>
      </c>
      <c r="B891" s="2" t="b">
        <f>IF(ISBLANK(InfoGard!E891),FALSE,RIGHT(TRIM(InfoGard!E891),15))</f>
        <v>0</v>
      </c>
      <c r="C891" s="2" t="b">
        <f>IF(ISBLANK(InfoGard!F891),FALSE,LOOKUP(InfoGard!F891,Lookup!$A$6:$B$7))</f>
        <v>0</v>
      </c>
      <c r="D891" s="2" t="b">
        <f>IF(ISBLANK(InfoGard!G891),FALSE,InfoGard!G891)</f>
        <v>0</v>
      </c>
      <c r="E891" s="2" t="str">
        <f>IF(NOT(ISBLANK(InfoGard!D891)),IF(OR(ISBLANK(InfoGard!E891),InfoGard!E891="N/A"),"no acb code",CONCATENATE(Lookup!F$1,A891,Lookup!G$1,B891,Lookup!H$1,H$1,Lookup!I$1)),"no attestation")</f>
        <v>no attestation</v>
      </c>
      <c r="F891" s="2" t="str">
        <f>IF(AND(NOT(ISBLANK(InfoGard!G891)),InfoGard!G891&lt;&gt;"N/A"),IF(C891="All",CONCATENATE(Lookup!F$2,D891,Lookup!G$2,B891,Lookup!H$2,H$1,Lookup!I$2),CONCATENATE(Lookup!F$3,D891,Lookup!G$3,B891,Lookup!H$3)),"no url")</f>
        <v>no url</v>
      </c>
    </row>
    <row r="892" spans="1:6" hidden="1" x14ac:dyDescent="0.25">
      <c r="A892" s="2" t="b">
        <f>IF(ISBLANK(InfoGard!D892),FALSE,LOOKUP(InfoGard!D892,Lookup!$A$2:$B$4))</f>
        <v>0</v>
      </c>
      <c r="B892" s="2" t="b">
        <f>IF(ISBLANK(InfoGard!E892),FALSE,RIGHT(TRIM(InfoGard!E892),15))</f>
        <v>0</v>
      </c>
      <c r="C892" s="2" t="b">
        <f>IF(ISBLANK(InfoGard!F892),FALSE,LOOKUP(InfoGard!F892,Lookup!$A$6:$B$7))</f>
        <v>0</v>
      </c>
      <c r="D892" s="2" t="b">
        <f>IF(ISBLANK(InfoGard!G892),FALSE,InfoGard!G892)</f>
        <v>0</v>
      </c>
      <c r="E892" s="2" t="str">
        <f>IF(NOT(ISBLANK(InfoGard!D892)),IF(OR(ISBLANK(InfoGard!E892),InfoGard!E892="N/A"),"no acb code",CONCATENATE(Lookup!F$1,A892,Lookup!G$1,B892,Lookup!H$1,H$1,Lookup!I$1)),"no attestation")</f>
        <v>no attestation</v>
      </c>
      <c r="F892" s="2" t="str">
        <f>IF(AND(NOT(ISBLANK(InfoGard!G892)),InfoGard!G892&lt;&gt;"N/A"),IF(C892="All",CONCATENATE(Lookup!F$2,D892,Lookup!G$2,B892,Lookup!H$2,H$1,Lookup!I$2),CONCATENATE(Lookup!F$3,D892,Lookup!G$3,B892,Lookup!H$3)),"no url")</f>
        <v>no url</v>
      </c>
    </row>
    <row r="893" spans="1:6" hidden="1" x14ac:dyDescent="0.25">
      <c r="A893" s="2" t="b">
        <f>IF(ISBLANK(InfoGard!D893),FALSE,LOOKUP(InfoGard!D893,Lookup!$A$2:$B$4))</f>
        <v>0</v>
      </c>
      <c r="B893" s="2" t="b">
        <f>IF(ISBLANK(InfoGard!E893),FALSE,RIGHT(TRIM(InfoGard!E893),15))</f>
        <v>0</v>
      </c>
      <c r="C893" s="2" t="b">
        <f>IF(ISBLANK(InfoGard!F893),FALSE,LOOKUP(InfoGard!F893,Lookup!$A$6:$B$7))</f>
        <v>0</v>
      </c>
      <c r="D893" s="2" t="b">
        <f>IF(ISBLANK(InfoGard!G893),FALSE,InfoGard!G893)</f>
        <v>0</v>
      </c>
      <c r="E893" s="2" t="str">
        <f>IF(NOT(ISBLANK(InfoGard!D893)),IF(OR(ISBLANK(InfoGard!E893),InfoGard!E893="N/A"),"no acb code",CONCATENATE(Lookup!F$1,A893,Lookup!G$1,B893,Lookup!H$1,H$1,Lookup!I$1)),"no attestation")</f>
        <v>no attestation</v>
      </c>
      <c r="F893" s="2" t="str">
        <f>IF(AND(NOT(ISBLANK(InfoGard!G893)),InfoGard!G893&lt;&gt;"N/A"),IF(C893="All",CONCATENATE(Lookup!F$2,D893,Lookup!G$2,B893,Lookup!H$2,H$1,Lookup!I$2),CONCATENATE(Lookup!F$3,D893,Lookup!G$3,B893,Lookup!H$3)),"no url")</f>
        <v>no url</v>
      </c>
    </row>
    <row r="894" spans="1:6" hidden="1" x14ac:dyDescent="0.25">
      <c r="A894" s="2" t="b">
        <f>IF(ISBLANK(InfoGard!D894),FALSE,LOOKUP(InfoGard!D894,Lookup!$A$2:$B$4))</f>
        <v>0</v>
      </c>
      <c r="B894" s="2" t="b">
        <f>IF(ISBLANK(InfoGard!E894),FALSE,RIGHT(TRIM(InfoGard!E894),15))</f>
        <v>0</v>
      </c>
      <c r="C894" s="2" t="b">
        <f>IF(ISBLANK(InfoGard!F894),FALSE,LOOKUP(InfoGard!F894,Lookup!$A$6:$B$7))</f>
        <v>0</v>
      </c>
      <c r="D894" s="2" t="b">
        <f>IF(ISBLANK(InfoGard!G894),FALSE,InfoGard!G894)</f>
        <v>0</v>
      </c>
      <c r="E894" s="2" t="str">
        <f>IF(NOT(ISBLANK(InfoGard!D894)),IF(OR(ISBLANK(InfoGard!E894),InfoGard!E894="N/A"),"no acb code",CONCATENATE(Lookup!F$1,A894,Lookup!G$1,B894,Lookup!H$1,H$1,Lookup!I$1)),"no attestation")</f>
        <v>no attestation</v>
      </c>
      <c r="F894" s="2" t="str">
        <f>IF(AND(NOT(ISBLANK(InfoGard!G894)),InfoGard!G894&lt;&gt;"N/A"),IF(C894="All",CONCATENATE(Lookup!F$2,D894,Lookup!G$2,B894,Lookup!H$2,H$1,Lookup!I$2),CONCATENATE(Lookup!F$3,D894,Lookup!G$3,B894,Lookup!H$3)),"no url")</f>
        <v>no url</v>
      </c>
    </row>
    <row r="895" spans="1:6" hidden="1" x14ac:dyDescent="0.25">
      <c r="A895" s="2" t="b">
        <f>IF(ISBLANK(InfoGard!D895),FALSE,LOOKUP(InfoGard!D895,Lookup!$A$2:$B$4))</f>
        <v>0</v>
      </c>
      <c r="B895" s="2" t="b">
        <f>IF(ISBLANK(InfoGard!E895),FALSE,RIGHT(TRIM(InfoGard!E895),15))</f>
        <v>0</v>
      </c>
      <c r="C895" s="2" t="b">
        <f>IF(ISBLANK(InfoGard!F895),FALSE,LOOKUP(InfoGard!F895,Lookup!$A$6:$B$7))</f>
        <v>0</v>
      </c>
      <c r="D895" s="2" t="b">
        <f>IF(ISBLANK(InfoGard!G895),FALSE,InfoGard!G895)</f>
        <v>0</v>
      </c>
      <c r="E895" s="2" t="str">
        <f>IF(NOT(ISBLANK(InfoGard!D895)),IF(OR(ISBLANK(InfoGard!E895),InfoGard!E895="N/A"),"no acb code",CONCATENATE(Lookup!F$1,A895,Lookup!G$1,B895,Lookup!H$1,H$1,Lookup!I$1)),"no attestation")</f>
        <v>no attestation</v>
      </c>
      <c r="F895" s="2" t="str">
        <f>IF(AND(NOT(ISBLANK(InfoGard!G895)),InfoGard!G895&lt;&gt;"N/A"),IF(C895="All",CONCATENATE(Lookup!F$2,D895,Lookup!G$2,B895,Lookup!H$2,H$1,Lookup!I$2),CONCATENATE(Lookup!F$3,D895,Lookup!G$3,B895,Lookup!H$3)),"no url")</f>
        <v>no url</v>
      </c>
    </row>
    <row r="896" spans="1:6" hidden="1" x14ac:dyDescent="0.25">
      <c r="A896" s="2" t="b">
        <f>IF(ISBLANK(InfoGard!D896),FALSE,LOOKUP(InfoGard!D896,Lookup!$A$2:$B$4))</f>
        <v>0</v>
      </c>
      <c r="B896" s="2" t="b">
        <f>IF(ISBLANK(InfoGard!E896),FALSE,RIGHT(TRIM(InfoGard!E896),15))</f>
        <v>0</v>
      </c>
      <c r="C896" s="2" t="b">
        <f>IF(ISBLANK(InfoGard!F896),FALSE,LOOKUP(InfoGard!F896,Lookup!$A$6:$B$7))</f>
        <v>0</v>
      </c>
      <c r="D896" s="2" t="b">
        <f>IF(ISBLANK(InfoGard!G896),FALSE,InfoGard!G896)</f>
        <v>0</v>
      </c>
      <c r="E896" s="2" t="str">
        <f>IF(NOT(ISBLANK(InfoGard!D896)),IF(OR(ISBLANK(InfoGard!E896),InfoGard!E896="N/A"),"no acb code",CONCATENATE(Lookup!F$1,A896,Lookup!G$1,B896,Lookup!H$1,H$1,Lookup!I$1)),"no attestation")</f>
        <v>no attestation</v>
      </c>
      <c r="F896" s="2" t="str">
        <f>IF(AND(NOT(ISBLANK(InfoGard!G896)),InfoGard!G896&lt;&gt;"N/A"),IF(C896="All",CONCATENATE(Lookup!F$2,D896,Lookup!G$2,B896,Lookup!H$2,H$1,Lookup!I$2),CONCATENATE(Lookup!F$3,D896,Lookup!G$3,B896,Lookup!H$3)),"no url")</f>
        <v>no url</v>
      </c>
    </row>
    <row r="897" spans="1:6" hidden="1" x14ac:dyDescent="0.25">
      <c r="A897" s="2" t="b">
        <f>IF(ISBLANK(InfoGard!D897),FALSE,LOOKUP(InfoGard!D897,Lookup!$A$2:$B$4))</f>
        <v>0</v>
      </c>
      <c r="B897" s="2" t="b">
        <f>IF(ISBLANK(InfoGard!E897),FALSE,RIGHT(TRIM(InfoGard!E897),15))</f>
        <v>0</v>
      </c>
      <c r="C897" s="2" t="b">
        <f>IF(ISBLANK(InfoGard!F897),FALSE,LOOKUP(InfoGard!F897,Lookup!$A$6:$B$7))</f>
        <v>0</v>
      </c>
      <c r="D897" s="2" t="b">
        <f>IF(ISBLANK(InfoGard!G897),FALSE,InfoGard!G897)</f>
        <v>0</v>
      </c>
      <c r="E897" s="2" t="str">
        <f>IF(NOT(ISBLANK(InfoGard!D897)),IF(OR(ISBLANK(InfoGard!E897),InfoGard!E897="N/A"),"no acb code",CONCATENATE(Lookup!F$1,A897,Lookup!G$1,B897,Lookup!H$1,H$1,Lookup!I$1)),"no attestation")</f>
        <v>no attestation</v>
      </c>
      <c r="F897" s="2" t="str">
        <f>IF(AND(NOT(ISBLANK(InfoGard!G897)),InfoGard!G897&lt;&gt;"N/A"),IF(C897="All",CONCATENATE(Lookup!F$2,D897,Lookup!G$2,B897,Lookup!H$2,H$1,Lookup!I$2),CONCATENATE(Lookup!F$3,D897,Lookup!G$3,B897,Lookup!H$3)),"no url")</f>
        <v>no url</v>
      </c>
    </row>
    <row r="898" spans="1:6" hidden="1" x14ac:dyDescent="0.25">
      <c r="A898" s="2" t="b">
        <f>IF(ISBLANK(InfoGard!D898),FALSE,LOOKUP(InfoGard!D898,Lookup!$A$2:$B$4))</f>
        <v>0</v>
      </c>
      <c r="B898" s="2" t="b">
        <f>IF(ISBLANK(InfoGard!E898),FALSE,RIGHT(TRIM(InfoGard!E898),15))</f>
        <v>0</v>
      </c>
      <c r="C898" s="2" t="b">
        <f>IF(ISBLANK(InfoGard!F898),FALSE,LOOKUP(InfoGard!F898,Lookup!$A$6:$B$7))</f>
        <v>0</v>
      </c>
      <c r="D898" s="2" t="b">
        <f>IF(ISBLANK(InfoGard!G898),FALSE,InfoGard!G898)</f>
        <v>0</v>
      </c>
      <c r="E898" s="2" t="str">
        <f>IF(NOT(ISBLANK(InfoGard!D898)),IF(OR(ISBLANK(InfoGard!E898),InfoGard!E898="N/A"),"no acb code",CONCATENATE(Lookup!F$1,A898,Lookup!G$1,B898,Lookup!H$1,H$1,Lookup!I$1)),"no attestation")</f>
        <v>no attestation</v>
      </c>
      <c r="F898" s="2" t="str">
        <f>IF(AND(NOT(ISBLANK(InfoGard!G898)),InfoGard!G898&lt;&gt;"N/A"),IF(C898="All",CONCATENATE(Lookup!F$2,D898,Lookup!G$2,B898,Lookup!H$2,H$1,Lookup!I$2),CONCATENATE(Lookup!F$3,D898,Lookup!G$3,B898,Lookup!H$3)),"no url")</f>
        <v>no url</v>
      </c>
    </row>
    <row r="899" spans="1:6" hidden="1" x14ac:dyDescent="0.25">
      <c r="A899" s="2" t="b">
        <f>IF(ISBLANK(InfoGard!D899),FALSE,LOOKUP(InfoGard!D899,Lookup!$A$2:$B$4))</f>
        <v>0</v>
      </c>
      <c r="B899" s="2" t="b">
        <f>IF(ISBLANK(InfoGard!E899),FALSE,RIGHT(TRIM(InfoGard!E899),15))</f>
        <v>0</v>
      </c>
      <c r="C899" s="2" t="b">
        <f>IF(ISBLANK(InfoGard!F899),FALSE,LOOKUP(InfoGard!F899,Lookup!$A$6:$B$7))</f>
        <v>0</v>
      </c>
      <c r="D899" s="2" t="b">
        <f>IF(ISBLANK(InfoGard!G899),FALSE,InfoGard!G899)</f>
        <v>0</v>
      </c>
      <c r="E899" s="2" t="str">
        <f>IF(NOT(ISBLANK(InfoGard!D899)),IF(OR(ISBLANK(InfoGard!E899),InfoGard!E899="N/A"),"no acb code",CONCATENATE(Lookup!F$1,A899,Lookup!G$1,B899,Lookup!H$1,H$1,Lookup!I$1)),"no attestation")</f>
        <v>no attestation</v>
      </c>
      <c r="F899" s="2" t="str">
        <f>IF(AND(NOT(ISBLANK(InfoGard!G899)),InfoGard!G899&lt;&gt;"N/A"),IF(C899="All",CONCATENATE(Lookup!F$2,D899,Lookup!G$2,B899,Lookup!H$2,H$1,Lookup!I$2),CONCATENATE(Lookup!F$3,D899,Lookup!G$3,B899,Lookup!H$3)),"no url")</f>
        <v>no url</v>
      </c>
    </row>
    <row r="900" spans="1:6" hidden="1" x14ac:dyDescent="0.25">
      <c r="A900" s="2" t="b">
        <f>IF(ISBLANK(InfoGard!D900),FALSE,LOOKUP(InfoGard!D900,Lookup!$A$2:$B$4))</f>
        <v>0</v>
      </c>
      <c r="B900" s="2" t="b">
        <f>IF(ISBLANK(InfoGard!E900),FALSE,RIGHT(TRIM(InfoGard!E900),15))</f>
        <v>0</v>
      </c>
      <c r="C900" s="2" t="b">
        <f>IF(ISBLANK(InfoGard!F900),FALSE,LOOKUP(InfoGard!F900,Lookup!$A$6:$B$7))</f>
        <v>0</v>
      </c>
      <c r="D900" s="2" t="b">
        <f>IF(ISBLANK(InfoGard!G900),FALSE,InfoGard!G900)</f>
        <v>0</v>
      </c>
      <c r="E900" s="2" t="str">
        <f>IF(NOT(ISBLANK(InfoGard!D900)),IF(OR(ISBLANK(InfoGard!E900),InfoGard!E900="N/A"),"no acb code",CONCATENATE(Lookup!F$1,A900,Lookup!G$1,B900,Lookup!H$1,H$1,Lookup!I$1)),"no attestation")</f>
        <v>no attestation</v>
      </c>
      <c r="F900" s="2" t="str">
        <f>IF(AND(NOT(ISBLANK(InfoGard!G900)),InfoGard!G900&lt;&gt;"N/A"),IF(C900="All",CONCATENATE(Lookup!F$2,D900,Lookup!G$2,B900,Lookup!H$2,H$1,Lookup!I$2),CONCATENATE(Lookup!F$3,D900,Lookup!G$3,B900,Lookup!H$3)),"no url")</f>
        <v>no url</v>
      </c>
    </row>
    <row r="901" spans="1:6" hidden="1" x14ac:dyDescent="0.25">
      <c r="A901" s="2" t="b">
        <f>IF(ISBLANK(InfoGard!D901),FALSE,LOOKUP(InfoGard!D901,Lookup!$A$2:$B$4))</f>
        <v>0</v>
      </c>
      <c r="B901" s="2" t="b">
        <f>IF(ISBLANK(InfoGard!E901),FALSE,RIGHT(TRIM(InfoGard!E901),15))</f>
        <v>0</v>
      </c>
      <c r="C901" s="2" t="b">
        <f>IF(ISBLANK(InfoGard!F901),FALSE,LOOKUP(InfoGard!F901,Lookup!$A$6:$B$7))</f>
        <v>0</v>
      </c>
      <c r="D901" s="2" t="b">
        <f>IF(ISBLANK(InfoGard!G901),FALSE,InfoGard!G901)</f>
        <v>0</v>
      </c>
      <c r="E901" s="2" t="str">
        <f>IF(NOT(ISBLANK(InfoGard!D901)),IF(OR(ISBLANK(InfoGard!E901),InfoGard!E901="N/A"),"no acb code",CONCATENATE(Lookup!F$1,A901,Lookup!G$1,B901,Lookup!H$1,H$1,Lookup!I$1)),"no attestation")</f>
        <v>no attestation</v>
      </c>
      <c r="F901" s="2" t="str">
        <f>IF(AND(NOT(ISBLANK(InfoGard!G901)),InfoGard!G901&lt;&gt;"N/A"),IF(C901="All",CONCATENATE(Lookup!F$2,D901,Lookup!G$2,B901,Lookup!H$2,H$1,Lookup!I$2),CONCATENATE(Lookup!F$3,D901,Lookup!G$3,B901,Lookup!H$3)),"no url")</f>
        <v>no url</v>
      </c>
    </row>
    <row r="902" spans="1:6" hidden="1" x14ac:dyDescent="0.25">
      <c r="A902" s="2" t="b">
        <f>IF(ISBLANK(InfoGard!D902),FALSE,LOOKUP(InfoGard!D902,Lookup!$A$2:$B$4))</f>
        <v>0</v>
      </c>
      <c r="B902" s="2" t="b">
        <f>IF(ISBLANK(InfoGard!E902),FALSE,RIGHT(TRIM(InfoGard!E902),15))</f>
        <v>0</v>
      </c>
      <c r="C902" s="2" t="b">
        <f>IF(ISBLANK(InfoGard!F902),FALSE,LOOKUP(InfoGard!F902,Lookup!$A$6:$B$7))</f>
        <v>0</v>
      </c>
      <c r="D902" s="2" t="b">
        <f>IF(ISBLANK(InfoGard!G902),FALSE,InfoGard!G902)</f>
        <v>0</v>
      </c>
      <c r="E902" s="2" t="str">
        <f>IF(NOT(ISBLANK(InfoGard!D902)),IF(OR(ISBLANK(InfoGard!E902),InfoGard!E902="N/A"),"no acb code",CONCATENATE(Lookup!F$1,A902,Lookup!G$1,B902,Lookup!H$1,H$1,Lookup!I$1)),"no attestation")</f>
        <v>no attestation</v>
      </c>
      <c r="F902" s="2" t="str">
        <f>IF(AND(NOT(ISBLANK(InfoGard!G902)),InfoGard!G902&lt;&gt;"N/A"),IF(C902="All",CONCATENATE(Lookup!F$2,D902,Lookup!G$2,B902,Lookup!H$2,H$1,Lookup!I$2),CONCATENATE(Lookup!F$3,D902,Lookup!G$3,B902,Lookup!H$3)),"no url")</f>
        <v>no url</v>
      </c>
    </row>
    <row r="903" spans="1:6" hidden="1" x14ac:dyDescent="0.25">
      <c r="A903" s="2" t="b">
        <f>IF(ISBLANK(InfoGard!D903),FALSE,LOOKUP(InfoGard!D903,Lookup!$A$2:$B$4))</f>
        <v>0</v>
      </c>
      <c r="B903" s="2" t="b">
        <f>IF(ISBLANK(InfoGard!E903),FALSE,RIGHT(TRIM(InfoGard!E903),15))</f>
        <v>0</v>
      </c>
      <c r="C903" s="2" t="b">
        <f>IF(ISBLANK(InfoGard!F903),FALSE,LOOKUP(InfoGard!F903,Lookup!$A$6:$B$7))</f>
        <v>0</v>
      </c>
      <c r="D903" s="2" t="b">
        <f>IF(ISBLANK(InfoGard!G903),FALSE,InfoGard!G903)</f>
        <v>0</v>
      </c>
      <c r="E903" s="2" t="str">
        <f>IF(NOT(ISBLANK(InfoGard!D903)),IF(OR(ISBLANK(InfoGard!E903),InfoGard!E903="N/A"),"no acb code",CONCATENATE(Lookup!F$1,A903,Lookup!G$1,B903,Lookup!H$1,H$1,Lookup!I$1)),"no attestation")</f>
        <v>no attestation</v>
      </c>
      <c r="F903" s="2" t="str">
        <f>IF(AND(NOT(ISBLANK(InfoGard!G903)),InfoGard!G903&lt;&gt;"N/A"),IF(C903="All",CONCATENATE(Lookup!F$2,D903,Lookup!G$2,B903,Lookup!H$2,H$1,Lookup!I$2),CONCATENATE(Lookup!F$3,D903,Lookup!G$3,B903,Lookup!H$3)),"no url")</f>
        <v>no url</v>
      </c>
    </row>
    <row r="904" spans="1:6" hidden="1" x14ac:dyDescent="0.25">
      <c r="A904" s="2" t="b">
        <f>IF(ISBLANK(InfoGard!D904),FALSE,LOOKUP(InfoGard!D904,Lookup!$A$2:$B$4))</f>
        <v>0</v>
      </c>
      <c r="B904" s="2" t="b">
        <f>IF(ISBLANK(InfoGard!E904),FALSE,RIGHT(TRIM(InfoGard!E904),15))</f>
        <v>0</v>
      </c>
      <c r="C904" s="2" t="b">
        <f>IF(ISBLANK(InfoGard!F904),FALSE,LOOKUP(InfoGard!F904,Lookup!$A$6:$B$7))</f>
        <v>0</v>
      </c>
      <c r="D904" s="2" t="b">
        <f>IF(ISBLANK(InfoGard!G904),FALSE,InfoGard!G904)</f>
        <v>0</v>
      </c>
      <c r="E904" s="2" t="str">
        <f>IF(NOT(ISBLANK(InfoGard!D904)),IF(OR(ISBLANK(InfoGard!E904),InfoGard!E904="N/A"),"no acb code",CONCATENATE(Lookup!F$1,A904,Lookup!G$1,B904,Lookup!H$1,H$1,Lookup!I$1)),"no attestation")</f>
        <v>no attestation</v>
      </c>
      <c r="F904" s="2" t="str">
        <f>IF(AND(NOT(ISBLANK(InfoGard!G904)),InfoGard!G904&lt;&gt;"N/A"),IF(C904="All",CONCATENATE(Lookup!F$2,D904,Lookup!G$2,B904,Lookup!H$2,H$1,Lookup!I$2),CONCATENATE(Lookup!F$3,D904,Lookup!G$3,B904,Lookup!H$3)),"no url")</f>
        <v>no url</v>
      </c>
    </row>
    <row r="905" spans="1:6" hidden="1" x14ac:dyDescent="0.25">
      <c r="A905" s="2" t="b">
        <f>IF(ISBLANK(InfoGard!D905),FALSE,LOOKUP(InfoGard!D905,Lookup!$A$2:$B$4))</f>
        <v>0</v>
      </c>
      <c r="B905" s="2" t="b">
        <f>IF(ISBLANK(InfoGard!E905),FALSE,RIGHT(TRIM(InfoGard!E905),15))</f>
        <v>0</v>
      </c>
      <c r="C905" s="2" t="b">
        <f>IF(ISBLANK(InfoGard!F905),FALSE,LOOKUP(InfoGard!F905,Lookup!$A$6:$B$7))</f>
        <v>0</v>
      </c>
      <c r="D905" s="2" t="b">
        <f>IF(ISBLANK(InfoGard!G905),FALSE,InfoGard!G905)</f>
        <v>0</v>
      </c>
      <c r="E905" s="2" t="str">
        <f>IF(NOT(ISBLANK(InfoGard!D905)),IF(OR(ISBLANK(InfoGard!E905),InfoGard!E905="N/A"),"no acb code",CONCATENATE(Lookup!F$1,A905,Lookup!G$1,B905,Lookup!H$1,H$1,Lookup!I$1)),"no attestation")</f>
        <v>no attestation</v>
      </c>
      <c r="F905" s="2" t="str">
        <f>IF(AND(NOT(ISBLANK(InfoGard!G905)),InfoGard!G905&lt;&gt;"N/A"),IF(C905="All",CONCATENATE(Lookup!F$2,D905,Lookup!G$2,B905,Lookup!H$2,H$1,Lookup!I$2),CONCATENATE(Lookup!F$3,D905,Lookup!G$3,B905,Lookup!H$3)),"no url")</f>
        <v>no url</v>
      </c>
    </row>
    <row r="906" spans="1:6" hidden="1" x14ac:dyDescent="0.25">
      <c r="A906" s="2" t="b">
        <f>IF(ISBLANK(InfoGard!D906),FALSE,LOOKUP(InfoGard!D906,Lookup!$A$2:$B$4))</f>
        <v>0</v>
      </c>
      <c r="B906" s="2" t="b">
        <f>IF(ISBLANK(InfoGard!E906),FALSE,RIGHT(TRIM(InfoGard!E906),15))</f>
        <v>0</v>
      </c>
      <c r="C906" s="2" t="b">
        <f>IF(ISBLANK(InfoGard!F906),FALSE,LOOKUP(InfoGard!F906,Lookup!$A$6:$B$7))</f>
        <v>0</v>
      </c>
      <c r="D906" s="2" t="b">
        <f>IF(ISBLANK(InfoGard!G906),FALSE,InfoGard!G906)</f>
        <v>0</v>
      </c>
      <c r="E906" s="2" t="str">
        <f>IF(NOT(ISBLANK(InfoGard!D906)),IF(OR(ISBLANK(InfoGard!E906),InfoGard!E906="N/A"),"no acb code",CONCATENATE(Lookup!F$1,A906,Lookup!G$1,B906,Lookup!H$1,H$1,Lookup!I$1)),"no attestation")</f>
        <v>no attestation</v>
      </c>
      <c r="F906" s="2" t="str">
        <f>IF(AND(NOT(ISBLANK(InfoGard!G906)),InfoGard!G906&lt;&gt;"N/A"),IF(C906="All",CONCATENATE(Lookup!F$2,D906,Lookup!G$2,B906,Lookup!H$2,H$1,Lookup!I$2),CONCATENATE(Lookup!F$3,D906,Lookup!G$3,B906,Lookup!H$3)),"no url")</f>
        <v>no url</v>
      </c>
    </row>
    <row r="907" spans="1:6" hidden="1" x14ac:dyDescent="0.25">
      <c r="A907" s="2" t="b">
        <f>IF(ISBLANK(InfoGard!D907),FALSE,LOOKUP(InfoGard!D907,Lookup!$A$2:$B$4))</f>
        <v>0</v>
      </c>
      <c r="B907" s="2" t="b">
        <f>IF(ISBLANK(InfoGard!E907),FALSE,RIGHT(TRIM(InfoGard!E907),15))</f>
        <v>0</v>
      </c>
      <c r="C907" s="2" t="b">
        <f>IF(ISBLANK(InfoGard!F907),FALSE,LOOKUP(InfoGard!F907,Lookup!$A$6:$B$7))</f>
        <v>0</v>
      </c>
      <c r="D907" s="2" t="b">
        <f>IF(ISBLANK(InfoGard!G907),FALSE,InfoGard!G907)</f>
        <v>0</v>
      </c>
      <c r="E907" s="2" t="str">
        <f>IF(NOT(ISBLANK(InfoGard!D907)),IF(OR(ISBLANK(InfoGard!E907),InfoGard!E907="N/A"),"no acb code",CONCATENATE(Lookup!F$1,A907,Lookup!G$1,B907,Lookup!H$1,H$1,Lookup!I$1)),"no attestation")</f>
        <v>no attestation</v>
      </c>
      <c r="F907" s="2" t="str">
        <f>IF(AND(NOT(ISBLANK(InfoGard!G907)),InfoGard!G907&lt;&gt;"N/A"),IF(C907="All",CONCATENATE(Lookup!F$2,D907,Lookup!G$2,B907,Lookup!H$2,H$1,Lookup!I$2),CONCATENATE(Lookup!F$3,D907,Lookup!G$3,B907,Lookup!H$3)),"no url")</f>
        <v>no url</v>
      </c>
    </row>
    <row r="908" spans="1:6" hidden="1" x14ac:dyDescent="0.25">
      <c r="A908" s="2" t="b">
        <f>IF(ISBLANK(InfoGard!D908),FALSE,LOOKUP(InfoGard!D908,Lookup!$A$2:$B$4))</f>
        <v>0</v>
      </c>
      <c r="B908" s="2" t="b">
        <f>IF(ISBLANK(InfoGard!E908),FALSE,RIGHT(TRIM(InfoGard!E908),15))</f>
        <v>0</v>
      </c>
      <c r="C908" s="2" t="b">
        <f>IF(ISBLANK(InfoGard!F908),FALSE,LOOKUP(InfoGard!F908,Lookup!$A$6:$B$7))</f>
        <v>0</v>
      </c>
      <c r="D908" s="2" t="b">
        <f>IF(ISBLANK(InfoGard!G908),FALSE,InfoGard!G908)</f>
        <v>0</v>
      </c>
      <c r="E908" s="2" t="str">
        <f>IF(NOT(ISBLANK(InfoGard!D908)),IF(OR(ISBLANK(InfoGard!E908),InfoGard!E908="N/A"),"no acb code",CONCATENATE(Lookup!F$1,A908,Lookup!G$1,B908,Lookup!H$1,H$1,Lookup!I$1)),"no attestation")</f>
        <v>no attestation</v>
      </c>
      <c r="F908" s="2" t="str">
        <f>IF(AND(NOT(ISBLANK(InfoGard!G908)),InfoGard!G908&lt;&gt;"N/A"),IF(C908="All",CONCATENATE(Lookup!F$2,D908,Lookup!G$2,B908,Lookup!H$2,H$1,Lookup!I$2),CONCATENATE(Lookup!F$3,D908,Lookup!G$3,B908,Lookup!H$3)),"no url")</f>
        <v>no url</v>
      </c>
    </row>
    <row r="909" spans="1:6" hidden="1" x14ac:dyDescent="0.25">
      <c r="A909" s="2" t="b">
        <f>IF(ISBLANK(InfoGard!D909),FALSE,LOOKUP(InfoGard!D909,Lookup!$A$2:$B$4))</f>
        <v>0</v>
      </c>
      <c r="B909" s="2" t="b">
        <f>IF(ISBLANK(InfoGard!E909),FALSE,RIGHT(TRIM(InfoGard!E909),15))</f>
        <v>0</v>
      </c>
      <c r="C909" s="2" t="b">
        <f>IF(ISBLANK(InfoGard!F909),FALSE,LOOKUP(InfoGard!F909,Lookup!$A$6:$B$7))</f>
        <v>0</v>
      </c>
      <c r="D909" s="2" t="b">
        <f>IF(ISBLANK(InfoGard!G909),FALSE,InfoGard!G909)</f>
        <v>0</v>
      </c>
      <c r="E909" s="2" t="str">
        <f>IF(NOT(ISBLANK(InfoGard!D909)),IF(OR(ISBLANK(InfoGard!E909),InfoGard!E909="N/A"),"no acb code",CONCATENATE(Lookup!F$1,A909,Lookup!G$1,B909,Lookup!H$1,H$1,Lookup!I$1)),"no attestation")</f>
        <v>no attestation</v>
      </c>
      <c r="F909" s="2" t="str">
        <f>IF(AND(NOT(ISBLANK(InfoGard!G909)),InfoGard!G909&lt;&gt;"N/A"),IF(C909="All",CONCATENATE(Lookup!F$2,D909,Lookup!G$2,B909,Lookup!H$2,H$1,Lookup!I$2),CONCATENATE(Lookup!F$3,D909,Lookup!G$3,B909,Lookup!H$3)),"no url")</f>
        <v>no url</v>
      </c>
    </row>
    <row r="910" spans="1:6" hidden="1" x14ac:dyDescent="0.25">
      <c r="A910" s="2" t="b">
        <f>IF(ISBLANK(InfoGard!D910),FALSE,LOOKUP(InfoGard!D910,Lookup!$A$2:$B$4))</f>
        <v>0</v>
      </c>
      <c r="B910" s="2" t="b">
        <f>IF(ISBLANK(InfoGard!E910),FALSE,RIGHT(TRIM(InfoGard!E910),15))</f>
        <v>0</v>
      </c>
      <c r="C910" s="2" t="b">
        <f>IF(ISBLANK(InfoGard!F910),FALSE,LOOKUP(InfoGard!F910,Lookup!$A$6:$B$7))</f>
        <v>0</v>
      </c>
      <c r="D910" s="2" t="b">
        <f>IF(ISBLANK(InfoGard!G910),FALSE,InfoGard!G910)</f>
        <v>0</v>
      </c>
      <c r="E910" s="2" t="str">
        <f>IF(NOT(ISBLANK(InfoGard!D910)),IF(OR(ISBLANK(InfoGard!E910),InfoGard!E910="N/A"),"no acb code",CONCATENATE(Lookup!F$1,A910,Lookup!G$1,B910,Lookup!H$1,H$1,Lookup!I$1)),"no attestation")</f>
        <v>no attestation</v>
      </c>
      <c r="F910" s="2" t="str">
        <f>IF(AND(NOT(ISBLANK(InfoGard!G910)),InfoGard!G910&lt;&gt;"N/A"),IF(C910="All",CONCATENATE(Lookup!F$2,D910,Lookup!G$2,B910,Lookup!H$2,H$1,Lookup!I$2),CONCATENATE(Lookup!F$3,D910,Lookup!G$3,B910,Lookup!H$3)),"no url")</f>
        <v>no url</v>
      </c>
    </row>
    <row r="911" spans="1:6" hidden="1" x14ac:dyDescent="0.25">
      <c r="A911" s="2" t="b">
        <f>IF(ISBLANK(InfoGard!D911),FALSE,LOOKUP(InfoGard!D911,Lookup!$A$2:$B$4))</f>
        <v>0</v>
      </c>
      <c r="B911" s="2" t="b">
        <f>IF(ISBLANK(InfoGard!E911),FALSE,RIGHT(TRIM(InfoGard!E911),15))</f>
        <v>0</v>
      </c>
      <c r="C911" s="2" t="b">
        <f>IF(ISBLANK(InfoGard!F911),FALSE,LOOKUP(InfoGard!F911,Lookup!$A$6:$B$7))</f>
        <v>0</v>
      </c>
      <c r="D911" s="2" t="b">
        <f>IF(ISBLANK(InfoGard!G911),FALSE,InfoGard!G911)</f>
        <v>0</v>
      </c>
      <c r="E911" s="2" t="str">
        <f>IF(NOT(ISBLANK(InfoGard!D911)),IF(OR(ISBLANK(InfoGard!E911),InfoGard!E911="N/A"),"no acb code",CONCATENATE(Lookup!F$1,A911,Lookup!G$1,B911,Lookup!H$1,H$1,Lookup!I$1)),"no attestation")</f>
        <v>no attestation</v>
      </c>
      <c r="F911" s="2" t="str">
        <f>IF(AND(NOT(ISBLANK(InfoGard!G911)),InfoGard!G911&lt;&gt;"N/A"),IF(C911="All",CONCATENATE(Lookup!F$2,D911,Lookup!G$2,B911,Lookup!H$2,H$1,Lookup!I$2),CONCATENATE(Lookup!F$3,D911,Lookup!G$3,B911,Lookup!H$3)),"no url")</f>
        <v>no url</v>
      </c>
    </row>
    <row r="912" spans="1:6" hidden="1" x14ac:dyDescent="0.25">
      <c r="A912" s="2" t="b">
        <f>IF(ISBLANK(InfoGard!D912),FALSE,LOOKUP(InfoGard!D912,Lookup!$A$2:$B$4))</f>
        <v>0</v>
      </c>
      <c r="B912" s="2" t="b">
        <f>IF(ISBLANK(InfoGard!E912),FALSE,RIGHT(TRIM(InfoGard!E912),15))</f>
        <v>0</v>
      </c>
      <c r="C912" s="2" t="b">
        <f>IF(ISBLANK(InfoGard!F912),FALSE,LOOKUP(InfoGard!F912,Lookup!$A$6:$B$7))</f>
        <v>0</v>
      </c>
      <c r="D912" s="2" t="b">
        <f>IF(ISBLANK(InfoGard!G912),FALSE,InfoGard!G912)</f>
        <v>0</v>
      </c>
      <c r="E912" s="2" t="str">
        <f>IF(NOT(ISBLANK(InfoGard!D912)),IF(OR(ISBLANK(InfoGard!E912),InfoGard!E912="N/A"),"no acb code",CONCATENATE(Lookup!F$1,A912,Lookup!G$1,B912,Lookup!H$1,H$1,Lookup!I$1)),"no attestation")</f>
        <v>no attestation</v>
      </c>
      <c r="F912" s="2" t="str">
        <f>IF(AND(NOT(ISBLANK(InfoGard!G912)),InfoGard!G912&lt;&gt;"N/A"),IF(C912="All",CONCATENATE(Lookup!F$2,D912,Lookup!G$2,B912,Lookup!H$2,H$1,Lookup!I$2),CONCATENATE(Lookup!F$3,D912,Lookup!G$3,B912,Lookup!H$3)),"no url")</f>
        <v>no url</v>
      </c>
    </row>
    <row r="913" spans="1:6" hidden="1" x14ac:dyDescent="0.25">
      <c r="A913" s="2" t="b">
        <f>IF(ISBLANK(InfoGard!D913),FALSE,LOOKUP(InfoGard!D913,Lookup!$A$2:$B$4))</f>
        <v>0</v>
      </c>
      <c r="B913" s="2" t="b">
        <f>IF(ISBLANK(InfoGard!E913),FALSE,RIGHT(TRIM(InfoGard!E913),15))</f>
        <v>0</v>
      </c>
      <c r="C913" s="2" t="b">
        <f>IF(ISBLANK(InfoGard!F913),FALSE,LOOKUP(InfoGard!F913,Lookup!$A$6:$B$7))</f>
        <v>0</v>
      </c>
      <c r="D913" s="2" t="b">
        <f>IF(ISBLANK(InfoGard!G913),FALSE,InfoGard!G913)</f>
        <v>0</v>
      </c>
      <c r="E913" s="2" t="str">
        <f>IF(NOT(ISBLANK(InfoGard!D913)),IF(OR(ISBLANK(InfoGard!E913),InfoGard!E913="N/A"),"no acb code",CONCATENATE(Lookup!F$1,A913,Lookup!G$1,B913,Lookup!H$1,H$1,Lookup!I$1)),"no attestation")</f>
        <v>no attestation</v>
      </c>
      <c r="F913" s="2" t="str">
        <f>IF(AND(NOT(ISBLANK(InfoGard!G913)),InfoGard!G913&lt;&gt;"N/A"),IF(C913="All",CONCATENATE(Lookup!F$2,D913,Lookup!G$2,B913,Lookup!H$2,H$1,Lookup!I$2),CONCATENATE(Lookup!F$3,D913,Lookup!G$3,B913,Lookup!H$3)),"no url")</f>
        <v>no url</v>
      </c>
    </row>
    <row r="914" spans="1:6" hidden="1" x14ac:dyDescent="0.25">
      <c r="A914" s="2" t="b">
        <f>IF(ISBLANK(InfoGard!D914),FALSE,LOOKUP(InfoGard!D914,Lookup!$A$2:$B$4))</f>
        <v>0</v>
      </c>
      <c r="B914" s="2" t="b">
        <f>IF(ISBLANK(InfoGard!E914),FALSE,RIGHT(TRIM(InfoGard!E914),15))</f>
        <v>0</v>
      </c>
      <c r="C914" s="2" t="b">
        <f>IF(ISBLANK(InfoGard!F914),FALSE,LOOKUP(InfoGard!F914,Lookup!$A$6:$B$7))</f>
        <v>0</v>
      </c>
      <c r="D914" s="2" t="b">
        <f>IF(ISBLANK(InfoGard!G914),FALSE,InfoGard!G914)</f>
        <v>0</v>
      </c>
      <c r="E914" s="2" t="str">
        <f>IF(NOT(ISBLANK(InfoGard!D914)),IF(OR(ISBLANK(InfoGard!E914),InfoGard!E914="N/A"),"no acb code",CONCATENATE(Lookup!F$1,A914,Lookup!G$1,B914,Lookup!H$1,H$1,Lookup!I$1)),"no attestation")</f>
        <v>no attestation</v>
      </c>
      <c r="F914" s="2" t="str">
        <f>IF(AND(NOT(ISBLANK(InfoGard!G914)),InfoGard!G914&lt;&gt;"N/A"),IF(C914="All",CONCATENATE(Lookup!F$2,D914,Lookup!G$2,B914,Lookup!H$2,H$1,Lookup!I$2),CONCATENATE(Lookup!F$3,D914,Lookup!G$3,B914,Lookup!H$3)),"no url")</f>
        <v>no url</v>
      </c>
    </row>
    <row r="915" spans="1:6" hidden="1" x14ac:dyDescent="0.25">
      <c r="A915" s="2" t="b">
        <f>IF(ISBLANK(InfoGard!D915),FALSE,LOOKUP(InfoGard!D915,Lookup!$A$2:$B$4))</f>
        <v>0</v>
      </c>
      <c r="B915" s="2" t="b">
        <f>IF(ISBLANK(InfoGard!E915),FALSE,RIGHT(TRIM(InfoGard!E915),15))</f>
        <v>0</v>
      </c>
      <c r="C915" s="2" t="b">
        <f>IF(ISBLANK(InfoGard!F915),FALSE,LOOKUP(InfoGard!F915,Lookup!$A$6:$B$7))</f>
        <v>0</v>
      </c>
      <c r="D915" s="2" t="b">
        <f>IF(ISBLANK(InfoGard!G915),FALSE,InfoGard!G915)</f>
        <v>0</v>
      </c>
      <c r="E915" s="2" t="str">
        <f>IF(NOT(ISBLANK(InfoGard!D915)),IF(OR(ISBLANK(InfoGard!E915),InfoGard!E915="N/A"),"no acb code",CONCATENATE(Lookup!F$1,A915,Lookup!G$1,B915,Lookup!H$1,H$1,Lookup!I$1)),"no attestation")</f>
        <v>no attestation</v>
      </c>
      <c r="F915" s="2" t="str">
        <f>IF(AND(NOT(ISBLANK(InfoGard!G915)),InfoGard!G915&lt;&gt;"N/A"),IF(C915="All",CONCATENATE(Lookup!F$2,D915,Lookup!G$2,B915,Lookup!H$2,H$1,Lookup!I$2),CONCATENATE(Lookup!F$3,D915,Lookup!G$3,B915,Lookup!H$3)),"no url")</f>
        <v>no url</v>
      </c>
    </row>
    <row r="916" spans="1:6" hidden="1" x14ac:dyDescent="0.25">
      <c r="A916" s="2" t="b">
        <f>IF(ISBLANK(InfoGard!D916),FALSE,LOOKUP(InfoGard!D916,Lookup!$A$2:$B$4))</f>
        <v>0</v>
      </c>
      <c r="B916" s="2" t="b">
        <f>IF(ISBLANK(InfoGard!E916),FALSE,RIGHT(TRIM(InfoGard!E916),15))</f>
        <v>0</v>
      </c>
      <c r="C916" s="2" t="b">
        <f>IF(ISBLANK(InfoGard!F916),FALSE,LOOKUP(InfoGard!F916,Lookup!$A$6:$B$7))</f>
        <v>0</v>
      </c>
      <c r="D916" s="2" t="b">
        <f>IF(ISBLANK(InfoGard!G916),FALSE,InfoGard!G916)</f>
        <v>0</v>
      </c>
      <c r="E916" s="2" t="str">
        <f>IF(NOT(ISBLANK(InfoGard!D916)),IF(OR(ISBLANK(InfoGard!E916),InfoGard!E916="N/A"),"no acb code",CONCATENATE(Lookup!F$1,A916,Lookup!G$1,B916,Lookup!H$1,H$1,Lookup!I$1)),"no attestation")</f>
        <v>no attestation</v>
      </c>
      <c r="F916" s="2" t="str">
        <f>IF(AND(NOT(ISBLANK(InfoGard!G916)),InfoGard!G916&lt;&gt;"N/A"),IF(C916="All",CONCATENATE(Lookup!F$2,D916,Lookup!G$2,B916,Lookup!H$2,H$1,Lookup!I$2),CONCATENATE(Lookup!F$3,D916,Lookup!G$3,B916,Lookup!H$3)),"no url")</f>
        <v>no url</v>
      </c>
    </row>
    <row r="917" spans="1:6" hidden="1" x14ac:dyDescent="0.25">
      <c r="A917" s="2" t="b">
        <f>IF(ISBLANK(InfoGard!D917),FALSE,LOOKUP(InfoGard!D917,Lookup!$A$2:$B$4))</f>
        <v>0</v>
      </c>
      <c r="B917" s="2" t="b">
        <f>IF(ISBLANK(InfoGard!E917),FALSE,RIGHT(TRIM(InfoGard!E917),15))</f>
        <v>0</v>
      </c>
      <c r="C917" s="2" t="b">
        <f>IF(ISBLANK(InfoGard!F917),FALSE,LOOKUP(InfoGard!F917,Lookup!$A$6:$B$7))</f>
        <v>0</v>
      </c>
      <c r="D917" s="2" t="b">
        <f>IF(ISBLANK(InfoGard!G917),FALSE,InfoGard!G917)</f>
        <v>0</v>
      </c>
      <c r="E917" s="2" t="str">
        <f>IF(NOT(ISBLANK(InfoGard!D917)),IF(OR(ISBLANK(InfoGard!E917),InfoGard!E917="N/A"),"no acb code",CONCATENATE(Lookup!F$1,A917,Lookup!G$1,B917,Lookup!H$1,H$1,Lookup!I$1)),"no attestation")</f>
        <v>no attestation</v>
      </c>
      <c r="F917" s="2" t="str">
        <f>IF(AND(NOT(ISBLANK(InfoGard!G917)),InfoGard!G917&lt;&gt;"N/A"),IF(C917="All",CONCATENATE(Lookup!F$2,D917,Lookup!G$2,B917,Lookup!H$2,H$1,Lookup!I$2),CONCATENATE(Lookup!F$3,D917,Lookup!G$3,B917,Lookup!H$3)),"no url")</f>
        <v>no url</v>
      </c>
    </row>
    <row r="918" spans="1:6" hidden="1" x14ac:dyDescent="0.25">
      <c r="A918" s="2" t="b">
        <f>IF(ISBLANK(InfoGard!D918),FALSE,LOOKUP(InfoGard!D918,Lookup!$A$2:$B$4))</f>
        <v>0</v>
      </c>
      <c r="B918" s="2" t="b">
        <f>IF(ISBLANK(InfoGard!E918),FALSE,RIGHT(TRIM(InfoGard!E918),15))</f>
        <v>0</v>
      </c>
      <c r="C918" s="2" t="b">
        <f>IF(ISBLANK(InfoGard!F918),FALSE,LOOKUP(InfoGard!F918,Lookup!$A$6:$B$7))</f>
        <v>0</v>
      </c>
      <c r="D918" s="2" t="b">
        <f>IF(ISBLANK(InfoGard!G918),FALSE,InfoGard!G918)</f>
        <v>0</v>
      </c>
      <c r="E918" s="2" t="str">
        <f>IF(NOT(ISBLANK(InfoGard!D918)),IF(OR(ISBLANK(InfoGard!E918),InfoGard!E918="N/A"),"no acb code",CONCATENATE(Lookup!F$1,A918,Lookup!G$1,B918,Lookup!H$1,H$1,Lookup!I$1)),"no attestation")</f>
        <v>no attestation</v>
      </c>
      <c r="F918" s="2" t="str">
        <f>IF(AND(NOT(ISBLANK(InfoGard!G918)),InfoGard!G918&lt;&gt;"N/A"),IF(C918="All",CONCATENATE(Lookup!F$2,D918,Lookup!G$2,B918,Lookup!H$2,H$1,Lookup!I$2),CONCATENATE(Lookup!F$3,D918,Lookup!G$3,B918,Lookup!H$3)),"no url")</f>
        <v>no url</v>
      </c>
    </row>
    <row r="919" spans="1:6" hidden="1" x14ac:dyDescent="0.25">
      <c r="A919" s="2" t="b">
        <f>IF(ISBLANK(InfoGard!D919),FALSE,LOOKUP(InfoGard!D919,Lookup!$A$2:$B$4))</f>
        <v>0</v>
      </c>
      <c r="B919" s="2" t="b">
        <f>IF(ISBLANK(InfoGard!E919),FALSE,RIGHT(TRIM(InfoGard!E919),15))</f>
        <v>0</v>
      </c>
      <c r="C919" s="2" t="b">
        <f>IF(ISBLANK(InfoGard!F919),FALSE,LOOKUP(InfoGard!F919,Lookup!$A$6:$B$7))</f>
        <v>0</v>
      </c>
      <c r="D919" s="2" t="b">
        <f>IF(ISBLANK(InfoGard!G919),FALSE,InfoGard!G919)</f>
        <v>0</v>
      </c>
      <c r="E919" s="2" t="str">
        <f>IF(NOT(ISBLANK(InfoGard!D919)),IF(OR(ISBLANK(InfoGard!E919),InfoGard!E919="N/A"),"no acb code",CONCATENATE(Lookup!F$1,A919,Lookup!G$1,B919,Lookup!H$1,H$1,Lookup!I$1)),"no attestation")</f>
        <v>no attestation</v>
      </c>
      <c r="F919" s="2" t="str">
        <f>IF(AND(NOT(ISBLANK(InfoGard!G919)),InfoGard!G919&lt;&gt;"N/A"),IF(C919="All",CONCATENATE(Lookup!F$2,D919,Lookup!G$2,B919,Lookup!H$2,H$1,Lookup!I$2),CONCATENATE(Lookup!F$3,D919,Lookup!G$3,B919,Lookup!H$3)),"no url")</f>
        <v>no url</v>
      </c>
    </row>
    <row r="920" spans="1:6" hidden="1" x14ac:dyDescent="0.25">
      <c r="A920" s="2" t="b">
        <f>IF(ISBLANK(InfoGard!D920),FALSE,LOOKUP(InfoGard!D920,Lookup!$A$2:$B$4))</f>
        <v>0</v>
      </c>
      <c r="B920" s="2" t="b">
        <f>IF(ISBLANK(InfoGard!E920),FALSE,RIGHT(TRIM(InfoGard!E920),15))</f>
        <v>0</v>
      </c>
      <c r="C920" s="2" t="b">
        <f>IF(ISBLANK(InfoGard!F920),FALSE,LOOKUP(InfoGard!F920,Lookup!$A$6:$B$7))</f>
        <v>0</v>
      </c>
      <c r="D920" s="2" t="b">
        <f>IF(ISBLANK(InfoGard!G920),FALSE,InfoGard!G920)</f>
        <v>0</v>
      </c>
      <c r="E920" s="2" t="str">
        <f>IF(NOT(ISBLANK(InfoGard!D920)),IF(OR(ISBLANK(InfoGard!E920),InfoGard!E920="N/A"),"no acb code",CONCATENATE(Lookup!F$1,A920,Lookup!G$1,B920,Lookup!H$1,H$1,Lookup!I$1)),"no attestation")</f>
        <v>no attestation</v>
      </c>
      <c r="F920" s="2" t="str">
        <f>IF(AND(NOT(ISBLANK(InfoGard!G920)),InfoGard!G920&lt;&gt;"N/A"),IF(C920="All",CONCATENATE(Lookup!F$2,D920,Lookup!G$2,B920,Lookup!H$2,H$1,Lookup!I$2),CONCATENATE(Lookup!F$3,D920,Lookup!G$3,B920,Lookup!H$3)),"no url")</f>
        <v>no url</v>
      </c>
    </row>
    <row r="921" spans="1:6" x14ac:dyDescent="0.25">
      <c r="A921" s="2" t="str">
        <f>IF(ISBLANK(InfoGard!D921),FALSE,LOOKUP(InfoGard!D921,Lookup!$A$2:$B$4))</f>
        <v>Affirmative</v>
      </c>
      <c r="B921" s="2" t="str">
        <f>IF(ISBLANK(InfoGard!E921),FALSE,RIGHT(TRIM(InfoGard!E921),15))</f>
        <v>IG-2449-14-0019</v>
      </c>
      <c r="C921" s="2" t="str">
        <f>IF(ISBLANK(InfoGard!F921),FALSE,LOOKUP(InfoGard!F921,Lookup!$A$6:$B$7))</f>
        <v>All</v>
      </c>
      <c r="D921" s="2" t="str">
        <f>IF(ISBLANK(InfoGard!G921),FALSE,InfoGard!G921)</f>
        <v xml:space="preserve">http://www.medsphere.com/pricing-transparency-statement </v>
      </c>
      <c r="E921" s="2" t="str">
        <f>IF(NOT(ISBLANK(InfoGard!D921)),IF(OR(ISBLANK(InfoGard!E921),InfoGard!E921="N/A"),"no acb code",CONCATENATE(Lookup!F$1,A921,Lookup!G$1,B921,Lookup!H$1,H$1,Lookup!I$1)),"no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'IG-2449-14-0019' and cb."name" = 'InfoGard' and cp.product_version_id = pv.product_version_id and pv.product_id = p.product_id and p.vendor_id = vend.vendor_id;</v>
      </c>
      <c r="F921" s="2" t="str">
        <f>IF(AND(NOT(ISBLANK(InfoGard!G921)),InfoGard!G921&lt;&gt;"N/A"),IF(C921="All",CONCATENATE(Lookup!F$2,D921,Lookup!G$2,B921,Lookup!H$2,H$1,Lookup!I$2),CONCATENATE(Lookup!F$3,D921,Lookup!G$3,B921,Lookup!H$3)),"no url")</f>
        <v>update openchpl.certified_product as cp set transparency_attestation_url = 'http://www.medsphere.com/pricing-transparency-statement ' from (select certified_product_id from (select vend.vendor_code from openchpl.certified_product as cp, openchpl.product_version as pv, openchpl.product as p, openchpl.vendor as vend where cp.acb_certification_id = 'IG-2449-14-0019'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22" spans="1:6" hidden="1" x14ac:dyDescent="0.25">
      <c r="A922" s="2" t="b">
        <f>IF(ISBLANK(InfoGard!D922),FALSE,LOOKUP(InfoGard!D922,Lookup!$A$2:$B$4))</f>
        <v>0</v>
      </c>
      <c r="B922" s="2" t="b">
        <f>IF(ISBLANK(InfoGard!E922),FALSE,RIGHT(TRIM(InfoGard!E922),15))</f>
        <v>0</v>
      </c>
      <c r="C922" s="2" t="b">
        <f>IF(ISBLANK(InfoGard!F922),FALSE,LOOKUP(InfoGard!F922,Lookup!$A$6:$B$7))</f>
        <v>0</v>
      </c>
      <c r="D922" s="2" t="b">
        <f>IF(ISBLANK(InfoGard!G922),FALSE,InfoGard!G922)</f>
        <v>0</v>
      </c>
      <c r="E922" s="2" t="str">
        <f>IF(NOT(ISBLANK(InfoGard!D922)),IF(OR(ISBLANK(InfoGard!E922),InfoGard!E922="N/A"),"no acb code",CONCATENATE(Lookup!F$1,A922,Lookup!G$1,B922,Lookup!H$1,H$1,Lookup!I$1)),"no attestation")</f>
        <v>no attestation</v>
      </c>
      <c r="F922" s="2" t="str">
        <f>IF(AND(NOT(ISBLANK(InfoGard!G922)),InfoGard!G922&lt;&gt;"N/A"),IF(C922="All",CONCATENATE(Lookup!F$2,D922,Lookup!G$2,B922,Lookup!H$2,H$1,Lookup!I$2),CONCATENATE(Lookup!F$3,D922,Lookup!G$3,B922,Lookup!H$3)),"no url")</f>
        <v>no url</v>
      </c>
    </row>
    <row r="923" spans="1:6" hidden="1" x14ac:dyDescent="0.25">
      <c r="A923" s="2" t="b">
        <f>IF(ISBLANK(InfoGard!D923),FALSE,LOOKUP(InfoGard!D923,Lookup!$A$2:$B$4))</f>
        <v>0</v>
      </c>
      <c r="B923" s="2" t="b">
        <f>IF(ISBLANK(InfoGard!E923),FALSE,RIGHT(TRIM(InfoGard!E923),15))</f>
        <v>0</v>
      </c>
      <c r="C923" s="2" t="b">
        <f>IF(ISBLANK(InfoGard!F923),FALSE,LOOKUP(InfoGard!F923,Lookup!$A$6:$B$7))</f>
        <v>0</v>
      </c>
      <c r="D923" s="2" t="b">
        <f>IF(ISBLANK(InfoGard!G923),FALSE,InfoGard!G923)</f>
        <v>0</v>
      </c>
      <c r="E923" s="2" t="str">
        <f>IF(NOT(ISBLANK(InfoGard!D923)),IF(OR(ISBLANK(InfoGard!E923),InfoGard!E923="N/A"),"no acb code",CONCATENATE(Lookup!F$1,A923,Lookup!G$1,B923,Lookup!H$1,H$1,Lookup!I$1)),"no attestation")</f>
        <v>no attestation</v>
      </c>
      <c r="F923" s="2" t="str">
        <f>IF(AND(NOT(ISBLANK(InfoGard!G923)),InfoGard!G923&lt;&gt;"N/A"),IF(C923="All",CONCATENATE(Lookup!F$2,D923,Lookup!G$2,B923,Lookup!H$2,H$1,Lookup!I$2),CONCATENATE(Lookup!F$3,D923,Lookup!G$3,B923,Lookup!H$3)),"no url")</f>
        <v>no url</v>
      </c>
    </row>
    <row r="924" spans="1:6" hidden="1" x14ac:dyDescent="0.25">
      <c r="A924" s="2" t="b">
        <f>IF(ISBLANK(InfoGard!D924),FALSE,LOOKUP(InfoGard!D924,Lookup!$A$2:$B$4))</f>
        <v>0</v>
      </c>
      <c r="B924" s="2" t="b">
        <f>IF(ISBLANK(InfoGard!E924),FALSE,RIGHT(TRIM(InfoGard!E924),15))</f>
        <v>0</v>
      </c>
      <c r="C924" s="2" t="b">
        <f>IF(ISBLANK(InfoGard!F924),FALSE,LOOKUP(InfoGard!F924,Lookup!$A$6:$B$7))</f>
        <v>0</v>
      </c>
      <c r="D924" s="2" t="b">
        <f>IF(ISBLANK(InfoGard!G924),FALSE,InfoGard!G924)</f>
        <v>0</v>
      </c>
      <c r="E924" s="2" t="str">
        <f>IF(NOT(ISBLANK(InfoGard!D924)),IF(OR(ISBLANK(InfoGard!E924),InfoGard!E924="N/A"),"no acb code",CONCATENATE(Lookup!F$1,A924,Lookup!G$1,B924,Lookup!H$1,H$1,Lookup!I$1)),"no attestation")</f>
        <v>no attestation</v>
      </c>
      <c r="F924" s="2" t="str">
        <f>IF(AND(NOT(ISBLANK(InfoGard!G924)),InfoGard!G924&lt;&gt;"N/A"),IF(C924="All",CONCATENATE(Lookup!F$2,D924,Lookup!G$2,B924,Lookup!H$2,H$1,Lookup!I$2),CONCATENATE(Lookup!F$3,D924,Lookup!G$3,B924,Lookup!H$3)),"no url")</f>
        <v>no url</v>
      </c>
    </row>
    <row r="925" spans="1:6" hidden="1" x14ac:dyDescent="0.25">
      <c r="A925" s="2" t="b">
        <f>IF(ISBLANK(InfoGard!D925),FALSE,LOOKUP(InfoGard!D925,Lookup!$A$2:$B$4))</f>
        <v>0</v>
      </c>
      <c r="B925" s="2" t="b">
        <f>IF(ISBLANK(InfoGard!E925),FALSE,RIGHT(TRIM(InfoGard!E925),15))</f>
        <v>0</v>
      </c>
      <c r="C925" s="2" t="b">
        <f>IF(ISBLANK(InfoGard!F925),FALSE,LOOKUP(InfoGard!F925,Lookup!$A$6:$B$7))</f>
        <v>0</v>
      </c>
      <c r="D925" s="2" t="b">
        <f>IF(ISBLANK(InfoGard!G925),FALSE,InfoGard!G925)</f>
        <v>0</v>
      </c>
      <c r="E925" s="2" t="str">
        <f>IF(NOT(ISBLANK(InfoGard!D925)),IF(OR(ISBLANK(InfoGard!E925),InfoGard!E925="N/A"),"no acb code",CONCATENATE(Lookup!F$1,A925,Lookup!G$1,B925,Lookup!H$1,H$1,Lookup!I$1)),"no attestation")</f>
        <v>no attestation</v>
      </c>
      <c r="F925" s="2" t="str">
        <f>IF(AND(NOT(ISBLANK(InfoGard!G925)),InfoGard!G925&lt;&gt;"N/A"),IF(C925="All",CONCATENATE(Lookup!F$2,D925,Lookup!G$2,B925,Lookup!H$2,H$1,Lookup!I$2),CONCATENATE(Lookup!F$3,D925,Lookup!G$3,B925,Lookup!H$3)),"no url")</f>
        <v>no url</v>
      </c>
    </row>
    <row r="926" spans="1:6" hidden="1" x14ac:dyDescent="0.25">
      <c r="A926" s="2" t="b">
        <f>IF(ISBLANK(InfoGard!D926),FALSE,LOOKUP(InfoGard!D926,Lookup!$A$2:$B$4))</f>
        <v>0</v>
      </c>
      <c r="B926" s="2" t="b">
        <f>IF(ISBLANK(InfoGard!E926),FALSE,RIGHT(TRIM(InfoGard!E926),15))</f>
        <v>0</v>
      </c>
      <c r="C926" s="2" t="b">
        <f>IF(ISBLANK(InfoGard!F926),FALSE,LOOKUP(InfoGard!F926,Lookup!$A$6:$B$7))</f>
        <v>0</v>
      </c>
      <c r="D926" s="2" t="b">
        <f>IF(ISBLANK(InfoGard!G926),FALSE,InfoGard!G926)</f>
        <v>0</v>
      </c>
      <c r="E926" s="2" t="str">
        <f>IF(NOT(ISBLANK(InfoGard!D926)),IF(OR(ISBLANK(InfoGard!E926),InfoGard!E926="N/A"),"no acb code",CONCATENATE(Lookup!F$1,A926,Lookup!G$1,B926,Lookup!H$1,H$1,Lookup!I$1)),"no attestation")</f>
        <v>no attestation</v>
      </c>
      <c r="F926" s="2" t="str">
        <f>IF(AND(NOT(ISBLANK(InfoGard!G926)),InfoGard!G926&lt;&gt;"N/A"),IF(C926="All",CONCATENATE(Lookup!F$2,D926,Lookup!G$2,B926,Lookup!H$2,H$1,Lookup!I$2),CONCATENATE(Lookup!F$3,D926,Lookup!G$3,B926,Lookup!H$3)),"no url")</f>
        <v>no url</v>
      </c>
    </row>
    <row r="927" spans="1:6" hidden="1" x14ac:dyDescent="0.25">
      <c r="A927" s="2" t="b">
        <f>IF(ISBLANK(InfoGard!D927),FALSE,LOOKUP(InfoGard!D927,Lookup!$A$2:$B$4))</f>
        <v>0</v>
      </c>
      <c r="B927" s="2" t="b">
        <f>IF(ISBLANK(InfoGard!E927),FALSE,RIGHT(TRIM(InfoGard!E927),15))</f>
        <v>0</v>
      </c>
      <c r="C927" s="2" t="b">
        <f>IF(ISBLANK(InfoGard!F927),FALSE,LOOKUP(InfoGard!F927,Lookup!$A$6:$B$7))</f>
        <v>0</v>
      </c>
      <c r="D927" s="2" t="b">
        <f>IF(ISBLANK(InfoGard!G927),FALSE,InfoGard!G927)</f>
        <v>0</v>
      </c>
      <c r="E927" s="2" t="str">
        <f>IF(NOT(ISBLANK(InfoGard!D927)),IF(OR(ISBLANK(InfoGard!E927),InfoGard!E927="N/A"),"no acb code",CONCATENATE(Lookup!F$1,A927,Lookup!G$1,B927,Lookup!H$1,H$1,Lookup!I$1)),"no attestation")</f>
        <v>no attestation</v>
      </c>
      <c r="F927" s="2" t="str">
        <f>IF(AND(NOT(ISBLANK(InfoGard!G927)),InfoGard!G927&lt;&gt;"N/A"),IF(C927="All",CONCATENATE(Lookup!F$2,D927,Lookup!G$2,B927,Lookup!H$2,H$1,Lookup!I$2),CONCATENATE(Lookup!F$3,D927,Lookup!G$3,B927,Lookup!H$3)),"no url")</f>
        <v>no url</v>
      </c>
    </row>
    <row r="928" spans="1:6" hidden="1" x14ac:dyDescent="0.25">
      <c r="A928" s="2" t="b">
        <f>IF(ISBLANK(InfoGard!D928),FALSE,LOOKUP(InfoGard!D928,Lookup!$A$2:$B$4))</f>
        <v>0</v>
      </c>
      <c r="B928" s="2" t="b">
        <f>IF(ISBLANK(InfoGard!E928),FALSE,RIGHT(TRIM(InfoGard!E928),15))</f>
        <v>0</v>
      </c>
      <c r="C928" s="2" t="b">
        <f>IF(ISBLANK(InfoGard!F928),FALSE,LOOKUP(InfoGard!F928,Lookup!$A$6:$B$7))</f>
        <v>0</v>
      </c>
      <c r="D928" s="2" t="b">
        <f>IF(ISBLANK(InfoGard!G928),FALSE,InfoGard!G928)</f>
        <v>0</v>
      </c>
      <c r="E928" s="2" t="str">
        <f>IF(NOT(ISBLANK(InfoGard!D928)),IF(OR(ISBLANK(InfoGard!E928),InfoGard!E928="N/A"),"no acb code",CONCATENATE(Lookup!F$1,A928,Lookup!G$1,B928,Lookup!H$1,H$1,Lookup!I$1)),"no attestation")</f>
        <v>no attestation</v>
      </c>
      <c r="F928" s="2" t="str">
        <f>IF(AND(NOT(ISBLANK(InfoGard!G928)),InfoGard!G928&lt;&gt;"N/A"),IF(C928="All",CONCATENATE(Lookup!F$2,D928,Lookup!G$2,B928,Lookup!H$2,H$1,Lookup!I$2),CONCATENATE(Lookup!F$3,D928,Lookup!G$3,B928,Lookup!H$3)),"no url")</f>
        <v>no url</v>
      </c>
    </row>
    <row r="929" spans="1:6" hidden="1" x14ac:dyDescent="0.25">
      <c r="A929" s="2" t="b">
        <f>IF(ISBLANK(InfoGard!D929),FALSE,LOOKUP(InfoGard!D929,Lookup!$A$2:$B$4))</f>
        <v>0</v>
      </c>
      <c r="B929" s="2" t="b">
        <f>IF(ISBLANK(InfoGard!E929),FALSE,RIGHT(TRIM(InfoGard!E929),15))</f>
        <v>0</v>
      </c>
      <c r="C929" s="2" t="b">
        <f>IF(ISBLANK(InfoGard!F929),FALSE,LOOKUP(InfoGard!F929,Lookup!$A$6:$B$7))</f>
        <v>0</v>
      </c>
      <c r="D929" s="2" t="b">
        <f>IF(ISBLANK(InfoGard!G929),FALSE,InfoGard!G929)</f>
        <v>0</v>
      </c>
      <c r="E929" s="2" t="str">
        <f>IF(NOT(ISBLANK(InfoGard!D929)),IF(OR(ISBLANK(InfoGard!E929),InfoGard!E929="N/A"),"no acb code",CONCATENATE(Lookup!F$1,A929,Lookup!G$1,B929,Lookup!H$1,H$1,Lookup!I$1)),"no attestation")</f>
        <v>no attestation</v>
      </c>
      <c r="F929" s="2" t="str">
        <f>IF(AND(NOT(ISBLANK(InfoGard!G929)),InfoGard!G929&lt;&gt;"N/A"),IF(C929="All",CONCATENATE(Lookup!F$2,D929,Lookup!G$2,B929,Lookup!H$2,H$1,Lookup!I$2),CONCATENATE(Lookup!F$3,D929,Lookup!G$3,B929,Lookup!H$3)),"no url")</f>
        <v>no url</v>
      </c>
    </row>
    <row r="930" spans="1:6" hidden="1" x14ac:dyDescent="0.25">
      <c r="A930" s="2" t="b">
        <f>IF(ISBLANK(InfoGard!D930),FALSE,LOOKUP(InfoGard!D930,Lookup!$A$2:$B$4))</f>
        <v>0</v>
      </c>
      <c r="B930" s="2" t="b">
        <f>IF(ISBLANK(InfoGard!E930),FALSE,RIGHT(TRIM(InfoGard!E930),15))</f>
        <v>0</v>
      </c>
      <c r="C930" s="2" t="b">
        <f>IF(ISBLANK(InfoGard!F930),FALSE,LOOKUP(InfoGard!F930,Lookup!$A$6:$B$7))</f>
        <v>0</v>
      </c>
      <c r="D930" s="2" t="b">
        <f>IF(ISBLANK(InfoGard!G930),FALSE,InfoGard!G930)</f>
        <v>0</v>
      </c>
      <c r="E930" s="2" t="str">
        <f>IF(NOT(ISBLANK(InfoGard!D930)),IF(OR(ISBLANK(InfoGard!E930),InfoGard!E930="N/A"),"no acb code",CONCATENATE(Lookup!F$1,A930,Lookup!G$1,B930,Lookup!H$1,H$1,Lookup!I$1)),"no attestation")</f>
        <v>no attestation</v>
      </c>
      <c r="F930" s="2" t="str">
        <f>IF(AND(NOT(ISBLANK(InfoGard!G930)),InfoGard!G930&lt;&gt;"N/A"),IF(C930="All",CONCATENATE(Lookup!F$2,D930,Lookup!G$2,B930,Lookup!H$2,H$1,Lookup!I$2),CONCATENATE(Lookup!F$3,D930,Lookup!G$3,B930,Lookup!H$3)),"no url")</f>
        <v>no url</v>
      </c>
    </row>
    <row r="931" spans="1:6" hidden="1" x14ac:dyDescent="0.25">
      <c r="A931" s="2" t="b">
        <f>IF(ISBLANK(InfoGard!D931),FALSE,LOOKUP(InfoGard!D931,Lookup!$A$2:$B$4))</f>
        <v>0</v>
      </c>
      <c r="B931" s="2" t="b">
        <f>IF(ISBLANK(InfoGard!E931),FALSE,RIGHT(TRIM(InfoGard!E931),15))</f>
        <v>0</v>
      </c>
      <c r="C931" s="2" t="b">
        <f>IF(ISBLANK(InfoGard!F931),FALSE,LOOKUP(InfoGard!F931,Lookup!$A$6:$B$7))</f>
        <v>0</v>
      </c>
      <c r="D931" s="2" t="b">
        <f>IF(ISBLANK(InfoGard!G931),FALSE,InfoGard!G931)</f>
        <v>0</v>
      </c>
      <c r="E931" s="2" t="str">
        <f>IF(NOT(ISBLANK(InfoGard!D931)),IF(OR(ISBLANK(InfoGard!E931),InfoGard!E931="N/A"),"no acb code",CONCATENATE(Lookup!F$1,A931,Lookup!G$1,B931,Lookup!H$1,H$1,Lookup!I$1)),"no attestation")</f>
        <v>no attestation</v>
      </c>
      <c r="F931" s="2" t="str">
        <f>IF(AND(NOT(ISBLANK(InfoGard!G931)),InfoGard!G931&lt;&gt;"N/A"),IF(C931="All",CONCATENATE(Lookup!F$2,D931,Lookup!G$2,B931,Lookup!H$2,H$1,Lookup!I$2),CONCATENATE(Lookup!F$3,D931,Lookup!G$3,B931,Lookup!H$3)),"no url")</f>
        <v>no url</v>
      </c>
    </row>
    <row r="932" spans="1:6" x14ac:dyDescent="0.25">
      <c r="A932" s="2" t="str">
        <f>IF(ISBLANK(InfoGard!D932),FALSE,LOOKUP(InfoGard!D932,Lookup!$A$2:$B$4))</f>
        <v>Affirmative</v>
      </c>
      <c r="B932" s="2" t="str">
        <f>IF(ISBLANK(InfoGard!E932),FALSE,RIGHT(TRIM(InfoGard!E932),15))</f>
        <v>IG-2592-14-0045</v>
      </c>
      <c r="C932" s="2" t="str">
        <f>IF(ISBLANK(InfoGard!F932),FALSE,LOOKUP(InfoGard!F932,Lookup!$A$6:$B$7))</f>
        <v>All</v>
      </c>
      <c r="D932" s="2" t="str">
        <f>IF(ISBLANK(InfoGard!G932),FALSE,InfoGard!G932)</f>
        <v>http://www.metacaresolutions.com/support-implementation/transparency/</v>
      </c>
      <c r="E932" s="2" t="str">
        <f>IF(NOT(ISBLANK(InfoGard!D932)),IF(OR(ISBLANK(InfoGard!E932),InfoGard!E932="N/A"),"no acb code",CONCATENATE(Lookup!F$1,A932,Lookup!G$1,B932,Lookup!H$1,H$1,Lookup!I$1)),"no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'IG-2592-14-0045' and cb."name" = 'InfoGard' and cp.product_version_id = pv.product_version_id and pv.product_id = p.product_id and p.vendor_id = vend.vendor_id;</v>
      </c>
      <c r="F932" s="2" t="str">
        <f>IF(AND(NOT(ISBLANK(InfoGard!G932)),InfoGard!G932&lt;&gt;"N/A"),IF(C932="All",CONCATENATE(Lookup!F$2,D932,Lookup!G$2,B932,Lookup!H$2,H$1,Lookup!I$2),CONCATENATE(Lookup!F$3,D932,Lookup!G$3,B932,Lookup!H$3)),"no url")</f>
        <v>update openchpl.certified_product as cp set transparency_attestation_url = 'http://www.metacaresolutions.com/support-implementation/transparency/' from (select certified_product_id from (select vend.vendor_code from openchpl.certified_product as cp, openchpl.product_version as pv, openchpl.product as p, openchpl.vendor as vend where cp.acb_certification_id = 'IG-2592-14-0045'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33" spans="1:6" hidden="1" x14ac:dyDescent="0.25">
      <c r="A933" s="2" t="b">
        <f>IF(ISBLANK(InfoGard!D933),FALSE,LOOKUP(InfoGard!D933,Lookup!$A$2:$B$4))</f>
        <v>0</v>
      </c>
      <c r="B933" s="2" t="b">
        <f>IF(ISBLANK(InfoGard!E933),FALSE,RIGHT(TRIM(InfoGard!E933),15))</f>
        <v>0</v>
      </c>
      <c r="C933" s="2" t="b">
        <f>IF(ISBLANK(InfoGard!F933),FALSE,LOOKUP(InfoGard!F933,Lookup!$A$6:$B$7))</f>
        <v>0</v>
      </c>
      <c r="D933" s="2" t="b">
        <f>IF(ISBLANK(InfoGard!G933),FALSE,InfoGard!G933)</f>
        <v>0</v>
      </c>
      <c r="E933" s="2" t="str">
        <f>IF(NOT(ISBLANK(InfoGard!D933)),IF(OR(ISBLANK(InfoGard!E933),InfoGard!E933="N/A"),"no acb code",CONCATENATE(Lookup!F$1,A933,Lookup!G$1,B933,Lookup!H$1,H$1,Lookup!I$1)),"no attestation")</f>
        <v>no attestation</v>
      </c>
      <c r="F933" s="2" t="str">
        <f>IF(AND(NOT(ISBLANK(InfoGard!G933)),InfoGard!G933&lt;&gt;"N/A"),IF(C933="All",CONCATENATE(Lookup!F$2,D933,Lookup!G$2,B933,Lookup!H$2,H$1,Lookup!I$2),CONCATENATE(Lookup!F$3,D933,Lookup!G$3,B933,Lookup!H$3)),"no url")</f>
        <v>no url</v>
      </c>
    </row>
    <row r="934" spans="1:6" hidden="1" x14ac:dyDescent="0.25">
      <c r="A934" s="2" t="b">
        <f>IF(ISBLANK(InfoGard!D934),FALSE,LOOKUP(InfoGard!D934,Lookup!$A$2:$B$4))</f>
        <v>0</v>
      </c>
      <c r="B934" s="2" t="b">
        <f>IF(ISBLANK(InfoGard!E934),FALSE,RIGHT(TRIM(InfoGard!E934),15))</f>
        <v>0</v>
      </c>
      <c r="C934" s="2" t="b">
        <f>IF(ISBLANK(InfoGard!F934),FALSE,LOOKUP(InfoGard!F934,Lookup!$A$6:$B$7))</f>
        <v>0</v>
      </c>
      <c r="D934" s="2" t="b">
        <f>IF(ISBLANK(InfoGard!G934),FALSE,InfoGard!G934)</f>
        <v>0</v>
      </c>
      <c r="E934" s="2" t="str">
        <f>IF(NOT(ISBLANK(InfoGard!D934)),IF(OR(ISBLANK(InfoGard!E934),InfoGard!E934="N/A"),"no acb code",CONCATENATE(Lookup!F$1,A934,Lookup!G$1,B934,Lookup!H$1,H$1,Lookup!I$1)),"no attestation")</f>
        <v>no attestation</v>
      </c>
      <c r="F934" s="2" t="str">
        <f>IF(AND(NOT(ISBLANK(InfoGard!G934)),InfoGard!G934&lt;&gt;"N/A"),IF(C934="All",CONCATENATE(Lookup!F$2,D934,Lookup!G$2,B934,Lookup!H$2,H$1,Lookup!I$2),CONCATENATE(Lookup!F$3,D934,Lookup!G$3,B934,Lookup!H$3)),"no url")</f>
        <v>no url</v>
      </c>
    </row>
    <row r="935" spans="1:6" hidden="1" x14ac:dyDescent="0.25">
      <c r="A935" s="2" t="b">
        <f>IF(ISBLANK(InfoGard!D935),FALSE,LOOKUP(InfoGard!D935,Lookup!$A$2:$B$4))</f>
        <v>0</v>
      </c>
      <c r="B935" s="2" t="b">
        <f>IF(ISBLANK(InfoGard!E935),FALSE,RIGHT(TRIM(InfoGard!E935),15))</f>
        <v>0</v>
      </c>
      <c r="C935" s="2" t="b">
        <f>IF(ISBLANK(InfoGard!F935),FALSE,LOOKUP(InfoGard!F935,Lookup!$A$6:$B$7))</f>
        <v>0</v>
      </c>
      <c r="D935" s="2" t="b">
        <f>IF(ISBLANK(InfoGard!G935),FALSE,InfoGard!G935)</f>
        <v>0</v>
      </c>
      <c r="E935" s="2" t="str">
        <f>IF(NOT(ISBLANK(InfoGard!D935)),IF(OR(ISBLANK(InfoGard!E935),InfoGard!E935="N/A"),"no acb code",CONCATENATE(Lookup!F$1,A935,Lookup!G$1,B935,Lookup!H$1,H$1,Lookup!I$1)),"no attestation")</f>
        <v>no attestation</v>
      </c>
      <c r="F935" s="2" t="str">
        <f>IF(AND(NOT(ISBLANK(InfoGard!G935)),InfoGard!G935&lt;&gt;"N/A"),IF(C935="All",CONCATENATE(Lookup!F$2,D935,Lookup!G$2,B935,Lookup!H$2,H$1,Lookup!I$2),CONCATENATE(Lookup!F$3,D935,Lookup!G$3,B935,Lookup!H$3)),"no url")</f>
        <v>no url</v>
      </c>
    </row>
    <row r="936" spans="1:6" hidden="1" x14ac:dyDescent="0.25">
      <c r="A936" s="2" t="b">
        <f>IF(ISBLANK(InfoGard!D936),FALSE,LOOKUP(InfoGard!D936,Lookup!$A$2:$B$4))</f>
        <v>0</v>
      </c>
      <c r="B936" s="2" t="b">
        <f>IF(ISBLANK(InfoGard!E936),FALSE,RIGHT(TRIM(InfoGard!E936),15))</f>
        <v>0</v>
      </c>
      <c r="C936" s="2" t="b">
        <f>IF(ISBLANK(InfoGard!F936),FALSE,LOOKUP(InfoGard!F936,Lookup!$A$6:$B$7))</f>
        <v>0</v>
      </c>
      <c r="D936" s="2" t="b">
        <f>IF(ISBLANK(InfoGard!G936),FALSE,InfoGard!G936)</f>
        <v>0</v>
      </c>
      <c r="E936" s="2" t="str">
        <f>IF(NOT(ISBLANK(InfoGard!D936)),IF(OR(ISBLANK(InfoGard!E936),InfoGard!E936="N/A"),"no acb code",CONCATENATE(Lookup!F$1,A936,Lookup!G$1,B936,Lookup!H$1,H$1,Lookup!I$1)),"no attestation")</f>
        <v>no attestation</v>
      </c>
      <c r="F936" s="2" t="str">
        <f>IF(AND(NOT(ISBLANK(InfoGard!G936)),InfoGard!G936&lt;&gt;"N/A"),IF(C936="All",CONCATENATE(Lookup!F$2,D936,Lookup!G$2,B936,Lookup!H$2,H$1,Lookup!I$2),CONCATENATE(Lookup!F$3,D936,Lookup!G$3,B936,Lookup!H$3)),"no url")</f>
        <v>no url</v>
      </c>
    </row>
    <row r="937" spans="1:6" x14ac:dyDescent="0.25">
      <c r="A937" s="2" t="str">
        <f>IF(ISBLANK(InfoGard!D937),FALSE,LOOKUP(InfoGard!D937,Lookup!$A$2:$B$4))</f>
        <v>Affirmative</v>
      </c>
      <c r="B937" s="2" t="str">
        <f>IF(ISBLANK(InfoGard!E937),FALSE,RIGHT(TRIM(InfoGard!E937),15))</f>
        <v>IG-3113-13-0041</v>
      </c>
      <c r="C937" s="2" t="str">
        <f>IF(ISBLANK(InfoGard!F937),FALSE,LOOKUP(InfoGard!F937,Lookup!$A$6:$B$7))</f>
        <v>All</v>
      </c>
      <c r="D937" s="2" t="str">
        <f>IF(ISBLANK(InfoGard!G937),FALSE,InfoGard!G937)</f>
        <v>http://micro-officesystems.com/why-micro-office/meaningful-use/</v>
      </c>
      <c r="E937" s="2" t="str">
        <f>IF(NOT(ISBLANK(InfoGard!D937)),IF(OR(ISBLANK(InfoGard!E937),InfoGard!E937="N/A"),"no acb code",CONCATENATE(Lookup!F$1,A937,Lookup!G$1,B937,Lookup!H$1,H$1,Lookup!I$1)),"no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'IG-3113-13-0041' and cb."name" = 'InfoGard' and cp.product_version_id = pv.product_version_id and pv.product_id = p.product_id and p.vendor_id = vend.vendor_id;</v>
      </c>
      <c r="F937" s="2" t="str">
        <f>IF(AND(NOT(ISBLANK(InfoGard!G937)),InfoGard!G937&lt;&gt;"N/A"),IF(C937="All",CONCATENATE(Lookup!F$2,D937,Lookup!G$2,B937,Lookup!H$2,H$1,Lookup!I$2),CONCATENATE(Lookup!F$3,D937,Lookup!G$3,B937,Lookup!H$3)),"no url")</f>
        <v>update openchpl.certified_product as cp set transparency_attestation_url = 'http://micro-officesystems.com/why-micro-office/meaningful-use/' from (select certified_product_id from (select vend.vendor_code from openchpl.certified_product as cp, openchpl.product_version as pv, openchpl.product as p, openchpl.vendor as vend where cp.acb_certification_id = 'IG-3113-13-0041'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38" spans="1:6" hidden="1" x14ac:dyDescent="0.25">
      <c r="A938" s="2" t="b">
        <f>IF(ISBLANK(InfoGard!D938),FALSE,LOOKUP(InfoGard!D938,Lookup!$A$2:$B$4))</f>
        <v>0</v>
      </c>
      <c r="B938" s="2" t="b">
        <f>IF(ISBLANK(InfoGard!E938),FALSE,RIGHT(TRIM(InfoGard!E938),15))</f>
        <v>0</v>
      </c>
      <c r="C938" s="2" t="b">
        <f>IF(ISBLANK(InfoGard!F938),FALSE,LOOKUP(InfoGard!F938,Lookup!$A$6:$B$7))</f>
        <v>0</v>
      </c>
      <c r="D938" s="2" t="b">
        <f>IF(ISBLANK(InfoGard!G938),FALSE,InfoGard!G938)</f>
        <v>0</v>
      </c>
      <c r="E938" s="2" t="str">
        <f>IF(NOT(ISBLANK(InfoGard!D938)),IF(OR(ISBLANK(InfoGard!E938),InfoGard!E938="N/A"),"no acb code",CONCATENATE(Lookup!F$1,A938,Lookup!G$1,B938,Lookup!H$1,H$1,Lookup!I$1)),"no attestation")</f>
        <v>no attestation</v>
      </c>
      <c r="F938" s="2" t="str">
        <f>IF(AND(NOT(ISBLANK(InfoGard!G938)),InfoGard!G938&lt;&gt;"N/A"),IF(C938="All",CONCATENATE(Lookup!F$2,D938,Lookup!G$2,B938,Lookup!H$2,H$1,Lookup!I$2),CONCATENATE(Lookup!F$3,D938,Lookup!G$3,B938,Lookup!H$3)),"no url")</f>
        <v>no url</v>
      </c>
    </row>
    <row r="939" spans="1:6" hidden="1" x14ac:dyDescent="0.25">
      <c r="A939" s="2" t="b">
        <f>IF(ISBLANK(InfoGard!D939),FALSE,LOOKUP(InfoGard!D939,Lookup!$A$2:$B$4))</f>
        <v>0</v>
      </c>
      <c r="B939" s="2" t="b">
        <f>IF(ISBLANK(InfoGard!E939),FALSE,RIGHT(TRIM(InfoGard!E939),15))</f>
        <v>0</v>
      </c>
      <c r="C939" s="2" t="b">
        <f>IF(ISBLANK(InfoGard!F939),FALSE,LOOKUP(InfoGard!F939,Lookup!$A$6:$B$7))</f>
        <v>0</v>
      </c>
      <c r="D939" s="2" t="b">
        <f>IF(ISBLANK(InfoGard!G939),FALSE,InfoGard!G939)</f>
        <v>0</v>
      </c>
      <c r="E939" s="2" t="str">
        <f>IF(NOT(ISBLANK(InfoGard!D939)),IF(OR(ISBLANK(InfoGard!E939),InfoGard!E939="N/A"),"no acb code",CONCATENATE(Lookup!F$1,A939,Lookup!G$1,B939,Lookup!H$1,H$1,Lookup!I$1)),"no attestation")</f>
        <v>no attestation</v>
      </c>
      <c r="F939" s="2" t="str">
        <f>IF(AND(NOT(ISBLANK(InfoGard!G939)),InfoGard!G939&lt;&gt;"N/A"),IF(C939="All",CONCATENATE(Lookup!F$2,D939,Lookup!G$2,B939,Lookup!H$2,H$1,Lookup!I$2),CONCATENATE(Lookup!F$3,D939,Lookup!G$3,B939,Lookup!H$3)),"no url")</f>
        <v>no url</v>
      </c>
    </row>
    <row r="940" spans="1:6" hidden="1" x14ac:dyDescent="0.25">
      <c r="A940" s="2" t="b">
        <f>IF(ISBLANK(InfoGard!D940),FALSE,LOOKUP(InfoGard!D940,Lookup!$A$2:$B$4))</f>
        <v>0</v>
      </c>
      <c r="B940" s="2" t="b">
        <f>IF(ISBLANK(InfoGard!E940),FALSE,RIGHT(TRIM(InfoGard!E940),15))</f>
        <v>0</v>
      </c>
      <c r="C940" s="2" t="b">
        <f>IF(ISBLANK(InfoGard!F940),FALSE,LOOKUP(InfoGard!F940,Lookup!$A$6:$B$7))</f>
        <v>0</v>
      </c>
      <c r="D940" s="2" t="b">
        <f>IF(ISBLANK(InfoGard!G940),FALSE,InfoGard!G940)</f>
        <v>0</v>
      </c>
      <c r="E940" s="2" t="str">
        <f>IF(NOT(ISBLANK(InfoGard!D940)),IF(OR(ISBLANK(InfoGard!E940),InfoGard!E940="N/A"),"no acb code",CONCATENATE(Lookup!F$1,A940,Lookup!G$1,B940,Lookup!H$1,H$1,Lookup!I$1)),"no attestation")</f>
        <v>no attestation</v>
      </c>
      <c r="F940" s="2" t="str">
        <f>IF(AND(NOT(ISBLANK(InfoGard!G940)),InfoGard!G940&lt;&gt;"N/A"),IF(C940="All",CONCATENATE(Lookup!F$2,D940,Lookup!G$2,B940,Lookup!H$2,H$1,Lookup!I$2),CONCATENATE(Lookup!F$3,D940,Lookup!G$3,B940,Lookup!H$3)),"no url")</f>
        <v>no url</v>
      </c>
    </row>
    <row r="941" spans="1:6" hidden="1" x14ac:dyDescent="0.25">
      <c r="A941" s="2" t="b">
        <f>IF(ISBLANK(InfoGard!D941),FALSE,LOOKUP(InfoGard!D941,Lookup!$A$2:$B$4))</f>
        <v>0</v>
      </c>
      <c r="B941" s="2" t="b">
        <f>IF(ISBLANK(InfoGard!E941),FALSE,RIGHT(TRIM(InfoGard!E941),15))</f>
        <v>0</v>
      </c>
      <c r="C941" s="2" t="b">
        <f>IF(ISBLANK(InfoGard!F941),FALSE,LOOKUP(InfoGard!F941,Lookup!$A$6:$B$7))</f>
        <v>0</v>
      </c>
      <c r="D941" s="2" t="b">
        <f>IF(ISBLANK(InfoGard!G941),FALSE,InfoGard!G941)</f>
        <v>0</v>
      </c>
      <c r="E941" s="2" t="str">
        <f>IF(NOT(ISBLANK(InfoGard!D941)),IF(OR(ISBLANK(InfoGard!E941),InfoGard!E941="N/A"),"no acb code",CONCATENATE(Lookup!F$1,A941,Lookup!G$1,B941,Lookup!H$1,H$1,Lookup!I$1)),"no attestation")</f>
        <v>no attestation</v>
      </c>
      <c r="F941" s="2" t="str">
        <f>IF(AND(NOT(ISBLANK(InfoGard!G941)),InfoGard!G941&lt;&gt;"N/A"),IF(C941="All",CONCATENATE(Lookup!F$2,D941,Lookup!G$2,B941,Lookup!H$2,H$1,Lookup!I$2),CONCATENATE(Lookup!F$3,D941,Lookup!G$3,B941,Lookup!H$3)),"no url")</f>
        <v>no url</v>
      </c>
    </row>
    <row r="942" spans="1:6" hidden="1" x14ac:dyDescent="0.25">
      <c r="A942" s="2" t="b">
        <f>IF(ISBLANK(InfoGard!D942),FALSE,LOOKUP(InfoGard!D942,Lookup!$A$2:$B$4))</f>
        <v>0</v>
      </c>
      <c r="B942" s="2" t="b">
        <f>IF(ISBLANK(InfoGard!E942),FALSE,RIGHT(TRIM(InfoGard!E942),15))</f>
        <v>0</v>
      </c>
      <c r="C942" s="2" t="b">
        <f>IF(ISBLANK(InfoGard!F942),FALSE,LOOKUP(InfoGard!F942,Lookup!$A$6:$B$7))</f>
        <v>0</v>
      </c>
      <c r="D942" s="2" t="b">
        <f>IF(ISBLANK(InfoGard!G942),FALSE,InfoGard!G942)</f>
        <v>0</v>
      </c>
      <c r="E942" s="2" t="str">
        <f>IF(NOT(ISBLANK(InfoGard!D942)),IF(OR(ISBLANK(InfoGard!E942),InfoGard!E942="N/A"),"no acb code",CONCATENATE(Lookup!F$1,A942,Lookup!G$1,B942,Lookup!H$1,H$1,Lookup!I$1)),"no attestation")</f>
        <v>no attestation</v>
      </c>
      <c r="F942" s="2" t="str">
        <f>IF(AND(NOT(ISBLANK(InfoGard!G942)),InfoGard!G942&lt;&gt;"N/A"),IF(C942="All",CONCATENATE(Lookup!F$2,D942,Lookup!G$2,B942,Lookup!H$2,H$1,Lookup!I$2),CONCATENATE(Lookup!F$3,D942,Lookup!G$3,B942,Lookup!H$3)),"no url")</f>
        <v>no url</v>
      </c>
    </row>
    <row r="943" spans="1:6" hidden="1" x14ac:dyDescent="0.25">
      <c r="A943" s="2" t="b">
        <f>IF(ISBLANK(InfoGard!D943),FALSE,LOOKUP(InfoGard!D943,Lookup!$A$2:$B$4))</f>
        <v>0</v>
      </c>
      <c r="B943" s="2" t="b">
        <f>IF(ISBLANK(InfoGard!E943),FALSE,RIGHT(TRIM(InfoGard!E943),15))</f>
        <v>0</v>
      </c>
      <c r="C943" s="2" t="b">
        <f>IF(ISBLANK(InfoGard!F943),FALSE,LOOKUP(InfoGard!F943,Lookup!$A$6:$B$7))</f>
        <v>0</v>
      </c>
      <c r="D943" s="2" t="b">
        <f>IF(ISBLANK(InfoGard!G943),FALSE,InfoGard!G943)</f>
        <v>0</v>
      </c>
      <c r="E943" s="2" t="str">
        <f>IF(NOT(ISBLANK(InfoGard!D943)),IF(OR(ISBLANK(InfoGard!E943),InfoGard!E943="N/A"),"no acb code",CONCATENATE(Lookup!F$1,A943,Lookup!G$1,B943,Lookup!H$1,H$1,Lookup!I$1)),"no attestation")</f>
        <v>no attestation</v>
      </c>
      <c r="F943" s="2" t="str">
        <f>IF(AND(NOT(ISBLANK(InfoGard!G943)),InfoGard!G943&lt;&gt;"N/A"),IF(C943="All",CONCATENATE(Lookup!F$2,D943,Lookup!G$2,B943,Lookup!H$2,H$1,Lookup!I$2),CONCATENATE(Lookup!F$3,D943,Lookup!G$3,B943,Lookup!H$3)),"no url")</f>
        <v>no url</v>
      </c>
    </row>
    <row r="944" spans="1:6" hidden="1" x14ac:dyDescent="0.25">
      <c r="A944" s="2" t="b">
        <f>IF(ISBLANK(InfoGard!D944),FALSE,LOOKUP(InfoGard!D944,Lookup!$A$2:$B$4))</f>
        <v>0</v>
      </c>
      <c r="B944" s="2" t="b">
        <f>IF(ISBLANK(InfoGard!E944),FALSE,RIGHT(TRIM(InfoGard!E944),15))</f>
        <v>0</v>
      </c>
      <c r="C944" s="2" t="b">
        <f>IF(ISBLANK(InfoGard!F944),FALSE,LOOKUP(InfoGard!F944,Lookup!$A$6:$B$7))</f>
        <v>0</v>
      </c>
      <c r="D944" s="2" t="b">
        <f>IF(ISBLANK(InfoGard!G944),FALSE,InfoGard!G944)</f>
        <v>0</v>
      </c>
      <c r="E944" s="2" t="str">
        <f>IF(NOT(ISBLANK(InfoGard!D944)),IF(OR(ISBLANK(InfoGard!E944),InfoGard!E944="N/A"),"no acb code",CONCATENATE(Lookup!F$1,A944,Lookup!G$1,B944,Lookup!H$1,H$1,Lookup!I$1)),"no attestation")</f>
        <v>no attestation</v>
      </c>
      <c r="F944" s="2" t="str">
        <f>IF(AND(NOT(ISBLANK(InfoGard!G944)),InfoGard!G944&lt;&gt;"N/A"),IF(C944="All",CONCATENATE(Lookup!F$2,D944,Lookup!G$2,B944,Lookup!H$2,H$1,Lookup!I$2),CONCATENATE(Lookup!F$3,D944,Lookup!G$3,B944,Lookup!H$3)),"no url")</f>
        <v>no url</v>
      </c>
    </row>
    <row r="945" spans="1:6" hidden="1" x14ac:dyDescent="0.25">
      <c r="A945" s="2" t="b">
        <f>IF(ISBLANK(InfoGard!D945),FALSE,LOOKUP(InfoGard!D945,Lookup!$A$2:$B$4))</f>
        <v>0</v>
      </c>
      <c r="B945" s="2" t="b">
        <f>IF(ISBLANK(InfoGard!E945),FALSE,RIGHT(TRIM(InfoGard!E945),15))</f>
        <v>0</v>
      </c>
      <c r="C945" s="2" t="b">
        <f>IF(ISBLANK(InfoGard!F945),FALSE,LOOKUP(InfoGard!F945,Lookup!$A$6:$B$7))</f>
        <v>0</v>
      </c>
      <c r="D945" s="2" t="b">
        <f>IF(ISBLANK(InfoGard!G945),FALSE,InfoGard!G945)</f>
        <v>0</v>
      </c>
      <c r="E945" s="2" t="str">
        <f>IF(NOT(ISBLANK(InfoGard!D945)),IF(OR(ISBLANK(InfoGard!E945),InfoGard!E945="N/A"),"no acb code",CONCATENATE(Lookup!F$1,A945,Lookup!G$1,B945,Lookup!H$1,H$1,Lookup!I$1)),"no attestation")</f>
        <v>no attestation</v>
      </c>
      <c r="F945" s="2" t="str">
        <f>IF(AND(NOT(ISBLANK(InfoGard!G945)),InfoGard!G945&lt;&gt;"N/A"),IF(C945="All",CONCATENATE(Lookup!F$2,D945,Lookup!G$2,B945,Lookup!H$2,H$1,Lookup!I$2),CONCATENATE(Lookup!F$3,D945,Lookup!G$3,B945,Lookup!H$3)),"no url")</f>
        <v>no url</v>
      </c>
    </row>
    <row r="946" spans="1:6" hidden="1" x14ac:dyDescent="0.25">
      <c r="A946" s="2" t="b">
        <f>IF(ISBLANK(InfoGard!D946),FALSE,LOOKUP(InfoGard!D946,Lookup!$A$2:$B$4))</f>
        <v>0</v>
      </c>
      <c r="B946" s="2" t="b">
        <f>IF(ISBLANK(InfoGard!E946),FALSE,RIGHT(TRIM(InfoGard!E946),15))</f>
        <v>0</v>
      </c>
      <c r="C946" s="2" t="b">
        <f>IF(ISBLANK(InfoGard!F946),FALSE,LOOKUP(InfoGard!F946,Lookup!$A$6:$B$7))</f>
        <v>0</v>
      </c>
      <c r="D946" s="2" t="b">
        <f>IF(ISBLANK(InfoGard!G946),FALSE,InfoGard!G946)</f>
        <v>0</v>
      </c>
      <c r="E946" s="2" t="str">
        <f>IF(NOT(ISBLANK(InfoGard!D946)),IF(OR(ISBLANK(InfoGard!E946),InfoGard!E946="N/A"),"no acb code",CONCATENATE(Lookup!F$1,A946,Lookup!G$1,B946,Lookup!H$1,H$1,Lookup!I$1)),"no attestation")</f>
        <v>no attestation</v>
      </c>
      <c r="F946" s="2" t="str">
        <f>IF(AND(NOT(ISBLANK(InfoGard!G946)),InfoGard!G946&lt;&gt;"N/A"),IF(C946="All",CONCATENATE(Lookup!F$2,D946,Lookup!G$2,B946,Lookup!H$2,H$1,Lookup!I$2),CONCATENATE(Lookup!F$3,D946,Lookup!G$3,B946,Lookup!H$3)),"no url")</f>
        <v>no url</v>
      </c>
    </row>
    <row r="947" spans="1:6" hidden="1" x14ac:dyDescent="0.25">
      <c r="A947" s="2" t="b">
        <f>IF(ISBLANK(InfoGard!D947),FALSE,LOOKUP(InfoGard!D947,Lookup!$A$2:$B$4))</f>
        <v>0</v>
      </c>
      <c r="B947" s="2" t="b">
        <f>IF(ISBLANK(InfoGard!E947),FALSE,RIGHT(TRIM(InfoGard!E947),15))</f>
        <v>0</v>
      </c>
      <c r="C947" s="2" t="b">
        <f>IF(ISBLANK(InfoGard!F947),FALSE,LOOKUP(InfoGard!F947,Lookup!$A$6:$B$7))</f>
        <v>0</v>
      </c>
      <c r="D947" s="2" t="b">
        <f>IF(ISBLANK(InfoGard!G947),FALSE,InfoGard!G947)</f>
        <v>0</v>
      </c>
      <c r="E947" s="2" t="str">
        <f>IF(NOT(ISBLANK(InfoGard!D947)),IF(OR(ISBLANK(InfoGard!E947),InfoGard!E947="N/A"),"no acb code",CONCATENATE(Lookup!F$1,A947,Lookup!G$1,B947,Lookup!H$1,H$1,Lookup!I$1)),"no attestation")</f>
        <v>no attestation</v>
      </c>
      <c r="F947" s="2" t="str">
        <f>IF(AND(NOT(ISBLANK(InfoGard!G947)),InfoGard!G947&lt;&gt;"N/A"),IF(C947="All",CONCATENATE(Lookup!F$2,D947,Lookup!G$2,B947,Lookup!H$2,H$1,Lookup!I$2),CONCATENATE(Lookup!F$3,D947,Lookup!G$3,B947,Lookup!H$3)),"no url")</f>
        <v>no url</v>
      </c>
    </row>
    <row r="948" spans="1:6" hidden="1" x14ac:dyDescent="0.25">
      <c r="A948" s="2" t="b">
        <f>IF(ISBLANK(InfoGard!D948),FALSE,LOOKUP(InfoGard!D948,Lookup!$A$2:$B$4))</f>
        <v>0</v>
      </c>
      <c r="B948" s="2" t="b">
        <f>IF(ISBLANK(InfoGard!E948),FALSE,RIGHT(TRIM(InfoGard!E948),15))</f>
        <v>0</v>
      </c>
      <c r="C948" s="2" t="b">
        <f>IF(ISBLANK(InfoGard!F948),FALSE,LOOKUP(InfoGard!F948,Lookup!$A$6:$B$7))</f>
        <v>0</v>
      </c>
      <c r="D948" s="2" t="b">
        <f>IF(ISBLANK(InfoGard!G948),FALSE,InfoGard!G948)</f>
        <v>0</v>
      </c>
      <c r="E948" s="2" t="str">
        <f>IF(NOT(ISBLANK(InfoGard!D948)),IF(OR(ISBLANK(InfoGard!E948),InfoGard!E948="N/A"),"no acb code",CONCATENATE(Lookup!F$1,A948,Lookup!G$1,B948,Lookup!H$1,H$1,Lookup!I$1)),"no attestation")</f>
        <v>no attestation</v>
      </c>
      <c r="F948" s="2" t="str">
        <f>IF(AND(NOT(ISBLANK(InfoGard!G948)),InfoGard!G948&lt;&gt;"N/A"),IF(C948="All",CONCATENATE(Lookup!F$2,D948,Lookup!G$2,B948,Lookup!H$2,H$1,Lookup!I$2),CONCATENATE(Lookup!F$3,D948,Lookup!G$3,B948,Lookup!H$3)),"no url")</f>
        <v>no url</v>
      </c>
    </row>
    <row r="949" spans="1:6" hidden="1" x14ac:dyDescent="0.25">
      <c r="A949" s="2" t="b">
        <f>IF(ISBLANK(InfoGard!D949),FALSE,LOOKUP(InfoGard!D949,Lookup!$A$2:$B$4))</f>
        <v>0</v>
      </c>
      <c r="B949" s="2" t="b">
        <f>IF(ISBLANK(InfoGard!E949),FALSE,RIGHT(TRIM(InfoGard!E949),15))</f>
        <v>0</v>
      </c>
      <c r="C949" s="2" t="b">
        <f>IF(ISBLANK(InfoGard!F949),FALSE,LOOKUP(InfoGard!F949,Lookup!$A$6:$B$7))</f>
        <v>0</v>
      </c>
      <c r="D949" s="2" t="b">
        <f>IF(ISBLANK(InfoGard!G949),FALSE,InfoGard!G949)</f>
        <v>0</v>
      </c>
      <c r="E949" s="2" t="str">
        <f>IF(NOT(ISBLANK(InfoGard!D949)),IF(OR(ISBLANK(InfoGard!E949),InfoGard!E949="N/A"),"no acb code",CONCATENATE(Lookup!F$1,A949,Lookup!G$1,B949,Lookup!H$1,H$1,Lookup!I$1)),"no attestation")</f>
        <v>no attestation</v>
      </c>
      <c r="F949" s="2" t="str">
        <f>IF(AND(NOT(ISBLANK(InfoGard!G949)),InfoGard!G949&lt;&gt;"N/A"),IF(C949="All",CONCATENATE(Lookup!F$2,D949,Lookup!G$2,B949,Lookup!H$2,H$1,Lookup!I$2),CONCATENATE(Lookup!F$3,D949,Lookup!G$3,B949,Lookup!H$3)),"no url")</f>
        <v>no url</v>
      </c>
    </row>
    <row r="950" spans="1:6" hidden="1" x14ac:dyDescent="0.25">
      <c r="A950" s="2" t="b">
        <f>IF(ISBLANK(InfoGard!D950),FALSE,LOOKUP(InfoGard!D950,Lookup!$A$2:$B$4))</f>
        <v>0</v>
      </c>
      <c r="B950" s="2" t="b">
        <f>IF(ISBLANK(InfoGard!E950),FALSE,RIGHT(TRIM(InfoGard!E950),15))</f>
        <v>0</v>
      </c>
      <c r="C950" s="2" t="b">
        <f>IF(ISBLANK(InfoGard!F950),FALSE,LOOKUP(InfoGard!F950,Lookup!$A$6:$B$7))</f>
        <v>0</v>
      </c>
      <c r="D950" s="2" t="b">
        <f>IF(ISBLANK(InfoGard!G950),FALSE,InfoGard!G950)</f>
        <v>0</v>
      </c>
      <c r="E950" s="2" t="str">
        <f>IF(NOT(ISBLANK(InfoGard!D950)),IF(OR(ISBLANK(InfoGard!E950),InfoGard!E950="N/A"),"no acb code",CONCATENATE(Lookup!F$1,A950,Lookup!G$1,B950,Lookup!H$1,H$1,Lookup!I$1)),"no attestation")</f>
        <v>no attestation</v>
      </c>
      <c r="F950" s="2" t="str">
        <f>IF(AND(NOT(ISBLANK(InfoGard!G950)),InfoGard!G950&lt;&gt;"N/A"),IF(C950="All",CONCATENATE(Lookup!F$2,D950,Lookup!G$2,B950,Lookup!H$2,H$1,Lookup!I$2),CONCATENATE(Lookup!F$3,D950,Lookup!G$3,B950,Lookup!H$3)),"no url")</f>
        <v>no url</v>
      </c>
    </row>
    <row r="951" spans="1:6" hidden="1" x14ac:dyDescent="0.25">
      <c r="A951" s="2" t="b">
        <f>IF(ISBLANK(InfoGard!D951),FALSE,LOOKUP(InfoGard!D951,Lookup!$A$2:$B$4))</f>
        <v>0</v>
      </c>
      <c r="B951" s="2" t="b">
        <f>IF(ISBLANK(InfoGard!E951),FALSE,RIGHT(TRIM(InfoGard!E951),15))</f>
        <v>0</v>
      </c>
      <c r="C951" s="2" t="b">
        <f>IF(ISBLANK(InfoGard!F951),FALSE,LOOKUP(InfoGard!F951,Lookup!$A$6:$B$7))</f>
        <v>0</v>
      </c>
      <c r="D951" s="2" t="b">
        <f>IF(ISBLANK(InfoGard!G951),FALSE,InfoGard!G951)</f>
        <v>0</v>
      </c>
      <c r="E951" s="2" t="str">
        <f>IF(NOT(ISBLANK(InfoGard!D951)),IF(OR(ISBLANK(InfoGard!E951),InfoGard!E951="N/A"),"no acb code",CONCATENATE(Lookup!F$1,A951,Lookup!G$1,B951,Lookup!H$1,H$1,Lookup!I$1)),"no attestation")</f>
        <v>no attestation</v>
      </c>
      <c r="F951" s="2" t="str">
        <f>IF(AND(NOT(ISBLANK(InfoGard!G951)),InfoGard!G951&lt;&gt;"N/A"),IF(C951="All",CONCATENATE(Lookup!F$2,D951,Lookup!G$2,B951,Lookup!H$2,H$1,Lookup!I$2),CONCATENATE(Lookup!F$3,D951,Lookup!G$3,B951,Lookup!H$3)),"no url")</f>
        <v>no url</v>
      </c>
    </row>
    <row r="952" spans="1:6" hidden="1" x14ac:dyDescent="0.25">
      <c r="A952" s="2" t="b">
        <f>IF(ISBLANK(InfoGard!D952),FALSE,LOOKUP(InfoGard!D952,Lookup!$A$2:$B$4))</f>
        <v>0</v>
      </c>
      <c r="B952" s="2" t="b">
        <f>IF(ISBLANK(InfoGard!E952),FALSE,RIGHT(TRIM(InfoGard!E952),15))</f>
        <v>0</v>
      </c>
      <c r="C952" s="2" t="b">
        <f>IF(ISBLANK(InfoGard!F952),FALSE,LOOKUP(InfoGard!F952,Lookup!$A$6:$B$7))</f>
        <v>0</v>
      </c>
      <c r="D952" s="2" t="b">
        <f>IF(ISBLANK(InfoGard!G952),FALSE,InfoGard!G952)</f>
        <v>0</v>
      </c>
      <c r="E952" s="2" t="str">
        <f>IF(NOT(ISBLANK(InfoGard!D952)),IF(OR(ISBLANK(InfoGard!E952),InfoGard!E952="N/A"),"no acb code",CONCATENATE(Lookup!F$1,A952,Lookup!G$1,B952,Lookup!H$1,H$1,Lookup!I$1)),"no attestation")</f>
        <v>no attestation</v>
      </c>
      <c r="F952" s="2" t="str">
        <f>IF(AND(NOT(ISBLANK(InfoGard!G952)),InfoGard!G952&lt;&gt;"N/A"),IF(C952="All",CONCATENATE(Lookup!F$2,D952,Lookup!G$2,B952,Lookup!H$2,H$1,Lookup!I$2),CONCATENATE(Lookup!F$3,D952,Lookup!G$3,B952,Lookup!H$3)),"no url")</f>
        <v>no url</v>
      </c>
    </row>
    <row r="953" spans="1:6" hidden="1" x14ac:dyDescent="0.25">
      <c r="A953" s="2" t="b">
        <f>IF(ISBLANK(InfoGard!D953),FALSE,LOOKUP(InfoGard!D953,Lookup!$A$2:$B$4))</f>
        <v>0</v>
      </c>
      <c r="B953" s="2" t="b">
        <f>IF(ISBLANK(InfoGard!E953),FALSE,RIGHT(TRIM(InfoGard!E953),15))</f>
        <v>0</v>
      </c>
      <c r="C953" s="2" t="b">
        <f>IF(ISBLANK(InfoGard!F953),FALSE,LOOKUP(InfoGard!F953,Lookup!$A$6:$B$7))</f>
        <v>0</v>
      </c>
      <c r="D953" s="2" t="b">
        <f>IF(ISBLANK(InfoGard!G953),FALSE,InfoGard!G953)</f>
        <v>0</v>
      </c>
      <c r="E953" s="2" t="str">
        <f>IF(NOT(ISBLANK(InfoGard!D953)),IF(OR(ISBLANK(InfoGard!E953),InfoGard!E953="N/A"),"no acb code",CONCATENATE(Lookup!F$1,A953,Lookup!G$1,B953,Lookup!H$1,H$1,Lookup!I$1)),"no attestation")</f>
        <v>no attestation</v>
      </c>
      <c r="F953" s="2" t="str">
        <f>IF(AND(NOT(ISBLANK(InfoGard!G953)),InfoGard!G953&lt;&gt;"N/A"),IF(C953="All",CONCATENATE(Lookup!F$2,D953,Lookup!G$2,B953,Lookup!H$2,H$1,Lookup!I$2),CONCATENATE(Lookup!F$3,D953,Lookup!G$3,B953,Lookup!H$3)),"no url")</f>
        <v>no url</v>
      </c>
    </row>
    <row r="954" spans="1:6" hidden="1" x14ac:dyDescent="0.25">
      <c r="A954" s="2" t="b">
        <f>IF(ISBLANK(InfoGard!D954),FALSE,LOOKUP(InfoGard!D954,Lookup!$A$2:$B$4))</f>
        <v>0</v>
      </c>
      <c r="B954" s="2" t="b">
        <f>IF(ISBLANK(InfoGard!E954),FALSE,RIGHT(TRIM(InfoGard!E954),15))</f>
        <v>0</v>
      </c>
      <c r="C954" s="2" t="b">
        <f>IF(ISBLANK(InfoGard!F954),FALSE,LOOKUP(InfoGard!F954,Lookup!$A$6:$B$7))</f>
        <v>0</v>
      </c>
      <c r="D954" s="2" t="b">
        <f>IF(ISBLANK(InfoGard!G954),FALSE,InfoGard!G954)</f>
        <v>0</v>
      </c>
      <c r="E954" s="2" t="str">
        <f>IF(NOT(ISBLANK(InfoGard!D954)),IF(OR(ISBLANK(InfoGard!E954),InfoGard!E954="N/A"),"no acb code",CONCATENATE(Lookup!F$1,A954,Lookup!G$1,B954,Lookup!H$1,H$1,Lookup!I$1)),"no attestation")</f>
        <v>no attestation</v>
      </c>
      <c r="F954" s="2" t="str">
        <f>IF(AND(NOT(ISBLANK(InfoGard!G954)),InfoGard!G954&lt;&gt;"N/A"),IF(C954="All",CONCATENATE(Lookup!F$2,D954,Lookup!G$2,B954,Lookup!H$2,H$1,Lookup!I$2),CONCATENATE(Lookup!F$3,D954,Lookup!G$3,B954,Lookup!H$3)),"no url")</f>
        <v>no url</v>
      </c>
    </row>
    <row r="955" spans="1:6" hidden="1" x14ac:dyDescent="0.25">
      <c r="A955" s="2" t="b">
        <f>IF(ISBLANK(InfoGard!D955),FALSE,LOOKUP(InfoGard!D955,Lookup!$A$2:$B$4))</f>
        <v>0</v>
      </c>
      <c r="B955" s="2" t="b">
        <f>IF(ISBLANK(InfoGard!E955),FALSE,RIGHT(TRIM(InfoGard!E955),15))</f>
        <v>0</v>
      </c>
      <c r="C955" s="2" t="b">
        <f>IF(ISBLANK(InfoGard!F955),FALSE,LOOKUP(InfoGard!F955,Lookup!$A$6:$B$7))</f>
        <v>0</v>
      </c>
      <c r="D955" s="2" t="b">
        <f>IF(ISBLANK(InfoGard!G955),FALSE,InfoGard!G955)</f>
        <v>0</v>
      </c>
      <c r="E955" s="2" t="str">
        <f>IF(NOT(ISBLANK(InfoGard!D955)),IF(OR(ISBLANK(InfoGard!E955),InfoGard!E955="N/A"),"no acb code",CONCATENATE(Lookup!F$1,A955,Lookup!G$1,B955,Lookup!H$1,H$1,Lookup!I$1)),"no attestation")</f>
        <v>no attestation</v>
      </c>
      <c r="F955" s="2" t="str">
        <f>IF(AND(NOT(ISBLANK(InfoGard!G955)),InfoGard!G955&lt;&gt;"N/A"),IF(C955="All",CONCATENATE(Lookup!F$2,D955,Lookup!G$2,B955,Lookup!H$2,H$1,Lookup!I$2),CONCATENATE(Lookup!F$3,D955,Lookup!G$3,B955,Lookup!H$3)),"no url")</f>
        <v>no url</v>
      </c>
    </row>
    <row r="956" spans="1:6" hidden="1" x14ac:dyDescent="0.25">
      <c r="A956" s="2" t="b">
        <f>IF(ISBLANK(InfoGard!D956),FALSE,LOOKUP(InfoGard!D956,Lookup!$A$2:$B$4))</f>
        <v>0</v>
      </c>
      <c r="B956" s="2" t="b">
        <f>IF(ISBLANK(InfoGard!E956),FALSE,RIGHT(TRIM(InfoGard!E956),15))</f>
        <v>0</v>
      </c>
      <c r="C956" s="2" t="b">
        <f>IF(ISBLANK(InfoGard!F956),FALSE,LOOKUP(InfoGard!F956,Lookup!$A$6:$B$7))</f>
        <v>0</v>
      </c>
      <c r="D956" s="2" t="b">
        <f>IF(ISBLANK(InfoGard!G956),FALSE,InfoGard!G956)</f>
        <v>0</v>
      </c>
      <c r="E956" s="2" t="str">
        <f>IF(NOT(ISBLANK(InfoGard!D956)),IF(OR(ISBLANK(InfoGard!E956),InfoGard!E956="N/A"),"no acb code",CONCATENATE(Lookup!F$1,A956,Lookup!G$1,B956,Lookup!H$1,H$1,Lookup!I$1)),"no attestation")</f>
        <v>no attestation</v>
      </c>
      <c r="F956" s="2" t="str">
        <f>IF(AND(NOT(ISBLANK(InfoGard!G956)),InfoGard!G956&lt;&gt;"N/A"),IF(C956="All",CONCATENATE(Lookup!F$2,D956,Lookup!G$2,B956,Lookup!H$2,H$1,Lookup!I$2),CONCATENATE(Lookup!F$3,D956,Lookup!G$3,B956,Lookup!H$3)),"no url")</f>
        <v>no url</v>
      </c>
    </row>
    <row r="957" spans="1:6" x14ac:dyDescent="0.25">
      <c r="A957" s="2" t="str">
        <f>IF(ISBLANK(InfoGard!D957),FALSE,LOOKUP(InfoGard!D957,Lookup!$A$2:$B$4))</f>
        <v>Affirmative</v>
      </c>
      <c r="B957" s="2" t="str">
        <f>IF(ISBLANK(InfoGard!E957),FALSE,RIGHT(TRIM(InfoGard!E957),15))</f>
        <v>IG-2353-13-0038</v>
      </c>
      <c r="C957" s="2" t="str">
        <f>IF(ISBLANK(InfoGard!F957),FALSE,LOOKUP(InfoGard!F957,Lookup!$A$6:$B$7))</f>
        <v>All</v>
      </c>
      <c r="D957" s="2" t="str">
        <f>IF(ISBLANK(InfoGard!G957),FALSE,InfoGard!G957)</f>
        <v>http://www.modulemd.com/value-stack/onc-certified.html</v>
      </c>
      <c r="E957" s="2" t="str">
        <f>IF(NOT(ISBLANK(InfoGard!D957)),IF(OR(ISBLANK(InfoGard!E957),InfoGard!E957="N/A"),"no acb code",CONCATENATE(Lookup!F$1,A957,Lookup!G$1,B957,Lookup!H$1,H$1,Lookup!I$1)),"no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'IG-2353-13-0038' and cb."name" = 'InfoGard' and cp.product_version_id = pv.product_version_id and pv.product_id = p.product_id and p.vendor_id = vend.vendor_id;</v>
      </c>
      <c r="F957" s="2" t="str">
        <f>IF(AND(NOT(ISBLANK(InfoGard!G957)),InfoGard!G957&lt;&gt;"N/A"),IF(C957="All",CONCATENATE(Lookup!F$2,D957,Lookup!G$2,B957,Lookup!H$2,H$1,Lookup!I$2),CONCATENATE(Lookup!F$3,D957,Lookup!G$3,B957,Lookup!H$3)),"no url")</f>
        <v>update openchpl.certified_product as cp set transparency_attestation_url = 'http://www.modulemd.com/value-stack/onc-certified.html' from (select certified_product_id from (select vend.vendor_code from openchpl.certified_product as cp, openchpl.product_version as pv, openchpl.product as p, openchpl.vendor as vend where cp.acb_certification_id = 'IG-2353-13-0038'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58" spans="1:6" hidden="1" x14ac:dyDescent="0.25">
      <c r="A958" s="2" t="b">
        <f>IF(ISBLANK(InfoGard!D958),FALSE,LOOKUP(InfoGard!D958,Lookup!$A$2:$B$4))</f>
        <v>0</v>
      </c>
      <c r="B958" s="2" t="b">
        <f>IF(ISBLANK(InfoGard!E958),FALSE,RIGHT(TRIM(InfoGard!E958),15))</f>
        <v>0</v>
      </c>
      <c r="C958" s="2" t="b">
        <f>IF(ISBLANK(InfoGard!F958),FALSE,LOOKUP(InfoGard!F958,Lookup!$A$6:$B$7))</f>
        <v>0</v>
      </c>
      <c r="D958" s="2" t="b">
        <f>IF(ISBLANK(InfoGard!G958),FALSE,InfoGard!G958)</f>
        <v>0</v>
      </c>
      <c r="E958" s="2" t="str">
        <f>IF(NOT(ISBLANK(InfoGard!D958)),IF(OR(ISBLANK(InfoGard!E958),InfoGard!E958="N/A"),"no acb code",CONCATENATE(Lookup!F$1,A958,Lookup!G$1,B958,Lookup!H$1,H$1,Lookup!I$1)),"no attestation")</f>
        <v>no attestation</v>
      </c>
      <c r="F958" s="2" t="str">
        <f>IF(AND(NOT(ISBLANK(InfoGard!G958)),InfoGard!G958&lt;&gt;"N/A"),IF(C958="All",CONCATENATE(Lookup!F$2,D958,Lookup!G$2,B958,Lookup!H$2,H$1,Lookup!I$2),CONCATENATE(Lookup!F$3,D958,Lookup!G$3,B958,Lookup!H$3)),"no url")</f>
        <v>no url</v>
      </c>
    </row>
    <row r="959" spans="1:6" hidden="1" x14ac:dyDescent="0.25">
      <c r="A959" s="2" t="b">
        <f>IF(ISBLANK(InfoGard!D959),FALSE,LOOKUP(InfoGard!D959,Lookup!$A$2:$B$4))</f>
        <v>0</v>
      </c>
      <c r="B959" s="2" t="b">
        <f>IF(ISBLANK(InfoGard!E959),FALSE,RIGHT(TRIM(InfoGard!E959),15))</f>
        <v>0</v>
      </c>
      <c r="C959" s="2" t="b">
        <f>IF(ISBLANK(InfoGard!F959),FALSE,LOOKUP(InfoGard!F959,Lookup!$A$6:$B$7))</f>
        <v>0</v>
      </c>
      <c r="D959" s="2" t="b">
        <f>IF(ISBLANK(InfoGard!G959),FALSE,InfoGard!G959)</f>
        <v>0</v>
      </c>
      <c r="E959" s="2" t="str">
        <f>IF(NOT(ISBLANK(InfoGard!D959)),IF(OR(ISBLANK(InfoGard!E959),InfoGard!E959="N/A"),"no acb code",CONCATENATE(Lookup!F$1,A959,Lookup!G$1,B959,Lookup!H$1,H$1,Lookup!I$1)),"no attestation")</f>
        <v>no attestation</v>
      </c>
      <c r="F959" s="2" t="str">
        <f>IF(AND(NOT(ISBLANK(InfoGard!G959)),InfoGard!G959&lt;&gt;"N/A"),IF(C959="All",CONCATENATE(Lookup!F$2,D959,Lookup!G$2,B959,Lookup!H$2,H$1,Lookup!I$2),CONCATENATE(Lookup!F$3,D959,Lookup!G$3,B959,Lookup!H$3)),"no url")</f>
        <v>no url</v>
      </c>
    </row>
    <row r="960" spans="1:6" hidden="1" x14ac:dyDescent="0.25">
      <c r="A960" s="2" t="b">
        <f>IF(ISBLANK(InfoGard!D960),FALSE,LOOKUP(InfoGard!D960,Lookup!$A$2:$B$4))</f>
        <v>0</v>
      </c>
      <c r="B960" s="2" t="b">
        <f>IF(ISBLANK(InfoGard!E960),FALSE,RIGHT(TRIM(InfoGard!E960),15))</f>
        <v>0</v>
      </c>
      <c r="C960" s="2" t="b">
        <f>IF(ISBLANK(InfoGard!F960),FALSE,LOOKUP(InfoGard!F960,Lookup!$A$6:$B$7))</f>
        <v>0</v>
      </c>
      <c r="D960" s="2" t="b">
        <f>IF(ISBLANK(InfoGard!G960),FALSE,InfoGard!G960)</f>
        <v>0</v>
      </c>
      <c r="E960" s="2" t="str">
        <f>IF(NOT(ISBLANK(InfoGard!D960)),IF(OR(ISBLANK(InfoGard!E960),InfoGard!E960="N/A"),"no acb code",CONCATENATE(Lookup!F$1,A960,Lookup!G$1,B960,Lookup!H$1,H$1,Lookup!I$1)),"no attestation")</f>
        <v>no attestation</v>
      </c>
      <c r="F960" s="2" t="str">
        <f>IF(AND(NOT(ISBLANK(InfoGard!G960)),InfoGard!G960&lt;&gt;"N/A"),IF(C960="All",CONCATENATE(Lookup!F$2,D960,Lookup!G$2,B960,Lookup!H$2,H$1,Lookup!I$2),CONCATENATE(Lookup!F$3,D960,Lookup!G$3,B960,Lookup!H$3)),"no url")</f>
        <v>no url</v>
      </c>
    </row>
    <row r="961" spans="1:6" hidden="1" x14ac:dyDescent="0.25">
      <c r="A961" s="2" t="b">
        <f>IF(ISBLANK(InfoGard!D961),FALSE,LOOKUP(InfoGard!D961,Lookup!$A$2:$B$4))</f>
        <v>0</v>
      </c>
      <c r="B961" s="2" t="b">
        <f>IF(ISBLANK(InfoGard!E961),FALSE,RIGHT(TRIM(InfoGard!E961),15))</f>
        <v>0</v>
      </c>
      <c r="C961" s="2" t="b">
        <f>IF(ISBLANK(InfoGard!F961),FALSE,LOOKUP(InfoGard!F961,Lookup!$A$6:$B$7))</f>
        <v>0</v>
      </c>
      <c r="D961" s="2" t="b">
        <f>IF(ISBLANK(InfoGard!G961),FALSE,InfoGard!G961)</f>
        <v>0</v>
      </c>
      <c r="E961" s="2" t="str">
        <f>IF(NOT(ISBLANK(InfoGard!D961)),IF(OR(ISBLANK(InfoGard!E961),InfoGard!E961="N/A"),"no acb code",CONCATENATE(Lookup!F$1,A961,Lookup!G$1,B961,Lookup!H$1,H$1,Lookup!I$1)),"no attestation")</f>
        <v>no attestation</v>
      </c>
      <c r="F961" s="2" t="str">
        <f>IF(AND(NOT(ISBLANK(InfoGard!G961)),InfoGard!G961&lt;&gt;"N/A"),IF(C961="All",CONCATENATE(Lookup!F$2,D961,Lookup!G$2,B961,Lookup!H$2,H$1,Lookup!I$2),CONCATENATE(Lookup!F$3,D961,Lookup!G$3,B961,Lookup!H$3)),"no url")</f>
        <v>no url</v>
      </c>
    </row>
    <row r="962" spans="1:6" hidden="1" x14ac:dyDescent="0.25">
      <c r="A962" s="2" t="b">
        <f>IF(ISBLANK(InfoGard!D962),FALSE,LOOKUP(InfoGard!D962,Lookup!$A$2:$B$4))</f>
        <v>0</v>
      </c>
      <c r="B962" s="2" t="b">
        <f>IF(ISBLANK(InfoGard!E962),FALSE,RIGHT(TRIM(InfoGard!E962),15))</f>
        <v>0</v>
      </c>
      <c r="C962" s="2" t="b">
        <f>IF(ISBLANK(InfoGard!F962),FALSE,LOOKUP(InfoGard!F962,Lookup!$A$6:$B$7))</f>
        <v>0</v>
      </c>
      <c r="D962" s="2" t="b">
        <f>IF(ISBLANK(InfoGard!G962),FALSE,InfoGard!G962)</f>
        <v>0</v>
      </c>
      <c r="E962" s="2" t="str">
        <f>IF(NOT(ISBLANK(InfoGard!D962)),IF(OR(ISBLANK(InfoGard!E962),InfoGard!E962="N/A"),"no acb code",CONCATENATE(Lookup!F$1,A962,Lookup!G$1,B962,Lookup!H$1,H$1,Lookup!I$1)),"no attestation")</f>
        <v>no attestation</v>
      </c>
      <c r="F962" s="2" t="str">
        <f>IF(AND(NOT(ISBLANK(InfoGard!G962)),InfoGard!G962&lt;&gt;"N/A"),IF(C962="All",CONCATENATE(Lookup!F$2,D962,Lookup!G$2,B962,Lookup!H$2,H$1,Lookup!I$2),CONCATENATE(Lookup!F$3,D962,Lookup!G$3,B962,Lookup!H$3)),"no url")</f>
        <v>no url</v>
      </c>
    </row>
    <row r="963" spans="1:6" hidden="1" x14ac:dyDescent="0.25">
      <c r="A963" s="2" t="b">
        <f>IF(ISBLANK(InfoGard!D963),FALSE,LOOKUP(InfoGard!D963,Lookup!$A$2:$B$4))</f>
        <v>0</v>
      </c>
      <c r="B963" s="2" t="b">
        <f>IF(ISBLANK(InfoGard!E963),FALSE,RIGHT(TRIM(InfoGard!E963),15))</f>
        <v>0</v>
      </c>
      <c r="C963" s="2" t="b">
        <f>IF(ISBLANK(InfoGard!F963),FALSE,LOOKUP(InfoGard!F963,Lookup!$A$6:$B$7))</f>
        <v>0</v>
      </c>
      <c r="D963" s="2" t="b">
        <f>IF(ISBLANK(InfoGard!G963),FALSE,InfoGard!G963)</f>
        <v>0</v>
      </c>
      <c r="E963" s="2" t="str">
        <f>IF(NOT(ISBLANK(InfoGard!D963)),IF(OR(ISBLANK(InfoGard!E963),InfoGard!E963="N/A"),"no acb code",CONCATENATE(Lookup!F$1,A963,Lookup!G$1,B963,Lookup!H$1,H$1,Lookup!I$1)),"no attestation")</f>
        <v>no attestation</v>
      </c>
      <c r="F963" s="2" t="str">
        <f>IF(AND(NOT(ISBLANK(InfoGard!G963)),InfoGard!G963&lt;&gt;"N/A"),IF(C963="All",CONCATENATE(Lookup!F$2,D963,Lookup!G$2,B963,Lookup!H$2,H$1,Lookup!I$2),CONCATENATE(Lookup!F$3,D963,Lookup!G$3,B963,Lookup!H$3)),"no url")</f>
        <v>no url</v>
      </c>
    </row>
    <row r="964" spans="1:6" hidden="1" x14ac:dyDescent="0.25">
      <c r="A964" s="2" t="b">
        <f>IF(ISBLANK(InfoGard!D964),FALSE,LOOKUP(InfoGard!D964,Lookup!$A$2:$B$4))</f>
        <v>0</v>
      </c>
      <c r="B964" s="2" t="b">
        <f>IF(ISBLANK(InfoGard!E964),FALSE,RIGHT(TRIM(InfoGard!E964),15))</f>
        <v>0</v>
      </c>
      <c r="C964" s="2" t="b">
        <f>IF(ISBLANK(InfoGard!F964),FALSE,LOOKUP(InfoGard!F964,Lookup!$A$6:$B$7))</f>
        <v>0</v>
      </c>
      <c r="D964" s="2" t="b">
        <f>IF(ISBLANK(InfoGard!G964),FALSE,InfoGard!G964)</f>
        <v>0</v>
      </c>
      <c r="E964" s="2" t="str">
        <f>IF(NOT(ISBLANK(InfoGard!D964)),IF(OR(ISBLANK(InfoGard!E964),InfoGard!E964="N/A"),"no acb code",CONCATENATE(Lookup!F$1,A964,Lookup!G$1,B964,Lookup!H$1,H$1,Lookup!I$1)),"no attestation")</f>
        <v>no attestation</v>
      </c>
      <c r="F964" s="2" t="str">
        <f>IF(AND(NOT(ISBLANK(InfoGard!G964)),InfoGard!G964&lt;&gt;"N/A"),IF(C964="All",CONCATENATE(Lookup!F$2,D964,Lookup!G$2,B964,Lookup!H$2,H$1,Lookup!I$2),CONCATENATE(Lookup!F$3,D964,Lookup!G$3,B964,Lookup!H$3)),"no url")</f>
        <v>no url</v>
      </c>
    </row>
    <row r="965" spans="1:6" hidden="1" x14ac:dyDescent="0.25">
      <c r="A965" s="2" t="b">
        <f>IF(ISBLANK(InfoGard!D965),FALSE,LOOKUP(InfoGard!D965,Lookup!$A$2:$B$4))</f>
        <v>0</v>
      </c>
      <c r="B965" s="2" t="b">
        <f>IF(ISBLANK(InfoGard!E965),FALSE,RIGHT(TRIM(InfoGard!E965),15))</f>
        <v>0</v>
      </c>
      <c r="C965" s="2" t="b">
        <f>IF(ISBLANK(InfoGard!F965),FALSE,LOOKUP(InfoGard!F965,Lookup!$A$6:$B$7))</f>
        <v>0</v>
      </c>
      <c r="D965" s="2" t="b">
        <f>IF(ISBLANK(InfoGard!G965),FALSE,InfoGard!G965)</f>
        <v>0</v>
      </c>
      <c r="E965" s="2" t="str">
        <f>IF(NOT(ISBLANK(InfoGard!D965)),IF(OR(ISBLANK(InfoGard!E965),InfoGard!E965="N/A"),"no acb code",CONCATENATE(Lookup!F$1,A965,Lookup!G$1,B965,Lookup!H$1,H$1,Lookup!I$1)),"no attestation")</f>
        <v>no attestation</v>
      </c>
      <c r="F965" s="2" t="str">
        <f>IF(AND(NOT(ISBLANK(InfoGard!G965)),InfoGard!G965&lt;&gt;"N/A"),IF(C965="All",CONCATENATE(Lookup!F$2,D965,Lookup!G$2,B965,Lookup!H$2,H$1,Lookup!I$2),CONCATENATE(Lookup!F$3,D965,Lookup!G$3,B965,Lookup!H$3)),"no url")</f>
        <v>no url</v>
      </c>
    </row>
    <row r="966" spans="1:6" hidden="1" x14ac:dyDescent="0.25">
      <c r="A966" s="2" t="b">
        <f>IF(ISBLANK(InfoGard!D966),FALSE,LOOKUP(InfoGard!D966,Lookup!$A$2:$B$4))</f>
        <v>0</v>
      </c>
      <c r="B966" s="2" t="b">
        <f>IF(ISBLANK(InfoGard!E966),FALSE,RIGHT(TRIM(InfoGard!E966),15))</f>
        <v>0</v>
      </c>
      <c r="C966" s="2" t="b">
        <f>IF(ISBLANK(InfoGard!F966),FALSE,LOOKUP(InfoGard!F966,Lookup!$A$6:$B$7))</f>
        <v>0</v>
      </c>
      <c r="D966" s="2" t="b">
        <f>IF(ISBLANK(InfoGard!G966),FALSE,InfoGard!G966)</f>
        <v>0</v>
      </c>
      <c r="E966" s="2" t="str">
        <f>IF(NOT(ISBLANK(InfoGard!D966)),IF(OR(ISBLANK(InfoGard!E966),InfoGard!E966="N/A"),"no acb code",CONCATENATE(Lookup!F$1,A966,Lookup!G$1,B966,Lookup!H$1,H$1,Lookup!I$1)),"no attestation")</f>
        <v>no attestation</v>
      </c>
      <c r="F966" s="2" t="str">
        <f>IF(AND(NOT(ISBLANK(InfoGard!G966)),InfoGard!G966&lt;&gt;"N/A"),IF(C966="All",CONCATENATE(Lookup!F$2,D966,Lookup!G$2,B966,Lookup!H$2,H$1,Lookup!I$2),CONCATENATE(Lookup!F$3,D966,Lookup!G$3,B966,Lookup!H$3)),"no url")</f>
        <v>no url</v>
      </c>
    </row>
    <row r="967" spans="1:6" hidden="1" x14ac:dyDescent="0.25">
      <c r="A967" s="2" t="b">
        <f>IF(ISBLANK(InfoGard!D967),FALSE,LOOKUP(InfoGard!D967,Lookup!$A$2:$B$4))</f>
        <v>0</v>
      </c>
      <c r="B967" s="2" t="b">
        <f>IF(ISBLANK(InfoGard!E967),FALSE,RIGHT(TRIM(InfoGard!E967),15))</f>
        <v>0</v>
      </c>
      <c r="C967" s="2" t="b">
        <f>IF(ISBLANK(InfoGard!F967),FALSE,LOOKUP(InfoGard!F967,Lookup!$A$6:$B$7))</f>
        <v>0</v>
      </c>
      <c r="D967" s="2" t="b">
        <f>IF(ISBLANK(InfoGard!G967),FALSE,InfoGard!G967)</f>
        <v>0</v>
      </c>
      <c r="E967" s="2" t="str">
        <f>IF(NOT(ISBLANK(InfoGard!D967)),IF(OR(ISBLANK(InfoGard!E967),InfoGard!E967="N/A"),"no acb code",CONCATENATE(Lookup!F$1,A967,Lookup!G$1,B967,Lookup!H$1,H$1,Lookup!I$1)),"no attestation")</f>
        <v>no attestation</v>
      </c>
      <c r="F967" s="2" t="str">
        <f>IF(AND(NOT(ISBLANK(InfoGard!G967)),InfoGard!G967&lt;&gt;"N/A"),IF(C967="All",CONCATENATE(Lookup!F$2,D967,Lookup!G$2,B967,Lookup!H$2,H$1,Lookup!I$2),CONCATENATE(Lookup!F$3,D967,Lookup!G$3,B967,Lookup!H$3)),"no url")</f>
        <v>no url</v>
      </c>
    </row>
    <row r="968" spans="1:6" hidden="1" x14ac:dyDescent="0.25">
      <c r="A968" s="2" t="b">
        <f>IF(ISBLANK(InfoGard!D968),FALSE,LOOKUP(InfoGard!D968,Lookup!$A$2:$B$4))</f>
        <v>0</v>
      </c>
      <c r="B968" s="2" t="b">
        <f>IF(ISBLANK(InfoGard!E968),FALSE,RIGHT(TRIM(InfoGard!E968),15))</f>
        <v>0</v>
      </c>
      <c r="C968" s="2" t="b">
        <f>IF(ISBLANK(InfoGard!F968),FALSE,LOOKUP(InfoGard!F968,Lookup!$A$6:$B$7))</f>
        <v>0</v>
      </c>
      <c r="D968" s="2" t="b">
        <f>IF(ISBLANK(InfoGard!G968),FALSE,InfoGard!G968)</f>
        <v>0</v>
      </c>
      <c r="E968" s="2" t="str">
        <f>IF(NOT(ISBLANK(InfoGard!D968)),IF(OR(ISBLANK(InfoGard!E968),InfoGard!E968="N/A"),"no acb code",CONCATENATE(Lookup!F$1,A968,Lookup!G$1,B968,Lookup!H$1,H$1,Lookup!I$1)),"no attestation")</f>
        <v>no attestation</v>
      </c>
      <c r="F968" s="2" t="str">
        <f>IF(AND(NOT(ISBLANK(InfoGard!G968)),InfoGard!G968&lt;&gt;"N/A"),IF(C968="All",CONCATENATE(Lookup!F$2,D968,Lookup!G$2,B968,Lookup!H$2,H$1,Lookup!I$2),CONCATENATE(Lookup!F$3,D968,Lookup!G$3,B968,Lookup!H$3)),"no url")</f>
        <v>no url</v>
      </c>
    </row>
    <row r="969" spans="1:6" hidden="1" x14ac:dyDescent="0.25">
      <c r="A969" s="2" t="b">
        <f>IF(ISBLANK(InfoGard!D969),FALSE,LOOKUP(InfoGard!D969,Lookup!$A$2:$B$4))</f>
        <v>0</v>
      </c>
      <c r="B969" s="2" t="b">
        <f>IF(ISBLANK(InfoGard!E969),FALSE,RIGHT(TRIM(InfoGard!E969),15))</f>
        <v>0</v>
      </c>
      <c r="C969" s="2" t="b">
        <f>IF(ISBLANK(InfoGard!F969),FALSE,LOOKUP(InfoGard!F969,Lookup!$A$6:$B$7))</f>
        <v>0</v>
      </c>
      <c r="D969" s="2" t="b">
        <f>IF(ISBLANK(InfoGard!G969),FALSE,InfoGard!G969)</f>
        <v>0</v>
      </c>
      <c r="E969" s="2" t="str">
        <f>IF(NOT(ISBLANK(InfoGard!D969)),IF(OR(ISBLANK(InfoGard!E969),InfoGard!E969="N/A"),"no acb code",CONCATENATE(Lookup!F$1,A969,Lookup!G$1,B969,Lookup!H$1,H$1,Lookup!I$1)),"no attestation")</f>
        <v>no attestation</v>
      </c>
      <c r="F969" s="2" t="str">
        <f>IF(AND(NOT(ISBLANK(InfoGard!G969)),InfoGard!G969&lt;&gt;"N/A"),IF(C969="All",CONCATENATE(Lookup!F$2,D969,Lookup!G$2,B969,Lookup!H$2,H$1,Lookup!I$2),CONCATENATE(Lookup!F$3,D969,Lookup!G$3,B969,Lookup!H$3)),"no url")</f>
        <v>no url</v>
      </c>
    </row>
    <row r="970" spans="1:6" hidden="1" x14ac:dyDescent="0.25">
      <c r="A970" s="2" t="b">
        <f>IF(ISBLANK(InfoGard!D970),FALSE,LOOKUP(InfoGard!D970,Lookup!$A$2:$B$4))</f>
        <v>0</v>
      </c>
      <c r="B970" s="2" t="b">
        <f>IF(ISBLANK(InfoGard!E970),FALSE,RIGHT(TRIM(InfoGard!E970),15))</f>
        <v>0</v>
      </c>
      <c r="C970" s="2" t="b">
        <f>IF(ISBLANK(InfoGard!F970),FALSE,LOOKUP(InfoGard!F970,Lookup!$A$6:$B$7))</f>
        <v>0</v>
      </c>
      <c r="D970" s="2" t="b">
        <f>IF(ISBLANK(InfoGard!G970),FALSE,InfoGard!G970)</f>
        <v>0</v>
      </c>
      <c r="E970" s="2" t="str">
        <f>IF(NOT(ISBLANK(InfoGard!D970)),IF(OR(ISBLANK(InfoGard!E970),InfoGard!E970="N/A"),"no acb code",CONCATENATE(Lookup!F$1,A970,Lookup!G$1,B970,Lookup!H$1,H$1,Lookup!I$1)),"no attestation")</f>
        <v>no attestation</v>
      </c>
      <c r="F970" s="2" t="str">
        <f>IF(AND(NOT(ISBLANK(InfoGard!G970)),InfoGard!G970&lt;&gt;"N/A"),IF(C970="All",CONCATENATE(Lookup!F$2,D970,Lookup!G$2,B970,Lookup!H$2,H$1,Lookup!I$2),CONCATENATE(Lookup!F$3,D970,Lookup!G$3,B970,Lookup!H$3)),"no url")</f>
        <v>no url</v>
      </c>
    </row>
    <row r="971" spans="1:6" hidden="1" x14ac:dyDescent="0.25">
      <c r="A971" s="2" t="b">
        <f>IF(ISBLANK(InfoGard!D971),FALSE,LOOKUP(InfoGard!D971,Lookup!$A$2:$B$4))</f>
        <v>0</v>
      </c>
      <c r="B971" s="2" t="b">
        <f>IF(ISBLANK(InfoGard!E971),FALSE,RIGHT(TRIM(InfoGard!E971),15))</f>
        <v>0</v>
      </c>
      <c r="C971" s="2" t="b">
        <f>IF(ISBLANK(InfoGard!F971),FALSE,LOOKUP(InfoGard!F971,Lookup!$A$6:$B$7))</f>
        <v>0</v>
      </c>
      <c r="D971" s="2" t="b">
        <f>IF(ISBLANK(InfoGard!G971),FALSE,InfoGard!G971)</f>
        <v>0</v>
      </c>
      <c r="E971" s="2" t="str">
        <f>IF(NOT(ISBLANK(InfoGard!D971)),IF(OR(ISBLANK(InfoGard!E971),InfoGard!E971="N/A"),"no acb code",CONCATENATE(Lookup!F$1,A971,Lookup!G$1,B971,Lookup!H$1,H$1,Lookup!I$1)),"no attestation")</f>
        <v>no attestation</v>
      </c>
      <c r="F971" s="2" t="str">
        <f>IF(AND(NOT(ISBLANK(InfoGard!G971)),InfoGard!G971&lt;&gt;"N/A"),IF(C971="All",CONCATENATE(Lookup!F$2,D971,Lookup!G$2,B971,Lookup!H$2,H$1,Lookup!I$2),CONCATENATE(Lookup!F$3,D971,Lookup!G$3,B971,Lookup!H$3)),"no url")</f>
        <v>no url</v>
      </c>
    </row>
    <row r="972" spans="1:6" hidden="1" x14ac:dyDescent="0.25">
      <c r="A972" s="2" t="b">
        <f>IF(ISBLANK(InfoGard!D972),FALSE,LOOKUP(InfoGard!D972,Lookup!$A$2:$B$4))</f>
        <v>0</v>
      </c>
      <c r="B972" s="2" t="b">
        <f>IF(ISBLANK(InfoGard!E972),FALSE,RIGHT(TRIM(InfoGard!E972),15))</f>
        <v>0</v>
      </c>
      <c r="C972" s="2" t="b">
        <f>IF(ISBLANK(InfoGard!F972),FALSE,LOOKUP(InfoGard!F972,Lookup!$A$6:$B$7))</f>
        <v>0</v>
      </c>
      <c r="D972" s="2" t="b">
        <f>IF(ISBLANK(InfoGard!G972),FALSE,InfoGard!G972)</f>
        <v>0</v>
      </c>
      <c r="E972" s="2" t="str">
        <f>IF(NOT(ISBLANK(InfoGard!D972)),IF(OR(ISBLANK(InfoGard!E972),InfoGard!E972="N/A"),"no acb code",CONCATENATE(Lookup!F$1,A972,Lookup!G$1,B972,Lookup!H$1,H$1,Lookup!I$1)),"no attestation")</f>
        <v>no attestation</v>
      </c>
      <c r="F972" s="2" t="str">
        <f>IF(AND(NOT(ISBLANK(InfoGard!G972)),InfoGard!G972&lt;&gt;"N/A"),IF(C972="All",CONCATENATE(Lookup!F$2,D972,Lookup!G$2,B972,Lookup!H$2,H$1,Lookup!I$2),CONCATENATE(Lookup!F$3,D972,Lookup!G$3,B972,Lookup!H$3)),"no url")</f>
        <v>no url</v>
      </c>
    </row>
    <row r="973" spans="1:6" hidden="1" x14ac:dyDescent="0.25">
      <c r="A973" s="2" t="b">
        <f>IF(ISBLANK(InfoGard!D973),FALSE,LOOKUP(InfoGard!D973,Lookup!$A$2:$B$4))</f>
        <v>0</v>
      </c>
      <c r="B973" s="2" t="b">
        <f>IF(ISBLANK(InfoGard!E973),FALSE,RIGHT(TRIM(InfoGard!E973),15))</f>
        <v>0</v>
      </c>
      <c r="C973" s="2" t="b">
        <f>IF(ISBLANK(InfoGard!F973),FALSE,LOOKUP(InfoGard!F973,Lookup!$A$6:$B$7))</f>
        <v>0</v>
      </c>
      <c r="D973" s="2" t="b">
        <f>IF(ISBLANK(InfoGard!G973),FALSE,InfoGard!G973)</f>
        <v>0</v>
      </c>
      <c r="E973" s="2" t="str">
        <f>IF(NOT(ISBLANK(InfoGard!D973)),IF(OR(ISBLANK(InfoGard!E973),InfoGard!E973="N/A"),"no acb code",CONCATENATE(Lookup!F$1,A973,Lookup!G$1,B973,Lookup!H$1,H$1,Lookup!I$1)),"no attestation")</f>
        <v>no attestation</v>
      </c>
      <c r="F973" s="2" t="str">
        <f>IF(AND(NOT(ISBLANK(InfoGard!G973)),InfoGard!G973&lt;&gt;"N/A"),IF(C973="All",CONCATENATE(Lookup!F$2,D973,Lookup!G$2,B973,Lookup!H$2,H$1,Lookup!I$2),CONCATENATE(Lookup!F$3,D973,Lookup!G$3,B973,Lookup!H$3)),"no url")</f>
        <v>no url</v>
      </c>
    </row>
    <row r="974" spans="1:6" hidden="1" x14ac:dyDescent="0.25">
      <c r="A974" s="2" t="b">
        <f>IF(ISBLANK(InfoGard!D974),FALSE,LOOKUP(InfoGard!D974,Lookup!$A$2:$B$4))</f>
        <v>0</v>
      </c>
      <c r="B974" s="2" t="b">
        <f>IF(ISBLANK(InfoGard!E974),FALSE,RIGHT(TRIM(InfoGard!E974),15))</f>
        <v>0</v>
      </c>
      <c r="C974" s="2" t="b">
        <f>IF(ISBLANK(InfoGard!F974),FALSE,LOOKUP(InfoGard!F974,Lookup!$A$6:$B$7))</f>
        <v>0</v>
      </c>
      <c r="D974" s="2" t="b">
        <f>IF(ISBLANK(InfoGard!G974),FALSE,InfoGard!G974)</f>
        <v>0</v>
      </c>
      <c r="E974" s="2" t="str">
        <f>IF(NOT(ISBLANK(InfoGard!D974)),IF(OR(ISBLANK(InfoGard!E974),InfoGard!E974="N/A"),"no acb code",CONCATENATE(Lookup!F$1,A974,Lookup!G$1,B974,Lookup!H$1,H$1,Lookup!I$1)),"no attestation")</f>
        <v>no attestation</v>
      </c>
      <c r="F974" s="2" t="str">
        <f>IF(AND(NOT(ISBLANK(InfoGard!G974)),InfoGard!G974&lt;&gt;"N/A"),IF(C974="All",CONCATENATE(Lookup!F$2,D974,Lookup!G$2,B974,Lookup!H$2,H$1,Lookup!I$2),CONCATENATE(Lookup!F$3,D974,Lookup!G$3,B974,Lookup!H$3)),"no url")</f>
        <v>no url</v>
      </c>
    </row>
    <row r="975" spans="1:6" hidden="1" x14ac:dyDescent="0.25">
      <c r="A975" s="2" t="b">
        <f>IF(ISBLANK(InfoGard!D975),FALSE,LOOKUP(InfoGard!D975,Lookup!$A$2:$B$4))</f>
        <v>0</v>
      </c>
      <c r="B975" s="2" t="b">
        <f>IF(ISBLANK(InfoGard!E975),FALSE,RIGHT(TRIM(InfoGard!E975),15))</f>
        <v>0</v>
      </c>
      <c r="C975" s="2" t="b">
        <f>IF(ISBLANK(InfoGard!F975),FALSE,LOOKUP(InfoGard!F975,Lookup!$A$6:$B$7))</f>
        <v>0</v>
      </c>
      <c r="D975" s="2" t="b">
        <f>IF(ISBLANK(InfoGard!G975),FALSE,InfoGard!G975)</f>
        <v>0</v>
      </c>
      <c r="E975" s="2" t="str">
        <f>IF(NOT(ISBLANK(InfoGard!D975)),IF(OR(ISBLANK(InfoGard!E975),InfoGard!E975="N/A"),"no acb code",CONCATENATE(Lookup!F$1,A975,Lookup!G$1,B975,Lookup!H$1,H$1,Lookup!I$1)),"no attestation")</f>
        <v>no attestation</v>
      </c>
      <c r="F975" s="2" t="str">
        <f>IF(AND(NOT(ISBLANK(InfoGard!G975)),InfoGard!G975&lt;&gt;"N/A"),IF(C975="All",CONCATENATE(Lookup!F$2,D975,Lookup!G$2,B975,Lookup!H$2,H$1,Lookup!I$2),CONCATENATE(Lookup!F$3,D975,Lookup!G$3,B975,Lookup!H$3)),"no url")</f>
        <v>no url</v>
      </c>
    </row>
    <row r="976" spans="1:6" hidden="1" x14ac:dyDescent="0.25">
      <c r="A976" s="2" t="b">
        <f>IF(ISBLANK(InfoGard!D976),FALSE,LOOKUP(InfoGard!D976,Lookup!$A$2:$B$4))</f>
        <v>0</v>
      </c>
      <c r="B976" s="2" t="b">
        <f>IF(ISBLANK(InfoGard!E976),FALSE,RIGHT(TRIM(InfoGard!E976),15))</f>
        <v>0</v>
      </c>
      <c r="C976" s="2" t="b">
        <f>IF(ISBLANK(InfoGard!F976),FALSE,LOOKUP(InfoGard!F976,Lookup!$A$6:$B$7))</f>
        <v>0</v>
      </c>
      <c r="D976" s="2" t="b">
        <f>IF(ISBLANK(InfoGard!G976),FALSE,InfoGard!G976)</f>
        <v>0</v>
      </c>
      <c r="E976" s="2" t="str">
        <f>IF(NOT(ISBLANK(InfoGard!D976)),IF(OR(ISBLANK(InfoGard!E976),InfoGard!E976="N/A"),"no acb code",CONCATENATE(Lookup!F$1,A976,Lookup!G$1,B976,Lookup!H$1,H$1,Lookup!I$1)),"no attestation")</f>
        <v>no attestation</v>
      </c>
      <c r="F976" s="2" t="str">
        <f>IF(AND(NOT(ISBLANK(InfoGard!G976)),InfoGard!G976&lt;&gt;"N/A"),IF(C976="All",CONCATENATE(Lookup!F$2,D976,Lookup!G$2,B976,Lookup!H$2,H$1,Lookup!I$2),CONCATENATE(Lookup!F$3,D976,Lookup!G$3,B976,Lookup!H$3)),"no url")</f>
        <v>no url</v>
      </c>
    </row>
    <row r="977" spans="1:6" hidden="1" x14ac:dyDescent="0.25">
      <c r="A977" s="2" t="b">
        <f>IF(ISBLANK(InfoGard!D977),FALSE,LOOKUP(InfoGard!D977,Lookup!$A$2:$B$4))</f>
        <v>0</v>
      </c>
      <c r="B977" s="2" t="b">
        <f>IF(ISBLANK(InfoGard!E977),FALSE,RIGHT(TRIM(InfoGard!E977),15))</f>
        <v>0</v>
      </c>
      <c r="C977" s="2" t="b">
        <f>IF(ISBLANK(InfoGard!F977),FALSE,LOOKUP(InfoGard!F977,Lookup!$A$6:$B$7))</f>
        <v>0</v>
      </c>
      <c r="D977" s="2" t="b">
        <f>IF(ISBLANK(InfoGard!G977),FALSE,InfoGard!G977)</f>
        <v>0</v>
      </c>
      <c r="E977" s="2" t="str">
        <f>IF(NOT(ISBLANK(InfoGard!D977)),IF(OR(ISBLANK(InfoGard!E977),InfoGard!E977="N/A"),"no acb code",CONCATENATE(Lookup!F$1,A977,Lookup!G$1,B977,Lookup!H$1,H$1,Lookup!I$1)),"no attestation")</f>
        <v>no attestation</v>
      </c>
      <c r="F977" s="2" t="str">
        <f>IF(AND(NOT(ISBLANK(InfoGard!G977)),InfoGard!G977&lt;&gt;"N/A"),IF(C977="All",CONCATENATE(Lookup!F$2,D977,Lookup!G$2,B977,Lookup!H$2,H$1,Lookup!I$2),CONCATENATE(Lookup!F$3,D977,Lookup!G$3,B977,Lookup!H$3)),"no url")</f>
        <v>no url</v>
      </c>
    </row>
    <row r="978" spans="1:6" hidden="1" x14ac:dyDescent="0.25">
      <c r="A978" s="2" t="b">
        <f>IF(ISBLANK(InfoGard!D978),FALSE,LOOKUP(InfoGard!D978,Lookup!$A$2:$B$4))</f>
        <v>0</v>
      </c>
      <c r="B978" s="2" t="b">
        <f>IF(ISBLANK(InfoGard!E978),FALSE,RIGHT(TRIM(InfoGard!E978),15))</f>
        <v>0</v>
      </c>
      <c r="C978" s="2" t="b">
        <f>IF(ISBLANK(InfoGard!F978),FALSE,LOOKUP(InfoGard!F978,Lookup!$A$6:$B$7))</f>
        <v>0</v>
      </c>
      <c r="D978" s="2" t="b">
        <f>IF(ISBLANK(InfoGard!G978),FALSE,InfoGard!G978)</f>
        <v>0</v>
      </c>
      <c r="E978" s="2" t="str">
        <f>IF(NOT(ISBLANK(InfoGard!D978)),IF(OR(ISBLANK(InfoGard!E978),InfoGard!E978="N/A"),"no acb code",CONCATENATE(Lookup!F$1,A978,Lookup!G$1,B978,Lookup!H$1,H$1,Lookup!I$1)),"no attestation")</f>
        <v>no attestation</v>
      </c>
      <c r="F978" s="2" t="str">
        <f>IF(AND(NOT(ISBLANK(InfoGard!G978)),InfoGard!G978&lt;&gt;"N/A"),IF(C978="All",CONCATENATE(Lookup!F$2,D978,Lookup!G$2,B978,Lookup!H$2,H$1,Lookup!I$2),CONCATENATE(Lookup!F$3,D978,Lookup!G$3,B978,Lookup!H$3)),"no url")</f>
        <v>no url</v>
      </c>
    </row>
    <row r="979" spans="1:6" hidden="1" x14ac:dyDescent="0.25">
      <c r="A979" s="2" t="b">
        <f>IF(ISBLANK(InfoGard!D979),FALSE,LOOKUP(InfoGard!D979,Lookup!$A$2:$B$4))</f>
        <v>0</v>
      </c>
      <c r="B979" s="2" t="b">
        <f>IF(ISBLANK(InfoGard!E979),FALSE,RIGHT(TRIM(InfoGard!E979),15))</f>
        <v>0</v>
      </c>
      <c r="C979" s="2" t="b">
        <f>IF(ISBLANK(InfoGard!F979),FALSE,LOOKUP(InfoGard!F979,Lookup!$A$6:$B$7))</f>
        <v>0</v>
      </c>
      <c r="D979" s="2" t="b">
        <f>IF(ISBLANK(InfoGard!G979),FALSE,InfoGard!G979)</f>
        <v>0</v>
      </c>
      <c r="E979" s="2" t="str">
        <f>IF(NOT(ISBLANK(InfoGard!D979)),IF(OR(ISBLANK(InfoGard!E979),InfoGard!E979="N/A"),"no acb code",CONCATENATE(Lookup!F$1,A979,Lookup!G$1,B979,Lookup!H$1,H$1,Lookup!I$1)),"no attestation")</f>
        <v>no attestation</v>
      </c>
      <c r="F979" s="2" t="str">
        <f>IF(AND(NOT(ISBLANK(InfoGard!G979)),InfoGard!G979&lt;&gt;"N/A"),IF(C979="All",CONCATENATE(Lookup!F$2,D979,Lookup!G$2,B979,Lookup!H$2,H$1,Lookup!I$2),CONCATENATE(Lookup!F$3,D979,Lookup!G$3,B979,Lookup!H$3)),"no url")</f>
        <v>no url</v>
      </c>
    </row>
    <row r="980" spans="1:6" hidden="1" x14ac:dyDescent="0.25">
      <c r="A980" s="2" t="b">
        <f>IF(ISBLANK(InfoGard!D980),FALSE,LOOKUP(InfoGard!D980,Lookup!$A$2:$B$4))</f>
        <v>0</v>
      </c>
      <c r="B980" s="2" t="b">
        <f>IF(ISBLANK(InfoGard!E980),FALSE,RIGHT(TRIM(InfoGard!E980),15))</f>
        <v>0</v>
      </c>
      <c r="C980" s="2" t="b">
        <f>IF(ISBLANK(InfoGard!F980),FALSE,LOOKUP(InfoGard!F980,Lookup!$A$6:$B$7))</f>
        <v>0</v>
      </c>
      <c r="D980" s="2" t="b">
        <f>IF(ISBLANK(InfoGard!G980),FALSE,InfoGard!G980)</f>
        <v>0</v>
      </c>
      <c r="E980" s="2" t="str">
        <f>IF(NOT(ISBLANK(InfoGard!D980)),IF(OR(ISBLANK(InfoGard!E980),InfoGard!E980="N/A"),"no acb code",CONCATENATE(Lookup!F$1,A980,Lookup!G$1,B980,Lookup!H$1,H$1,Lookup!I$1)),"no attestation")</f>
        <v>no attestation</v>
      </c>
      <c r="F980" s="2" t="str">
        <f>IF(AND(NOT(ISBLANK(InfoGard!G980)),InfoGard!G980&lt;&gt;"N/A"),IF(C980="All",CONCATENATE(Lookup!F$2,D980,Lookup!G$2,B980,Lookup!H$2,H$1,Lookup!I$2),CONCATENATE(Lookup!F$3,D980,Lookup!G$3,B980,Lookup!H$3)),"no url")</f>
        <v>no url</v>
      </c>
    </row>
    <row r="981" spans="1:6" hidden="1" x14ac:dyDescent="0.25">
      <c r="A981" s="2" t="b">
        <f>IF(ISBLANK(InfoGard!D981),FALSE,LOOKUP(InfoGard!D981,Lookup!$A$2:$B$4))</f>
        <v>0</v>
      </c>
      <c r="B981" s="2" t="b">
        <f>IF(ISBLANK(InfoGard!E981),FALSE,RIGHT(TRIM(InfoGard!E981),15))</f>
        <v>0</v>
      </c>
      <c r="C981" s="2" t="b">
        <f>IF(ISBLANK(InfoGard!F981),FALSE,LOOKUP(InfoGard!F981,Lookup!$A$6:$B$7))</f>
        <v>0</v>
      </c>
      <c r="D981" s="2" t="b">
        <f>IF(ISBLANK(InfoGard!G981),FALSE,InfoGard!G981)</f>
        <v>0</v>
      </c>
      <c r="E981" s="2" t="str">
        <f>IF(NOT(ISBLANK(InfoGard!D981)),IF(OR(ISBLANK(InfoGard!E981),InfoGard!E981="N/A"),"no acb code",CONCATENATE(Lookup!F$1,A981,Lookup!G$1,B981,Lookup!H$1,H$1,Lookup!I$1)),"no attestation")</f>
        <v>no attestation</v>
      </c>
      <c r="F981" s="2" t="str">
        <f>IF(AND(NOT(ISBLANK(InfoGard!G981)),InfoGard!G981&lt;&gt;"N/A"),IF(C981="All",CONCATENATE(Lookup!F$2,D981,Lookup!G$2,B981,Lookup!H$2,H$1,Lookup!I$2),CONCATENATE(Lookup!F$3,D981,Lookup!G$3,B981,Lookup!H$3)),"no url")</f>
        <v>no url</v>
      </c>
    </row>
    <row r="982" spans="1:6" hidden="1" x14ac:dyDescent="0.25">
      <c r="A982" s="2" t="b">
        <f>IF(ISBLANK(InfoGard!D982),FALSE,LOOKUP(InfoGard!D982,Lookup!$A$2:$B$4))</f>
        <v>0</v>
      </c>
      <c r="B982" s="2" t="b">
        <f>IF(ISBLANK(InfoGard!E982),FALSE,RIGHT(TRIM(InfoGard!E982),15))</f>
        <v>0</v>
      </c>
      <c r="C982" s="2" t="b">
        <f>IF(ISBLANK(InfoGard!F982),FALSE,LOOKUP(InfoGard!F982,Lookup!$A$6:$B$7))</f>
        <v>0</v>
      </c>
      <c r="D982" s="2" t="b">
        <f>IF(ISBLANK(InfoGard!G982),FALSE,InfoGard!G982)</f>
        <v>0</v>
      </c>
      <c r="E982" s="2" t="str">
        <f>IF(NOT(ISBLANK(InfoGard!D982)),IF(OR(ISBLANK(InfoGard!E982),InfoGard!E982="N/A"),"no acb code",CONCATENATE(Lookup!F$1,A982,Lookup!G$1,B982,Lookup!H$1,H$1,Lookup!I$1)),"no attestation")</f>
        <v>no attestation</v>
      </c>
      <c r="F982" s="2" t="str">
        <f>IF(AND(NOT(ISBLANK(InfoGard!G982)),InfoGard!G982&lt;&gt;"N/A"),IF(C982="All",CONCATENATE(Lookup!F$2,D982,Lookup!G$2,B982,Lookup!H$2,H$1,Lookup!I$2),CONCATENATE(Lookup!F$3,D982,Lookup!G$3,B982,Lookup!H$3)),"no url")</f>
        <v>no url</v>
      </c>
    </row>
    <row r="983" spans="1:6" hidden="1" x14ac:dyDescent="0.25">
      <c r="A983" s="2" t="b">
        <f>IF(ISBLANK(InfoGard!D983),FALSE,LOOKUP(InfoGard!D983,Lookup!$A$2:$B$4))</f>
        <v>0</v>
      </c>
      <c r="B983" s="2" t="b">
        <f>IF(ISBLANK(InfoGard!E983),FALSE,RIGHT(TRIM(InfoGard!E983),15))</f>
        <v>0</v>
      </c>
      <c r="C983" s="2" t="b">
        <f>IF(ISBLANK(InfoGard!F983),FALSE,LOOKUP(InfoGard!F983,Lookup!$A$6:$B$7))</f>
        <v>0</v>
      </c>
      <c r="D983" s="2" t="b">
        <f>IF(ISBLANK(InfoGard!G983),FALSE,InfoGard!G983)</f>
        <v>0</v>
      </c>
      <c r="E983" s="2" t="str">
        <f>IF(NOT(ISBLANK(InfoGard!D983)),IF(OR(ISBLANK(InfoGard!E983),InfoGard!E983="N/A"),"no acb code",CONCATENATE(Lookup!F$1,A983,Lookup!G$1,B983,Lookup!H$1,H$1,Lookup!I$1)),"no attestation")</f>
        <v>no attestation</v>
      </c>
      <c r="F983" s="2" t="str">
        <f>IF(AND(NOT(ISBLANK(InfoGard!G983)),InfoGard!G983&lt;&gt;"N/A"),IF(C983="All",CONCATENATE(Lookup!F$2,D983,Lookup!G$2,B983,Lookup!H$2,H$1,Lookup!I$2),CONCATENATE(Lookup!F$3,D983,Lookup!G$3,B983,Lookup!H$3)),"no url")</f>
        <v>no url</v>
      </c>
    </row>
    <row r="984" spans="1:6" hidden="1" x14ac:dyDescent="0.25">
      <c r="A984" s="2" t="b">
        <f>IF(ISBLANK(InfoGard!D984),FALSE,LOOKUP(InfoGard!D984,Lookup!$A$2:$B$4))</f>
        <v>0</v>
      </c>
      <c r="B984" s="2" t="b">
        <f>IF(ISBLANK(InfoGard!E984),FALSE,RIGHT(TRIM(InfoGard!E984),15))</f>
        <v>0</v>
      </c>
      <c r="C984" s="2" t="b">
        <f>IF(ISBLANK(InfoGard!F984),FALSE,LOOKUP(InfoGard!F984,Lookup!$A$6:$B$7))</f>
        <v>0</v>
      </c>
      <c r="D984" s="2" t="b">
        <f>IF(ISBLANK(InfoGard!G984),FALSE,InfoGard!G984)</f>
        <v>0</v>
      </c>
      <c r="E984" s="2" t="str">
        <f>IF(NOT(ISBLANK(InfoGard!D984)),IF(OR(ISBLANK(InfoGard!E984),InfoGard!E984="N/A"),"no acb code",CONCATENATE(Lookup!F$1,A984,Lookup!G$1,B984,Lookup!H$1,H$1,Lookup!I$1)),"no attestation")</f>
        <v>no attestation</v>
      </c>
      <c r="F984" s="2" t="str">
        <f>IF(AND(NOT(ISBLANK(InfoGard!G984)),InfoGard!G984&lt;&gt;"N/A"),IF(C984="All",CONCATENATE(Lookup!F$2,D984,Lookup!G$2,B984,Lookup!H$2,H$1,Lookup!I$2),CONCATENATE(Lookup!F$3,D984,Lookup!G$3,B984,Lookup!H$3)),"no url")</f>
        <v>no url</v>
      </c>
    </row>
    <row r="985" spans="1:6" hidden="1" x14ac:dyDescent="0.25">
      <c r="A985" s="2" t="b">
        <f>IF(ISBLANK(InfoGard!D985),FALSE,LOOKUP(InfoGard!D985,Lookup!$A$2:$B$4))</f>
        <v>0</v>
      </c>
      <c r="B985" s="2" t="b">
        <f>IF(ISBLANK(InfoGard!E985),FALSE,RIGHT(TRIM(InfoGard!E985),15))</f>
        <v>0</v>
      </c>
      <c r="C985" s="2" t="b">
        <f>IF(ISBLANK(InfoGard!F985),FALSE,LOOKUP(InfoGard!F985,Lookup!$A$6:$B$7))</f>
        <v>0</v>
      </c>
      <c r="D985" s="2" t="b">
        <f>IF(ISBLANK(InfoGard!G985),FALSE,InfoGard!G985)</f>
        <v>0</v>
      </c>
      <c r="E985" s="2" t="str">
        <f>IF(NOT(ISBLANK(InfoGard!D985)),IF(OR(ISBLANK(InfoGard!E985),InfoGard!E985="N/A"),"no acb code",CONCATENATE(Lookup!F$1,A985,Lookup!G$1,B985,Lookup!H$1,H$1,Lookup!I$1)),"no attestation")</f>
        <v>no attestation</v>
      </c>
      <c r="F985" s="2" t="str">
        <f>IF(AND(NOT(ISBLANK(InfoGard!G985)),InfoGard!G985&lt;&gt;"N/A"),IF(C985="All",CONCATENATE(Lookup!F$2,D985,Lookup!G$2,B985,Lookup!H$2,H$1,Lookup!I$2),CONCATENATE(Lookup!F$3,D985,Lookup!G$3,B985,Lookup!H$3)),"no url")</f>
        <v>no url</v>
      </c>
    </row>
    <row r="986" spans="1:6" hidden="1" x14ac:dyDescent="0.25">
      <c r="A986" s="2" t="b">
        <f>IF(ISBLANK(InfoGard!D986),FALSE,LOOKUP(InfoGard!D986,Lookup!$A$2:$B$4))</f>
        <v>0</v>
      </c>
      <c r="B986" s="2" t="b">
        <f>IF(ISBLANK(InfoGard!E986),FALSE,RIGHT(TRIM(InfoGard!E986),15))</f>
        <v>0</v>
      </c>
      <c r="C986" s="2" t="b">
        <f>IF(ISBLANK(InfoGard!F986),FALSE,LOOKUP(InfoGard!F986,Lookup!$A$6:$B$7))</f>
        <v>0</v>
      </c>
      <c r="D986" s="2" t="b">
        <f>IF(ISBLANK(InfoGard!G986),FALSE,InfoGard!G986)</f>
        <v>0</v>
      </c>
      <c r="E986" s="2" t="str">
        <f>IF(NOT(ISBLANK(InfoGard!D986)),IF(OR(ISBLANK(InfoGard!E986),InfoGard!E986="N/A"),"no acb code",CONCATENATE(Lookup!F$1,A986,Lookup!G$1,B986,Lookup!H$1,H$1,Lookup!I$1)),"no attestation")</f>
        <v>no attestation</v>
      </c>
      <c r="F986" s="2" t="str">
        <f>IF(AND(NOT(ISBLANK(InfoGard!G986)),InfoGard!G986&lt;&gt;"N/A"),IF(C986="All",CONCATENATE(Lookup!F$2,D986,Lookup!G$2,B986,Lookup!H$2,H$1,Lookup!I$2),CONCATENATE(Lookup!F$3,D986,Lookup!G$3,B986,Lookup!H$3)),"no url")</f>
        <v>no url</v>
      </c>
    </row>
    <row r="987" spans="1:6" hidden="1" x14ac:dyDescent="0.25">
      <c r="A987" s="2" t="b">
        <f>IF(ISBLANK(InfoGard!D987),FALSE,LOOKUP(InfoGard!D987,Lookup!$A$2:$B$4))</f>
        <v>0</v>
      </c>
      <c r="B987" s="2" t="b">
        <f>IF(ISBLANK(InfoGard!E987),FALSE,RIGHT(TRIM(InfoGard!E987),15))</f>
        <v>0</v>
      </c>
      <c r="C987" s="2" t="b">
        <f>IF(ISBLANK(InfoGard!F987),FALSE,LOOKUP(InfoGard!F987,Lookup!$A$6:$B$7))</f>
        <v>0</v>
      </c>
      <c r="D987" s="2" t="b">
        <f>IF(ISBLANK(InfoGard!G987),FALSE,InfoGard!G987)</f>
        <v>0</v>
      </c>
      <c r="E987" s="2" t="str">
        <f>IF(NOT(ISBLANK(InfoGard!D987)),IF(OR(ISBLANK(InfoGard!E987),InfoGard!E987="N/A"),"no acb code",CONCATENATE(Lookup!F$1,A987,Lookup!G$1,B987,Lookup!H$1,H$1,Lookup!I$1)),"no attestation")</f>
        <v>no attestation</v>
      </c>
      <c r="F987" s="2" t="str">
        <f>IF(AND(NOT(ISBLANK(InfoGard!G987)),InfoGard!G987&lt;&gt;"N/A"),IF(C987="All",CONCATENATE(Lookup!F$2,D987,Lookup!G$2,B987,Lookup!H$2,H$1,Lookup!I$2),CONCATENATE(Lookup!F$3,D987,Lookup!G$3,B987,Lookup!H$3)),"no url")</f>
        <v>no url</v>
      </c>
    </row>
    <row r="988" spans="1:6" hidden="1" x14ac:dyDescent="0.25">
      <c r="A988" s="2" t="b">
        <f>IF(ISBLANK(InfoGard!D988),FALSE,LOOKUP(InfoGard!D988,Lookup!$A$2:$B$4))</f>
        <v>0</v>
      </c>
      <c r="B988" s="2" t="b">
        <f>IF(ISBLANK(InfoGard!E988),FALSE,RIGHT(TRIM(InfoGard!E988),15))</f>
        <v>0</v>
      </c>
      <c r="C988" s="2" t="b">
        <f>IF(ISBLANK(InfoGard!F988),FALSE,LOOKUP(InfoGard!F988,Lookup!$A$6:$B$7))</f>
        <v>0</v>
      </c>
      <c r="D988" s="2" t="b">
        <f>IF(ISBLANK(InfoGard!G988),FALSE,InfoGard!G988)</f>
        <v>0</v>
      </c>
      <c r="E988" s="2" t="str">
        <f>IF(NOT(ISBLANK(InfoGard!D988)),IF(OR(ISBLANK(InfoGard!E988),InfoGard!E988="N/A"),"no acb code",CONCATENATE(Lookup!F$1,A988,Lookup!G$1,B988,Lookup!H$1,H$1,Lookup!I$1)),"no attestation")</f>
        <v>no attestation</v>
      </c>
      <c r="F988" s="2" t="str">
        <f>IF(AND(NOT(ISBLANK(InfoGard!G988)),InfoGard!G988&lt;&gt;"N/A"),IF(C988="All",CONCATENATE(Lookup!F$2,D988,Lookup!G$2,B988,Lookup!H$2,H$1,Lookup!I$2),CONCATENATE(Lookup!F$3,D988,Lookup!G$3,B988,Lookup!H$3)),"no url")</f>
        <v>no url</v>
      </c>
    </row>
    <row r="989" spans="1:6" hidden="1" x14ac:dyDescent="0.25">
      <c r="A989" s="2" t="b">
        <f>IF(ISBLANK(InfoGard!D989),FALSE,LOOKUP(InfoGard!D989,Lookup!$A$2:$B$4))</f>
        <v>0</v>
      </c>
      <c r="B989" s="2" t="b">
        <f>IF(ISBLANK(InfoGard!E989),FALSE,RIGHT(TRIM(InfoGard!E989),15))</f>
        <v>0</v>
      </c>
      <c r="C989" s="2" t="b">
        <f>IF(ISBLANK(InfoGard!F989),FALSE,LOOKUP(InfoGard!F989,Lookup!$A$6:$B$7))</f>
        <v>0</v>
      </c>
      <c r="D989" s="2" t="b">
        <f>IF(ISBLANK(InfoGard!G989),FALSE,InfoGard!G989)</f>
        <v>0</v>
      </c>
      <c r="E989" s="2" t="str">
        <f>IF(NOT(ISBLANK(InfoGard!D989)),IF(OR(ISBLANK(InfoGard!E989),InfoGard!E989="N/A"),"no acb code",CONCATENATE(Lookup!F$1,A989,Lookup!G$1,B989,Lookup!H$1,H$1,Lookup!I$1)),"no attestation")</f>
        <v>no attestation</v>
      </c>
      <c r="F989" s="2" t="str">
        <f>IF(AND(NOT(ISBLANK(InfoGard!G989)),InfoGard!G989&lt;&gt;"N/A"),IF(C989="All",CONCATENATE(Lookup!F$2,D989,Lookup!G$2,B989,Lookup!H$2,H$1,Lookup!I$2),CONCATENATE(Lookup!F$3,D989,Lookup!G$3,B989,Lookup!H$3)),"no url")</f>
        <v>no url</v>
      </c>
    </row>
    <row r="990" spans="1:6" hidden="1" x14ac:dyDescent="0.25">
      <c r="A990" s="2" t="b">
        <f>IF(ISBLANK(InfoGard!D990),FALSE,LOOKUP(InfoGard!D990,Lookup!$A$2:$B$4))</f>
        <v>0</v>
      </c>
      <c r="B990" s="2" t="b">
        <f>IF(ISBLANK(InfoGard!E990),FALSE,RIGHT(TRIM(InfoGard!E990),15))</f>
        <v>0</v>
      </c>
      <c r="C990" s="2" t="b">
        <f>IF(ISBLANK(InfoGard!F990),FALSE,LOOKUP(InfoGard!F990,Lookup!$A$6:$B$7))</f>
        <v>0</v>
      </c>
      <c r="D990" s="2" t="b">
        <f>IF(ISBLANK(InfoGard!G990),FALSE,InfoGard!G990)</f>
        <v>0</v>
      </c>
      <c r="E990" s="2" t="str">
        <f>IF(NOT(ISBLANK(InfoGard!D990)),IF(OR(ISBLANK(InfoGard!E990),InfoGard!E990="N/A"),"no acb code",CONCATENATE(Lookup!F$1,A990,Lookup!G$1,B990,Lookup!H$1,H$1,Lookup!I$1)),"no attestation")</f>
        <v>no attestation</v>
      </c>
      <c r="F990" s="2" t="str">
        <f>IF(AND(NOT(ISBLANK(InfoGard!G990)),InfoGard!G990&lt;&gt;"N/A"),IF(C990="All",CONCATENATE(Lookup!F$2,D990,Lookup!G$2,B990,Lookup!H$2,H$1,Lookup!I$2),CONCATENATE(Lookup!F$3,D990,Lookup!G$3,B990,Lookup!H$3)),"no url")</f>
        <v>no url</v>
      </c>
    </row>
    <row r="991" spans="1:6" hidden="1" x14ac:dyDescent="0.25">
      <c r="A991" s="2" t="b">
        <f>IF(ISBLANK(InfoGard!D991),FALSE,LOOKUP(InfoGard!D991,Lookup!$A$2:$B$4))</f>
        <v>0</v>
      </c>
      <c r="B991" s="2" t="b">
        <f>IF(ISBLANK(InfoGard!E991),FALSE,RIGHT(TRIM(InfoGard!E991),15))</f>
        <v>0</v>
      </c>
      <c r="C991" s="2" t="b">
        <f>IF(ISBLANK(InfoGard!F991),FALSE,LOOKUP(InfoGard!F991,Lookup!$A$6:$B$7))</f>
        <v>0</v>
      </c>
      <c r="D991" s="2" t="b">
        <f>IF(ISBLANK(InfoGard!G991),FALSE,InfoGard!G991)</f>
        <v>0</v>
      </c>
      <c r="E991" s="2" t="str">
        <f>IF(NOT(ISBLANK(InfoGard!D991)),IF(OR(ISBLANK(InfoGard!E991),InfoGard!E991="N/A"),"no acb code",CONCATENATE(Lookup!F$1,A991,Lookup!G$1,B991,Lookup!H$1,H$1,Lookup!I$1)),"no attestation")</f>
        <v>no attestation</v>
      </c>
      <c r="F991" s="2" t="str">
        <f>IF(AND(NOT(ISBLANK(InfoGard!G991)),InfoGard!G991&lt;&gt;"N/A"),IF(C991="All",CONCATENATE(Lookup!F$2,D991,Lookup!G$2,B991,Lookup!H$2,H$1,Lookup!I$2),CONCATENATE(Lookup!F$3,D991,Lookup!G$3,B991,Lookup!H$3)),"no url")</f>
        <v>no url</v>
      </c>
    </row>
    <row r="992" spans="1:6" hidden="1" x14ac:dyDescent="0.25">
      <c r="A992" s="2" t="b">
        <f>IF(ISBLANK(InfoGard!D992),FALSE,LOOKUP(InfoGard!D992,Lookup!$A$2:$B$4))</f>
        <v>0</v>
      </c>
      <c r="B992" s="2" t="b">
        <f>IF(ISBLANK(InfoGard!E992),FALSE,RIGHT(TRIM(InfoGard!E992),15))</f>
        <v>0</v>
      </c>
      <c r="C992" s="2" t="b">
        <f>IF(ISBLANK(InfoGard!F992),FALSE,LOOKUP(InfoGard!F992,Lookup!$A$6:$B$7))</f>
        <v>0</v>
      </c>
      <c r="D992" s="2" t="b">
        <f>IF(ISBLANK(InfoGard!G992),FALSE,InfoGard!G992)</f>
        <v>0</v>
      </c>
      <c r="E992" s="2" t="str">
        <f>IF(NOT(ISBLANK(InfoGard!D992)),IF(OR(ISBLANK(InfoGard!E992),InfoGard!E992="N/A"),"no acb code",CONCATENATE(Lookup!F$1,A992,Lookup!G$1,B992,Lookup!H$1,H$1,Lookup!I$1)),"no attestation")</f>
        <v>no attestation</v>
      </c>
      <c r="F992" s="2" t="str">
        <f>IF(AND(NOT(ISBLANK(InfoGard!G992)),InfoGard!G992&lt;&gt;"N/A"),IF(C992="All",CONCATENATE(Lookup!F$2,D992,Lookup!G$2,B992,Lookup!H$2,H$1,Lookup!I$2),CONCATENATE(Lookup!F$3,D992,Lookup!G$3,B992,Lookup!H$3)),"no url")</f>
        <v>no url</v>
      </c>
    </row>
    <row r="993" spans="1:6" hidden="1" x14ac:dyDescent="0.25">
      <c r="A993" s="2" t="b">
        <f>IF(ISBLANK(InfoGard!D993),FALSE,LOOKUP(InfoGard!D993,Lookup!$A$2:$B$4))</f>
        <v>0</v>
      </c>
      <c r="B993" s="2" t="b">
        <f>IF(ISBLANK(InfoGard!E993),FALSE,RIGHT(TRIM(InfoGard!E993),15))</f>
        <v>0</v>
      </c>
      <c r="C993" s="2" t="b">
        <f>IF(ISBLANK(InfoGard!F993),FALSE,LOOKUP(InfoGard!F993,Lookup!$A$6:$B$7))</f>
        <v>0</v>
      </c>
      <c r="D993" s="2" t="b">
        <f>IF(ISBLANK(InfoGard!G993),FALSE,InfoGard!G993)</f>
        <v>0</v>
      </c>
      <c r="E993" s="2" t="str">
        <f>IF(NOT(ISBLANK(InfoGard!D993)),IF(OR(ISBLANK(InfoGard!E993),InfoGard!E993="N/A"),"no acb code",CONCATENATE(Lookup!F$1,A993,Lookup!G$1,B993,Lookup!H$1,H$1,Lookup!I$1)),"no attestation")</f>
        <v>no attestation</v>
      </c>
      <c r="F993" s="2" t="str">
        <f>IF(AND(NOT(ISBLANK(InfoGard!G993)),InfoGard!G993&lt;&gt;"N/A"),IF(C993="All",CONCATENATE(Lookup!F$2,D993,Lookup!G$2,B993,Lookup!H$2,H$1,Lookup!I$2),CONCATENATE(Lookup!F$3,D993,Lookup!G$3,B993,Lookup!H$3)),"no url")</f>
        <v>no url</v>
      </c>
    </row>
    <row r="994" spans="1:6" hidden="1" x14ac:dyDescent="0.25">
      <c r="A994" s="2" t="b">
        <f>IF(ISBLANK(InfoGard!D994),FALSE,LOOKUP(InfoGard!D994,Lookup!$A$2:$B$4))</f>
        <v>0</v>
      </c>
      <c r="B994" s="2" t="b">
        <f>IF(ISBLANK(InfoGard!E994),FALSE,RIGHT(TRIM(InfoGard!E994),15))</f>
        <v>0</v>
      </c>
      <c r="C994" s="2" t="b">
        <f>IF(ISBLANK(InfoGard!F994),FALSE,LOOKUP(InfoGard!F994,Lookup!$A$6:$B$7))</f>
        <v>0</v>
      </c>
      <c r="D994" s="2" t="b">
        <f>IF(ISBLANK(InfoGard!G994),FALSE,InfoGard!G994)</f>
        <v>0</v>
      </c>
      <c r="E994" s="2" t="str">
        <f>IF(NOT(ISBLANK(InfoGard!D994)),IF(OR(ISBLANK(InfoGard!E994),InfoGard!E994="N/A"),"no acb code",CONCATENATE(Lookup!F$1,A994,Lookup!G$1,B994,Lookup!H$1,H$1,Lookup!I$1)),"no attestation")</f>
        <v>no attestation</v>
      </c>
      <c r="F994" s="2" t="str">
        <f>IF(AND(NOT(ISBLANK(InfoGard!G994)),InfoGard!G994&lt;&gt;"N/A"),IF(C994="All",CONCATENATE(Lookup!F$2,D994,Lookup!G$2,B994,Lookup!H$2,H$1,Lookup!I$2),CONCATENATE(Lookup!F$3,D994,Lookup!G$3,B994,Lookup!H$3)),"no url")</f>
        <v>no url</v>
      </c>
    </row>
    <row r="995" spans="1:6" hidden="1" x14ac:dyDescent="0.25">
      <c r="A995" s="2" t="b">
        <f>IF(ISBLANK(InfoGard!D995),FALSE,LOOKUP(InfoGard!D995,Lookup!$A$2:$B$4))</f>
        <v>0</v>
      </c>
      <c r="B995" s="2" t="b">
        <f>IF(ISBLANK(InfoGard!E995),FALSE,RIGHT(TRIM(InfoGard!E995),15))</f>
        <v>0</v>
      </c>
      <c r="C995" s="2" t="b">
        <f>IF(ISBLANK(InfoGard!F995),FALSE,LOOKUP(InfoGard!F995,Lookup!$A$6:$B$7))</f>
        <v>0</v>
      </c>
      <c r="D995" s="2" t="b">
        <f>IF(ISBLANK(InfoGard!G995),FALSE,InfoGard!G995)</f>
        <v>0</v>
      </c>
      <c r="E995" s="2" t="str">
        <f>IF(NOT(ISBLANK(InfoGard!D995)),IF(OR(ISBLANK(InfoGard!E995),InfoGard!E995="N/A"),"no acb code",CONCATENATE(Lookup!F$1,A995,Lookup!G$1,B995,Lookup!H$1,H$1,Lookup!I$1)),"no attestation")</f>
        <v>no attestation</v>
      </c>
      <c r="F995" s="2" t="str">
        <f>IF(AND(NOT(ISBLANK(InfoGard!G995)),InfoGard!G995&lt;&gt;"N/A"),IF(C995="All",CONCATENATE(Lookup!F$2,D995,Lookup!G$2,B995,Lookup!H$2,H$1,Lookup!I$2),CONCATENATE(Lookup!F$3,D995,Lookup!G$3,B995,Lookup!H$3)),"no url")</f>
        <v>no url</v>
      </c>
    </row>
    <row r="996" spans="1:6" hidden="1" x14ac:dyDescent="0.25">
      <c r="A996" s="2" t="b">
        <f>IF(ISBLANK(InfoGard!D996),FALSE,LOOKUP(InfoGard!D996,Lookup!$A$2:$B$4))</f>
        <v>0</v>
      </c>
      <c r="B996" s="2" t="b">
        <f>IF(ISBLANK(InfoGard!E996),FALSE,RIGHT(TRIM(InfoGard!E996),15))</f>
        <v>0</v>
      </c>
      <c r="C996" s="2" t="b">
        <f>IF(ISBLANK(InfoGard!F996),FALSE,LOOKUP(InfoGard!F996,Lookup!$A$6:$B$7))</f>
        <v>0</v>
      </c>
      <c r="D996" s="2" t="b">
        <f>IF(ISBLANK(InfoGard!G996),FALSE,InfoGard!G996)</f>
        <v>0</v>
      </c>
      <c r="E996" s="2" t="str">
        <f>IF(NOT(ISBLANK(InfoGard!D996)),IF(OR(ISBLANK(InfoGard!E996),InfoGard!E996="N/A"),"no acb code",CONCATENATE(Lookup!F$1,A996,Lookup!G$1,B996,Lookup!H$1,H$1,Lookup!I$1)),"no attestation")</f>
        <v>no attestation</v>
      </c>
      <c r="F996" s="2" t="str">
        <f>IF(AND(NOT(ISBLANK(InfoGard!G996)),InfoGard!G996&lt;&gt;"N/A"),IF(C996="All",CONCATENATE(Lookup!F$2,D996,Lookup!G$2,B996,Lookup!H$2,H$1,Lookup!I$2),CONCATENATE(Lookup!F$3,D996,Lookup!G$3,B996,Lookup!H$3)),"no url")</f>
        <v>no url</v>
      </c>
    </row>
    <row r="997" spans="1:6" hidden="1" x14ac:dyDescent="0.25">
      <c r="A997" s="2" t="b">
        <f>IF(ISBLANK(InfoGard!D997),FALSE,LOOKUP(InfoGard!D997,Lookup!$A$2:$B$4))</f>
        <v>0</v>
      </c>
      <c r="B997" s="2" t="b">
        <f>IF(ISBLANK(InfoGard!E997),FALSE,RIGHT(TRIM(InfoGard!E997),15))</f>
        <v>0</v>
      </c>
      <c r="C997" s="2" t="b">
        <f>IF(ISBLANK(InfoGard!F997),FALSE,LOOKUP(InfoGard!F997,Lookup!$A$6:$B$7))</f>
        <v>0</v>
      </c>
      <c r="D997" s="2" t="b">
        <f>IF(ISBLANK(InfoGard!G997),FALSE,InfoGard!G997)</f>
        <v>0</v>
      </c>
      <c r="E997" s="2" t="str">
        <f>IF(NOT(ISBLANK(InfoGard!D997)),IF(OR(ISBLANK(InfoGard!E997),InfoGard!E997="N/A"),"no acb code",CONCATENATE(Lookup!F$1,A997,Lookup!G$1,B997,Lookup!H$1,H$1,Lookup!I$1)),"no attestation")</f>
        <v>no attestation</v>
      </c>
      <c r="F997" s="2" t="str">
        <f>IF(AND(NOT(ISBLANK(InfoGard!G997)),InfoGard!G997&lt;&gt;"N/A"),IF(C997="All",CONCATENATE(Lookup!F$2,D997,Lookup!G$2,B997,Lookup!H$2,H$1,Lookup!I$2),CONCATENATE(Lookup!F$3,D997,Lookup!G$3,B997,Lookup!H$3)),"no url")</f>
        <v>no url</v>
      </c>
    </row>
    <row r="998" spans="1:6" hidden="1" x14ac:dyDescent="0.25">
      <c r="A998" s="2" t="b">
        <f>IF(ISBLANK(InfoGard!D998),FALSE,LOOKUP(InfoGard!D998,Lookup!$A$2:$B$4))</f>
        <v>0</v>
      </c>
      <c r="B998" s="2" t="b">
        <f>IF(ISBLANK(InfoGard!E998),FALSE,RIGHT(TRIM(InfoGard!E998),15))</f>
        <v>0</v>
      </c>
      <c r="C998" s="2" t="b">
        <f>IF(ISBLANK(InfoGard!F998),FALSE,LOOKUP(InfoGard!F998,Lookup!$A$6:$B$7))</f>
        <v>0</v>
      </c>
      <c r="D998" s="2" t="b">
        <f>IF(ISBLANK(InfoGard!G998),FALSE,InfoGard!G998)</f>
        <v>0</v>
      </c>
      <c r="E998" s="2" t="str">
        <f>IF(NOT(ISBLANK(InfoGard!D998)),IF(OR(ISBLANK(InfoGard!E998),InfoGard!E998="N/A"),"no acb code",CONCATENATE(Lookup!F$1,A998,Lookup!G$1,B998,Lookup!H$1,H$1,Lookup!I$1)),"no attestation")</f>
        <v>no attestation</v>
      </c>
      <c r="F998" s="2" t="str">
        <f>IF(AND(NOT(ISBLANK(InfoGard!G998)),InfoGard!G998&lt;&gt;"N/A"),IF(C998="All",CONCATENATE(Lookup!F$2,D998,Lookup!G$2,B998,Lookup!H$2,H$1,Lookup!I$2),CONCATENATE(Lookup!F$3,D998,Lookup!G$3,B998,Lookup!H$3)),"no url")</f>
        <v>no url</v>
      </c>
    </row>
    <row r="999" spans="1:6" hidden="1" x14ac:dyDescent="0.25">
      <c r="A999" s="2" t="b">
        <f>IF(ISBLANK(InfoGard!D999),FALSE,LOOKUP(InfoGard!D999,Lookup!$A$2:$B$4))</f>
        <v>0</v>
      </c>
      <c r="B999" s="2" t="b">
        <f>IF(ISBLANK(InfoGard!E999),FALSE,RIGHT(TRIM(InfoGard!E999),15))</f>
        <v>0</v>
      </c>
      <c r="C999" s="2" t="b">
        <f>IF(ISBLANK(InfoGard!F999),FALSE,LOOKUP(InfoGard!F999,Lookup!$A$6:$B$7))</f>
        <v>0</v>
      </c>
      <c r="D999" s="2" t="b">
        <f>IF(ISBLANK(InfoGard!G999),FALSE,InfoGard!G999)</f>
        <v>0</v>
      </c>
      <c r="E999" s="2" t="str">
        <f>IF(NOT(ISBLANK(InfoGard!D999)),IF(OR(ISBLANK(InfoGard!E999),InfoGard!E999="N/A"),"no acb code",CONCATENATE(Lookup!F$1,A999,Lookup!G$1,B999,Lookup!H$1,H$1,Lookup!I$1)),"no attestation")</f>
        <v>no attestation</v>
      </c>
      <c r="F999" s="2" t="str">
        <f>IF(AND(NOT(ISBLANK(InfoGard!G999)),InfoGard!G999&lt;&gt;"N/A"),IF(C999="All",CONCATENATE(Lookup!F$2,D999,Lookup!G$2,B999,Lookup!H$2,H$1,Lookup!I$2),CONCATENATE(Lookup!F$3,D999,Lookup!G$3,B999,Lookup!H$3)),"no url")</f>
        <v>no url</v>
      </c>
    </row>
    <row r="1000" spans="1:6" hidden="1" x14ac:dyDescent="0.25">
      <c r="A1000" s="2" t="b">
        <f>IF(ISBLANK(InfoGard!D1000),FALSE,LOOKUP(InfoGard!D1000,Lookup!$A$2:$B$4))</f>
        <v>0</v>
      </c>
      <c r="B1000" s="2" t="b">
        <f>IF(ISBLANK(InfoGard!E1000),FALSE,RIGHT(TRIM(InfoGard!E1000),15))</f>
        <v>0</v>
      </c>
      <c r="C1000" s="2" t="b">
        <f>IF(ISBLANK(InfoGard!F1000),FALSE,LOOKUP(InfoGard!F1000,Lookup!$A$6:$B$7))</f>
        <v>0</v>
      </c>
      <c r="D1000" s="2" t="b">
        <f>IF(ISBLANK(InfoGard!G1000),FALSE,InfoGard!G1000)</f>
        <v>0</v>
      </c>
      <c r="E1000" s="2" t="str">
        <f>IF(NOT(ISBLANK(InfoGard!D1000)),IF(OR(ISBLANK(InfoGard!E1000),InfoGard!E1000="N/A"),"no acb code",CONCATENATE(Lookup!F$1,A1000,Lookup!G$1,B1000,Lookup!H$1,H$1,Lookup!I$1)),"no attestation")</f>
        <v>no attestation</v>
      </c>
      <c r="F1000" s="2" t="str">
        <f>IF(AND(NOT(ISBLANK(InfoGard!G1000)),InfoGard!G1000&lt;&gt;"N/A"),IF(C1000="All",CONCATENATE(Lookup!F$2,D1000,Lookup!G$2,B1000,Lookup!H$2,H$1,Lookup!I$2),CONCATENATE(Lookup!F$3,D1000,Lookup!G$3,B1000,Lookup!H$3)),"no url")</f>
        <v>no url</v>
      </c>
    </row>
    <row r="1001" spans="1:6" hidden="1" x14ac:dyDescent="0.25">
      <c r="A1001" s="2" t="b">
        <f>IF(ISBLANK(InfoGard!D1001),FALSE,LOOKUP(InfoGard!D1001,Lookup!$A$2:$B$4))</f>
        <v>0</v>
      </c>
      <c r="B1001" s="2" t="b">
        <f>IF(ISBLANK(InfoGard!E1001),FALSE,RIGHT(TRIM(InfoGard!E1001),15))</f>
        <v>0</v>
      </c>
      <c r="C1001" s="2" t="b">
        <f>IF(ISBLANK(InfoGard!F1001),FALSE,LOOKUP(InfoGard!F1001,Lookup!$A$6:$B$7))</f>
        <v>0</v>
      </c>
      <c r="D1001" s="2" t="b">
        <f>IF(ISBLANK(InfoGard!G1001),FALSE,InfoGard!G1001)</f>
        <v>0</v>
      </c>
      <c r="E1001" s="2" t="str">
        <f>IF(NOT(ISBLANK(InfoGard!D1001)),IF(OR(ISBLANK(InfoGard!E1001),InfoGard!E1001="N/A"),"no acb code",CONCATENATE(Lookup!F$1,A1001,Lookup!G$1,B1001,Lookup!H$1,H$1,Lookup!I$1)),"no attestation")</f>
        <v>no attestation</v>
      </c>
      <c r="F1001" s="2" t="str">
        <f>IF(AND(NOT(ISBLANK(InfoGard!G1001)),InfoGard!G1001&lt;&gt;"N/A"),IF(C1001="All",CONCATENATE(Lookup!F$2,D1001,Lookup!G$2,B1001,Lookup!H$2,H$1,Lookup!I$2),CONCATENATE(Lookup!F$3,D1001,Lookup!G$3,B1001,Lookup!H$3)),"no url")</f>
        <v>no url</v>
      </c>
    </row>
    <row r="1002" spans="1:6" hidden="1" x14ac:dyDescent="0.25">
      <c r="A1002" s="2" t="b">
        <f>IF(ISBLANK(InfoGard!D1002),FALSE,LOOKUP(InfoGard!D1002,Lookup!$A$2:$B$4))</f>
        <v>0</v>
      </c>
      <c r="B1002" s="2" t="b">
        <f>IF(ISBLANK(InfoGard!E1002),FALSE,RIGHT(TRIM(InfoGard!E1002),15))</f>
        <v>0</v>
      </c>
      <c r="C1002" s="2" t="b">
        <f>IF(ISBLANK(InfoGard!F1002),FALSE,LOOKUP(InfoGard!F1002,Lookup!$A$6:$B$7))</f>
        <v>0</v>
      </c>
      <c r="D1002" s="2" t="b">
        <f>IF(ISBLANK(InfoGard!G1002),FALSE,InfoGard!G1002)</f>
        <v>0</v>
      </c>
      <c r="E1002" s="2" t="str">
        <f>IF(NOT(ISBLANK(InfoGard!D1002)),IF(OR(ISBLANK(InfoGard!E1002),InfoGard!E1002="N/A"),"no acb code",CONCATENATE(Lookup!F$1,A1002,Lookup!G$1,B1002,Lookup!H$1,H$1,Lookup!I$1)),"no attestation")</f>
        <v>no attestation</v>
      </c>
      <c r="F1002" s="2" t="str">
        <f>IF(AND(NOT(ISBLANK(InfoGard!G1002)),InfoGard!G1002&lt;&gt;"N/A"),IF(C1002="All",CONCATENATE(Lookup!F$2,D1002,Lookup!G$2,B1002,Lookup!H$2,H$1,Lookup!I$2),CONCATENATE(Lookup!F$3,D1002,Lookup!G$3,B1002,Lookup!H$3)),"no url")</f>
        <v>no url</v>
      </c>
    </row>
    <row r="1003" spans="1:6" hidden="1" x14ac:dyDescent="0.25">
      <c r="A1003" s="2" t="b">
        <f>IF(ISBLANK(InfoGard!D1003),FALSE,LOOKUP(InfoGard!D1003,Lookup!$A$2:$B$4))</f>
        <v>0</v>
      </c>
      <c r="B1003" s="2" t="b">
        <f>IF(ISBLANK(InfoGard!E1003),FALSE,RIGHT(TRIM(InfoGard!E1003),15))</f>
        <v>0</v>
      </c>
      <c r="C1003" s="2" t="b">
        <f>IF(ISBLANK(InfoGard!F1003),FALSE,LOOKUP(InfoGard!F1003,Lookup!$A$6:$B$7))</f>
        <v>0</v>
      </c>
      <c r="D1003" s="2" t="b">
        <f>IF(ISBLANK(InfoGard!G1003),FALSE,InfoGard!G1003)</f>
        <v>0</v>
      </c>
      <c r="E1003" s="2" t="str">
        <f>IF(NOT(ISBLANK(InfoGard!D1003)),IF(OR(ISBLANK(InfoGard!E1003),InfoGard!E1003="N/A"),"no acb code",CONCATENATE(Lookup!F$1,A1003,Lookup!G$1,B1003,Lookup!H$1,H$1,Lookup!I$1)),"no attestation")</f>
        <v>no attestation</v>
      </c>
      <c r="F1003" s="2" t="str">
        <f>IF(AND(NOT(ISBLANK(InfoGard!G1003)),InfoGard!G1003&lt;&gt;"N/A"),IF(C1003="All",CONCATENATE(Lookup!F$2,D1003,Lookup!G$2,B1003,Lookup!H$2,H$1,Lookup!I$2),CONCATENATE(Lookup!F$3,D1003,Lookup!G$3,B1003,Lookup!H$3)),"no url")</f>
        <v>no url</v>
      </c>
    </row>
    <row r="1004" spans="1:6" x14ac:dyDescent="0.25">
      <c r="A1004" s="2" t="str">
        <f>IF(ISBLANK(InfoGard!D1004),FALSE,LOOKUP(InfoGard!D1004,Lookup!$A$2:$B$4))</f>
        <v>Affirmative</v>
      </c>
      <c r="B1004" s="2" t="str">
        <f>IF(ISBLANK(InfoGard!E1004),FALSE,RIGHT(TRIM(InfoGard!E1004),15))</f>
        <v>IG-3413-14-0109</v>
      </c>
      <c r="C1004" s="2" t="str">
        <f>IF(ISBLANK(InfoGard!F1004),FALSE,LOOKUP(InfoGard!F1004,Lookup!$A$6:$B$7))</f>
        <v>All</v>
      </c>
      <c r="D1004" s="2" t="str">
        <f>IF(ISBLANK(InfoGard!G1004),FALSE,InfoGard!G1004)</f>
        <v>http://www.nextservices.com/enki-ehr-certification-details/</v>
      </c>
      <c r="E1004" s="2" t="str">
        <f>IF(NOT(ISBLANK(InfoGard!D1004)),IF(OR(ISBLANK(InfoGard!E1004),InfoGard!E1004="N/A"),"no acb code",CONCATENATE(Lookup!F$1,A1004,Lookup!G$1,B1004,Lookup!H$1,H$1,Lookup!I$1)),"no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'IG-3413-14-0109' and cb."name" = 'InfoGard' and cp.product_version_id = pv.product_version_id and pv.product_id = p.product_id and p.vendor_id = vend.vendor_id;</v>
      </c>
      <c r="F1004" s="2" t="str">
        <f>IF(AND(NOT(ISBLANK(InfoGard!G1004)),InfoGard!G1004&lt;&gt;"N/A"),IF(C1004="All",CONCATENATE(Lookup!F$2,D1004,Lookup!G$2,B1004,Lookup!H$2,H$1,Lookup!I$2),CONCATENATE(Lookup!F$3,D1004,Lookup!G$3,B1004,Lookup!H$3)),"no url")</f>
        <v>update openchpl.certified_product as cp set transparency_attestation_url = 'http://www.nextservices.com/enki-ehr-certification-details/' from (select certified_product_id from (select vend.vendor_code from openchpl.certified_product as cp, openchpl.product_version as pv, openchpl.product as p, openchpl.vendor as vend where cp.acb_certification_id = 'IG-3413-14-0109'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05" spans="1:6" hidden="1" x14ac:dyDescent="0.25">
      <c r="A1005" s="2" t="b">
        <f>IF(ISBLANK(InfoGard!D1005),FALSE,LOOKUP(InfoGard!D1005,Lookup!$A$2:$B$4))</f>
        <v>0</v>
      </c>
      <c r="B1005" s="2" t="b">
        <f>IF(ISBLANK(InfoGard!E1005),FALSE,RIGHT(TRIM(InfoGard!E1005),15))</f>
        <v>0</v>
      </c>
      <c r="C1005" s="2" t="b">
        <f>IF(ISBLANK(InfoGard!F1005),FALSE,LOOKUP(InfoGard!F1005,Lookup!$A$6:$B$7))</f>
        <v>0</v>
      </c>
      <c r="D1005" s="2" t="b">
        <f>IF(ISBLANK(InfoGard!G1005),FALSE,InfoGard!G1005)</f>
        <v>0</v>
      </c>
      <c r="E1005" s="2" t="str">
        <f>IF(NOT(ISBLANK(InfoGard!D1005)),IF(OR(ISBLANK(InfoGard!E1005),InfoGard!E1005="N/A"),"no acb code",CONCATENATE(Lookup!F$1,A1005,Lookup!G$1,B1005,Lookup!H$1,H$1,Lookup!I$1)),"no attestation")</f>
        <v>no attestation</v>
      </c>
      <c r="F1005" s="2" t="str">
        <f>IF(AND(NOT(ISBLANK(InfoGard!G1005)),InfoGard!G1005&lt;&gt;"N/A"),IF(C1005="All",CONCATENATE(Lookup!F$2,D1005,Lookup!G$2,B1005,Lookup!H$2,H$1,Lookup!I$2),CONCATENATE(Lookup!F$3,D1005,Lookup!G$3,B1005,Lookup!H$3)),"no url")</f>
        <v>no url</v>
      </c>
    </row>
    <row r="1006" spans="1:6" hidden="1" x14ac:dyDescent="0.25">
      <c r="A1006" s="2" t="b">
        <f>IF(ISBLANK(InfoGard!D1006),FALSE,LOOKUP(InfoGard!D1006,Lookup!$A$2:$B$4))</f>
        <v>0</v>
      </c>
      <c r="B1006" s="2" t="b">
        <f>IF(ISBLANK(InfoGard!E1006),FALSE,RIGHT(TRIM(InfoGard!E1006),15))</f>
        <v>0</v>
      </c>
      <c r="C1006" s="2" t="b">
        <f>IF(ISBLANK(InfoGard!F1006),FALSE,LOOKUP(InfoGard!F1006,Lookup!$A$6:$B$7))</f>
        <v>0</v>
      </c>
      <c r="D1006" s="2" t="b">
        <f>IF(ISBLANK(InfoGard!G1006),FALSE,InfoGard!G1006)</f>
        <v>0</v>
      </c>
      <c r="E1006" s="2" t="str">
        <f>IF(NOT(ISBLANK(InfoGard!D1006)),IF(OR(ISBLANK(InfoGard!E1006),InfoGard!E1006="N/A"),"no acb code",CONCATENATE(Lookup!F$1,A1006,Lookup!G$1,B1006,Lookup!H$1,H$1,Lookup!I$1)),"no attestation")</f>
        <v>no attestation</v>
      </c>
      <c r="F1006" s="2" t="str">
        <f>IF(AND(NOT(ISBLANK(InfoGard!G1006)),InfoGard!G1006&lt;&gt;"N/A"),IF(C1006="All",CONCATENATE(Lookup!F$2,D1006,Lookup!G$2,B1006,Lookup!H$2,H$1,Lookup!I$2),CONCATENATE(Lookup!F$3,D1006,Lookup!G$3,B1006,Lookup!H$3)),"no url")</f>
        <v>no url</v>
      </c>
    </row>
    <row r="1007" spans="1:6" hidden="1" x14ac:dyDescent="0.25">
      <c r="A1007" s="2" t="b">
        <f>IF(ISBLANK(InfoGard!D1007),FALSE,LOOKUP(InfoGard!D1007,Lookup!$A$2:$B$4))</f>
        <v>0</v>
      </c>
      <c r="B1007" s="2" t="b">
        <f>IF(ISBLANK(InfoGard!E1007),FALSE,RIGHT(TRIM(InfoGard!E1007),15))</f>
        <v>0</v>
      </c>
      <c r="C1007" s="2" t="b">
        <f>IF(ISBLANK(InfoGard!F1007),FALSE,LOOKUP(InfoGard!F1007,Lookup!$A$6:$B$7))</f>
        <v>0</v>
      </c>
      <c r="D1007" s="2" t="b">
        <f>IF(ISBLANK(InfoGard!G1007),FALSE,InfoGard!G1007)</f>
        <v>0</v>
      </c>
      <c r="E1007" s="2" t="str">
        <f>IF(NOT(ISBLANK(InfoGard!D1007)),IF(OR(ISBLANK(InfoGard!E1007),InfoGard!E1007="N/A"),"no acb code",CONCATENATE(Lookup!F$1,A1007,Lookup!G$1,B1007,Lookup!H$1,H$1,Lookup!I$1)),"no attestation")</f>
        <v>no attestation</v>
      </c>
      <c r="F1007" s="2" t="str">
        <f>IF(AND(NOT(ISBLANK(InfoGard!G1007)),InfoGard!G1007&lt;&gt;"N/A"),IF(C1007="All",CONCATENATE(Lookup!F$2,D1007,Lookup!G$2,B1007,Lookup!H$2,H$1,Lookup!I$2),CONCATENATE(Lookup!F$3,D1007,Lookup!G$3,B1007,Lookup!H$3)),"no url")</f>
        <v>no url</v>
      </c>
    </row>
    <row r="1008" spans="1:6" hidden="1" x14ac:dyDescent="0.25">
      <c r="A1008" s="2" t="b">
        <f>IF(ISBLANK(InfoGard!D1008),FALSE,LOOKUP(InfoGard!D1008,Lookup!$A$2:$B$4))</f>
        <v>0</v>
      </c>
      <c r="B1008" s="2" t="b">
        <f>IF(ISBLANK(InfoGard!E1008),FALSE,RIGHT(TRIM(InfoGard!E1008),15))</f>
        <v>0</v>
      </c>
      <c r="C1008" s="2" t="b">
        <f>IF(ISBLANK(InfoGard!F1008),FALSE,LOOKUP(InfoGard!F1008,Lookup!$A$6:$B$7))</f>
        <v>0</v>
      </c>
      <c r="D1008" s="2" t="b">
        <f>IF(ISBLANK(InfoGard!G1008),FALSE,InfoGard!G1008)</f>
        <v>0</v>
      </c>
      <c r="E1008" s="2" t="str">
        <f>IF(NOT(ISBLANK(InfoGard!D1008)),IF(OR(ISBLANK(InfoGard!E1008),InfoGard!E1008="N/A"),"no acb code",CONCATENATE(Lookup!F$1,A1008,Lookup!G$1,B1008,Lookup!H$1,H$1,Lookup!I$1)),"no attestation")</f>
        <v>no attestation</v>
      </c>
      <c r="F1008" s="2" t="str">
        <f>IF(AND(NOT(ISBLANK(InfoGard!G1008)),InfoGard!G1008&lt;&gt;"N/A"),IF(C1008="All",CONCATENATE(Lookup!F$2,D1008,Lookup!G$2,B1008,Lookup!H$2,H$1,Lookup!I$2),CONCATENATE(Lookup!F$3,D1008,Lookup!G$3,B1008,Lookup!H$3)),"no url")</f>
        <v>no url</v>
      </c>
    </row>
    <row r="1009" spans="1:6" hidden="1" x14ac:dyDescent="0.25">
      <c r="A1009" s="2" t="b">
        <f>IF(ISBLANK(InfoGard!D1009),FALSE,LOOKUP(InfoGard!D1009,Lookup!$A$2:$B$4))</f>
        <v>0</v>
      </c>
      <c r="B1009" s="2" t="b">
        <f>IF(ISBLANK(InfoGard!E1009),FALSE,RIGHT(TRIM(InfoGard!E1009),15))</f>
        <v>0</v>
      </c>
      <c r="C1009" s="2" t="b">
        <f>IF(ISBLANK(InfoGard!F1009),FALSE,LOOKUP(InfoGard!F1009,Lookup!$A$6:$B$7))</f>
        <v>0</v>
      </c>
      <c r="D1009" s="2" t="b">
        <f>IF(ISBLANK(InfoGard!G1009),FALSE,InfoGard!G1009)</f>
        <v>0</v>
      </c>
      <c r="E1009" s="2" t="str">
        <f>IF(NOT(ISBLANK(InfoGard!D1009)),IF(OR(ISBLANK(InfoGard!E1009),InfoGard!E1009="N/A"),"no acb code",CONCATENATE(Lookup!F$1,A1009,Lookup!G$1,B1009,Lookup!H$1,H$1,Lookup!I$1)),"no attestation")</f>
        <v>no attestation</v>
      </c>
      <c r="F1009" s="2" t="str">
        <f>IF(AND(NOT(ISBLANK(InfoGard!G1009)),InfoGard!G1009&lt;&gt;"N/A"),IF(C1009="All",CONCATENATE(Lookup!F$2,D1009,Lookup!G$2,B1009,Lookup!H$2,H$1,Lookup!I$2),CONCATENATE(Lookup!F$3,D1009,Lookup!G$3,B1009,Lookup!H$3)),"no url")</f>
        <v>no url</v>
      </c>
    </row>
    <row r="1010" spans="1:6" hidden="1" x14ac:dyDescent="0.25">
      <c r="A1010" s="2" t="b">
        <f>IF(ISBLANK(InfoGard!D1010),FALSE,LOOKUP(InfoGard!D1010,Lookup!$A$2:$B$4))</f>
        <v>0</v>
      </c>
      <c r="B1010" s="2" t="b">
        <f>IF(ISBLANK(InfoGard!E1010),FALSE,RIGHT(TRIM(InfoGard!E1010),15))</f>
        <v>0</v>
      </c>
      <c r="C1010" s="2" t="b">
        <f>IF(ISBLANK(InfoGard!F1010),FALSE,LOOKUP(InfoGard!F1010,Lookup!$A$6:$B$7))</f>
        <v>0</v>
      </c>
      <c r="D1010" s="2" t="b">
        <f>IF(ISBLANK(InfoGard!G1010),FALSE,InfoGard!G1010)</f>
        <v>0</v>
      </c>
      <c r="E1010" s="2" t="str">
        <f>IF(NOT(ISBLANK(InfoGard!D1010)),IF(OR(ISBLANK(InfoGard!E1010),InfoGard!E1010="N/A"),"no acb code",CONCATENATE(Lookup!F$1,A1010,Lookup!G$1,B1010,Lookup!H$1,H$1,Lookup!I$1)),"no attestation")</f>
        <v>no attestation</v>
      </c>
      <c r="F1010" s="2" t="str">
        <f>IF(AND(NOT(ISBLANK(InfoGard!G1010)),InfoGard!G1010&lt;&gt;"N/A"),IF(C1010="All",CONCATENATE(Lookup!F$2,D1010,Lookup!G$2,B1010,Lookup!H$2,H$1,Lookup!I$2),CONCATENATE(Lookup!F$3,D1010,Lookup!G$3,B1010,Lookup!H$3)),"no url")</f>
        <v>no url</v>
      </c>
    </row>
    <row r="1011" spans="1:6" hidden="1" x14ac:dyDescent="0.25">
      <c r="A1011" s="2" t="b">
        <f>IF(ISBLANK(InfoGard!D1011),FALSE,LOOKUP(InfoGard!D1011,Lookup!$A$2:$B$4))</f>
        <v>0</v>
      </c>
      <c r="B1011" s="2" t="b">
        <f>IF(ISBLANK(InfoGard!E1011),FALSE,RIGHT(TRIM(InfoGard!E1011),15))</f>
        <v>0</v>
      </c>
      <c r="C1011" s="2" t="b">
        <f>IF(ISBLANK(InfoGard!F1011),FALSE,LOOKUP(InfoGard!F1011,Lookup!$A$6:$B$7))</f>
        <v>0</v>
      </c>
      <c r="D1011" s="2" t="b">
        <f>IF(ISBLANK(InfoGard!G1011),FALSE,InfoGard!G1011)</f>
        <v>0</v>
      </c>
      <c r="E1011" s="2" t="str">
        <f>IF(NOT(ISBLANK(InfoGard!D1011)),IF(OR(ISBLANK(InfoGard!E1011),InfoGard!E1011="N/A"),"no acb code",CONCATENATE(Lookup!F$1,A1011,Lookup!G$1,B1011,Lookup!H$1,H$1,Lookup!I$1)),"no attestation")</f>
        <v>no attestation</v>
      </c>
      <c r="F1011" s="2" t="str">
        <f>IF(AND(NOT(ISBLANK(InfoGard!G1011)),InfoGard!G1011&lt;&gt;"N/A"),IF(C1011="All",CONCATENATE(Lookup!F$2,D1011,Lookup!G$2,B1011,Lookup!H$2,H$1,Lookup!I$2),CONCATENATE(Lookup!F$3,D1011,Lookup!G$3,B1011,Lookup!H$3)),"no url")</f>
        <v>no url</v>
      </c>
    </row>
    <row r="1012" spans="1:6" hidden="1" x14ac:dyDescent="0.25">
      <c r="A1012" s="2" t="b">
        <f>IF(ISBLANK(InfoGard!D1012),FALSE,LOOKUP(InfoGard!D1012,Lookup!$A$2:$B$4))</f>
        <v>0</v>
      </c>
      <c r="B1012" s="2" t="b">
        <f>IF(ISBLANK(InfoGard!E1012),FALSE,RIGHT(TRIM(InfoGard!E1012),15))</f>
        <v>0</v>
      </c>
      <c r="C1012" s="2" t="b">
        <f>IF(ISBLANK(InfoGard!F1012),FALSE,LOOKUP(InfoGard!F1012,Lookup!$A$6:$B$7))</f>
        <v>0</v>
      </c>
      <c r="D1012" s="2" t="b">
        <f>IF(ISBLANK(InfoGard!G1012),FALSE,InfoGard!G1012)</f>
        <v>0</v>
      </c>
      <c r="E1012" s="2" t="str">
        <f>IF(NOT(ISBLANK(InfoGard!D1012)),IF(OR(ISBLANK(InfoGard!E1012),InfoGard!E1012="N/A"),"no acb code",CONCATENATE(Lookup!F$1,A1012,Lookup!G$1,B1012,Lookup!H$1,H$1,Lookup!I$1)),"no attestation")</f>
        <v>no attestation</v>
      </c>
      <c r="F1012" s="2" t="str">
        <f>IF(AND(NOT(ISBLANK(InfoGard!G1012)),InfoGard!G1012&lt;&gt;"N/A"),IF(C1012="All",CONCATENATE(Lookup!F$2,D1012,Lookup!G$2,B1012,Lookup!H$2,H$1,Lookup!I$2),CONCATENATE(Lookup!F$3,D1012,Lookup!G$3,B1012,Lookup!H$3)),"no url")</f>
        <v>no url</v>
      </c>
    </row>
    <row r="1013" spans="1:6" hidden="1" x14ac:dyDescent="0.25">
      <c r="A1013" s="2" t="b">
        <f>IF(ISBLANK(InfoGard!D1013),FALSE,LOOKUP(InfoGard!D1013,Lookup!$A$2:$B$4))</f>
        <v>0</v>
      </c>
      <c r="B1013" s="2" t="b">
        <f>IF(ISBLANK(InfoGard!E1013),FALSE,RIGHT(TRIM(InfoGard!E1013),15))</f>
        <v>0</v>
      </c>
      <c r="C1013" s="2" t="b">
        <f>IF(ISBLANK(InfoGard!F1013),FALSE,LOOKUP(InfoGard!F1013,Lookup!$A$6:$B$7))</f>
        <v>0</v>
      </c>
      <c r="D1013" s="2" t="b">
        <f>IF(ISBLANK(InfoGard!G1013),FALSE,InfoGard!G1013)</f>
        <v>0</v>
      </c>
      <c r="E1013" s="2" t="str">
        <f>IF(NOT(ISBLANK(InfoGard!D1013)),IF(OR(ISBLANK(InfoGard!E1013),InfoGard!E1013="N/A"),"no acb code",CONCATENATE(Lookup!F$1,A1013,Lookup!G$1,B1013,Lookup!H$1,H$1,Lookup!I$1)),"no attestation")</f>
        <v>no attestation</v>
      </c>
      <c r="F1013" s="2" t="str">
        <f>IF(AND(NOT(ISBLANK(InfoGard!G1013)),InfoGard!G1013&lt;&gt;"N/A"),IF(C1013="All",CONCATENATE(Lookup!F$2,D1013,Lookup!G$2,B1013,Lookup!H$2,H$1,Lookup!I$2),CONCATENATE(Lookup!F$3,D1013,Lookup!G$3,B1013,Lookup!H$3)),"no url")</f>
        <v>no url</v>
      </c>
    </row>
    <row r="1014" spans="1:6" hidden="1" x14ac:dyDescent="0.25">
      <c r="A1014" s="2" t="b">
        <f>IF(ISBLANK(InfoGard!D1014),FALSE,LOOKUP(InfoGard!D1014,Lookup!$A$2:$B$4))</f>
        <v>0</v>
      </c>
      <c r="B1014" s="2" t="b">
        <f>IF(ISBLANK(InfoGard!E1014),FALSE,RIGHT(TRIM(InfoGard!E1014),15))</f>
        <v>0</v>
      </c>
      <c r="C1014" s="2" t="b">
        <f>IF(ISBLANK(InfoGard!F1014),FALSE,LOOKUP(InfoGard!F1014,Lookup!$A$6:$B$7))</f>
        <v>0</v>
      </c>
      <c r="D1014" s="2" t="b">
        <f>IF(ISBLANK(InfoGard!G1014),FALSE,InfoGard!G1014)</f>
        <v>0</v>
      </c>
      <c r="E1014" s="2" t="str">
        <f>IF(NOT(ISBLANK(InfoGard!D1014)),IF(OR(ISBLANK(InfoGard!E1014),InfoGard!E1014="N/A"),"no acb code",CONCATENATE(Lookup!F$1,A1014,Lookup!G$1,B1014,Lookup!H$1,H$1,Lookup!I$1)),"no attestation")</f>
        <v>no attestation</v>
      </c>
      <c r="F1014" s="2" t="str">
        <f>IF(AND(NOT(ISBLANK(InfoGard!G1014)),InfoGard!G1014&lt;&gt;"N/A"),IF(C1014="All",CONCATENATE(Lookup!F$2,D1014,Lookup!G$2,B1014,Lookup!H$2,H$1,Lookup!I$2),CONCATENATE(Lookup!F$3,D1014,Lookup!G$3,B1014,Lookup!H$3)),"no url")</f>
        <v>no url</v>
      </c>
    </row>
    <row r="1015" spans="1:6" hidden="1" x14ac:dyDescent="0.25">
      <c r="A1015" s="2" t="b">
        <f>IF(ISBLANK(InfoGard!D1015),FALSE,LOOKUP(InfoGard!D1015,Lookup!$A$2:$B$4))</f>
        <v>0</v>
      </c>
      <c r="B1015" s="2" t="b">
        <f>IF(ISBLANK(InfoGard!E1015),FALSE,RIGHT(TRIM(InfoGard!E1015),15))</f>
        <v>0</v>
      </c>
      <c r="C1015" s="2" t="b">
        <f>IF(ISBLANK(InfoGard!F1015),FALSE,LOOKUP(InfoGard!F1015,Lookup!$A$6:$B$7))</f>
        <v>0</v>
      </c>
      <c r="D1015" s="2" t="b">
        <f>IF(ISBLANK(InfoGard!G1015),FALSE,InfoGard!G1015)</f>
        <v>0</v>
      </c>
      <c r="E1015" s="2" t="str">
        <f>IF(NOT(ISBLANK(InfoGard!D1015)),IF(OR(ISBLANK(InfoGard!E1015),InfoGard!E1015="N/A"),"no acb code",CONCATENATE(Lookup!F$1,A1015,Lookup!G$1,B1015,Lookup!H$1,H$1,Lookup!I$1)),"no attestation")</f>
        <v>no attestation</v>
      </c>
      <c r="F1015" s="2" t="str">
        <f>IF(AND(NOT(ISBLANK(InfoGard!G1015)),InfoGard!G1015&lt;&gt;"N/A"),IF(C1015="All",CONCATENATE(Lookup!F$2,D1015,Lookup!G$2,B1015,Lookup!H$2,H$1,Lookup!I$2),CONCATENATE(Lookup!F$3,D1015,Lookup!G$3,B1015,Lookup!H$3)),"no url")</f>
        <v>no url</v>
      </c>
    </row>
    <row r="1016" spans="1:6" hidden="1" x14ac:dyDescent="0.25">
      <c r="A1016" s="2" t="b">
        <f>IF(ISBLANK(InfoGard!D1016),FALSE,LOOKUP(InfoGard!D1016,Lookup!$A$2:$B$4))</f>
        <v>0</v>
      </c>
      <c r="B1016" s="2" t="b">
        <f>IF(ISBLANK(InfoGard!E1016),FALSE,RIGHT(TRIM(InfoGard!E1016),15))</f>
        <v>0</v>
      </c>
      <c r="C1016" s="2" t="b">
        <f>IF(ISBLANK(InfoGard!F1016),FALSE,LOOKUP(InfoGard!F1016,Lookup!$A$6:$B$7))</f>
        <v>0</v>
      </c>
      <c r="D1016" s="2" t="b">
        <f>IF(ISBLANK(InfoGard!G1016),FALSE,InfoGard!G1016)</f>
        <v>0</v>
      </c>
      <c r="E1016" s="2" t="str">
        <f>IF(NOT(ISBLANK(InfoGard!D1016)),IF(OR(ISBLANK(InfoGard!E1016),InfoGard!E1016="N/A"),"no acb code",CONCATENATE(Lookup!F$1,A1016,Lookup!G$1,B1016,Lookup!H$1,H$1,Lookup!I$1)),"no attestation")</f>
        <v>no attestation</v>
      </c>
      <c r="F1016" s="2" t="str">
        <f>IF(AND(NOT(ISBLANK(InfoGard!G1016)),InfoGard!G1016&lt;&gt;"N/A"),IF(C1016="All",CONCATENATE(Lookup!F$2,D1016,Lookup!G$2,B1016,Lookup!H$2,H$1,Lookup!I$2),CONCATENATE(Lookup!F$3,D1016,Lookup!G$3,B1016,Lookup!H$3)),"no url")</f>
        <v>no url</v>
      </c>
    </row>
    <row r="1017" spans="1:6" x14ac:dyDescent="0.25">
      <c r="A1017" s="2" t="str">
        <f>IF(ISBLANK(InfoGard!D1017),FALSE,LOOKUP(InfoGard!D1017,Lookup!$A$2:$B$4))</f>
        <v>Affirmative</v>
      </c>
      <c r="B1017" s="2" t="str">
        <f>IF(ISBLANK(InfoGard!E1017),FALSE,RIGHT(TRIM(InfoGard!E1017),15))</f>
        <v>IG-3439-14-0101</v>
      </c>
      <c r="C1017" s="2" t="str">
        <f>IF(ISBLANK(InfoGard!F1017),FALSE,LOOKUP(InfoGard!F1017,Lookup!$A$6:$B$7))</f>
        <v>All</v>
      </c>
      <c r="D1017" s="2" t="str">
        <f>IF(ISBLANK(InfoGard!G1017),FALSE,InfoGard!G1017)</f>
        <v>http://novobi.com/category/products/cqm-engine/</v>
      </c>
      <c r="E1017" s="2" t="str">
        <f>IF(NOT(ISBLANK(InfoGard!D1017)),IF(OR(ISBLANK(InfoGard!E1017),InfoGard!E1017="N/A"),"no acb code",CONCATENATE(Lookup!F$1,A1017,Lookup!G$1,B1017,Lookup!H$1,H$1,Lookup!I$1)),"no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'IG-3439-14-0101' and cb."name" = 'InfoGard' and cp.product_version_id = pv.product_version_id and pv.product_id = p.product_id and p.vendor_id = vend.vendor_id;</v>
      </c>
      <c r="F1017" s="2" t="str">
        <f>IF(AND(NOT(ISBLANK(InfoGard!G1017)),InfoGard!G1017&lt;&gt;"N/A"),IF(C1017="All",CONCATENATE(Lookup!F$2,D1017,Lookup!G$2,B1017,Lookup!H$2,H$1,Lookup!I$2),CONCATENATE(Lookup!F$3,D1017,Lookup!G$3,B1017,Lookup!H$3)),"no url")</f>
        <v>update openchpl.certified_product as cp set transparency_attestation_url = 'http://novobi.com/category/products/cqm-engine/' from (select certified_product_id from (select vend.vendor_code from openchpl.certified_product as cp, openchpl.product_version as pv, openchpl.product as p, openchpl.vendor as vend where cp.acb_certification_id = 'IG-3439-14-0101'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18" spans="1:6" hidden="1" x14ac:dyDescent="0.25">
      <c r="A1018" s="2" t="b">
        <f>IF(ISBLANK(InfoGard!D1018),FALSE,LOOKUP(InfoGard!D1018,Lookup!$A$2:$B$4))</f>
        <v>0</v>
      </c>
      <c r="B1018" s="2" t="b">
        <f>IF(ISBLANK(InfoGard!E1018),FALSE,RIGHT(TRIM(InfoGard!E1018),15))</f>
        <v>0</v>
      </c>
      <c r="C1018" s="2" t="b">
        <f>IF(ISBLANK(InfoGard!F1018),FALSE,LOOKUP(InfoGard!F1018,Lookup!$A$6:$B$7))</f>
        <v>0</v>
      </c>
      <c r="D1018" s="2" t="b">
        <f>IF(ISBLANK(InfoGard!G1018),FALSE,InfoGard!G1018)</f>
        <v>0</v>
      </c>
      <c r="E1018" s="2" t="str">
        <f>IF(NOT(ISBLANK(InfoGard!D1018)),IF(OR(ISBLANK(InfoGard!E1018),InfoGard!E1018="N/A"),"no acb code",CONCATENATE(Lookup!F$1,A1018,Lookup!G$1,B1018,Lookup!H$1,H$1,Lookup!I$1)),"no attestation")</f>
        <v>no attestation</v>
      </c>
      <c r="F1018" s="2" t="str">
        <f>IF(AND(NOT(ISBLANK(InfoGard!G1018)),InfoGard!G1018&lt;&gt;"N/A"),IF(C1018="All",CONCATENATE(Lookup!F$2,D1018,Lookup!G$2,B1018,Lookup!H$2,H$1,Lookup!I$2),CONCATENATE(Lookup!F$3,D1018,Lookup!G$3,B1018,Lookup!H$3)),"no url")</f>
        <v>no url</v>
      </c>
    </row>
    <row r="1019" spans="1:6" hidden="1" x14ac:dyDescent="0.25">
      <c r="A1019" s="2" t="b">
        <f>IF(ISBLANK(InfoGard!D1019),FALSE,LOOKUP(InfoGard!D1019,Lookup!$A$2:$B$4))</f>
        <v>0</v>
      </c>
      <c r="B1019" s="2" t="b">
        <f>IF(ISBLANK(InfoGard!E1019),FALSE,RIGHT(TRIM(InfoGard!E1019),15))</f>
        <v>0</v>
      </c>
      <c r="C1019" s="2" t="b">
        <f>IF(ISBLANK(InfoGard!F1019),FALSE,LOOKUP(InfoGard!F1019,Lookup!$A$6:$B$7))</f>
        <v>0</v>
      </c>
      <c r="D1019" s="2" t="b">
        <f>IF(ISBLANK(InfoGard!G1019),FALSE,InfoGard!G1019)</f>
        <v>0</v>
      </c>
      <c r="E1019" s="2" t="str">
        <f>IF(NOT(ISBLANK(InfoGard!D1019)),IF(OR(ISBLANK(InfoGard!E1019),InfoGard!E1019="N/A"),"no acb code",CONCATENATE(Lookup!F$1,A1019,Lookup!G$1,B1019,Lookup!H$1,H$1,Lookup!I$1)),"no attestation")</f>
        <v>no attestation</v>
      </c>
      <c r="F1019" s="2" t="str">
        <f>IF(AND(NOT(ISBLANK(InfoGard!G1019)),InfoGard!G1019&lt;&gt;"N/A"),IF(C1019="All",CONCATENATE(Lookup!F$2,D1019,Lookup!G$2,B1019,Lookup!H$2,H$1,Lookup!I$2),CONCATENATE(Lookup!F$3,D1019,Lookup!G$3,B1019,Lookup!H$3)),"no url")</f>
        <v>no url</v>
      </c>
    </row>
    <row r="1020" spans="1:6" hidden="1" x14ac:dyDescent="0.25">
      <c r="A1020" s="2" t="b">
        <f>IF(ISBLANK(InfoGard!D1020),FALSE,LOOKUP(InfoGard!D1020,Lookup!$A$2:$B$4))</f>
        <v>0</v>
      </c>
      <c r="B1020" s="2" t="b">
        <f>IF(ISBLANK(InfoGard!E1020),FALSE,RIGHT(TRIM(InfoGard!E1020),15))</f>
        <v>0</v>
      </c>
      <c r="C1020" s="2" t="b">
        <f>IF(ISBLANK(InfoGard!F1020),FALSE,LOOKUP(InfoGard!F1020,Lookup!$A$6:$B$7))</f>
        <v>0</v>
      </c>
      <c r="D1020" s="2" t="b">
        <f>IF(ISBLANK(InfoGard!G1020),FALSE,InfoGard!G1020)</f>
        <v>0</v>
      </c>
      <c r="E1020" s="2" t="str">
        <f>IF(NOT(ISBLANK(InfoGard!D1020)),IF(OR(ISBLANK(InfoGard!E1020),InfoGard!E1020="N/A"),"no acb code",CONCATENATE(Lookup!F$1,A1020,Lookup!G$1,B1020,Lookup!H$1,H$1,Lookup!I$1)),"no attestation")</f>
        <v>no attestation</v>
      </c>
      <c r="F1020" s="2" t="str">
        <f>IF(AND(NOT(ISBLANK(InfoGard!G1020)),InfoGard!G1020&lt;&gt;"N/A"),IF(C1020="All",CONCATENATE(Lookup!F$2,D1020,Lookup!G$2,B1020,Lookup!H$2,H$1,Lookup!I$2),CONCATENATE(Lookup!F$3,D1020,Lookup!G$3,B1020,Lookup!H$3)),"no url")</f>
        <v>no url</v>
      </c>
    </row>
    <row r="1021" spans="1:6" hidden="1" x14ac:dyDescent="0.25">
      <c r="A1021" s="2" t="b">
        <f>IF(ISBLANK(InfoGard!D1021),FALSE,LOOKUP(InfoGard!D1021,Lookup!$A$2:$B$4))</f>
        <v>0</v>
      </c>
      <c r="B1021" s="2" t="b">
        <f>IF(ISBLANK(InfoGard!E1021),FALSE,RIGHT(TRIM(InfoGard!E1021),15))</f>
        <v>0</v>
      </c>
      <c r="C1021" s="2" t="b">
        <f>IF(ISBLANK(InfoGard!F1021),FALSE,LOOKUP(InfoGard!F1021,Lookup!$A$6:$B$7))</f>
        <v>0</v>
      </c>
      <c r="D1021" s="2" t="b">
        <f>IF(ISBLANK(InfoGard!G1021),FALSE,InfoGard!G1021)</f>
        <v>0</v>
      </c>
      <c r="E1021" s="2" t="str">
        <f>IF(NOT(ISBLANK(InfoGard!D1021)),IF(OR(ISBLANK(InfoGard!E1021),InfoGard!E1021="N/A"),"no acb code",CONCATENATE(Lookup!F$1,A1021,Lookup!G$1,B1021,Lookup!H$1,H$1,Lookup!I$1)),"no attestation")</f>
        <v>no attestation</v>
      </c>
      <c r="F1021" s="2" t="str">
        <f>IF(AND(NOT(ISBLANK(InfoGard!G1021)),InfoGard!G1021&lt;&gt;"N/A"),IF(C1021="All",CONCATENATE(Lookup!F$2,D1021,Lookup!G$2,B1021,Lookup!H$2,H$1,Lookup!I$2),CONCATENATE(Lookup!F$3,D1021,Lookup!G$3,B1021,Lookup!H$3)),"no url")</f>
        <v>no url</v>
      </c>
    </row>
    <row r="1022" spans="1:6" hidden="1" x14ac:dyDescent="0.25">
      <c r="A1022" s="2" t="b">
        <f>IF(ISBLANK(InfoGard!D1022),FALSE,LOOKUP(InfoGard!D1022,Lookup!$A$2:$B$4))</f>
        <v>0</v>
      </c>
      <c r="B1022" s="2" t="b">
        <f>IF(ISBLANK(InfoGard!E1022),FALSE,RIGHT(TRIM(InfoGard!E1022),15))</f>
        <v>0</v>
      </c>
      <c r="C1022" s="2" t="b">
        <f>IF(ISBLANK(InfoGard!F1022),FALSE,LOOKUP(InfoGard!F1022,Lookup!$A$6:$B$7))</f>
        <v>0</v>
      </c>
      <c r="D1022" s="2" t="b">
        <f>IF(ISBLANK(InfoGard!G1022),FALSE,InfoGard!G1022)</f>
        <v>0</v>
      </c>
      <c r="E1022" s="2" t="str">
        <f>IF(NOT(ISBLANK(InfoGard!D1022)),IF(OR(ISBLANK(InfoGard!E1022),InfoGard!E1022="N/A"),"no acb code",CONCATENATE(Lookup!F$1,A1022,Lookup!G$1,B1022,Lookup!H$1,H$1,Lookup!I$1)),"no attestation")</f>
        <v>no attestation</v>
      </c>
      <c r="F1022" s="2" t="str">
        <f>IF(AND(NOT(ISBLANK(InfoGard!G1022)),InfoGard!G1022&lt;&gt;"N/A"),IF(C1022="All",CONCATENATE(Lookup!F$2,D1022,Lookup!G$2,B1022,Lookup!H$2,H$1,Lookup!I$2),CONCATENATE(Lookup!F$3,D1022,Lookup!G$3,B1022,Lookup!H$3)),"no url")</f>
        <v>no url</v>
      </c>
    </row>
    <row r="1023" spans="1:6" hidden="1" x14ac:dyDescent="0.25">
      <c r="A1023" s="2" t="b">
        <f>IF(ISBLANK(InfoGard!D1023),FALSE,LOOKUP(InfoGard!D1023,Lookup!$A$2:$B$4))</f>
        <v>0</v>
      </c>
      <c r="B1023" s="2" t="b">
        <f>IF(ISBLANK(InfoGard!E1023),FALSE,RIGHT(TRIM(InfoGard!E1023),15))</f>
        <v>0</v>
      </c>
      <c r="C1023" s="2" t="b">
        <f>IF(ISBLANK(InfoGard!F1023),FALSE,LOOKUP(InfoGard!F1023,Lookup!$A$6:$B$7))</f>
        <v>0</v>
      </c>
      <c r="D1023" s="2" t="b">
        <f>IF(ISBLANK(InfoGard!G1023),FALSE,InfoGard!G1023)</f>
        <v>0</v>
      </c>
      <c r="E1023" s="2" t="str">
        <f>IF(NOT(ISBLANK(InfoGard!D1023)),IF(OR(ISBLANK(InfoGard!E1023),InfoGard!E1023="N/A"),"no acb code",CONCATENATE(Lookup!F$1,A1023,Lookup!G$1,B1023,Lookup!H$1,H$1,Lookup!I$1)),"no attestation")</f>
        <v>no attestation</v>
      </c>
      <c r="F1023" s="2" t="str">
        <f>IF(AND(NOT(ISBLANK(InfoGard!G1023)),InfoGard!G1023&lt;&gt;"N/A"),IF(C1023="All",CONCATENATE(Lookup!F$2,D1023,Lookup!G$2,B1023,Lookup!H$2,H$1,Lookup!I$2),CONCATENATE(Lookup!F$3,D1023,Lookup!G$3,B1023,Lookup!H$3)),"no url")</f>
        <v>no url</v>
      </c>
    </row>
    <row r="1024" spans="1:6" hidden="1" x14ac:dyDescent="0.25">
      <c r="A1024" s="2" t="b">
        <f>IF(ISBLANK(InfoGard!D1024),FALSE,LOOKUP(InfoGard!D1024,Lookup!$A$2:$B$4))</f>
        <v>0</v>
      </c>
      <c r="B1024" s="2" t="b">
        <f>IF(ISBLANK(InfoGard!E1024),FALSE,RIGHT(TRIM(InfoGard!E1024),15))</f>
        <v>0</v>
      </c>
      <c r="C1024" s="2" t="b">
        <f>IF(ISBLANK(InfoGard!F1024),FALSE,LOOKUP(InfoGard!F1024,Lookup!$A$6:$B$7))</f>
        <v>0</v>
      </c>
      <c r="D1024" s="2" t="b">
        <f>IF(ISBLANK(InfoGard!G1024),FALSE,InfoGard!G1024)</f>
        <v>0</v>
      </c>
      <c r="E1024" s="2" t="str">
        <f>IF(NOT(ISBLANK(InfoGard!D1024)),IF(OR(ISBLANK(InfoGard!E1024),InfoGard!E1024="N/A"),"no acb code",CONCATENATE(Lookup!F$1,A1024,Lookup!G$1,B1024,Lookup!H$1,H$1,Lookup!I$1)),"no attestation")</f>
        <v>no attestation</v>
      </c>
      <c r="F1024" s="2" t="str">
        <f>IF(AND(NOT(ISBLANK(InfoGard!G1024)),InfoGard!G1024&lt;&gt;"N/A"),IF(C1024="All",CONCATENATE(Lookup!F$2,D1024,Lookup!G$2,B1024,Lookup!H$2,H$1,Lookup!I$2),CONCATENATE(Lookup!F$3,D1024,Lookup!G$3,B1024,Lookup!H$3)),"no url")</f>
        <v>no url</v>
      </c>
    </row>
    <row r="1025" spans="1:6" hidden="1" x14ac:dyDescent="0.25">
      <c r="A1025" s="2" t="b">
        <f>IF(ISBLANK(InfoGard!D1025),FALSE,LOOKUP(InfoGard!D1025,Lookup!$A$2:$B$4))</f>
        <v>0</v>
      </c>
      <c r="B1025" s="2" t="b">
        <f>IF(ISBLANK(InfoGard!E1025),FALSE,RIGHT(TRIM(InfoGard!E1025),15))</f>
        <v>0</v>
      </c>
      <c r="C1025" s="2" t="b">
        <f>IF(ISBLANK(InfoGard!F1025),FALSE,LOOKUP(InfoGard!F1025,Lookup!$A$6:$B$7))</f>
        <v>0</v>
      </c>
      <c r="D1025" s="2" t="b">
        <f>IF(ISBLANK(InfoGard!G1025),FALSE,InfoGard!G1025)</f>
        <v>0</v>
      </c>
      <c r="E1025" s="2" t="str">
        <f>IF(NOT(ISBLANK(InfoGard!D1025)),IF(OR(ISBLANK(InfoGard!E1025),InfoGard!E1025="N/A"),"no acb code",CONCATENATE(Lookup!F$1,A1025,Lookup!G$1,B1025,Lookup!H$1,H$1,Lookup!I$1)),"no attestation")</f>
        <v>no attestation</v>
      </c>
      <c r="F1025" s="2" t="str">
        <f>IF(AND(NOT(ISBLANK(InfoGard!G1025)),InfoGard!G1025&lt;&gt;"N/A"),IF(C1025="All",CONCATENATE(Lookup!F$2,D1025,Lookup!G$2,B1025,Lookup!H$2,H$1,Lookup!I$2),CONCATENATE(Lookup!F$3,D1025,Lookup!G$3,B1025,Lookup!H$3)),"no url")</f>
        <v>no url</v>
      </c>
    </row>
    <row r="1026" spans="1:6" hidden="1" x14ac:dyDescent="0.25">
      <c r="A1026" s="2" t="b">
        <f>IF(ISBLANK(InfoGard!D1026),FALSE,LOOKUP(InfoGard!D1026,Lookup!$A$2:$B$4))</f>
        <v>0</v>
      </c>
      <c r="B1026" s="2" t="b">
        <f>IF(ISBLANK(InfoGard!E1026),FALSE,RIGHT(TRIM(InfoGard!E1026),15))</f>
        <v>0</v>
      </c>
      <c r="C1026" s="2" t="b">
        <f>IF(ISBLANK(InfoGard!F1026),FALSE,LOOKUP(InfoGard!F1026,Lookup!$A$6:$B$7))</f>
        <v>0</v>
      </c>
      <c r="D1026" s="2" t="b">
        <f>IF(ISBLANK(InfoGard!G1026),FALSE,InfoGard!G1026)</f>
        <v>0</v>
      </c>
      <c r="E1026" s="2" t="str">
        <f>IF(NOT(ISBLANK(InfoGard!D1026)),IF(OR(ISBLANK(InfoGard!E1026),InfoGard!E1026="N/A"),"no acb code",CONCATENATE(Lookup!F$1,A1026,Lookup!G$1,B1026,Lookup!H$1,H$1,Lookup!I$1)),"no attestation")</f>
        <v>no attestation</v>
      </c>
      <c r="F1026" s="2" t="str">
        <f>IF(AND(NOT(ISBLANK(InfoGard!G1026)),InfoGard!G1026&lt;&gt;"N/A"),IF(C1026="All",CONCATENATE(Lookup!F$2,D1026,Lookup!G$2,B1026,Lookup!H$2,H$1,Lookup!I$2),CONCATENATE(Lookup!F$3,D1026,Lookup!G$3,B1026,Lookup!H$3)),"no url")</f>
        <v>no url</v>
      </c>
    </row>
    <row r="1027" spans="1:6" hidden="1" x14ac:dyDescent="0.25">
      <c r="A1027" s="2" t="b">
        <f>IF(ISBLANK(InfoGard!D1027),FALSE,LOOKUP(InfoGard!D1027,Lookup!$A$2:$B$4))</f>
        <v>0</v>
      </c>
      <c r="B1027" s="2" t="b">
        <f>IF(ISBLANK(InfoGard!E1027),FALSE,RIGHT(TRIM(InfoGard!E1027),15))</f>
        <v>0</v>
      </c>
      <c r="C1027" s="2" t="b">
        <f>IF(ISBLANK(InfoGard!F1027),FALSE,LOOKUP(InfoGard!F1027,Lookup!$A$6:$B$7))</f>
        <v>0</v>
      </c>
      <c r="D1027" s="2" t="b">
        <f>IF(ISBLANK(InfoGard!G1027),FALSE,InfoGard!G1027)</f>
        <v>0</v>
      </c>
      <c r="E1027" s="2" t="str">
        <f>IF(NOT(ISBLANK(InfoGard!D1027)),IF(OR(ISBLANK(InfoGard!E1027),InfoGard!E1027="N/A"),"no acb code",CONCATENATE(Lookup!F$1,A1027,Lookup!G$1,B1027,Lookup!H$1,H$1,Lookup!I$1)),"no attestation")</f>
        <v>no attestation</v>
      </c>
      <c r="F1027" s="2" t="str">
        <f>IF(AND(NOT(ISBLANK(InfoGard!G1027)),InfoGard!G1027&lt;&gt;"N/A"),IF(C1027="All",CONCATENATE(Lookup!F$2,D1027,Lookup!G$2,B1027,Lookup!H$2,H$1,Lookup!I$2),CONCATENATE(Lookup!F$3,D1027,Lookup!G$3,B1027,Lookup!H$3)),"no url")</f>
        <v>no url</v>
      </c>
    </row>
    <row r="1028" spans="1:6" hidden="1" x14ac:dyDescent="0.25">
      <c r="A1028" s="2" t="b">
        <f>IF(ISBLANK(InfoGard!D1028),FALSE,LOOKUP(InfoGard!D1028,Lookup!$A$2:$B$4))</f>
        <v>0</v>
      </c>
      <c r="B1028" s="2" t="b">
        <f>IF(ISBLANK(InfoGard!E1028),FALSE,RIGHT(TRIM(InfoGard!E1028),15))</f>
        <v>0</v>
      </c>
      <c r="C1028" s="2" t="b">
        <f>IF(ISBLANK(InfoGard!F1028),FALSE,LOOKUP(InfoGard!F1028,Lookup!$A$6:$B$7))</f>
        <v>0</v>
      </c>
      <c r="D1028" s="2" t="b">
        <f>IF(ISBLANK(InfoGard!G1028),FALSE,InfoGard!G1028)</f>
        <v>0</v>
      </c>
      <c r="E1028" s="2" t="str">
        <f>IF(NOT(ISBLANK(InfoGard!D1028)),IF(OR(ISBLANK(InfoGard!E1028),InfoGard!E1028="N/A"),"no acb code",CONCATENATE(Lookup!F$1,A1028,Lookup!G$1,B1028,Lookup!H$1,H$1,Lookup!I$1)),"no attestation")</f>
        <v>no attestation</v>
      </c>
      <c r="F1028" s="2" t="str">
        <f>IF(AND(NOT(ISBLANK(InfoGard!G1028)),InfoGard!G1028&lt;&gt;"N/A"),IF(C1028="All",CONCATENATE(Lookup!F$2,D1028,Lookup!G$2,B1028,Lookup!H$2,H$1,Lookup!I$2),CONCATENATE(Lookup!F$3,D1028,Lookup!G$3,B1028,Lookup!H$3)),"no url")</f>
        <v>no url</v>
      </c>
    </row>
    <row r="1029" spans="1:6" hidden="1" x14ac:dyDescent="0.25">
      <c r="A1029" s="2" t="b">
        <f>IF(ISBLANK(InfoGard!D1029),FALSE,LOOKUP(InfoGard!D1029,Lookup!$A$2:$B$4))</f>
        <v>0</v>
      </c>
      <c r="B1029" s="2" t="b">
        <f>IF(ISBLANK(InfoGard!E1029),FALSE,RIGHT(TRIM(InfoGard!E1029),15))</f>
        <v>0</v>
      </c>
      <c r="C1029" s="2" t="b">
        <f>IF(ISBLANK(InfoGard!F1029),FALSE,LOOKUP(InfoGard!F1029,Lookup!$A$6:$B$7))</f>
        <v>0</v>
      </c>
      <c r="D1029" s="2" t="b">
        <f>IF(ISBLANK(InfoGard!G1029),FALSE,InfoGard!G1029)</f>
        <v>0</v>
      </c>
      <c r="E1029" s="2" t="str">
        <f>IF(NOT(ISBLANK(InfoGard!D1029)),IF(OR(ISBLANK(InfoGard!E1029),InfoGard!E1029="N/A"),"no acb code",CONCATENATE(Lookup!F$1,A1029,Lookup!G$1,B1029,Lookup!H$1,H$1,Lookup!I$1)),"no attestation")</f>
        <v>no attestation</v>
      </c>
      <c r="F1029" s="2" t="str">
        <f>IF(AND(NOT(ISBLANK(InfoGard!G1029)),InfoGard!G1029&lt;&gt;"N/A"),IF(C1029="All",CONCATENATE(Lookup!F$2,D1029,Lookup!G$2,B1029,Lookup!H$2,H$1,Lookup!I$2),CONCATENATE(Lookup!F$3,D1029,Lookup!G$3,B1029,Lookup!H$3)),"no url")</f>
        <v>no url</v>
      </c>
    </row>
    <row r="1030" spans="1:6" hidden="1" x14ac:dyDescent="0.25">
      <c r="A1030" s="2" t="b">
        <f>IF(ISBLANK(InfoGard!D1030),FALSE,LOOKUP(InfoGard!D1030,Lookup!$A$2:$B$4))</f>
        <v>0</v>
      </c>
      <c r="B1030" s="2" t="b">
        <f>IF(ISBLANK(InfoGard!E1030),FALSE,RIGHT(TRIM(InfoGard!E1030),15))</f>
        <v>0</v>
      </c>
      <c r="C1030" s="2" t="b">
        <f>IF(ISBLANK(InfoGard!F1030),FALSE,LOOKUP(InfoGard!F1030,Lookup!$A$6:$B$7))</f>
        <v>0</v>
      </c>
      <c r="D1030" s="2" t="b">
        <f>IF(ISBLANK(InfoGard!G1030),FALSE,InfoGard!G1030)</f>
        <v>0</v>
      </c>
      <c r="E1030" s="2" t="str">
        <f>IF(NOT(ISBLANK(InfoGard!D1030)),IF(OR(ISBLANK(InfoGard!E1030),InfoGard!E1030="N/A"),"no acb code",CONCATENATE(Lookup!F$1,A1030,Lookup!G$1,B1030,Lookup!H$1,H$1,Lookup!I$1)),"no attestation")</f>
        <v>no attestation</v>
      </c>
      <c r="F1030" s="2" t="str">
        <f>IF(AND(NOT(ISBLANK(InfoGard!G1030)),InfoGard!G1030&lt;&gt;"N/A"),IF(C1030="All",CONCATENATE(Lookup!F$2,D1030,Lookup!G$2,B1030,Lookup!H$2,H$1,Lookup!I$2),CONCATENATE(Lookup!F$3,D1030,Lookup!G$3,B1030,Lookup!H$3)),"no url")</f>
        <v>no url</v>
      </c>
    </row>
    <row r="1031" spans="1:6" hidden="1" x14ac:dyDescent="0.25">
      <c r="A1031" s="2" t="b">
        <f>IF(ISBLANK(InfoGard!D1031),FALSE,LOOKUP(InfoGard!D1031,Lookup!$A$2:$B$4))</f>
        <v>0</v>
      </c>
      <c r="B1031" s="2" t="b">
        <f>IF(ISBLANK(InfoGard!E1031),FALSE,RIGHT(TRIM(InfoGard!E1031),15))</f>
        <v>0</v>
      </c>
      <c r="C1031" s="2" t="b">
        <f>IF(ISBLANK(InfoGard!F1031),FALSE,LOOKUP(InfoGard!F1031,Lookup!$A$6:$B$7))</f>
        <v>0</v>
      </c>
      <c r="D1031" s="2" t="b">
        <f>IF(ISBLANK(InfoGard!G1031),FALSE,InfoGard!G1031)</f>
        <v>0</v>
      </c>
      <c r="E1031" s="2" t="str">
        <f>IF(NOT(ISBLANK(InfoGard!D1031)),IF(OR(ISBLANK(InfoGard!E1031),InfoGard!E1031="N/A"),"no acb code",CONCATENATE(Lookup!F$1,A1031,Lookup!G$1,B1031,Lookup!H$1,H$1,Lookup!I$1)),"no attestation")</f>
        <v>no attestation</v>
      </c>
      <c r="F1031" s="2" t="str">
        <f>IF(AND(NOT(ISBLANK(InfoGard!G1031)),InfoGard!G1031&lt;&gt;"N/A"),IF(C1031="All",CONCATENATE(Lookup!F$2,D1031,Lookup!G$2,B1031,Lookup!H$2,H$1,Lookup!I$2),CONCATENATE(Lookup!F$3,D1031,Lookup!G$3,B1031,Lookup!H$3)),"no url")</f>
        <v>no url</v>
      </c>
    </row>
    <row r="1032" spans="1:6" hidden="1" x14ac:dyDescent="0.25">
      <c r="A1032" s="2" t="b">
        <f>IF(ISBLANK(InfoGard!D1032),FALSE,LOOKUP(InfoGard!D1032,Lookup!$A$2:$B$4))</f>
        <v>0</v>
      </c>
      <c r="B1032" s="2" t="b">
        <f>IF(ISBLANK(InfoGard!E1032),FALSE,RIGHT(TRIM(InfoGard!E1032),15))</f>
        <v>0</v>
      </c>
      <c r="C1032" s="2" t="b">
        <f>IF(ISBLANK(InfoGard!F1032),FALSE,LOOKUP(InfoGard!F1032,Lookup!$A$6:$B$7))</f>
        <v>0</v>
      </c>
      <c r="D1032" s="2" t="b">
        <f>IF(ISBLANK(InfoGard!G1032),FALSE,InfoGard!G1032)</f>
        <v>0</v>
      </c>
      <c r="E1032" s="2" t="str">
        <f>IF(NOT(ISBLANK(InfoGard!D1032)),IF(OR(ISBLANK(InfoGard!E1032),InfoGard!E1032="N/A"),"no acb code",CONCATENATE(Lookup!F$1,A1032,Lookup!G$1,B1032,Lookup!H$1,H$1,Lookup!I$1)),"no attestation")</f>
        <v>no attestation</v>
      </c>
      <c r="F1032" s="2" t="str">
        <f>IF(AND(NOT(ISBLANK(InfoGard!G1032)),InfoGard!G1032&lt;&gt;"N/A"),IF(C1032="All",CONCATENATE(Lookup!F$2,D1032,Lookup!G$2,B1032,Lookup!H$2,H$1,Lookup!I$2),CONCATENATE(Lookup!F$3,D1032,Lookup!G$3,B1032,Lookup!H$3)),"no url")</f>
        <v>no url</v>
      </c>
    </row>
    <row r="1033" spans="1:6" hidden="1" x14ac:dyDescent="0.25">
      <c r="A1033" s="2" t="b">
        <f>IF(ISBLANK(InfoGard!D1033),FALSE,LOOKUP(InfoGard!D1033,Lookup!$A$2:$B$4))</f>
        <v>0</v>
      </c>
      <c r="B1033" s="2" t="b">
        <f>IF(ISBLANK(InfoGard!E1033),FALSE,RIGHT(TRIM(InfoGard!E1033),15))</f>
        <v>0</v>
      </c>
      <c r="C1033" s="2" t="b">
        <f>IF(ISBLANK(InfoGard!F1033),FALSE,LOOKUP(InfoGard!F1033,Lookup!$A$6:$B$7))</f>
        <v>0</v>
      </c>
      <c r="D1033" s="2" t="b">
        <f>IF(ISBLANK(InfoGard!G1033),FALSE,InfoGard!G1033)</f>
        <v>0</v>
      </c>
      <c r="E1033" s="2" t="str">
        <f>IF(NOT(ISBLANK(InfoGard!D1033)),IF(OR(ISBLANK(InfoGard!E1033),InfoGard!E1033="N/A"),"no acb code",CONCATENATE(Lookup!F$1,A1033,Lookup!G$1,B1033,Lookup!H$1,H$1,Lookup!I$1)),"no attestation")</f>
        <v>no attestation</v>
      </c>
      <c r="F1033" s="2" t="str">
        <f>IF(AND(NOT(ISBLANK(InfoGard!G1033)),InfoGard!G1033&lt;&gt;"N/A"),IF(C1033="All",CONCATENATE(Lookup!F$2,D1033,Lookup!G$2,B1033,Lookup!H$2,H$1,Lookup!I$2),CONCATENATE(Lookup!F$3,D1033,Lookup!G$3,B1033,Lookup!H$3)),"no url")</f>
        <v>no url</v>
      </c>
    </row>
    <row r="1034" spans="1:6" hidden="1" x14ac:dyDescent="0.25">
      <c r="A1034" s="2" t="b">
        <f>IF(ISBLANK(InfoGard!D1034),FALSE,LOOKUP(InfoGard!D1034,Lookup!$A$2:$B$4))</f>
        <v>0</v>
      </c>
      <c r="B1034" s="2" t="b">
        <f>IF(ISBLANK(InfoGard!E1034),FALSE,RIGHT(TRIM(InfoGard!E1034),15))</f>
        <v>0</v>
      </c>
      <c r="C1034" s="2" t="b">
        <f>IF(ISBLANK(InfoGard!F1034),FALSE,LOOKUP(InfoGard!F1034,Lookup!$A$6:$B$7))</f>
        <v>0</v>
      </c>
      <c r="D1034" s="2" t="b">
        <f>IF(ISBLANK(InfoGard!G1034),FALSE,InfoGard!G1034)</f>
        <v>0</v>
      </c>
      <c r="E1034" s="2" t="str">
        <f>IF(NOT(ISBLANK(InfoGard!D1034)),IF(OR(ISBLANK(InfoGard!E1034),InfoGard!E1034="N/A"),"no acb code",CONCATENATE(Lookup!F$1,A1034,Lookup!G$1,B1034,Lookup!H$1,H$1,Lookup!I$1)),"no attestation")</f>
        <v>no attestation</v>
      </c>
      <c r="F1034" s="2" t="str">
        <f>IF(AND(NOT(ISBLANK(InfoGard!G1034)),InfoGard!G1034&lt;&gt;"N/A"),IF(C1034="All",CONCATENATE(Lookup!F$2,D1034,Lookup!G$2,B1034,Lookup!H$2,H$1,Lookup!I$2),CONCATENATE(Lookup!F$3,D1034,Lookup!G$3,B1034,Lookup!H$3)),"no url")</f>
        <v>no url</v>
      </c>
    </row>
    <row r="1035" spans="1:6" hidden="1" x14ac:dyDescent="0.25">
      <c r="A1035" s="2" t="b">
        <f>IF(ISBLANK(InfoGard!D1035),FALSE,LOOKUP(InfoGard!D1035,Lookup!$A$2:$B$4))</f>
        <v>0</v>
      </c>
      <c r="B1035" s="2" t="b">
        <f>IF(ISBLANK(InfoGard!E1035),FALSE,RIGHT(TRIM(InfoGard!E1035),15))</f>
        <v>0</v>
      </c>
      <c r="C1035" s="2" t="b">
        <f>IF(ISBLANK(InfoGard!F1035),FALSE,LOOKUP(InfoGard!F1035,Lookup!$A$6:$B$7))</f>
        <v>0</v>
      </c>
      <c r="D1035" s="2" t="b">
        <f>IF(ISBLANK(InfoGard!G1035),FALSE,InfoGard!G1035)</f>
        <v>0</v>
      </c>
      <c r="E1035" s="2" t="str">
        <f>IF(NOT(ISBLANK(InfoGard!D1035)),IF(OR(ISBLANK(InfoGard!E1035),InfoGard!E1035="N/A"),"no acb code",CONCATENATE(Lookup!F$1,A1035,Lookup!G$1,B1035,Lookup!H$1,H$1,Lookup!I$1)),"no attestation")</f>
        <v>no attestation</v>
      </c>
      <c r="F1035" s="2" t="str">
        <f>IF(AND(NOT(ISBLANK(InfoGard!G1035)),InfoGard!G1035&lt;&gt;"N/A"),IF(C1035="All",CONCATENATE(Lookup!F$2,D1035,Lookup!G$2,B1035,Lookup!H$2,H$1,Lookup!I$2),CONCATENATE(Lookup!F$3,D1035,Lookup!G$3,B1035,Lookup!H$3)),"no url")</f>
        <v>no url</v>
      </c>
    </row>
    <row r="1036" spans="1:6" hidden="1" x14ac:dyDescent="0.25">
      <c r="A1036" s="2" t="b">
        <f>IF(ISBLANK(InfoGard!D1036),FALSE,LOOKUP(InfoGard!D1036,Lookup!$A$2:$B$4))</f>
        <v>0</v>
      </c>
      <c r="B1036" s="2" t="b">
        <f>IF(ISBLANK(InfoGard!E1036),FALSE,RIGHT(TRIM(InfoGard!E1036),15))</f>
        <v>0</v>
      </c>
      <c r="C1036" s="2" t="b">
        <f>IF(ISBLANK(InfoGard!F1036),FALSE,LOOKUP(InfoGard!F1036,Lookup!$A$6:$B$7))</f>
        <v>0</v>
      </c>
      <c r="D1036" s="2" t="b">
        <f>IF(ISBLANK(InfoGard!G1036),FALSE,InfoGard!G1036)</f>
        <v>0</v>
      </c>
      <c r="E1036" s="2" t="str">
        <f>IF(NOT(ISBLANK(InfoGard!D1036)),IF(OR(ISBLANK(InfoGard!E1036),InfoGard!E1036="N/A"),"no acb code",CONCATENATE(Lookup!F$1,A1036,Lookup!G$1,B1036,Lookup!H$1,H$1,Lookup!I$1)),"no attestation")</f>
        <v>no attestation</v>
      </c>
      <c r="F1036" s="2" t="str">
        <f>IF(AND(NOT(ISBLANK(InfoGard!G1036)),InfoGard!G1036&lt;&gt;"N/A"),IF(C1036="All",CONCATENATE(Lookup!F$2,D1036,Lookup!G$2,B1036,Lookup!H$2,H$1,Lookup!I$2),CONCATENATE(Lookup!F$3,D1036,Lookup!G$3,B1036,Lookup!H$3)),"no url")</f>
        <v>no url</v>
      </c>
    </row>
    <row r="1037" spans="1:6" hidden="1" x14ac:dyDescent="0.25">
      <c r="A1037" s="2" t="b">
        <f>IF(ISBLANK(InfoGard!D1037),FALSE,LOOKUP(InfoGard!D1037,Lookup!$A$2:$B$4))</f>
        <v>0</v>
      </c>
      <c r="B1037" s="2" t="b">
        <f>IF(ISBLANK(InfoGard!E1037),FALSE,RIGHT(TRIM(InfoGard!E1037),15))</f>
        <v>0</v>
      </c>
      <c r="C1037" s="2" t="b">
        <f>IF(ISBLANK(InfoGard!F1037),FALSE,LOOKUP(InfoGard!F1037,Lookup!$A$6:$B$7))</f>
        <v>0</v>
      </c>
      <c r="D1037" s="2" t="b">
        <f>IF(ISBLANK(InfoGard!G1037),FALSE,InfoGard!G1037)</f>
        <v>0</v>
      </c>
      <c r="E1037" s="2" t="str">
        <f>IF(NOT(ISBLANK(InfoGard!D1037)),IF(OR(ISBLANK(InfoGard!E1037),InfoGard!E1037="N/A"),"no acb code",CONCATENATE(Lookup!F$1,A1037,Lookup!G$1,B1037,Lookup!H$1,H$1,Lookup!I$1)),"no attestation")</f>
        <v>no attestation</v>
      </c>
      <c r="F1037" s="2" t="str">
        <f>IF(AND(NOT(ISBLANK(InfoGard!G1037)),InfoGard!G1037&lt;&gt;"N/A"),IF(C1037="All",CONCATENATE(Lookup!F$2,D1037,Lookup!G$2,B1037,Lookup!H$2,H$1,Lookup!I$2),CONCATENATE(Lookup!F$3,D1037,Lookup!G$3,B1037,Lookup!H$3)),"no url")</f>
        <v>no url</v>
      </c>
    </row>
    <row r="1038" spans="1:6" hidden="1" x14ac:dyDescent="0.25">
      <c r="A1038" s="2" t="b">
        <f>IF(ISBLANK(InfoGard!D1038),FALSE,LOOKUP(InfoGard!D1038,Lookup!$A$2:$B$4))</f>
        <v>0</v>
      </c>
      <c r="B1038" s="2" t="b">
        <f>IF(ISBLANK(InfoGard!E1038),FALSE,RIGHT(TRIM(InfoGard!E1038),15))</f>
        <v>0</v>
      </c>
      <c r="C1038" s="2" t="b">
        <f>IF(ISBLANK(InfoGard!F1038),FALSE,LOOKUP(InfoGard!F1038,Lookup!$A$6:$B$7))</f>
        <v>0</v>
      </c>
      <c r="D1038" s="2" t="b">
        <f>IF(ISBLANK(InfoGard!G1038),FALSE,InfoGard!G1038)</f>
        <v>0</v>
      </c>
      <c r="E1038" s="2" t="str">
        <f>IF(NOT(ISBLANK(InfoGard!D1038)),IF(OR(ISBLANK(InfoGard!E1038),InfoGard!E1038="N/A"),"no acb code",CONCATENATE(Lookup!F$1,A1038,Lookup!G$1,B1038,Lookup!H$1,H$1,Lookup!I$1)),"no attestation")</f>
        <v>no attestation</v>
      </c>
      <c r="F1038" s="2" t="str">
        <f>IF(AND(NOT(ISBLANK(InfoGard!G1038)),InfoGard!G1038&lt;&gt;"N/A"),IF(C1038="All",CONCATENATE(Lookup!F$2,D1038,Lookup!G$2,B1038,Lookup!H$2,H$1,Lookup!I$2),CONCATENATE(Lookup!F$3,D1038,Lookup!G$3,B1038,Lookup!H$3)),"no url")</f>
        <v>no url</v>
      </c>
    </row>
    <row r="1039" spans="1:6" hidden="1" x14ac:dyDescent="0.25">
      <c r="A1039" s="2" t="b">
        <f>IF(ISBLANK(InfoGard!D1039),FALSE,LOOKUP(InfoGard!D1039,Lookup!$A$2:$B$4))</f>
        <v>0</v>
      </c>
      <c r="B1039" s="2" t="b">
        <f>IF(ISBLANK(InfoGard!E1039),FALSE,RIGHT(TRIM(InfoGard!E1039),15))</f>
        <v>0</v>
      </c>
      <c r="C1039" s="2" t="b">
        <f>IF(ISBLANK(InfoGard!F1039),FALSE,LOOKUP(InfoGard!F1039,Lookup!$A$6:$B$7))</f>
        <v>0</v>
      </c>
      <c r="D1039" s="2" t="b">
        <f>IF(ISBLANK(InfoGard!G1039),FALSE,InfoGard!G1039)</f>
        <v>0</v>
      </c>
      <c r="E1039" s="2" t="str">
        <f>IF(NOT(ISBLANK(InfoGard!D1039)),IF(OR(ISBLANK(InfoGard!E1039),InfoGard!E1039="N/A"),"no acb code",CONCATENATE(Lookup!F$1,A1039,Lookup!G$1,B1039,Lookup!H$1,H$1,Lookup!I$1)),"no attestation")</f>
        <v>no attestation</v>
      </c>
      <c r="F1039" s="2" t="str">
        <f>IF(AND(NOT(ISBLANK(InfoGard!G1039)),InfoGard!G1039&lt;&gt;"N/A"),IF(C1039="All",CONCATENATE(Lookup!F$2,D1039,Lookup!G$2,B1039,Lookup!H$2,H$1,Lookup!I$2),CONCATENATE(Lookup!F$3,D1039,Lookup!G$3,B1039,Lookup!H$3)),"no url")</f>
        <v>no url</v>
      </c>
    </row>
    <row r="1040" spans="1:6" hidden="1" x14ac:dyDescent="0.25">
      <c r="A1040" s="2" t="b">
        <f>IF(ISBLANK(InfoGard!D1040),FALSE,LOOKUP(InfoGard!D1040,Lookup!$A$2:$B$4))</f>
        <v>0</v>
      </c>
      <c r="B1040" s="2" t="b">
        <f>IF(ISBLANK(InfoGard!E1040),FALSE,RIGHT(TRIM(InfoGard!E1040),15))</f>
        <v>0</v>
      </c>
      <c r="C1040" s="2" t="b">
        <f>IF(ISBLANK(InfoGard!F1040),FALSE,LOOKUP(InfoGard!F1040,Lookup!$A$6:$B$7))</f>
        <v>0</v>
      </c>
      <c r="D1040" s="2" t="b">
        <f>IF(ISBLANK(InfoGard!G1040),FALSE,InfoGard!G1040)</f>
        <v>0</v>
      </c>
      <c r="E1040" s="2" t="str">
        <f>IF(NOT(ISBLANK(InfoGard!D1040)),IF(OR(ISBLANK(InfoGard!E1040),InfoGard!E1040="N/A"),"no acb code",CONCATENATE(Lookup!F$1,A1040,Lookup!G$1,B1040,Lookup!H$1,H$1,Lookup!I$1)),"no attestation")</f>
        <v>no attestation</v>
      </c>
      <c r="F1040" s="2" t="str">
        <f>IF(AND(NOT(ISBLANK(InfoGard!G1040)),InfoGard!G1040&lt;&gt;"N/A"),IF(C1040="All",CONCATENATE(Lookup!F$2,D1040,Lookup!G$2,B1040,Lookup!H$2,H$1,Lookup!I$2),CONCATENATE(Lookup!F$3,D1040,Lookup!G$3,B1040,Lookup!H$3)),"no url")</f>
        <v>no url</v>
      </c>
    </row>
    <row r="1041" spans="1:6" hidden="1" x14ac:dyDescent="0.25">
      <c r="A1041" s="2" t="b">
        <f>IF(ISBLANK(InfoGard!D1041),FALSE,LOOKUP(InfoGard!D1041,Lookup!$A$2:$B$4))</f>
        <v>0</v>
      </c>
      <c r="B1041" s="2" t="b">
        <f>IF(ISBLANK(InfoGard!E1041),FALSE,RIGHT(TRIM(InfoGard!E1041),15))</f>
        <v>0</v>
      </c>
      <c r="C1041" s="2" t="b">
        <f>IF(ISBLANK(InfoGard!F1041),FALSE,LOOKUP(InfoGard!F1041,Lookup!$A$6:$B$7))</f>
        <v>0</v>
      </c>
      <c r="D1041" s="2" t="b">
        <f>IF(ISBLANK(InfoGard!G1041),FALSE,InfoGard!G1041)</f>
        <v>0</v>
      </c>
      <c r="E1041" s="2" t="str">
        <f>IF(NOT(ISBLANK(InfoGard!D1041)),IF(OR(ISBLANK(InfoGard!E1041),InfoGard!E1041="N/A"),"no acb code",CONCATENATE(Lookup!F$1,A1041,Lookup!G$1,B1041,Lookup!H$1,H$1,Lookup!I$1)),"no attestation")</f>
        <v>no attestation</v>
      </c>
      <c r="F1041" s="2" t="str">
        <f>IF(AND(NOT(ISBLANK(InfoGard!G1041)),InfoGard!G1041&lt;&gt;"N/A"),IF(C1041="All",CONCATENATE(Lookup!F$2,D1041,Lookup!G$2,B1041,Lookup!H$2,H$1,Lookup!I$2),CONCATENATE(Lookup!F$3,D1041,Lookup!G$3,B1041,Lookup!H$3)),"no url")</f>
        <v>no url</v>
      </c>
    </row>
    <row r="1042" spans="1:6" hidden="1" x14ac:dyDescent="0.25">
      <c r="A1042" s="2" t="b">
        <f>IF(ISBLANK(InfoGard!D1042),FALSE,LOOKUP(InfoGard!D1042,Lookup!$A$2:$B$4))</f>
        <v>0</v>
      </c>
      <c r="B1042" s="2" t="b">
        <f>IF(ISBLANK(InfoGard!E1042),FALSE,RIGHT(TRIM(InfoGard!E1042),15))</f>
        <v>0</v>
      </c>
      <c r="C1042" s="2" t="b">
        <f>IF(ISBLANK(InfoGard!F1042),FALSE,LOOKUP(InfoGard!F1042,Lookup!$A$6:$B$7))</f>
        <v>0</v>
      </c>
      <c r="D1042" s="2" t="b">
        <f>IF(ISBLANK(InfoGard!G1042),FALSE,InfoGard!G1042)</f>
        <v>0</v>
      </c>
      <c r="E1042" s="2" t="str">
        <f>IF(NOT(ISBLANK(InfoGard!D1042)),IF(OR(ISBLANK(InfoGard!E1042),InfoGard!E1042="N/A"),"no acb code",CONCATENATE(Lookup!F$1,A1042,Lookup!G$1,B1042,Lookup!H$1,H$1,Lookup!I$1)),"no attestation")</f>
        <v>no attestation</v>
      </c>
      <c r="F1042" s="2" t="str">
        <f>IF(AND(NOT(ISBLANK(InfoGard!G1042)),InfoGard!G1042&lt;&gt;"N/A"),IF(C1042="All",CONCATENATE(Lookup!F$2,D1042,Lookup!G$2,B1042,Lookup!H$2,H$1,Lookup!I$2),CONCATENATE(Lookup!F$3,D1042,Lookup!G$3,B1042,Lookup!H$3)),"no url")</f>
        <v>no url</v>
      </c>
    </row>
    <row r="1043" spans="1:6" hidden="1" x14ac:dyDescent="0.25">
      <c r="A1043" s="2" t="b">
        <f>IF(ISBLANK(InfoGard!D1043),FALSE,LOOKUP(InfoGard!D1043,Lookup!$A$2:$B$4))</f>
        <v>0</v>
      </c>
      <c r="B1043" s="2" t="b">
        <f>IF(ISBLANK(InfoGard!E1043),FALSE,RIGHT(TRIM(InfoGard!E1043),15))</f>
        <v>0</v>
      </c>
      <c r="C1043" s="2" t="b">
        <f>IF(ISBLANK(InfoGard!F1043),FALSE,LOOKUP(InfoGard!F1043,Lookup!$A$6:$B$7))</f>
        <v>0</v>
      </c>
      <c r="D1043" s="2" t="b">
        <f>IF(ISBLANK(InfoGard!G1043),FALSE,InfoGard!G1043)</f>
        <v>0</v>
      </c>
      <c r="E1043" s="2" t="str">
        <f>IF(NOT(ISBLANK(InfoGard!D1043)),IF(OR(ISBLANK(InfoGard!E1043),InfoGard!E1043="N/A"),"no acb code",CONCATENATE(Lookup!F$1,A1043,Lookup!G$1,B1043,Lookup!H$1,H$1,Lookup!I$1)),"no attestation")</f>
        <v>no attestation</v>
      </c>
      <c r="F1043" s="2" t="str">
        <f>IF(AND(NOT(ISBLANK(InfoGard!G1043)),InfoGard!G1043&lt;&gt;"N/A"),IF(C1043="All",CONCATENATE(Lookup!F$2,D1043,Lookup!G$2,B1043,Lookup!H$2,H$1,Lookup!I$2),CONCATENATE(Lookup!F$3,D1043,Lookup!G$3,B1043,Lookup!H$3)),"no url")</f>
        <v>no url</v>
      </c>
    </row>
    <row r="1044" spans="1:6" hidden="1" x14ac:dyDescent="0.25">
      <c r="A1044" s="2" t="b">
        <f>IF(ISBLANK(InfoGard!D1044),FALSE,LOOKUP(InfoGard!D1044,Lookup!$A$2:$B$4))</f>
        <v>0</v>
      </c>
      <c r="B1044" s="2" t="b">
        <f>IF(ISBLANK(InfoGard!E1044),FALSE,RIGHT(TRIM(InfoGard!E1044),15))</f>
        <v>0</v>
      </c>
      <c r="C1044" s="2" t="b">
        <f>IF(ISBLANK(InfoGard!F1044),FALSE,LOOKUP(InfoGard!F1044,Lookup!$A$6:$B$7))</f>
        <v>0</v>
      </c>
      <c r="D1044" s="2" t="b">
        <f>IF(ISBLANK(InfoGard!G1044),FALSE,InfoGard!G1044)</f>
        <v>0</v>
      </c>
      <c r="E1044" s="2" t="str">
        <f>IF(NOT(ISBLANK(InfoGard!D1044)),IF(OR(ISBLANK(InfoGard!E1044),InfoGard!E1044="N/A"),"no acb code",CONCATENATE(Lookup!F$1,A1044,Lookup!G$1,B1044,Lookup!H$1,H$1,Lookup!I$1)),"no attestation")</f>
        <v>no attestation</v>
      </c>
      <c r="F1044" s="2" t="str">
        <f>IF(AND(NOT(ISBLANK(InfoGard!G1044)),InfoGard!G1044&lt;&gt;"N/A"),IF(C1044="All",CONCATENATE(Lookup!F$2,D1044,Lookup!G$2,B1044,Lookup!H$2,H$1,Lookup!I$2),CONCATENATE(Lookup!F$3,D1044,Lookup!G$3,B1044,Lookup!H$3)),"no url")</f>
        <v>no url</v>
      </c>
    </row>
    <row r="1045" spans="1:6" hidden="1" x14ac:dyDescent="0.25">
      <c r="A1045" s="2" t="b">
        <f>IF(ISBLANK(InfoGard!D1045),FALSE,LOOKUP(InfoGard!D1045,Lookup!$A$2:$B$4))</f>
        <v>0</v>
      </c>
      <c r="B1045" s="2" t="b">
        <f>IF(ISBLANK(InfoGard!E1045),FALSE,RIGHT(TRIM(InfoGard!E1045),15))</f>
        <v>0</v>
      </c>
      <c r="C1045" s="2" t="b">
        <f>IF(ISBLANK(InfoGard!F1045),FALSE,LOOKUP(InfoGard!F1045,Lookup!$A$6:$B$7))</f>
        <v>0</v>
      </c>
      <c r="D1045" s="2" t="b">
        <f>IF(ISBLANK(InfoGard!G1045),FALSE,InfoGard!G1045)</f>
        <v>0</v>
      </c>
      <c r="E1045" s="2" t="str">
        <f>IF(NOT(ISBLANK(InfoGard!D1045)),IF(OR(ISBLANK(InfoGard!E1045),InfoGard!E1045="N/A"),"no acb code",CONCATENATE(Lookup!F$1,A1045,Lookup!G$1,B1045,Lookup!H$1,H$1,Lookup!I$1)),"no attestation")</f>
        <v>no attestation</v>
      </c>
      <c r="F1045" s="2" t="str">
        <f>IF(AND(NOT(ISBLANK(InfoGard!G1045)),InfoGard!G1045&lt;&gt;"N/A"),IF(C1045="All",CONCATENATE(Lookup!F$2,D1045,Lookup!G$2,B1045,Lookup!H$2,H$1,Lookup!I$2),CONCATENATE(Lookup!F$3,D1045,Lookup!G$3,B1045,Lookup!H$3)),"no url")</f>
        <v>no url</v>
      </c>
    </row>
    <row r="1046" spans="1:6" hidden="1" x14ac:dyDescent="0.25">
      <c r="A1046" s="2" t="b">
        <f>IF(ISBLANK(InfoGard!D1046),FALSE,LOOKUP(InfoGard!D1046,Lookup!$A$2:$B$4))</f>
        <v>0</v>
      </c>
      <c r="B1046" s="2" t="b">
        <f>IF(ISBLANK(InfoGard!E1046),FALSE,RIGHT(TRIM(InfoGard!E1046),15))</f>
        <v>0</v>
      </c>
      <c r="C1046" s="2" t="b">
        <f>IF(ISBLANK(InfoGard!F1046),FALSE,LOOKUP(InfoGard!F1046,Lookup!$A$6:$B$7))</f>
        <v>0</v>
      </c>
      <c r="D1046" s="2" t="b">
        <f>IF(ISBLANK(InfoGard!G1046),FALSE,InfoGard!G1046)</f>
        <v>0</v>
      </c>
      <c r="E1046" s="2" t="str">
        <f>IF(NOT(ISBLANK(InfoGard!D1046)),IF(OR(ISBLANK(InfoGard!E1046),InfoGard!E1046="N/A"),"no acb code",CONCATENATE(Lookup!F$1,A1046,Lookup!G$1,B1046,Lookup!H$1,H$1,Lookup!I$1)),"no attestation")</f>
        <v>no attestation</v>
      </c>
      <c r="F1046" s="2" t="str">
        <f>IF(AND(NOT(ISBLANK(InfoGard!G1046)),InfoGard!G1046&lt;&gt;"N/A"),IF(C1046="All",CONCATENATE(Lookup!F$2,D1046,Lookup!G$2,B1046,Lookup!H$2,H$1,Lookup!I$2),CONCATENATE(Lookup!F$3,D1046,Lookup!G$3,B1046,Lookup!H$3)),"no url")</f>
        <v>no url</v>
      </c>
    </row>
    <row r="1047" spans="1:6" hidden="1" x14ac:dyDescent="0.25">
      <c r="A1047" s="2" t="b">
        <f>IF(ISBLANK(InfoGard!D1047),FALSE,LOOKUP(InfoGard!D1047,Lookup!$A$2:$B$4))</f>
        <v>0</v>
      </c>
      <c r="B1047" s="2" t="b">
        <f>IF(ISBLANK(InfoGard!E1047),FALSE,RIGHT(TRIM(InfoGard!E1047),15))</f>
        <v>0</v>
      </c>
      <c r="C1047" s="2" t="b">
        <f>IF(ISBLANK(InfoGard!F1047),FALSE,LOOKUP(InfoGard!F1047,Lookup!$A$6:$B$7))</f>
        <v>0</v>
      </c>
      <c r="D1047" s="2" t="b">
        <f>IF(ISBLANK(InfoGard!G1047),FALSE,InfoGard!G1047)</f>
        <v>0</v>
      </c>
      <c r="E1047" s="2" t="str">
        <f>IF(NOT(ISBLANK(InfoGard!D1047)),IF(OR(ISBLANK(InfoGard!E1047),InfoGard!E1047="N/A"),"no acb code",CONCATENATE(Lookup!F$1,A1047,Lookup!G$1,B1047,Lookup!H$1,H$1,Lookup!I$1)),"no attestation")</f>
        <v>no attestation</v>
      </c>
      <c r="F1047" s="2" t="str">
        <f>IF(AND(NOT(ISBLANK(InfoGard!G1047)),InfoGard!G1047&lt;&gt;"N/A"),IF(C1047="All",CONCATENATE(Lookup!F$2,D1047,Lookup!G$2,B1047,Lookup!H$2,H$1,Lookup!I$2),CONCATENATE(Lookup!F$3,D1047,Lookup!G$3,B1047,Lookup!H$3)),"no url")</f>
        <v>no url</v>
      </c>
    </row>
    <row r="1048" spans="1:6" hidden="1" x14ac:dyDescent="0.25">
      <c r="A1048" s="2" t="b">
        <f>IF(ISBLANK(InfoGard!D1048),FALSE,LOOKUP(InfoGard!D1048,Lookup!$A$2:$B$4))</f>
        <v>0</v>
      </c>
      <c r="B1048" s="2" t="b">
        <f>IF(ISBLANK(InfoGard!E1048),FALSE,RIGHT(TRIM(InfoGard!E1048),15))</f>
        <v>0</v>
      </c>
      <c r="C1048" s="2" t="b">
        <f>IF(ISBLANK(InfoGard!F1048),FALSE,LOOKUP(InfoGard!F1048,Lookup!$A$6:$B$7))</f>
        <v>0</v>
      </c>
      <c r="D1048" s="2" t="b">
        <f>IF(ISBLANK(InfoGard!G1048),FALSE,InfoGard!G1048)</f>
        <v>0</v>
      </c>
      <c r="E1048" s="2" t="str">
        <f>IF(NOT(ISBLANK(InfoGard!D1048)),IF(OR(ISBLANK(InfoGard!E1048),InfoGard!E1048="N/A"),"no acb code",CONCATENATE(Lookup!F$1,A1048,Lookup!G$1,B1048,Lookup!H$1,H$1,Lookup!I$1)),"no attestation")</f>
        <v>no attestation</v>
      </c>
      <c r="F1048" s="2" t="str">
        <f>IF(AND(NOT(ISBLANK(InfoGard!G1048)),InfoGard!G1048&lt;&gt;"N/A"),IF(C1048="All",CONCATENATE(Lookup!F$2,D1048,Lookup!G$2,B1048,Lookup!H$2,H$1,Lookup!I$2),CONCATENATE(Lookup!F$3,D1048,Lookup!G$3,B1048,Lookup!H$3)),"no url")</f>
        <v>no url</v>
      </c>
    </row>
    <row r="1049" spans="1:6" hidden="1" x14ac:dyDescent="0.25">
      <c r="A1049" s="2" t="b">
        <f>IF(ISBLANK(InfoGard!D1049),FALSE,LOOKUP(InfoGard!D1049,Lookup!$A$2:$B$4))</f>
        <v>0</v>
      </c>
      <c r="B1049" s="2" t="b">
        <f>IF(ISBLANK(InfoGard!E1049),FALSE,RIGHT(TRIM(InfoGard!E1049),15))</f>
        <v>0</v>
      </c>
      <c r="C1049" s="2" t="b">
        <f>IF(ISBLANK(InfoGard!F1049),FALSE,LOOKUP(InfoGard!F1049,Lookup!$A$6:$B$7))</f>
        <v>0</v>
      </c>
      <c r="D1049" s="2" t="b">
        <f>IF(ISBLANK(InfoGard!G1049),FALSE,InfoGard!G1049)</f>
        <v>0</v>
      </c>
      <c r="E1049" s="2" t="str">
        <f>IF(NOT(ISBLANK(InfoGard!D1049)),IF(OR(ISBLANK(InfoGard!E1049),InfoGard!E1049="N/A"),"no acb code",CONCATENATE(Lookup!F$1,A1049,Lookup!G$1,B1049,Lookup!H$1,H$1,Lookup!I$1)),"no attestation")</f>
        <v>no attestation</v>
      </c>
      <c r="F1049" s="2" t="str">
        <f>IF(AND(NOT(ISBLANK(InfoGard!G1049)),InfoGard!G1049&lt;&gt;"N/A"),IF(C1049="All",CONCATENATE(Lookup!F$2,D1049,Lookup!G$2,B1049,Lookup!H$2,H$1,Lookup!I$2),CONCATENATE(Lookup!F$3,D1049,Lookup!G$3,B1049,Lookup!H$3)),"no url")</f>
        <v>no url</v>
      </c>
    </row>
    <row r="1050" spans="1:6" hidden="1" x14ac:dyDescent="0.25">
      <c r="A1050" s="2" t="b">
        <f>IF(ISBLANK(InfoGard!D1050),FALSE,LOOKUP(InfoGard!D1050,Lookup!$A$2:$B$4))</f>
        <v>0</v>
      </c>
      <c r="B1050" s="2" t="b">
        <f>IF(ISBLANK(InfoGard!E1050),FALSE,RIGHT(TRIM(InfoGard!E1050),15))</f>
        <v>0</v>
      </c>
      <c r="C1050" s="2" t="b">
        <f>IF(ISBLANK(InfoGard!F1050),FALSE,LOOKUP(InfoGard!F1050,Lookup!$A$6:$B$7))</f>
        <v>0</v>
      </c>
      <c r="D1050" s="2" t="b">
        <f>IF(ISBLANK(InfoGard!G1050),FALSE,InfoGard!G1050)</f>
        <v>0</v>
      </c>
      <c r="E1050" s="2" t="str">
        <f>IF(NOT(ISBLANK(InfoGard!D1050)),IF(OR(ISBLANK(InfoGard!E1050),InfoGard!E1050="N/A"),"no acb code",CONCATENATE(Lookup!F$1,A1050,Lookup!G$1,B1050,Lookup!H$1,H$1,Lookup!I$1)),"no attestation")</f>
        <v>no attestation</v>
      </c>
      <c r="F1050" s="2" t="str">
        <f>IF(AND(NOT(ISBLANK(InfoGard!G1050)),InfoGard!G1050&lt;&gt;"N/A"),IF(C1050="All",CONCATENATE(Lookup!F$2,D1050,Lookup!G$2,B1050,Lookup!H$2,H$1,Lookup!I$2),CONCATENATE(Lookup!F$3,D1050,Lookup!G$3,B1050,Lookup!H$3)),"no url")</f>
        <v>no url</v>
      </c>
    </row>
    <row r="1051" spans="1:6" hidden="1" x14ac:dyDescent="0.25">
      <c r="A1051" s="2" t="b">
        <f>IF(ISBLANK(InfoGard!D1051),FALSE,LOOKUP(InfoGard!D1051,Lookup!$A$2:$B$4))</f>
        <v>0</v>
      </c>
      <c r="B1051" s="2" t="b">
        <f>IF(ISBLANK(InfoGard!E1051),FALSE,RIGHT(TRIM(InfoGard!E1051),15))</f>
        <v>0</v>
      </c>
      <c r="C1051" s="2" t="b">
        <f>IF(ISBLANK(InfoGard!F1051),FALSE,LOOKUP(InfoGard!F1051,Lookup!$A$6:$B$7))</f>
        <v>0</v>
      </c>
      <c r="D1051" s="2" t="b">
        <f>IF(ISBLANK(InfoGard!G1051),FALSE,InfoGard!G1051)</f>
        <v>0</v>
      </c>
      <c r="E1051" s="2" t="str">
        <f>IF(NOT(ISBLANK(InfoGard!D1051)),IF(OR(ISBLANK(InfoGard!E1051),InfoGard!E1051="N/A"),"no acb code",CONCATENATE(Lookup!F$1,A1051,Lookup!G$1,B1051,Lookup!H$1,H$1,Lookup!I$1)),"no attestation")</f>
        <v>no attestation</v>
      </c>
      <c r="F1051" s="2" t="str">
        <f>IF(AND(NOT(ISBLANK(InfoGard!G1051)),InfoGard!G1051&lt;&gt;"N/A"),IF(C1051="All",CONCATENATE(Lookup!F$2,D1051,Lookup!G$2,B1051,Lookup!H$2,H$1,Lookup!I$2),CONCATENATE(Lookup!F$3,D1051,Lookup!G$3,B1051,Lookup!H$3)),"no url")</f>
        <v>no url</v>
      </c>
    </row>
    <row r="1052" spans="1:6" hidden="1" x14ac:dyDescent="0.25">
      <c r="A1052" s="2" t="b">
        <f>IF(ISBLANK(InfoGard!D1052),FALSE,LOOKUP(InfoGard!D1052,Lookup!$A$2:$B$4))</f>
        <v>0</v>
      </c>
      <c r="B1052" s="2" t="b">
        <f>IF(ISBLANK(InfoGard!E1052),FALSE,RIGHT(TRIM(InfoGard!E1052),15))</f>
        <v>0</v>
      </c>
      <c r="C1052" s="2" t="b">
        <f>IF(ISBLANK(InfoGard!F1052),FALSE,LOOKUP(InfoGard!F1052,Lookup!$A$6:$B$7))</f>
        <v>0</v>
      </c>
      <c r="D1052" s="2" t="b">
        <f>IF(ISBLANK(InfoGard!G1052),FALSE,InfoGard!G1052)</f>
        <v>0</v>
      </c>
      <c r="E1052" s="2" t="str">
        <f>IF(NOT(ISBLANK(InfoGard!D1052)),IF(OR(ISBLANK(InfoGard!E1052),InfoGard!E1052="N/A"),"no acb code",CONCATENATE(Lookup!F$1,A1052,Lookup!G$1,B1052,Lookup!H$1,H$1,Lookup!I$1)),"no attestation")</f>
        <v>no attestation</v>
      </c>
      <c r="F1052" s="2" t="str">
        <f>IF(AND(NOT(ISBLANK(InfoGard!G1052)),InfoGard!G1052&lt;&gt;"N/A"),IF(C1052="All",CONCATENATE(Lookup!F$2,D1052,Lookup!G$2,B1052,Lookup!H$2,H$1,Lookup!I$2),CONCATENATE(Lookup!F$3,D1052,Lookup!G$3,B1052,Lookup!H$3)),"no url")</f>
        <v>no url</v>
      </c>
    </row>
    <row r="1053" spans="1:6" hidden="1" x14ac:dyDescent="0.25">
      <c r="A1053" s="2" t="b">
        <f>IF(ISBLANK(InfoGard!D1053),FALSE,LOOKUP(InfoGard!D1053,Lookup!$A$2:$B$4))</f>
        <v>0</v>
      </c>
      <c r="B1053" s="2" t="b">
        <f>IF(ISBLANK(InfoGard!E1053),FALSE,RIGHT(TRIM(InfoGard!E1053),15))</f>
        <v>0</v>
      </c>
      <c r="C1053" s="2" t="b">
        <f>IF(ISBLANK(InfoGard!F1053),FALSE,LOOKUP(InfoGard!F1053,Lookup!$A$6:$B$7))</f>
        <v>0</v>
      </c>
      <c r="D1053" s="2" t="b">
        <f>IF(ISBLANK(InfoGard!G1053),FALSE,InfoGard!G1053)</f>
        <v>0</v>
      </c>
      <c r="E1053" s="2" t="str">
        <f>IF(NOT(ISBLANK(InfoGard!D1053)),IF(OR(ISBLANK(InfoGard!E1053),InfoGard!E1053="N/A"),"no acb code",CONCATENATE(Lookup!F$1,A1053,Lookup!G$1,B1053,Lookup!H$1,H$1,Lookup!I$1)),"no attestation")</f>
        <v>no attestation</v>
      </c>
      <c r="F1053" s="2" t="str">
        <f>IF(AND(NOT(ISBLANK(InfoGard!G1053)),InfoGard!G1053&lt;&gt;"N/A"),IF(C1053="All",CONCATENATE(Lookup!F$2,D1053,Lookup!G$2,B1053,Lookup!H$2,H$1,Lookup!I$2),CONCATENATE(Lookup!F$3,D1053,Lookup!G$3,B1053,Lookup!H$3)),"no url")</f>
        <v>no url</v>
      </c>
    </row>
    <row r="1054" spans="1:6" x14ac:dyDescent="0.25">
      <c r="A1054" s="2" t="str">
        <f>IF(ISBLANK(InfoGard!D1054),FALSE,LOOKUP(InfoGard!D1054,Lookup!$A$2:$B$4))</f>
        <v>Affirmative</v>
      </c>
      <c r="B1054" s="2" t="str">
        <f>IF(ISBLANK(InfoGard!E1054),FALSE,RIGHT(TRIM(InfoGard!E1054),15))</f>
        <v>IG-3281-14-0054</v>
      </c>
      <c r="C1054" s="2" t="str">
        <f>IF(ISBLANK(InfoGard!F1054),FALSE,LOOKUP(InfoGard!F1054,Lookup!$A$6:$B$7))</f>
        <v>All</v>
      </c>
      <c r="D1054" s="2" t="str">
        <f>IF(ISBLANK(InfoGard!G1054),FALSE,InfoGard!G1054)</f>
        <v>http://www.harriscaretracker.com/en/solutions/electronic-medical-records/; http://www.harriscaretracker.com/en/solutions/plans-and-pricing/</v>
      </c>
      <c r="E1054" s="2" t="str">
        <f>IF(NOT(ISBLANK(InfoGard!D1054)),IF(OR(ISBLANK(InfoGard!E1054),InfoGard!E1054="N/A"),"no acb code",CONCATENATE(Lookup!F$1,A1054,Lookup!G$1,B1054,Lookup!H$1,H$1,Lookup!I$1)),"no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'IG-3281-14-0054' and cb."name" = 'InfoGard' and cp.product_version_id = pv.product_version_id and pv.product_id = p.product_id and p.vendor_id = vend.vendor_id;</v>
      </c>
      <c r="F1054" s="2" t="str">
        <f>IF(AND(NOT(ISBLANK(InfoGard!G1054)),InfoGard!G1054&lt;&gt;"N/A"),IF(C1054="All",CONCATENATE(Lookup!F$2,D1054,Lookup!G$2,B1054,Lookup!H$2,H$1,Lookup!I$2),CONCATENATE(Lookup!F$3,D1054,Lookup!G$3,B1054,Lookup!H$3)),"no url")</f>
        <v>update openchpl.certified_product as cp set transparency_attestation_url = 'http://www.harriscaretracker.com/en/solutions/electronic-medical-records/; http://www.harriscaretracker.com/en/solutions/plans-and-pricing/' from (select certified_product_id from (select vend.vendor_code from openchpl.certified_product as cp, openchpl.product_version as pv, openchpl.product as p, openchpl.vendor as vend where cp.acb_certification_id = 'IG-3281-14-0054'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55" spans="1:6" hidden="1" x14ac:dyDescent="0.25">
      <c r="A1055" s="2" t="b">
        <f>IF(ISBLANK(InfoGard!D1055),FALSE,LOOKUP(InfoGard!D1055,Lookup!$A$2:$B$4))</f>
        <v>0</v>
      </c>
      <c r="B1055" s="2" t="b">
        <f>IF(ISBLANK(InfoGard!E1055),FALSE,RIGHT(TRIM(InfoGard!E1055),15))</f>
        <v>0</v>
      </c>
      <c r="C1055" s="2" t="b">
        <f>IF(ISBLANK(InfoGard!F1055),FALSE,LOOKUP(InfoGard!F1055,Lookup!$A$6:$B$7))</f>
        <v>0</v>
      </c>
      <c r="D1055" s="2" t="b">
        <f>IF(ISBLANK(InfoGard!G1055),FALSE,InfoGard!G1055)</f>
        <v>0</v>
      </c>
      <c r="E1055" s="2" t="str">
        <f>IF(NOT(ISBLANK(InfoGard!D1055)),IF(OR(ISBLANK(InfoGard!E1055),InfoGard!E1055="N/A"),"no acb code",CONCATENATE(Lookup!F$1,A1055,Lookup!G$1,B1055,Lookup!H$1,H$1,Lookup!I$1)),"no attestation")</f>
        <v>no attestation</v>
      </c>
      <c r="F1055" s="2" t="str">
        <f>IF(AND(NOT(ISBLANK(InfoGard!G1055)),InfoGard!G1055&lt;&gt;"N/A"),IF(C1055="All",CONCATENATE(Lookup!F$2,D1055,Lookup!G$2,B1055,Lookup!H$2,H$1,Lookup!I$2),CONCATENATE(Lookup!F$3,D1055,Lookup!G$3,B1055,Lookup!H$3)),"no url")</f>
        <v>no url</v>
      </c>
    </row>
    <row r="1056" spans="1:6" hidden="1" x14ac:dyDescent="0.25">
      <c r="A1056" s="2" t="b">
        <f>IF(ISBLANK(InfoGard!D1056),FALSE,LOOKUP(InfoGard!D1056,Lookup!$A$2:$B$4))</f>
        <v>0</v>
      </c>
      <c r="B1056" s="2" t="b">
        <f>IF(ISBLANK(InfoGard!E1056),FALSE,RIGHT(TRIM(InfoGard!E1056),15))</f>
        <v>0</v>
      </c>
      <c r="C1056" s="2" t="b">
        <f>IF(ISBLANK(InfoGard!F1056),FALSE,LOOKUP(InfoGard!F1056,Lookup!$A$6:$B$7))</f>
        <v>0</v>
      </c>
      <c r="D1056" s="2" t="b">
        <f>IF(ISBLANK(InfoGard!G1056),FALSE,InfoGard!G1056)</f>
        <v>0</v>
      </c>
      <c r="E1056" s="2" t="str">
        <f>IF(NOT(ISBLANK(InfoGard!D1056)),IF(OR(ISBLANK(InfoGard!E1056),InfoGard!E1056="N/A"),"no acb code",CONCATENATE(Lookup!F$1,A1056,Lookup!G$1,B1056,Lookup!H$1,H$1,Lookup!I$1)),"no attestation")</f>
        <v>no attestation</v>
      </c>
      <c r="F1056" s="2" t="str">
        <f>IF(AND(NOT(ISBLANK(InfoGard!G1056)),InfoGard!G1056&lt;&gt;"N/A"),IF(C1056="All",CONCATENATE(Lookup!F$2,D1056,Lookup!G$2,B1056,Lookup!H$2,H$1,Lookup!I$2),CONCATENATE(Lookup!F$3,D1056,Lookup!G$3,B1056,Lookup!H$3)),"no url")</f>
        <v>no url</v>
      </c>
    </row>
    <row r="1057" spans="1:6" hidden="1" x14ac:dyDescent="0.25">
      <c r="A1057" s="2" t="b">
        <f>IF(ISBLANK(InfoGard!D1057),FALSE,LOOKUP(InfoGard!D1057,Lookup!$A$2:$B$4))</f>
        <v>0</v>
      </c>
      <c r="B1057" s="2" t="b">
        <f>IF(ISBLANK(InfoGard!E1057),FALSE,RIGHT(TRIM(InfoGard!E1057),15))</f>
        <v>0</v>
      </c>
      <c r="C1057" s="2" t="b">
        <f>IF(ISBLANK(InfoGard!F1057),FALSE,LOOKUP(InfoGard!F1057,Lookup!$A$6:$B$7))</f>
        <v>0</v>
      </c>
      <c r="D1057" s="2" t="b">
        <f>IF(ISBLANK(InfoGard!G1057),FALSE,InfoGard!G1057)</f>
        <v>0</v>
      </c>
      <c r="E1057" s="2" t="str">
        <f>IF(NOT(ISBLANK(InfoGard!D1057)),IF(OR(ISBLANK(InfoGard!E1057),InfoGard!E1057="N/A"),"no acb code",CONCATENATE(Lookup!F$1,A1057,Lookup!G$1,B1057,Lookup!H$1,H$1,Lookup!I$1)),"no attestation")</f>
        <v>no attestation</v>
      </c>
      <c r="F1057" s="2" t="str">
        <f>IF(AND(NOT(ISBLANK(InfoGard!G1057)),InfoGard!G1057&lt;&gt;"N/A"),IF(C1057="All",CONCATENATE(Lookup!F$2,D1057,Lookup!G$2,B1057,Lookup!H$2,H$1,Lookup!I$2),CONCATENATE(Lookup!F$3,D1057,Lookup!G$3,B1057,Lookup!H$3)),"no url")</f>
        <v>no url</v>
      </c>
    </row>
    <row r="1058" spans="1:6" hidden="1" x14ac:dyDescent="0.25">
      <c r="A1058" s="2" t="b">
        <f>IF(ISBLANK(InfoGard!D1058),FALSE,LOOKUP(InfoGard!D1058,Lookup!$A$2:$B$4))</f>
        <v>0</v>
      </c>
      <c r="B1058" s="2" t="b">
        <f>IF(ISBLANK(InfoGard!E1058),FALSE,RIGHT(TRIM(InfoGard!E1058),15))</f>
        <v>0</v>
      </c>
      <c r="C1058" s="2" t="b">
        <f>IF(ISBLANK(InfoGard!F1058),FALSE,LOOKUP(InfoGard!F1058,Lookup!$A$6:$B$7))</f>
        <v>0</v>
      </c>
      <c r="D1058" s="2" t="b">
        <f>IF(ISBLANK(InfoGard!G1058),FALSE,InfoGard!G1058)</f>
        <v>0</v>
      </c>
      <c r="E1058" s="2" t="str">
        <f>IF(NOT(ISBLANK(InfoGard!D1058)),IF(OR(ISBLANK(InfoGard!E1058),InfoGard!E1058="N/A"),"no acb code",CONCATENATE(Lookup!F$1,A1058,Lookup!G$1,B1058,Lookup!H$1,H$1,Lookup!I$1)),"no attestation")</f>
        <v>no attestation</v>
      </c>
      <c r="F1058" s="2" t="str">
        <f>IF(AND(NOT(ISBLANK(InfoGard!G1058)),InfoGard!G1058&lt;&gt;"N/A"),IF(C1058="All",CONCATENATE(Lookup!F$2,D1058,Lookup!G$2,B1058,Lookup!H$2,H$1,Lookup!I$2),CONCATENATE(Lookup!F$3,D1058,Lookup!G$3,B1058,Lookup!H$3)),"no url")</f>
        <v>no url</v>
      </c>
    </row>
    <row r="1059" spans="1:6" hidden="1" x14ac:dyDescent="0.25">
      <c r="A1059" s="2" t="b">
        <f>IF(ISBLANK(InfoGard!D1059),FALSE,LOOKUP(InfoGard!D1059,Lookup!$A$2:$B$4))</f>
        <v>0</v>
      </c>
      <c r="B1059" s="2" t="b">
        <f>IF(ISBLANK(InfoGard!E1059),FALSE,RIGHT(TRIM(InfoGard!E1059),15))</f>
        <v>0</v>
      </c>
      <c r="C1059" s="2" t="b">
        <f>IF(ISBLANK(InfoGard!F1059),FALSE,LOOKUP(InfoGard!F1059,Lookup!$A$6:$B$7))</f>
        <v>0</v>
      </c>
      <c r="D1059" s="2" t="b">
        <f>IF(ISBLANK(InfoGard!G1059),FALSE,InfoGard!G1059)</f>
        <v>0</v>
      </c>
      <c r="E1059" s="2" t="str">
        <f>IF(NOT(ISBLANK(InfoGard!D1059)),IF(OR(ISBLANK(InfoGard!E1059),InfoGard!E1059="N/A"),"no acb code",CONCATENATE(Lookup!F$1,A1059,Lookup!G$1,B1059,Lookup!H$1,H$1,Lookup!I$1)),"no attestation")</f>
        <v>no attestation</v>
      </c>
      <c r="F1059" s="2" t="str">
        <f>IF(AND(NOT(ISBLANK(InfoGard!G1059)),InfoGard!G1059&lt;&gt;"N/A"),IF(C1059="All",CONCATENATE(Lookup!F$2,D1059,Lookup!G$2,B1059,Lookup!H$2,H$1,Lookup!I$2),CONCATENATE(Lookup!F$3,D1059,Lookup!G$3,B1059,Lookup!H$3)),"no url")</f>
        <v>no url</v>
      </c>
    </row>
    <row r="1060" spans="1:6" hidden="1" x14ac:dyDescent="0.25">
      <c r="A1060" s="2" t="b">
        <f>IF(ISBLANK(InfoGard!D1060),FALSE,LOOKUP(InfoGard!D1060,Lookup!$A$2:$B$4))</f>
        <v>0</v>
      </c>
      <c r="B1060" s="2" t="b">
        <f>IF(ISBLANK(InfoGard!E1060),FALSE,RIGHT(TRIM(InfoGard!E1060),15))</f>
        <v>0</v>
      </c>
      <c r="C1060" s="2" t="b">
        <f>IF(ISBLANK(InfoGard!F1060),FALSE,LOOKUP(InfoGard!F1060,Lookup!$A$6:$B$7))</f>
        <v>0</v>
      </c>
      <c r="D1060" s="2" t="b">
        <f>IF(ISBLANK(InfoGard!G1060),FALSE,InfoGard!G1060)</f>
        <v>0</v>
      </c>
      <c r="E1060" s="2" t="str">
        <f>IF(NOT(ISBLANK(InfoGard!D1060)),IF(OR(ISBLANK(InfoGard!E1060),InfoGard!E1060="N/A"),"no acb code",CONCATENATE(Lookup!F$1,A1060,Lookup!G$1,B1060,Lookup!H$1,H$1,Lookup!I$1)),"no attestation")</f>
        <v>no attestation</v>
      </c>
      <c r="F1060" s="2" t="str">
        <f>IF(AND(NOT(ISBLANK(InfoGard!G1060)),InfoGard!G1060&lt;&gt;"N/A"),IF(C1060="All",CONCATENATE(Lookup!F$2,D1060,Lookup!G$2,B1060,Lookup!H$2,H$1,Lookup!I$2),CONCATENATE(Lookup!F$3,D1060,Lookup!G$3,B1060,Lookup!H$3)),"no url")</f>
        <v>no url</v>
      </c>
    </row>
    <row r="1061" spans="1:6" hidden="1" x14ac:dyDescent="0.25">
      <c r="A1061" s="2" t="b">
        <f>IF(ISBLANK(InfoGard!D1061),FALSE,LOOKUP(InfoGard!D1061,Lookup!$A$2:$B$4))</f>
        <v>0</v>
      </c>
      <c r="B1061" s="2" t="b">
        <f>IF(ISBLANK(InfoGard!E1061),FALSE,RIGHT(TRIM(InfoGard!E1061),15))</f>
        <v>0</v>
      </c>
      <c r="C1061" s="2" t="b">
        <f>IF(ISBLANK(InfoGard!F1061),FALSE,LOOKUP(InfoGard!F1061,Lookup!$A$6:$B$7))</f>
        <v>0</v>
      </c>
      <c r="D1061" s="2" t="b">
        <f>IF(ISBLANK(InfoGard!G1061),FALSE,InfoGard!G1061)</f>
        <v>0</v>
      </c>
      <c r="E1061" s="2" t="str">
        <f>IF(NOT(ISBLANK(InfoGard!D1061)),IF(OR(ISBLANK(InfoGard!E1061),InfoGard!E1061="N/A"),"no acb code",CONCATENATE(Lookup!F$1,A1061,Lookup!G$1,B1061,Lookup!H$1,H$1,Lookup!I$1)),"no attestation")</f>
        <v>no attestation</v>
      </c>
      <c r="F1061" s="2" t="str">
        <f>IF(AND(NOT(ISBLANK(InfoGard!G1061)),InfoGard!G1061&lt;&gt;"N/A"),IF(C1061="All",CONCATENATE(Lookup!F$2,D1061,Lookup!G$2,B1061,Lookup!H$2,H$1,Lookup!I$2),CONCATENATE(Lookup!F$3,D1061,Lookup!G$3,B1061,Lookup!H$3)),"no url")</f>
        <v>no url</v>
      </c>
    </row>
    <row r="1062" spans="1:6" hidden="1" x14ac:dyDescent="0.25">
      <c r="A1062" s="2" t="b">
        <f>IF(ISBLANK(InfoGard!D1062),FALSE,LOOKUP(InfoGard!D1062,Lookup!$A$2:$B$4))</f>
        <v>0</v>
      </c>
      <c r="B1062" s="2" t="b">
        <f>IF(ISBLANK(InfoGard!E1062),FALSE,RIGHT(TRIM(InfoGard!E1062),15))</f>
        <v>0</v>
      </c>
      <c r="C1062" s="2" t="b">
        <f>IF(ISBLANK(InfoGard!F1062),FALSE,LOOKUP(InfoGard!F1062,Lookup!$A$6:$B$7))</f>
        <v>0</v>
      </c>
      <c r="D1062" s="2" t="b">
        <f>IF(ISBLANK(InfoGard!G1062),FALSE,InfoGard!G1062)</f>
        <v>0</v>
      </c>
      <c r="E1062" s="2" t="str">
        <f>IF(NOT(ISBLANK(InfoGard!D1062)),IF(OR(ISBLANK(InfoGard!E1062),InfoGard!E1062="N/A"),"no acb code",CONCATENATE(Lookup!F$1,A1062,Lookup!G$1,B1062,Lookup!H$1,H$1,Lookup!I$1)),"no attestation")</f>
        <v>no attestation</v>
      </c>
      <c r="F1062" s="2" t="str">
        <f>IF(AND(NOT(ISBLANK(InfoGard!G1062)),InfoGard!G1062&lt;&gt;"N/A"),IF(C1062="All",CONCATENATE(Lookup!F$2,D1062,Lookup!G$2,B1062,Lookup!H$2,H$1,Lookup!I$2),CONCATENATE(Lookup!F$3,D1062,Lookup!G$3,B1062,Lookup!H$3)),"no url")</f>
        <v>no url</v>
      </c>
    </row>
    <row r="1063" spans="1:6" hidden="1" x14ac:dyDescent="0.25">
      <c r="A1063" s="2" t="b">
        <f>IF(ISBLANK(InfoGard!D1063),FALSE,LOOKUP(InfoGard!D1063,Lookup!$A$2:$B$4))</f>
        <v>0</v>
      </c>
      <c r="B1063" s="2" t="b">
        <f>IF(ISBLANK(InfoGard!E1063),FALSE,RIGHT(TRIM(InfoGard!E1063),15))</f>
        <v>0</v>
      </c>
      <c r="C1063" s="2" t="b">
        <f>IF(ISBLANK(InfoGard!F1063),FALSE,LOOKUP(InfoGard!F1063,Lookup!$A$6:$B$7))</f>
        <v>0</v>
      </c>
      <c r="D1063" s="2" t="b">
        <f>IF(ISBLANK(InfoGard!G1063),FALSE,InfoGard!G1063)</f>
        <v>0</v>
      </c>
      <c r="E1063" s="2" t="str">
        <f>IF(NOT(ISBLANK(InfoGard!D1063)),IF(OR(ISBLANK(InfoGard!E1063),InfoGard!E1063="N/A"),"no acb code",CONCATENATE(Lookup!F$1,A1063,Lookup!G$1,B1063,Lookup!H$1,H$1,Lookup!I$1)),"no attestation")</f>
        <v>no attestation</v>
      </c>
      <c r="F1063" s="2" t="str">
        <f>IF(AND(NOT(ISBLANK(InfoGard!G1063)),InfoGard!G1063&lt;&gt;"N/A"),IF(C1063="All",CONCATENATE(Lookup!F$2,D1063,Lookup!G$2,B1063,Lookup!H$2,H$1,Lookup!I$2),CONCATENATE(Lookup!F$3,D1063,Lookup!G$3,B1063,Lookup!H$3)),"no url")</f>
        <v>no url</v>
      </c>
    </row>
    <row r="1064" spans="1:6" hidden="1" x14ac:dyDescent="0.25">
      <c r="A1064" s="2" t="b">
        <f>IF(ISBLANK(InfoGard!D1064),FALSE,LOOKUP(InfoGard!D1064,Lookup!$A$2:$B$4))</f>
        <v>0</v>
      </c>
      <c r="B1064" s="2" t="b">
        <f>IF(ISBLANK(InfoGard!E1064),FALSE,RIGHT(TRIM(InfoGard!E1064),15))</f>
        <v>0</v>
      </c>
      <c r="C1064" s="2" t="b">
        <f>IF(ISBLANK(InfoGard!F1064),FALSE,LOOKUP(InfoGard!F1064,Lookup!$A$6:$B$7))</f>
        <v>0</v>
      </c>
      <c r="D1064" s="2" t="b">
        <f>IF(ISBLANK(InfoGard!G1064),FALSE,InfoGard!G1064)</f>
        <v>0</v>
      </c>
      <c r="E1064" s="2" t="str">
        <f>IF(NOT(ISBLANK(InfoGard!D1064)),IF(OR(ISBLANK(InfoGard!E1064),InfoGard!E1064="N/A"),"no acb code",CONCATENATE(Lookup!F$1,A1064,Lookup!G$1,B1064,Lookup!H$1,H$1,Lookup!I$1)),"no attestation")</f>
        <v>no attestation</v>
      </c>
      <c r="F1064" s="2" t="str">
        <f>IF(AND(NOT(ISBLANK(InfoGard!G1064)),InfoGard!G1064&lt;&gt;"N/A"),IF(C1064="All",CONCATENATE(Lookup!F$2,D1064,Lookup!G$2,B1064,Lookup!H$2,H$1,Lookup!I$2),CONCATENATE(Lookup!F$3,D1064,Lookup!G$3,B1064,Lookup!H$3)),"no url")</f>
        <v>no url</v>
      </c>
    </row>
    <row r="1065" spans="1:6" hidden="1" x14ac:dyDescent="0.25">
      <c r="A1065" s="2" t="b">
        <f>IF(ISBLANK(InfoGard!D1065),FALSE,LOOKUP(InfoGard!D1065,Lookup!$A$2:$B$4))</f>
        <v>0</v>
      </c>
      <c r="B1065" s="2" t="b">
        <f>IF(ISBLANK(InfoGard!E1065),FALSE,RIGHT(TRIM(InfoGard!E1065),15))</f>
        <v>0</v>
      </c>
      <c r="C1065" s="2" t="b">
        <f>IF(ISBLANK(InfoGard!F1065),FALSE,LOOKUP(InfoGard!F1065,Lookup!$A$6:$B$7))</f>
        <v>0</v>
      </c>
      <c r="D1065" s="2" t="b">
        <f>IF(ISBLANK(InfoGard!G1065),FALSE,InfoGard!G1065)</f>
        <v>0</v>
      </c>
      <c r="E1065" s="2" t="str">
        <f>IF(NOT(ISBLANK(InfoGard!D1065)),IF(OR(ISBLANK(InfoGard!E1065),InfoGard!E1065="N/A"),"no acb code",CONCATENATE(Lookup!F$1,A1065,Lookup!G$1,B1065,Lookup!H$1,H$1,Lookup!I$1)),"no attestation")</f>
        <v>no attestation</v>
      </c>
      <c r="F1065" s="2" t="str">
        <f>IF(AND(NOT(ISBLANK(InfoGard!G1065)),InfoGard!G1065&lt;&gt;"N/A"),IF(C1065="All",CONCATENATE(Lookup!F$2,D1065,Lookup!G$2,B1065,Lookup!H$2,H$1,Lookup!I$2),CONCATENATE(Lookup!F$3,D1065,Lookup!G$3,B1065,Lookup!H$3)),"no url")</f>
        <v>no url</v>
      </c>
    </row>
    <row r="1066" spans="1:6" hidden="1" x14ac:dyDescent="0.25">
      <c r="A1066" s="2" t="b">
        <f>IF(ISBLANK(InfoGard!D1066),FALSE,LOOKUP(InfoGard!D1066,Lookup!$A$2:$B$4))</f>
        <v>0</v>
      </c>
      <c r="B1066" s="2" t="b">
        <f>IF(ISBLANK(InfoGard!E1066),FALSE,RIGHT(TRIM(InfoGard!E1066),15))</f>
        <v>0</v>
      </c>
      <c r="C1066" s="2" t="b">
        <f>IF(ISBLANK(InfoGard!F1066),FALSE,LOOKUP(InfoGard!F1066,Lookup!$A$6:$B$7))</f>
        <v>0</v>
      </c>
      <c r="D1066" s="2" t="b">
        <f>IF(ISBLANK(InfoGard!G1066),FALSE,InfoGard!G1066)</f>
        <v>0</v>
      </c>
      <c r="E1066" s="2" t="str">
        <f>IF(NOT(ISBLANK(InfoGard!D1066)),IF(OR(ISBLANK(InfoGard!E1066),InfoGard!E1066="N/A"),"no acb code",CONCATENATE(Lookup!F$1,A1066,Lookup!G$1,B1066,Lookup!H$1,H$1,Lookup!I$1)),"no attestation")</f>
        <v>no attestation</v>
      </c>
      <c r="F1066" s="2" t="str">
        <f>IF(AND(NOT(ISBLANK(InfoGard!G1066)),InfoGard!G1066&lt;&gt;"N/A"),IF(C1066="All",CONCATENATE(Lookup!F$2,D1066,Lookup!G$2,B1066,Lookup!H$2,H$1,Lookup!I$2),CONCATENATE(Lookup!F$3,D1066,Lookup!G$3,B1066,Lookup!H$3)),"no url")</f>
        <v>no url</v>
      </c>
    </row>
    <row r="1067" spans="1:6" hidden="1" x14ac:dyDescent="0.25">
      <c r="A1067" s="2" t="b">
        <f>IF(ISBLANK(InfoGard!D1067),FALSE,LOOKUP(InfoGard!D1067,Lookup!$A$2:$B$4))</f>
        <v>0</v>
      </c>
      <c r="B1067" s="2" t="b">
        <f>IF(ISBLANK(InfoGard!E1067),FALSE,RIGHT(TRIM(InfoGard!E1067),15))</f>
        <v>0</v>
      </c>
      <c r="C1067" s="2" t="b">
        <f>IF(ISBLANK(InfoGard!F1067),FALSE,LOOKUP(InfoGard!F1067,Lookup!$A$6:$B$7))</f>
        <v>0</v>
      </c>
      <c r="D1067" s="2" t="b">
        <f>IF(ISBLANK(InfoGard!G1067),FALSE,InfoGard!G1067)</f>
        <v>0</v>
      </c>
      <c r="E1067" s="2" t="str">
        <f>IF(NOT(ISBLANK(InfoGard!D1067)),IF(OR(ISBLANK(InfoGard!E1067),InfoGard!E1067="N/A"),"no acb code",CONCATENATE(Lookup!F$1,A1067,Lookup!G$1,B1067,Lookup!H$1,H$1,Lookup!I$1)),"no attestation")</f>
        <v>no attestation</v>
      </c>
      <c r="F1067" s="2" t="str">
        <f>IF(AND(NOT(ISBLANK(InfoGard!G1067)),InfoGard!G1067&lt;&gt;"N/A"),IF(C1067="All",CONCATENATE(Lookup!F$2,D1067,Lookup!G$2,B1067,Lookup!H$2,H$1,Lookup!I$2),CONCATENATE(Lookup!F$3,D1067,Lookup!G$3,B1067,Lookup!H$3)),"no url")</f>
        <v>no url</v>
      </c>
    </row>
    <row r="1068" spans="1:6" hidden="1" x14ac:dyDescent="0.25">
      <c r="A1068" s="2" t="b">
        <f>IF(ISBLANK(InfoGard!D1068),FALSE,LOOKUP(InfoGard!D1068,Lookup!$A$2:$B$4))</f>
        <v>0</v>
      </c>
      <c r="B1068" s="2" t="b">
        <f>IF(ISBLANK(InfoGard!E1068),FALSE,RIGHT(TRIM(InfoGard!E1068),15))</f>
        <v>0</v>
      </c>
      <c r="C1068" s="2" t="b">
        <f>IF(ISBLANK(InfoGard!F1068),FALSE,LOOKUP(InfoGard!F1068,Lookup!$A$6:$B$7))</f>
        <v>0</v>
      </c>
      <c r="D1068" s="2" t="b">
        <f>IF(ISBLANK(InfoGard!G1068),FALSE,InfoGard!G1068)</f>
        <v>0</v>
      </c>
      <c r="E1068" s="2" t="str">
        <f>IF(NOT(ISBLANK(InfoGard!D1068)),IF(OR(ISBLANK(InfoGard!E1068),InfoGard!E1068="N/A"),"no acb code",CONCATENATE(Lookup!F$1,A1068,Lookup!G$1,B1068,Lookup!H$1,H$1,Lookup!I$1)),"no attestation")</f>
        <v>no attestation</v>
      </c>
      <c r="F1068" s="2" t="str">
        <f>IF(AND(NOT(ISBLANK(InfoGard!G1068)),InfoGard!G1068&lt;&gt;"N/A"),IF(C1068="All",CONCATENATE(Lookup!F$2,D1068,Lookup!G$2,B1068,Lookup!H$2,H$1,Lookup!I$2),CONCATENATE(Lookup!F$3,D1068,Lookup!G$3,B1068,Lookup!H$3)),"no url")</f>
        <v>no url</v>
      </c>
    </row>
    <row r="1069" spans="1:6" hidden="1" x14ac:dyDescent="0.25">
      <c r="A1069" s="2" t="b">
        <f>IF(ISBLANK(InfoGard!D1069),FALSE,LOOKUP(InfoGard!D1069,Lookup!$A$2:$B$4))</f>
        <v>0</v>
      </c>
      <c r="B1069" s="2" t="b">
        <f>IF(ISBLANK(InfoGard!E1069),FALSE,RIGHT(TRIM(InfoGard!E1069),15))</f>
        <v>0</v>
      </c>
      <c r="C1069" s="2" t="b">
        <f>IF(ISBLANK(InfoGard!F1069),FALSE,LOOKUP(InfoGard!F1069,Lookup!$A$6:$B$7))</f>
        <v>0</v>
      </c>
      <c r="D1069" s="2" t="b">
        <f>IF(ISBLANK(InfoGard!G1069),FALSE,InfoGard!G1069)</f>
        <v>0</v>
      </c>
      <c r="E1069" s="2" t="str">
        <f>IF(NOT(ISBLANK(InfoGard!D1069)),IF(OR(ISBLANK(InfoGard!E1069),InfoGard!E1069="N/A"),"no acb code",CONCATENATE(Lookup!F$1,A1069,Lookup!G$1,B1069,Lookup!H$1,H$1,Lookup!I$1)),"no attestation")</f>
        <v>no attestation</v>
      </c>
      <c r="F1069" s="2" t="str">
        <f>IF(AND(NOT(ISBLANK(InfoGard!G1069)),InfoGard!G1069&lt;&gt;"N/A"),IF(C1069="All",CONCATENATE(Lookup!F$2,D1069,Lookup!G$2,B1069,Lookup!H$2,H$1,Lookup!I$2),CONCATENATE(Lookup!F$3,D1069,Lookup!G$3,B1069,Lookup!H$3)),"no url")</f>
        <v>no url</v>
      </c>
    </row>
    <row r="1070" spans="1:6" hidden="1" x14ac:dyDescent="0.25">
      <c r="A1070" s="2" t="b">
        <f>IF(ISBLANK(InfoGard!D1070),FALSE,LOOKUP(InfoGard!D1070,Lookup!$A$2:$B$4))</f>
        <v>0</v>
      </c>
      <c r="B1070" s="2" t="b">
        <f>IF(ISBLANK(InfoGard!E1070),FALSE,RIGHT(TRIM(InfoGard!E1070),15))</f>
        <v>0</v>
      </c>
      <c r="C1070" s="2" t="b">
        <f>IF(ISBLANK(InfoGard!F1070),FALSE,LOOKUP(InfoGard!F1070,Lookup!$A$6:$B$7))</f>
        <v>0</v>
      </c>
      <c r="D1070" s="2" t="b">
        <f>IF(ISBLANK(InfoGard!G1070),FALSE,InfoGard!G1070)</f>
        <v>0</v>
      </c>
      <c r="E1070" s="2" t="str">
        <f>IF(NOT(ISBLANK(InfoGard!D1070)),IF(OR(ISBLANK(InfoGard!E1070),InfoGard!E1070="N/A"),"no acb code",CONCATENATE(Lookup!F$1,A1070,Lookup!G$1,B1070,Lookup!H$1,H$1,Lookup!I$1)),"no attestation")</f>
        <v>no attestation</v>
      </c>
      <c r="F1070" s="2" t="str">
        <f>IF(AND(NOT(ISBLANK(InfoGard!G1070)),InfoGard!G1070&lt;&gt;"N/A"),IF(C1070="All",CONCATENATE(Lookup!F$2,D1070,Lookup!G$2,B1070,Lookup!H$2,H$1,Lookup!I$2),CONCATENATE(Lookup!F$3,D1070,Lookup!G$3,B1070,Lookup!H$3)),"no url")</f>
        <v>no url</v>
      </c>
    </row>
    <row r="1071" spans="1:6" hidden="1" x14ac:dyDescent="0.25">
      <c r="A1071" s="2" t="b">
        <f>IF(ISBLANK(InfoGard!D1071),FALSE,LOOKUP(InfoGard!D1071,Lookup!$A$2:$B$4))</f>
        <v>0</v>
      </c>
      <c r="B1071" s="2" t="b">
        <f>IF(ISBLANK(InfoGard!E1071),FALSE,RIGHT(TRIM(InfoGard!E1071),15))</f>
        <v>0</v>
      </c>
      <c r="C1071" s="2" t="b">
        <f>IF(ISBLANK(InfoGard!F1071),FALSE,LOOKUP(InfoGard!F1071,Lookup!$A$6:$B$7))</f>
        <v>0</v>
      </c>
      <c r="D1071" s="2" t="b">
        <f>IF(ISBLANK(InfoGard!G1071),FALSE,InfoGard!G1071)</f>
        <v>0</v>
      </c>
      <c r="E1071" s="2" t="str">
        <f>IF(NOT(ISBLANK(InfoGard!D1071)),IF(OR(ISBLANK(InfoGard!E1071),InfoGard!E1071="N/A"),"no acb code",CONCATENATE(Lookup!F$1,A1071,Lookup!G$1,B1071,Lookup!H$1,H$1,Lookup!I$1)),"no attestation")</f>
        <v>no attestation</v>
      </c>
      <c r="F1071" s="2" t="str">
        <f>IF(AND(NOT(ISBLANK(InfoGard!G1071)),InfoGard!G1071&lt;&gt;"N/A"),IF(C1071="All",CONCATENATE(Lookup!F$2,D1071,Lookup!G$2,B1071,Lookup!H$2,H$1,Lookup!I$2),CONCATENATE(Lookup!F$3,D1071,Lookup!G$3,B1071,Lookup!H$3)),"no url")</f>
        <v>no url</v>
      </c>
    </row>
    <row r="1072" spans="1:6" hidden="1" x14ac:dyDescent="0.25">
      <c r="A1072" s="2" t="b">
        <f>IF(ISBLANK(InfoGard!D1072),FALSE,LOOKUP(InfoGard!D1072,Lookup!$A$2:$B$4))</f>
        <v>0</v>
      </c>
      <c r="B1072" s="2" t="b">
        <f>IF(ISBLANK(InfoGard!E1072),FALSE,RIGHT(TRIM(InfoGard!E1072),15))</f>
        <v>0</v>
      </c>
      <c r="C1072" s="2" t="b">
        <f>IF(ISBLANK(InfoGard!F1072),FALSE,LOOKUP(InfoGard!F1072,Lookup!$A$6:$B$7))</f>
        <v>0</v>
      </c>
      <c r="D1072" s="2" t="b">
        <f>IF(ISBLANK(InfoGard!G1072),FALSE,InfoGard!G1072)</f>
        <v>0</v>
      </c>
      <c r="E1072" s="2" t="str">
        <f>IF(NOT(ISBLANK(InfoGard!D1072)),IF(OR(ISBLANK(InfoGard!E1072),InfoGard!E1072="N/A"),"no acb code",CONCATENATE(Lookup!F$1,A1072,Lookup!G$1,B1072,Lookup!H$1,H$1,Lookup!I$1)),"no attestation")</f>
        <v>no attestation</v>
      </c>
      <c r="F1072" s="2" t="str">
        <f>IF(AND(NOT(ISBLANK(InfoGard!G1072)),InfoGard!G1072&lt;&gt;"N/A"),IF(C1072="All",CONCATENATE(Lookup!F$2,D1072,Lookup!G$2,B1072,Lookup!H$2,H$1,Lookup!I$2),CONCATENATE(Lookup!F$3,D1072,Lookup!G$3,B1072,Lookup!H$3)),"no url")</f>
        <v>no url</v>
      </c>
    </row>
    <row r="1073" spans="1:6" x14ac:dyDescent="0.25">
      <c r="A1073" s="2" t="str">
        <f>IF(ISBLANK(InfoGard!D1073),FALSE,LOOKUP(InfoGard!D1073,Lookup!$A$2:$B$4))</f>
        <v>Affirmative</v>
      </c>
      <c r="B1073" s="2" t="str">
        <f>IF(ISBLANK(InfoGard!E1073),FALSE,RIGHT(TRIM(InfoGard!E1073),15))</f>
        <v>IG-2967-13-0013</v>
      </c>
      <c r="C1073" s="2" t="str">
        <f>IF(ISBLANK(InfoGard!F1073),FALSE,LOOKUP(InfoGard!F1073,Lookup!$A$6:$B$7))</f>
        <v>All</v>
      </c>
      <c r="D1073" s="2" t="str">
        <f>IF(ISBLANK(InfoGard!G1073),FALSE,InfoGard!G1073)</f>
        <v>http://www.pepid.com/press/releases/20150324_meaningful_use_2_certification.asp</v>
      </c>
      <c r="E1073" s="2" t="str">
        <f>IF(NOT(ISBLANK(InfoGard!D1073)),IF(OR(ISBLANK(InfoGard!E1073),InfoGard!E1073="N/A"),"no acb code",CONCATENATE(Lookup!F$1,A1073,Lookup!G$1,B1073,Lookup!H$1,H$1,Lookup!I$1)),"no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'IG-2967-13-0013' and cb."name" = 'InfoGard' and cp.product_version_id = pv.product_version_id and pv.product_id = p.product_id and p.vendor_id = vend.vendor_id;</v>
      </c>
      <c r="F1073" s="2" t="str">
        <f>IF(AND(NOT(ISBLANK(InfoGard!G1073)),InfoGard!G1073&lt;&gt;"N/A"),IF(C1073="All",CONCATENATE(Lookup!F$2,D1073,Lookup!G$2,B1073,Lookup!H$2,H$1,Lookup!I$2),CONCATENATE(Lookup!F$3,D1073,Lookup!G$3,B1073,Lookup!H$3)),"no url")</f>
        <v>update openchpl.certified_product as cp set transparency_attestation_url = 'http://www.pepid.com/press/releases/20150324_meaningful_use_2_certification.asp' from (select certified_product_id from (select vend.vendor_code from openchpl.certified_product as cp, openchpl.product_version as pv, openchpl.product as p, openchpl.vendor as vend where cp.acb_certification_id = 'IG-2967-13-0013'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74" spans="1:6" hidden="1" x14ac:dyDescent="0.25">
      <c r="A1074" s="2" t="b">
        <f>IF(ISBLANK(InfoGard!D1074),FALSE,LOOKUP(InfoGard!D1074,Lookup!$A$2:$B$4))</f>
        <v>0</v>
      </c>
      <c r="B1074" s="2" t="b">
        <f>IF(ISBLANK(InfoGard!E1074),FALSE,RIGHT(TRIM(InfoGard!E1074),15))</f>
        <v>0</v>
      </c>
      <c r="C1074" s="2" t="b">
        <f>IF(ISBLANK(InfoGard!F1074),FALSE,LOOKUP(InfoGard!F1074,Lookup!$A$6:$B$7))</f>
        <v>0</v>
      </c>
      <c r="D1074" s="2" t="b">
        <f>IF(ISBLANK(InfoGard!G1074),FALSE,InfoGard!G1074)</f>
        <v>0</v>
      </c>
      <c r="E1074" s="2" t="str">
        <f>IF(NOT(ISBLANK(InfoGard!D1074)),IF(OR(ISBLANK(InfoGard!E1074),InfoGard!E1074="N/A"),"no acb code",CONCATENATE(Lookup!F$1,A1074,Lookup!G$1,B1074,Lookup!H$1,H$1,Lookup!I$1)),"no attestation")</f>
        <v>no attestation</v>
      </c>
      <c r="F1074" s="2" t="str">
        <f>IF(AND(NOT(ISBLANK(InfoGard!G1074)),InfoGard!G1074&lt;&gt;"N/A"),IF(C1074="All",CONCATENATE(Lookup!F$2,D1074,Lookup!G$2,B1074,Lookup!H$2,H$1,Lookup!I$2),CONCATENATE(Lookup!F$3,D1074,Lookup!G$3,B1074,Lookup!H$3)),"no url")</f>
        <v>no url</v>
      </c>
    </row>
    <row r="1075" spans="1:6" hidden="1" x14ac:dyDescent="0.25">
      <c r="A1075" s="2" t="b">
        <f>IF(ISBLANK(InfoGard!D1075),FALSE,LOOKUP(InfoGard!D1075,Lookup!$A$2:$B$4))</f>
        <v>0</v>
      </c>
      <c r="B1075" s="2" t="b">
        <f>IF(ISBLANK(InfoGard!E1075),FALSE,RIGHT(TRIM(InfoGard!E1075),15))</f>
        <v>0</v>
      </c>
      <c r="C1075" s="2" t="b">
        <f>IF(ISBLANK(InfoGard!F1075),FALSE,LOOKUP(InfoGard!F1075,Lookup!$A$6:$B$7))</f>
        <v>0</v>
      </c>
      <c r="D1075" s="2" t="b">
        <f>IF(ISBLANK(InfoGard!G1075),FALSE,InfoGard!G1075)</f>
        <v>0</v>
      </c>
      <c r="E1075" s="2" t="str">
        <f>IF(NOT(ISBLANK(InfoGard!D1075)),IF(OR(ISBLANK(InfoGard!E1075),InfoGard!E1075="N/A"),"no acb code",CONCATENATE(Lookup!F$1,A1075,Lookup!G$1,B1075,Lookup!H$1,H$1,Lookup!I$1)),"no attestation")</f>
        <v>no attestation</v>
      </c>
      <c r="F1075" s="2" t="str">
        <f>IF(AND(NOT(ISBLANK(InfoGard!G1075)),InfoGard!G1075&lt;&gt;"N/A"),IF(C1075="All",CONCATENATE(Lookup!F$2,D1075,Lookup!G$2,B1075,Lookup!H$2,H$1,Lookup!I$2),CONCATENATE(Lookup!F$3,D1075,Lookup!G$3,B1075,Lookup!H$3)),"no url")</f>
        <v>no url</v>
      </c>
    </row>
    <row r="1076" spans="1:6" hidden="1" x14ac:dyDescent="0.25">
      <c r="A1076" s="2" t="b">
        <f>IF(ISBLANK(InfoGard!D1076),FALSE,LOOKUP(InfoGard!D1076,Lookup!$A$2:$B$4))</f>
        <v>0</v>
      </c>
      <c r="B1076" s="2" t="b">
        <f>IF(ISBLANK(InfoGard!E1076),FALSE,RIGHT(TRIM(InfoGard!E1076),15))</f>
        <v>0</v>
      </c>
      <c r="C1076" s="2" t="b">
        <f>IF(ISBLANK(InfoGard!F1076),FALSE,LOOKUP(InfoGard!F1076,Lookup!$A$6:$B$7))</f>
        <v>0</v>
      </c>
      <c r="D1076" s="2" t="b">
        <f>IF(ISBLANK(InfoGard!G1076),FALSE,InfoGard!G1076)</f>
        <v>0</v>
      </c>
      <c r="E1076" s="2" t="str">
        <f>IF(NOT(ISBLANK(InfoGard!D1076)),IF(OR(ISBLANK(InfoGard!E1076),InfoGard!E1076="N/A"),"no acb code",CONCATENATE(Lookup!F$1,A1076,Lookup!G$1,B1076,Lookup!H$1,H$1,Lookup!I$1)),"no attestation")</f>
        <v>no attestation</v>
      </c>
      <c r="F1076" s="2" t="str">
        <f>IF(AND(NOT(ISBLANK(InfoGard!G1076)),InfoGard!G1076&lt;&gt;"N/A"),IF(C1076="All",CONCATENATE(Lookup!F$2,D1076,Lookup!G$2,B1076,Lookup!H$2,H$1,Lookup!I$2),CONCATENATE(Lookup!F$3,D1076,Lookup!G$3,B1076,Lookup!H$3)),"no url")</f>
        <v>no url</v>
      </c>
    </row>
    <row r="1077" spans="1:6" hidden="1" x14ac:dyDescent="0.25">
      <c r="A1077" s="2" t="b">
        <f>IF(ISBLANK(InfoGard!D1077),FALSE,LOOKUP(InfoGard!D1077,Lookup!$A$2:$B$4))</f>
        <v>0</v>
      </c>
      <c r="B1077" s="2" t="b">
        <f>IF(ISBLANK(InfoGard!E1077),FALSE,RIGHT(TRIM(InfoGard!E1077),15))</f>
        <v>0</v>
      </c>
      <c r="C1077" s="2" t="b">
        <f>IF(ISBLANK(InfoGard!F1077),FALSE,LOOKUP(InfoGard!F1077,Lookup!$A$6:$B$7))</f>
        <v>0</v>
      </c>
      <c r="D1077" s="2" t="b">
        <f>IF(ISBLANK(InfoGard!G1077),FALSE,InfoGard!G1077)</f>
        <v>0</v>
      </c>
      <c r="E1077" s="2" t="str">
        <f>IF(NOT(ISBLANK(InfoGard!D1077)),IF(OR(ISBLANK(InfoGard!E1077),InfoGard!E1077="N/A"),"no acb code",CONCATENATE(Lookup!F$1,A1077,Lookup!G$1,B1077,Lookup!H$1,H$1,Lookup!I$1)),"no attestation")</f>
        <v>no attestation</v>
      </c>
      <c r="F1077" s="2" t="str">
        <f>IF(AND(NOT(ISBLANK(InfoGard!G1077)),InfoGard!G1077&lt;&gt;"N/A"),IF(C1077="All",CONCATENATE(Lookup!F$2,D1077,Lookup!G$2,B1077,Lookup!H$2,H$1,Lookup!I$2),CONCATENATE(Lookup!F$3,D1077,Lookup!G$3,B1077,Lookup!H$3)),"no url")</f>
        <v>no url</v>
      </c>
    </row>
    <row r="1078" spans="1:6" hidden="1" x14ac:dyDescent="0.25">
      <c r="A1078" s="2" t="b">
        <f>IF(ISBLANK(InfoGard!D1078),FALSE,LOOKUP(InfoGard!D1078,Lookup!$A$2:$B$4))</f>
        <v>0</v>
      </c>
      <c r="B1078" s="2" t="b">
        <f>IF(ISBLANK(InfoGard!E1078),FALSE,RIGHT(TRIM(InfoGard!E1078),15))</f>
        <v>0</v>
      </c>
      <c r="C1078" s="2" t="b">
        <f>IF(ISBLANK(InfoGard!F1078),FALSE,LOOKUP(InfoGard!F1078,Lookup!$A$6:$B$7))</f>
        <v>0</v>
      </c>
      <c r="D1078" s="2" t="b">
        <f>IF(ISBLANK(InfoGard!G1078),FALSE,InfoGard!G1078)</f>
        <v>0</v>
      </c>
      <c r="E1078" s="2" t="str">
        <f>IF(NOT(ISBLANK(InfoGard!D1078)),IF(OR(ISBLANK(InfoGard!E1078),InfoGard!E1078="N/A"),"no acb code",CONCATENATE(Lookup!F$1,A1078,Lookup!G$1,B1078,Lookup!H$1,H$1,Lookup!I$1)),"no attestation")</f>
        <v>no attestation</v>
      </c>
      <c r="F1078" s="2" t="str">
        <f>IF(AND(NOT(ISBLANK(InfoGard!G1078)),InfoGard!G1078&lt;&gt;"N/A"),IF(C1078="All",CONCATENATE(Lookup!F$2,D1078,Lookup!G$2,B1078,Lookup!H$2,H$1,Lookup!I$2),CONCATENATE(Lookup!F$3,D1078,Lookup!G$3,B1078,Lookup!H$3)),"no url")</f>
        <v>no url</v>
      </c>
    </row>
    <row r="1079" spans="1:6" hidden="1" x14ac:dyDescent="0.25">
      <c r="A1079" s="2" t="b">
        <f>IF(ISBLANK(InfoGard!D1079),FALSE,LOOKUP(InfoGard!D1079,Lookup!$A$2:$B$4))</f>
        <v>0</v>
      </c>
      <c r="B1079" s="2" t="b">
        <f>IF(ISBLANK(InfoGard!E1079),FALSE,RIGHT(TRIM(InfoGard!E1079),15))</f>
        <v>0</v>
      </c>
      <c r="C1079" s="2" t="b">
        <f>IF(ISBLANK(InfoGard!F1079),FALSE,LOOKUP(InfoGard!F1079,Lookup!$A$6:$B$7))</f>
        <v>0</v>
      </c>
      <c r="D1079" s="2" t="b">
        <f>IF(ISBLANK(InfoGard!G1079),FALSE,InfoGard!G1079)</f>
        <v>0</v>
      </c>
      <c r="E1079" s="2" t="str">
        <f>IF(NOT(ISBLANK(InfoGard!D1079)),IF(OR(ISBLANK(InfoGard!E1079),InfoGard!E1079="N/A"),"no acb code",CONCATENATE(Lookup!F$1,A1079,Lookup!G$1,B1079,Lookup!H$1,H$1,Lookup!I$1)),"no attestation")</f>
        <v>no attestation</v>
      </c>
      <c r="F1079" s="2" t="str">
        <f>IF(AND(NOT(ISBLANK(InfoGard!G1079)),InfoGard!G1079&lt;&gt;"N/A"),IF(C1079="All",CONCATENATE(Lookup!F$2,D1079,Lookup!G$2,B1079,Lookup!H$2,H$1,Lookup!I$2),CONCATENATE(Lookup!F$3,D1079,Lookup!G$3,B1079,Lookup!H$3)),"no url")</f>
        <v>no url</v>
      </c>
    </row>
    <row r="1080" spans="1:6" hidden="1" x14ac:dyDescent="0.25">
      <c r="A1080" s="2" t="b">
        <f>IF(ISBLANK(InfoGard!D1080),FALSE,LOOKUP(InfoGard!D1080,Lookup!$A$2:$B$4))</f>
        <v>0</v>
      </c>
      <c r="B1080" s="2" t="b">
        <f>IF(ISBLANK(InfoGard!E1080),FALSE,RIGHT(TRIM(InfoGard!E1080),15))</f>
        <v>0</v>
      </c>
      <c r="C1080" s="2" t="b">
        <f>IF(ISBLANK(InfoGard!F1080),FALSE,LOOKUP(InfoGard!F1080,Lookup!$A$6:$B$7))</f>
        <v>0</v>
      </c>
      <c r="D1080" s="2" t="b">
        <f>IF(ISBLANK(InfoGard!G1080),FALSE,InfoGard!G1080)</f>
        <v>0</v>
      </c>
      <c r="E1080" s="2" t="str">
        <f>IF(NOT(ISBLANK(InfoGard!D1080)),IF(OR(ISBLANK(InfoGard!E1080),InfoGard!E1080="N/A"),"no acb code",CONCATENATE(Lookup!F$1,A1080,Lookup!G$1,B1080,Lookup!H$1,H$1,Lookup!I$1)),"no attestation")</f>
        <v>no attestation</v>
      </c>
      <c r="F1080" s="2" t="str">
        <f>IF(AND(NOT(ISBLANK(InfoGard!G1080)),InfoGard!G1080&lt;&gt;"N/A"),IF(C1080="All",CONCATENATE(Lookup!F$2,D1080,Lookup!G$2,B1080,Lookup!H$2,H$1,Lookup!I$2),CONCATENATE(Lookup!F$3,D1080,Lookup!G$3,B1080,Lookup!H$3)),"no url")</f>
        <v>no url</v>
      </c>
    </row>
    <row r="1081" spans="1:6" hidden="1" x14ac:dyDescent="0.25">
      <c r="A1081" s="2" t="b">
        <f>IF(ISBLANK(InfoGard!D1081),FALSE,LOOKUP(InfoGard!D1081,Lookup!$A$2:$B$4))</f>
        <v>0</v>
      </c>
      <c r="B1081" s="2" t="b">
        <f>IF(ISBLANK(InfoGard!E1081),FALSE,RIGHT(TRIM(InfoGard!E1081),15))</f>
        <v>0</v>
      </c>
      <c r="C1081" s="2" t="b">
        <f>IF(ISBLANK(InfoGard!F1081),FALSE,LOOKUP(InfoGard!F1081,Lookup!$A$6:$B$7))</f>
        <v>0</v>
      </c>
      <c r="D1081" s="2" t="b">
        <f>IF(ISBLANK(InfoGard!G1081),FALSE,InfoGard!G1081)</f>
        <v>0</v>
      </c>
      <c r="E1081" s="2" t="str">
        <f>IF(NOT(ISBLANK(InfoGard!D1081)),IF(OR(ISBLANK(InfoGard!E1081),InfoGard!E1081="N/A"),"no acb code",CONCATENATE(Lookup!F$1,A1081,Lookup!G$1,B1081,Lookup!H$1,H$1,Lookup!I$1)),"no attestation")</f>
        <v>no attestation</v>
      </c>
      <c r="F1081" s="2" t="str">
        <f>IF(AND(NOT(ISBLANK(InfoGard!G1081)),InfoGard!G1081&lt;&gt;"N/A"),IF(C1081="All",CONCATENATE(Lookup!F$2,D1081,Lookup!G$2,B1081,Lookup!H$2,H$1,Lookup!I$2),CONCATENATE(Lookup!F$3,D1081,Lookup!G$3,B1081,Lookup!H$3)),"no url")</f>
        <v>no url</v>
      </c>
    </row>
    <row r="1082" spans="1:6" hidden="1" x14ac:dyDescent="0.25">
      <c r="A1082" s="2" t="b">
        <f>IF(ISBLANK(InfoGard!D1082),FALSE,LOOKUP(InfoGard!D1082,Lookup!$A$2:$B$4))</f>
        <v>0</v>
      </c>
      <c r="B1082" s="2" t="b">
        <f>IF(ISBLANK(InfoGard!E1082),FALSE,RIGHT(TRIM(InfoGard!E1082),15))</f>
        <v>0</v>
      </c>
      <c r="C1082" s="2" t="b">
        <f>IF(ISBLANK(InfoGard!F1082),FALSE,LOOKUP(InfoGard!F1082,Lookup!$A$6:$B$7))</f>
        <v>0</v>
      </c>
      <c r="D1082" s="2" t="b">
        <f>IF(ISBLANK(InfoGard!G1082),FALSE,InfoGard!G1082)</f>
        <v>0</v>
      </c>
      <c r="E1082" s="2" t="str">
        <f>IF(NOT(ISBLANK(InfoGard!D1082)),IF(OR(ISBLANK(InfoGard!E1082),InfoGard!E1082="N/A"),"no acb code",CONCATENATE(Lookup!F$1,A1082,Lookup!G$1,B1082,Lookup!H$1,H$1,Lookup!I$1)),"no attestation")</f>
        <v>no attestation</v>
      </c>
      <c r="F1082" s="2" t="str">
        <f>IF(AND(NOT(ISBLANK(InfoGard!G1082)),InfoGard!G1082&lt;&gt;"N/A"),IF(C1082="All",CONCATENATE(Lookup!F$2,D1082,Lookup!G$2,B1082,Lookup!H$2,H$1,Lookup!I$2),CONCATENATE(Lookup!F$3,D1082,Lookup!G$3,B1082,Lookup!H$3)),"no url")</f>
        <v>no url</v>
      </c>
    </row>
    <row r="1083" spans="1:6" hidden="1" x14ac:dyDescent="0.25">
      <c r="A1083" s="2" t="b">
        <f>IF(ISBLANK(InfoGard!D1083),FALSE,LOOKUP(InfoGard!D1083,Lookup!$A$2:$B$4))</f>
        <v>0</v>
      </c>
      <c r="B1083" s="2" t="b">
        <f>IF(ISBLANK(InfoGard!E1083),FALSE,RIGHT(TRIM(InfoGard!E1083),15))</f>
        <v>0</v>
      </c>
      <c r="C1083" s="2" t="b">
        <f>IF(ISBLANK(InfoGard!F1083),FALSE,LOOKUP(InfoGard!F1083,Lookup!$A$6:$B$7))</f>
        <v>0</v>
      </c>
      <c r="D1083" s="2" t="b">
        <f>IF(ISBLANK(InfoGard!G1083),FALSE,InfoGard!G1083)</f>
        <v>0</v>
      </c>
      <c r="E1083" s="2" t="str">
        <f>IF(NOT(ISBLANK(InfoGard!D1083)),IF(OR(ISBLANK(InfoGard!E1083),InfoGard!E1083="N/A"),"no acb code",CONCATENATE(Lookup!F$1,A1083,Lookup!G$1,B1083,Lookup!H$1,H$1,Lookup!I$1)),"no attestation")</f>
        <v>no attestation</v>
      </c>
      <c r="F1083" s="2" t="str">
        <f>IF(AND(NOT(ISBLANK(InfoGard!G1083)),InfoGard!G1083&lt;&gt;"N/A"),IF(C1083="All",CONCATENATE(Lookup!F$2,D1083,Lookup!G$2,B1083,Lookup!H$2,H$1,Lookup!I$2),CONCATENATE(Lookup!F$3,D1083,Lookup!G$3,B1083,Lookup!H$3)),"no url")</f>
        <v>no url</v>
      </c>
    </row>
    <row r="1084" spans="1:6" hidden="1" x14ac:dyDescent="0.25">
      <c r="A1084" s="2" t="b">
        <f>IF(ISBLANK(InfoGard!D1084),FALSE,LOOKUP(InfoGard!D1084,Lookup!$A$2:$B$4))</f>
        <v>0</v>
      </c>
      <c r="B1084" s="2" t="b">
        <f>IF(ISBLANK(InfoGard!E1084),FALSE,RIGHT(TRIM(InfoGard!E1084),15))</f>
        <v>0</v>
      </c>
      <c r="C1084" s="2" t="b">
        <f>IF(ISBLANK(InfoGard!F1084),FALSE,LOOKUP(InfoGard!F1084,Lookup!$A$6:$B$7))</f>
        <v>0</v>
      </c>
      <c r="D1084" s="2" t="b">
        <f>IF(ISBLANK(InfoGard!G1084),FALSE,InfoGard!G1084)</f>
        <v>0</v>
      </c>
      <c r="E1084" s="2" t="str">
        <f>IF(NOT(ISBLANK(InfoGard!D1084)),IF(OR(ISBLANK(InfoGard!E1084),InfoGard!E1084="N/A"),"no acb code",CONCATENATE(Lookup!F$1,A1084,Lookup!G$1,B1084,Lookup!H$1,H$1,Lookup!I$1)),"no attestation")</f>
        <v>no attestation</v>
      </c>
      <c r="F1084" s="2" t="str">
        <f>IF(AND(NOT(ISBLANK(InfoGard!G1084)),InfoGard!G1084&lt;&gt;"N/A"),IF(C1084="All",CONCATENATE(Lookup!F$2,D1084,Lookup!G$2,B1084,Lookup!H$2,H$1,Lookup!I$2),CONCATENATE(Lookup!F$3,D1084,Lookup!G$3,B1084,Lookup!H$3)),"no url")</f>
        <v>no url</v>
      </c>
    </row>
    <row r="1085" spans="1:6" hidden="1" x14ac:dyDescent="0.25">
      <c r="A1085" s="2" t="b">
        <f>IF(ISBLANK(InfoGard!D1085),FALSE,LOOKUP(InfoGard!D1085,Lookup!$A$2:$B$4))</f>
        <v>0</v>
      </c>
      <c r="B1085" s="2" t="b">
        <f>IF(ISBLANK(InfoGard!E1085),FALSE,RIGHT(TRIM(InfoGard!E1085),15))</f>
        <v>0</v>
      </c>
      <c r="C1085" s="2" t="b">
        <f>IF(ISBLANK(InfoGard!F1085),FALSE,LOOKUP(InfoGard!F1085,Lookup!$A$6:$B$7))</f>
        <v>0</v>
      </c>
      <c r="D1085" s="2" t="b">
        <f>IF(ISBLANK(InfoGard!G1085),FALSE,InfoGard!G1085)</f>
        <v>0</v>
      </c>
      <c r="E1085" s="2" t="str">
        <f>IF(NOT(ISBLANK(InfoGard!D1085)),IF(OR(ISBLANK(InfoGard!E1085),InfoGard!E1085="N/A"),"no acb code",CONCATENATE(Lookup!F$1,A1085,Lookup!G$1,B1085,Lookup!H$1,H$1,Lookup!I$1)),"no attestation")</f>
        <v>no attestation</v>
      </c>
      <c r="F1085" s="2" t="str">
        <f>IF(AND(NOT(ISBLANK(InfoGard!G1085)),InfoGard!G1085&lt;&gt;"N/A"),IF(C1085="All",CONCATENATE(Lookup!F$2,D1085,Lookup!G$2,B1085,Lookup!H$2,H$1,Lookup!I$2),CONCATENATE(Lookup!F$3,D1085,Lookup!G$3,B1085,Lookup!H$3)),"no url")</f>
        <v>no url</v>
      </c>
    </row>
    <row r="1086" spans="1:6" hidden="1" x14ac:dyDescent="0.25">
      <c r="A1086" s="2" t="b">
        <f>IF(ISBLANK(InfoGard!D1086),FALSE,LOOKUP(InfoGard!D1086,Lookup!$A$2:$B$4))</f>
        <v>0</v>
      </c>
      <c r="B1086" s="2" t="b">
        <f>IF(ISBLANK(InfoGard!E1086),FALSE,RIGHT(TRIM(InfoGard!E1086),15))</f>
        <v>0</v>
      </c>
      <c r="C1086" s="2" t="b">
        <f>IF(ISBLANK(InfoGard!F1086),FALSE,LOOKUP(InfoGard!F1086,Lookup!$A$6:$B$7))</f>
        <v>0</v>
      </c>
      <c r="D1086" s="2" t="b">
        <f>IF(ISBLANK(InfoGard!G1086),FALSE,InfoGard!G1086)</f>
        <v>0</v>
      </c>
      <c r="E1086" s="2" t="str">
        <f>IF(NOT(ISBLANK(InfoGard!D1086)),IF(OR(ISBLANK(InfoGard!E1086),InfoGard!E1086="N/A"),"no acb code",CONCATENATE(Lookup!F$1,A1086,Lookup!G$1,B1086,Lookup!H$1,H$1,Lookup!I$1)),"no attestation")</f>
        <v>no attestation</v>
      </c>
      <c r="F1086" s="2" t="str">
        <f>IF(AND(NOT(ISBLANK(InfoGard!G1086)),InfoGard!G1086&lt;&gt;"N/A"),IF(C1086="All",CONCATENATE(Lookup!F$2,D1086,Lookup!G$2,B1086,Lookup!H$2,H$1,Lookup!I$2),CONCATENATE(Lookup!F$3,D1086,Lookup!G$3,B1086,Lookup!H$3)),"no url")</f>
        <v>no url</v>
      </c>
    </row>
    <row r="1087" spans="1:6" hidden="1" x14ac:dyDescent="0.25">
      <c r="A1087" s="2" t="b">
        <f>IF(ISBLANK(InfoGard!D1087),FALSE,LOOKUP(InfoGard!D1087,Lookup!$A$2:$B$4))</f>
        <v>0</v>
      </c>
      <c r="B1087" s="2" t="b">
        <f>IF(ISBLANK(InfoGard!E1087),FALSE,RIGHT(TRIM(InfoGard!E1087),15))</f>
        <v>0</v>
      </c>
      <c r="C1087" s="2" t="b">
        <f>IF(ISBLANK(InfoGard!F1087),FALSE,LOOKUP(InfoGard!F1087,Lookup!$A$6:$B$7))</f>
        <v>0</v>
      </c>
      <c r="D1087" s="2" t="b">
        <f>IF(ISBLANK(InfoGard!G1087),FALSE,InfoGard!G1087)</f>
        <v>0</v>
      </c>
      <c r="E1087" s="2" t="str">
        <f>IF(NOT(ISBLANK(InfoGard!D1087)),IF(OR(ISBLANK(InfoGard!E1087),InfoGard!E1087="N/A"),"no acb code",CONCATENATE(Lookup!F$1,A1087,Lookup!G$1,B1087,Lookup!H$1,H$1,Lookup!I$1)),"no attestation")</f>
        <v>no attestation</v>
      </c>
      <c r="F1087" s="2" t="str">
        <f>IF(AND(NOT(ISBLANK(InfoGard!G1087)),InfoGard!G1087&lt;&gt;"N/A"),IF(C1087="All",CONCATENATE(Lookup!F$2,D1087,Lookup!G$2,B1087,Lookup!H$2,H$1,Lookup!I$2),CONCATENATE(Lookup!F$3,D1087,Lookup!G$3,B1087,Lookup!H$3)),"no url")</f>
        <v>no url</v>
      </c>
    </row>
    <row r="1088" spans="1:6" hidden="1" x14ac:dyDescent="0.25">
      <c r="A1088" s="2" t="b">
        <f>IF(ISBLANK(InfoGard!D1088),FALSE,LOOKUP(InfoGard!D1088,Lookup!$A$2:$B$4))</f>
        <v>0</v>
      </c>
      <c r="B1088" s="2" t="b">
        <f>IF(ISBLANK(InfoGard!E1088),FALSE,RIGHT(TRIM(InfoGard!E1088),15))</f>
        <v>0</v>
      </c>
      <c r="C1088" s="2" t="b">
        <f>IF(ISBLANK(InfoGard!F1088),FALSE,LOOKUP(InfoGard!F1088,Lookup!$A$6:$B$7))</f>
        <v>0</v>
      </c>
      <c r="D1088" s="2" t="b">
        <f>IF(ISBLANK(InfoGard!G1088),FALSE,InfoGard!G1088)</f>
        <v>0</v>
      </c>
      <c r="E1088" s="2" t="str">
        <f>IF(NOT(ISBLANK(InfoGard!D1088)),IF(OR(ISBLANK(InfoGard!E1088),InfoGard!E1088="N/A"),"no acb code",CONCATENATE(Lookup!F$1,A1088,Lookup!G$1,B1088,Lookup!H$1,H$1,Lookup!I$1)),"no attestation")</f>
        <v>no attestation</v>
      </c>
      <c r="F1088" s="2" t="str">
        <f>IF(AND(NOT(ISBLANK(InfoGard!G1088)),InfoGard!G1088&lt;&gt;"N/A"),IF(C1088="All",CONCATENATE(Lookup!F$2,D1088,Lookup!G$2,B1088,Lookup!H$2,H$1,Lookup!I$2),CONCATENATE(Lookup!F$3,D1088,Lookup!G$3,B1088,Lookup!H$3)),"no url")</f>
        <v>no url</v>
      </c>
    </row>
    <row r="1089" spans="1:6" hidden="1" x14ac:dyDescent="0.25">
      <c r="A1089" s="2" t="b">
        <f>IF(ISBLANK(InfoGard!D1089),FALSE,LOOKUP(InfoGard!D1089,Lookup!$A$2:$B$4))</f>
        <v>0</v>
      </c>
      <c r="B1089" s="2" t="b">
        <f>IF(ISBLANK(InfoGard!E1089),FALSE,RIGHT(TRIM(InfoGard!E1089),15))</f>
        <v>0</v>
      </c>
      <c r="C1089" s="2" t="b">
        <f>IF(ISBLANK(InfoGard!F1089),FALSE,LOOKUP(InfoGard!F1089,Lookup!$A$6:$B$7))</f>
        <v>0</v>
      </c>
      <c r="D1089" s="2" t="b">
        <f>IF(ISBLANK(InfoGard!G1089),FALSE,InfoGard!G1089)</f>
        <v>0</v>
      </c>
      <c r="E1089" s="2" t="str">
        <f>IF(NOT(ISBLANK(InfoGard!D1089)),IF(OR(ISBLANK(InfoGard!E1089),InfoGard!E1089="N/A"),"no acb code",CONCATENATE(Lookup!F$1,A1089,Lookup!G$1,B1089,Lookup!H$1,H$1,Lookup!I$1)),"no attestation")</f>
        <v>no attestation</v>
      </c>
      <c r="F1089" s="2" t="str">
        <f>IF(AND(NOT(ISBLANK(InfoGard!G1089)),InfoGard!G1089&lt;&gt;"N/A"),IF(C1089="All",CONCATENATE(Lookup!F$2,D1089,Lookup!G$2,B1089,Lookup!H$2,H$1,Lookup!I$2),CONCATENATE(Lookup!F$3,D1089,Lookup!G$3,B1089,Lookup!H$3)),"no url")</f>
        <v>no url</v>
      </c>
    </row>
    <row r="1090" spans="1:6" hidden="1" x14ac:dyDescent="0.25">
      <c r="A1090" s="2" t="b">
        <f>IF(ISBLANK(InfoGard!D1090),FALSE,LOOKUP(InfoGard!D1090,Lookup!$A$2:$B$4))</f>
        <v>0</v>
      </c>
      <c r="B1090" s="2" t="b">
        <f>IF(ISBLANK(InfoGard!E1090),FALSE,RIGHT(TRIM(InfoGard!E1090),15))</f>
        <v>0</v>
      </c>
      <c r="C1090" s="2" t="b">
        <f>IF(ISBLANK(InfoGard!F1090),FALSE,LOOKUP(InfoGard!F1090,Lookup!$A$6:$B$7))</f>
        <v>0</v>
      </c>
      <c r="D1090" s="2" t="b">
        <f>IF(ISBLANK(InfoGard!G1090),FALSE,InfoGard!G1090)</f>
        <v>0</v>
      </c>
      <c r="E1090" s="2" t="str">
        <f>IF(NOT(ISBLANK(InfoGard!D1090)),IF(OR(ISBLANK(InfoGard!E1090),InfoGard!E1090="N/A"),"no acb code",CONCATENATE(Lookup!F$1,A1090,Lookup!G$1,B1090,Lookup!H$1,H$1,Lookup!I$1)),"no attestation")</f>
        <v>no attestation</v>
      </c>
      <c r="F1090" s="2" t="str">
        <f>IF(AND(NOT(ISBLANK(InfoGard!G1090)),InfoGard!G1090&lt;&gt;"N/A"),IF(C1090="All",CONCATENATE(Lookup!F$2,D1090,Lookup!G$2,B1090,Lookup!H$2,H$1,Lookup!I$2),CONCATENATE(Lookup!F$3,D1090,Lookup!G$3,B1090,Lookup!H$3)),"no url")</f>
        <v>no url</v>
      </c>
    </row>
    <row r="1091" spans="1:6" hidden="1" x14ac:dyDescent="0.25">
      <c r="A1091" s="2" t="b">
        <f>IF(ISBLANK(InfoGard!D1091),FALSE,LOOKUP(InfoGard!D1091,Lookup!$A$2:$B$4))</f>
        <v>0</v>
      </c>
      <c r="B1091" s="2" t="b">
        <f>IF(ISBLANK(InfoGard!E1091),FALSE,RIGHT(TRIM(InfoGard!E1091),15))</f>
        <v>0</v>
      </c>
      <c r="C1091" s="2" t="b">
        <f>IF(ISBLANK(InfoGard!F1091),FALSE,LOOKUP(InfoGard!F1091,Lookup!$A$6:$B$7))</f>
        <v>0</v>
      </c>
      <c r="D1091" s="2" t="b">
        <f>IF(ISBLANK(InfoGard!G1091),FALSE,InfoGard!G1091)</f>
        <v>0</v>
      </c>
      <c r="E1091" s="2" t="str">
        <f>IF(NOT(ISBLANK(InfoGard!D1091)),IF(OR(ISBLANK(InfoGard!E1091),InfoGard!E1091="N/A"),"no acb code",CONCATENATE(Lookup!F$1,A1091,Lookup!G$1,B1091,Lookup!H$1,H$1,Lookup!I$1)),"no attestation")</f>
        <v>no attestation</v>
      </c>
      <c r="F1091" s="2" t="str">
        <f>IF(AND(NOT(ISBLANK(InfoGard!G1091)),InfoGard!G1091&lt;&gt;"N/A"),IF(C1091="All",CONCATENATE(Lookup!F$2,D1091,Lookup!G$2,B1091,Lookup!H$2,H$1,Lookup!I$2),CONCATENATE(Lookup!F$3,D1091,Lookup!G$3,B1091,Lookup!H$3)),"no url")</f>
        <v>no url</v>
      </c>
    </row>
    <row r="1092" spans="1:6" hidden="1" x14ac:dyDescent="0.25">
      <c r="A1092" s="2" t="b">
        <f>IF(ISBLANK(InfoGard!D1092),FALSE,LOOKUP(InfoGard!D1092,Lookup!$A$2:$B$4))</f>
        <v>0</v>
      </c>
      <c r="B1092" s="2" t="b">
        <f>IF(ISBLANK(InfoGard!E1092),FALSE,RIGHT(TRIM(InfoGard!E1092),15))</f>
        <v>0</v>
      </c>
      <c r="C1092" s="2" t="b">
        <f>IF(ISBLANK(InfoGard!F1092),FALSE,LOOKUP(InfoGard!F1092,Lookup!$A$6:$B$7))</f>
        <v>0</v>
      </c>
      <c r="D1092" s="2" t="b">
        <f>IF(ISBLANK(InfoGard!G1092),FALSE,InfoGard!G1092)</f>
        <v>0</v>
      </c>
      <c r="E1092" s="2" t="str">
        <f>IF(NOT(ISBLANK(InfoGard!D1092)),IF(OR(ISBLANK(InfoGard!E1092),InfoGard!E1092="N/A"),"no acb code",CONCATENATE(Lookup!F$1,A1092,Lookup!G$1,B1092,Lookup!H$1,H$1,Lookup!I$1)),"no attestation")</f>
        <v>no attestation</v>
      </c>
      <c r="F1092" s="2" t="str">
        <f>IF(AND(NOT(ISBLANK(InfoGard!G1092)),InfoGard!G1092&lt;&gt;"N/A"),IF(C1092="All",CONCATENATE(Lookup!F$2,D1092,Lookup!G$2,B1092,Lookup!H$2,H$1,Lookup!I$2),CONCATENATE(Lookup!F$3,D1092,Lookup!G$3,B1092,Lookup!H$3)),"no url")</f>
        <v>no url</v>
      </c>
    </row>
    <row r="1093" spans="1:6" hidden="1" x14ac:dyDescent="0.25">
      <c r="A1093" s="2" t="b">
        <f>IF(ISBLANK(InfoGard!D1093),FALSE,LOOKUP(InfoGard!D1093,Lookup!$A$2:$B$4))</f>
        <v>0</v>
      </c>
      <c r="B1093" s="2" t="b">
        <f>IF(ISBLANK(InfoGard!E1093),FALSE,RIGHT(TRIM(InfoGard!E1093),15))</f>
        <v>0</v>
      </c>
      <c r="C1093" s="2" t="b">
        <f>IF(ISBLANK(InfoGard!F1093),FALSE,LOOKUP(InfoGard!F1093,Lookup!$A$6:$B$7))</f>
        <v>0</v>
      </c>
      <c r="D1093" s="2" t="b">
        <f>IF(ISBLANK(InfoGard!G1093),FALSE,InfoGard!G1093)</f>
        <v>0</v>
      </c>
      <c r="E1093" s="2" t="str">
        <f>IF(NOT(ISBLANK(InfoGard!D1093)),IF(OR(ISBLANK(InfoGard!E1093),InfoGard!E1093="N/A"),"no acb code",CONCATENATE(Lookup!F$1,A1093,Lookup!G$1,B1093,Lookup!H$1,H$1,Lookup!I$1)),"no attestation")</f>
        <v>no attestation</v>
      </c>
      <c r="F1093" s="2" t="str">
        <f>IF(AND(NOT(ISBLANK(InfoGard!G1093)),InfoGard!G1093&lt;&gt;"N/A"),IF(C1093="All",CONCATENATE(Lookup!F$2,D1093,Lookup!G$2,B1093,Lookup!H$2,H$1,Lookup!I$2),CONCATENATE(Lookup!F$3,D1093,Lookup!G$3,B1093,Lookup!H$3)),"no url")</f>
        <v>no url</v>
      </c>
    </row>
    <row r="1094" spans="1:6" x14ac:dyDescent="0.25">
      <c r="A1094" s="2" t="str">
        <f>IF(ISBLANK(InfoGard!D1094),FALSE,LOOKUP(InfoGard!D1094,Lookup!$A$2:$B$4))</f>
        <v>Affirmative</v>
      </c>
      <c r="B1094" s="2" t="str">
        <f>IF(ISBLANK(InfoGard!E1094),FALSE,RIGHT(TRIM(InfoGard!E1094),15))</f>
        <v>IG-3149-14-0022</v>
      </c>
      <c r="C1094" s="2" t="str">
        <f>IF(ISBLANK(InfoGard!F1094),FALSE,LOOKUP(InfoGard!F1094,Lookup!$A$6:$B$7))</f>
        <v>All</v>
      </c>
      <c r="D1094" s="2" t="str">
        <f>IF(ISBLANK(InfoGard!G1094),FALSE,InfoGard!G1094)</f>
        <v>http://eyedocsolutions.com/EyeDoc-Certification-Statement.htm</v>
      </c>
      <c r="E1094" s="2" t="str">
        <f>IF(NOT(ISBLANK(InfoGard!D1094)),IF(OR(ISBLANK(InfoGard!E1094),InfoGard!E1094="N/A"),"no acb code",CONCATENATE(Lookup!F$1,A1094,Lookup!G$1,B1094,Lookup!H$1,H$1,Lookup!I$1)),"no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'IG-3149-14-0022' and cb."name" = 'InfoGard' and cp.product_version_id = pv.product_version_id and pv.product_id = p.product_id and p.vendor_id = vend.vendor_id;</v>
      </c>
      <c r="F1094" s="2" t="str">
        <f>IF(AND(NOT(ISBLANK(InfoGard!G1094)),InfoGard!G1094&lt;&gt;"N/A"),IF(C1094="All",CONCATENATE(Lookup!F$2,D1094,Lookup!G$2,B1094,Lookup!H$2,H$1,Lookup!I$2),CONCATENATE(Lookup!F$3,D1094,Lookup!G$3,B1094,Lookup!H$3)),"no url")</f>
        <v>update openchpl.certified_product as cp set transparency_attestation_url = 'http://eyedocsolutions.com/EyeDoc-Certification-Statement.htm' from (select certified_product_id from (select vend.vendor_code from openchpl.certified_product as cp, openchpl.product_version as pv, openchpl.product as p, openchpl.vendor as vend where cp.acb_certification_id = 'IG-3149-14-0022'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95" spans="1:6" hidden="1" x14ac:dyDescent="0.25">
      <c r="A1095" s="2" t="b">
        <f>IF(ISBLANK(InfoGard!D1095),FALSE,LOOKUP(InfoGard!D1095,Lookup!$A$2:$B$4))</f>
        <v>0</v>
      </c>
      <c r="B1095" s="2" t="b">
        <f>IF(ISBLANK(InfoGard!E1095),FALSE,RIGHT(TRIM(InfoGard!E1095),15))</f>
        <v>0</v>
      </c>
      <c r="C1095" s="2" t="b">
        <f>IF(ISBLANK(InfoGard!F1095),FALSE,LOOKUP(InfoGard!F1095,Lookup!$A$6:$B$7))</f>
        <v>0</v>
      </c>
      <c r="D1095" s="2" t="b">
        <f>IF(ISBLANK(InfoGard!G1095),FALSE,InfoGard!G1095)</f>
        <v>0</v>
      </c>
      <c r="E1095" s="2" t="str">
        <f>IF(NOT(ISBLANK(InfoGard!D1095)),IF(OR(ISBLANK(InfoGard!E1095),InfoGard!E1095="N/A"),"no acb code",CONCATENATE(Lookup!F$1,A1095,Lookup!G$1,B1095,Lookup!H$1,H$1,Lookup!I$1)),"no attestation")</f>
        <v>no attestation</v>
      </c>
      <c r="F1095" s="2" t="str">
        <f>IF(AND(NOT(ISBLANK(InfoGard!G1095)),InfoGard!G1095&lt;&gt;"N/A"),IF(C1095="All",CONCATENATE(Lookup!F$2,D1095,Lookup!G$2,B1095,Lookup!H$2,H$1,Lookup!I$2),CONCATENATE(Lookup!F$3,D1095,Lookup!G$3,B1095,Lookup!H$3)),"no url")</f>
        <v>no url</v>
      </c>
    </row>
    <row r="1096" spans="1:6" hidden="1" x14ac:dyDescent="0.25">
      <c r="A1096" s="2" t="b">
        <f>IF(ISBLANK(InfoGard!D1096),FALSE,LOOKUP(InfoGard!D1096,Lookup!$A$2:$B$4))</f>
        <v>0</v>
      </c>
      <c r="B1096" s="2" t="b">
        <f>IF(ISBLANK(InfoGard!E1096),FALSE,RIGHT(TRIM(InfoGard!E1096),15))</f>
        <v>0</v>
      </c>
      <c r="C1096" s="2" t="b">
        <f>IF(ISBLANK(InfoGard!F1096),FALSE,LOOKUP(InfoGard!F1096,Lookup!$A$6:$B$7))</f>
        <v>0</v>
      </c>
      <c r="D1096" s="2" t="b">
        <f>IF(ISBLANK(InfoGard!G1096),FALSE,InfoGard!G1096)</f>
        <v>0</v>
      </c>
      <c r="E1096" s="2" t="str">
        <f>IF(NOT(ISBLANK(InfoGard!D1096)),IF(OR(ISBLANK(InfoGard!E1096),InfoGard!E1096="N/A"),"no acb code",CONCATENATE(Lookup!F$1,A1096,Lookup!G$1,B1096,Lookup!H$1,H$1,Lookup!I$1)),"no attestation")</f>
        <v>no attestation</v>
      </c>
      <c r="F1096" s="2" t="str">
        <f>IF(AND(NOT(ISBLANK(InfoGard!G1096)),InfoGard!G1096&lt;&gt;"N/A"),IF(C1096="All",CONCATENATE(Lookup!F$2,D1096,Lookup!G$2,B1096,Lookup!H$2,H$1,Lookup!I$2),CONCATENATE(Lookup!F$3,D1096,Lookup!G$3,B1096,Lookup!H$3)),"no url")</f>
        <v>no url</v>
      </c>
    </row>
    <row r="1097" spans="1:6" hidden="1" x14ac:dyDescent="0.25">
      <c r="A1097" s="2" t="b">
        <f>IF(ISBLANK(InfoGard!D1097),FALSE,LOOKUP(InfoGard!D1097,Lookup!$A$2:$B$4))</f>
        <v>0</v>
      </c>
      <c r="B1097" s="2" t="b">
        <f>IF(ISBLANK(InfoGard!E1097),FALSE,RIGHT(TRIM(InfoGard!E1097),15))</f>
        <v>0</v>
      </c>
      <c r="C1097" s="2" t="b">
        <f>IF(ISBLANK(InfoGard!F1097),FALSE,LOOKUP(InfoGard!F1097,Lookup!$A$6:$B$7))</f>
        <v>0</v>
      </c>
      <c r="D1097" s="2" t="b">
        <f>IF(ISBLANK(InfoGard!G1097),FALSE,InfoGard!G1097)</f>
        <v>0</v>
      </c>
      <c r="E1097" s="2" t="str">
        <f>IF(NOT(ISBLANK(InfoGard!D1097)),IF(OR(ISBLANK(InfoGard!E1097),InfoGard!E1097="N/A"),"no acb code",CONCATENATE(Lookup!F$1,A1097,Lookup!G$1,B1097,Lookup!H$1,H$1,Lookup!I$1)),"no attestation")</f>
        <v>no attestation</v>
      </c>
      <c r="F1097" s="2" t="str">
        <f>IF(AND(NOT(ISBLANK(InfoGard!G1097)),InfoGard!G1097&lt;&gt;"N/A"),IF(C1097="All",CONCATENATE(Lookup!F$2,D1097,Lookup!G$2,B1097,Lookup!H$2,H$1,Lookup!I$2),CONCATENATE(Lookup!F$3,D1097,Lookup!G$3,B1097,Lookup!H$3)),"no url")</f>
        <v>no url</v>
      </c>
    </row>
    <row r="1098" spans="1:6" hidden="1" x14ac:dyDescent="0.25">
      <c r="A1098" s="2" t="b">
        <f>IF(ISBLANK(InfoGard!D1098),FALSE,LOOKUP(InfoGard!D1098,Lookup!$A$2:$B$4))</f>
        <v>0</v>
      </c>
      <c r="B1098" s="2" t="b">
        <f>IF(ISBLANK(InfoGard!E1098),FALSE,RIGHT(TRIM(InfoGard!E1098),15))</f>
        <v>0</v>
      </c>
      <c r="C1098" s="2" t="b">
        <f>IF(ISBLANK(InfoGard!F1098),FALSE,LOOKUP(InfoGard!F1098,Lookup!$A$6:$B$7))</f>
        <v>0</v>
      </c>
      <c r="D1098" s="2" t="b">
        <f>IF(ISBLANK(InfoGard!G1098),FALSE,InfoGard!G1098)</f>
        <v>0</v>
      </c>
      <c r="E1098" s="2" t="str">
        <f>IF(NOT(ISBLANK(InfoGard!D1098)),IF(OR(ISBLANK(InfoGard!E1098),InfoGard!E1098="N/A"),"no acb code",CONCATENATE(Lookup!F$1,A1098,Lookup!G$1,B1098,Lookup!H$1,H$1,Lookup!I$1)),"no attestation")</f>
        <v>no attestation</v>
      </c>
      <c r="F1098" s="2" t="str">
        <f>IF(AND(NOT(ISBLANK(InfoGard!G1098)),InfoGard!G1098&lt;&gt;"N/A"),IF(C1098="All",CONCATENATE(Lookup!F$2,D1098,Lookup!G$2,B1098,Lookup!H$2,H$1,Lookup!I$2),CONCATENATE(Lookup!F$3,D1098,Lookup!G$3,B1098,Lookup!H$3)),"no url")</f>
        <v>no url</v>
      </c>
    </row>
    <row r="1099" spans="1:6" hidden="1" x14ac:dyDescent="0.25">
      <c r="A1099" s="2" t="b">
        <f>IF(ISBLANK(InfoGard!D1099),FALSE,LOOKUP(InfoGard!D1099,Lookup!$A$2:$B$4))</f>
        <v>0</v>
      </c>
      <c r="B1099" s="2" t="b">
        <f>IF(ISBLANK(InfoGard!E1099),FALSE,RIGHT(TRIM(InfoGard!E1099),15))</f>
        <v>0</v>
      </c>
      <c r="C1099" s="2" t="b">
        <f>IF(ISBLANK(InfoGard!F1099),FALSE,LOOKUP(InfoGard!F1099,Lookup!$A$6:$B$7))</f>
        <v>0</v>
      </c>
      <c r="D1099" s="2" t="b">
        <f>IF(ISBLANK(InfoGard!G1099),FALSE,InfoGard!G1099)</f>
        <v>0</v>
      </c>
      <c r="E1099" s="2" t="str">
        <f>IF(NOT(ISBLANK(InfoGard!D1099)),IF(OR(ISBLANK(InfoGard!E1099),InfoGard!E1099="N/A"),"no acb code",CONCATENATE(Lookup!F$1,A1099,Lookup!G$1,B1099,Lookup!H$1,H$1,Lookup!I$1)),"no attestation")</f>
        <v>no attestation</v>
      </c>
      <c r="F1099" s="2" t="str">
        <f>IF(AND(NOT(ISBLANK(InfoGard!G1099)),InfoGard!G1099&lt;&gt;"N/A"),IF(C1099="All",CONCATENATE(Lookup!F$2,D1099,Lookup!G$2,B1099,Lookup!H$2,H$1,Lookup!I$2),CONCATENATE(Lookup!F$3,D1099,Lookup!G$3,B1099,Lookup!H$3)),"no url")</f>
        <v>no url</v>
      </c>
    </row>
    <row r="1100" spans="1:6" hidden="1" x14ac:dyDescent="0.25">
      <c r="A1100" s="2" t="b">
        <f>IF(ISBLANK(InfoGard!D1100),FALSE,LOOKUP(InfoGard!D1100,Lookup!$A$2:$B$4))</f>
        <v>0</v>
      </c>
      <c r="B1100" s="2" t="b">
        <f>IF(ISBLANK(InfoGard!E1100),FALSE,RIGHT(TRIM(InfoGard!E1100),15))</f>
        <v>0</v>
      </c>
      <c r="C1100" s="2" t="b">
        <f>IF(ISBLANK(InfoGard!F1100),FALSE,LOOKUP(InfoGard!F1100,Lookup!$A$6:$B$7))</f>
        <v>0</v>
      </c>
      <c r="D1100" s="2" t="b">
        <f>IF(ISBLANK(InfoGard!G1100),FALSE,InfoGard!G1100)</f>
        <v>0</v>
      </c>
      <c r="E1100" s="2" t="str">
        <f>IF(NOT(ISBLANK(InfoGard!D1100)),IF(OR(ISBLANK(InfoGard!E1100),InfoGard!E1100="N/A"),"no acb code",CONCATENATE(Lookup!F$1,A1100,Lookup!G$1,B1100,Lookup!H$1,H$1,Lookup!I$1)),"no attestation")</f>
        <v>no attestation</v>
      </c>
      <c r="F1100" s="2" t="str">
        <f>IF(AND(NOT(ISBLANK(InfoGard!G1100)),InfoGard!G1100&lt;&gt;"N/A"),IF(C1100="All",CONCATENATE(Lookup!F$2,D1100,Lookup!G$2,B1100,Lookup!H$2,H$1,Lookup!I$2),CONCATENATE(Lookup!F$3,D1100,Lookup!G$3,B1100,Lookup!H$3)),"no url")</f>
        <v>no url</v>
      </c>
    </row>
    <row r="1101" spans="1:6" hidden="1" x14ac:dyDescent="0.25">
      <c r="A1101" s="2" t="b">
        <f>IF(ISBLANK(InfoGard!D1101),FALSE,LOOKUP(InfoGard!D1101,Lookup!$A$2:$B$4))</f>
        <v>0</v>
      </c>
      <c r="B1101" s="2" t="b">
        <f>IF(ISBLANK(InfoGard!E1101),FALSE,RIGHT(TRIM(InfoGard!E1101),15))</f>
        <v>0</v>
      </c>
      <c r="C1101" s="2" t="b">
        <f>IF(ISBLANK(InfoGard!F1101),FALSE,LOOKUP(InfoGard!F1101,Lookup!$A$6:$B$7))</f>
        <v>0</v>
      </c>
      <c r="D1101" s="2" t="b">
        <f>IF(ISBLANK(InfoGard!G1101),FALSE,InfoGard!G1101)</f>
        <v>0</v>
      </c>
      <c r="E1101" s="2" t="str">
        <f>IF(NOT(ISBLANK(InfoGard!D1101)),IF(OR(ISBLANK(InfoGard!E1101),InfoGard!E1101="N/A"),"no acb code",CONCATENATE(Lookup!F$1,A1101,Lookup!G$1,B1101,Lookup!H$1,H$1,Lookup!I$1)),"no attestation")</f>
        <v>no attestation</v>
      </c>
      <c r="F1101" s="2" t="str">
        <f>IF(AND(NOT(ISBLANK(InfoGard!G1101)),InfoGard!G1101&lt;&gt;"N/A"),IF(C1101="All",CONCATENATE(Lookup!F$2,D1101,Lookup!G$2,B1101,Lookup!H$2,H$1,Lookup!I$2),CONCATENATE(Lookup!F$3,D1101,Lookup!G$3,B1101,Lookup!H$3)),"no url")</f>
        <v>no url</v>
      </c>
    </row>
    <row r="1102" spans="1:6" hidden="1" x14ac:dyDescent="0.25">
      <c r="A1102" s="2" t="b">
        <f>IF(ISBLANK(InfoGard!D1102),FALSE,LOOKUP(InfoGard!D1102,Lookup!$A$2:$B$4))</f>
        <v>0</v>
      </c>
      <c r="B1102" s="2" t="b">
        <f>IF(ISBLANK(InfoGard!E1102),FALSE,RIGHT(TRIM(InfoGard!E1102),15))</f>
        <v>0</v>
      </c>
      <c r="C1102" s="2" t="b">
        <f>IF(ISBLANK(InfoGard!F1102),FALSE,LOOKUP(InfoGard!F1102,Lookup!$A$6:$B$7))</f>
        <v>0</v>
      </c>
      <c r="D1102" s="2" t="b">
        <f>IF(ISBLANK(InfoGard!G1102),FALSE,InfoGard!G1102)</f>
        <v>0</v>
      </c>
      <c r="E1102" s="2" t="str">
        <f>IF(NOT(ISBLANK(InfoGard!D1102)),IF(OR(ISBLANK(InfoGard!E1102),InfoGard!E1102="N/A"),"no acb code",CONCATENATE(Lookup!F$1,A1102,Lookup!G$1,B1102,Lookup!H$1,H$1,Lookup!I$1)),"no attestation")</f>
        <v>no attestation</v>
      </c>
      <c r="F1102" s="2" t="str">
        <f>IF(AND(NOT(ISBLANK(InfoGard!G1102)),InfoGard!G1102&lt;&gt;"N/A"),IF(C1102="All",CONCATENATE(Lookup!F$2,D1102,Lookup!G$2,B1102,Lookup!H$2,H$1,Lookup!I$2),CONCATENATE(Lookup!F$3,D1102,Lookup!G$3,B1102,Lookup!H$3)),"no url")</f>
        <v>no url</v>
      </c>
    </row>
    <row r="1103" spans="1:6" hidden="1" x14ac:dyDescent="0.25">
      <c r="A1103" s="2" t="b">
        <f>IF(ISBLANK(InfoGard!D1103),FALSE,LOOKUP(InfoGard!D1103,Lookup!$A$2:$B$4))</f>
        <v>0</v>
      </c>
      <c r="B1103" s="2" t="b">
        <f>IF(ISBLANK(InfoGard!E1103),FALSE,RIGHT(TRIM(InfoGard!E1103),15))</f>
        <v>0</v>
      </c>
      <c r="C1103" s="2" t="b">
        <f>IF(ISBLANK(InfoGard!F1103),FALSE,LOOKUP(InfoGard!F1103,Lookup!$A$6:$B$7))</f>
        <v>0</v>
      </c>
      <c r="D1103" s="2" t="b">
        <f>IF(ISBLANK(InfoGard!G1103),FALSE,InfoGard!G1103)</f>
        <v>0</v>
      </c>
      <c r="E1103" s="2" t="str">
        <f>IF(NOT(ISBLANK(InfoGard!D1103)),IF(OR(ISBLANK(InfoGard!E1103),InfoGard!E1103="N/A"),"no acb code",CONCATENATE(Lookup!F$1,A1103,Lookup!G$1,B1103,Lookup!H$1,H$1,Lookup!I$1)),"no attestation")</f>
        <v>no attestation</v>
      </c>
      <c r="F1103" s="2" t="str">
        <f>IF(AND(NOT(ISBLANK(InfoGard!G1103)),InfoGard!G1103&lt;&gt;"N/A"),IF(C1103="All",CONCATENATE(Lookup!F$2,D1103,Lookup!G$2,B1103,Lookup!H$2,H$1,Lookup!I$2),CONCATENATE(Lookup!F$3,D1103,Lookup!G$3,B1103,Lookup!H$3)),"no url")</f>
        <v>no url</v>
      </c>
    </row>
    <row r="1104" spans="1:6" hidden="1" x14ac:dyDescent="0.25">
      <c r="A1104" s="2" t="b">
        <f>IF(ISBLANK(InfoGard!D1104),FALSE,LOOKUP(InfoGard!D1104,Lookup!$A$2:$B$4))</f>
        <v>0</v>
      </c>
      <c r="B1104" s="2" t="b">
        <f>IF(ISBLANK(InfoGard!E1104),FALSE,RIGHT(TRIM(InfoGard!E1104),15))</f>
        <v>0</v>
      </c>
      <c r="C1104" s="2" t="b">
        <f>IF(ISBLANK(InfoGard!F1104),FALSE,LOOKUP(InfoGard!F1104,Lookup!$A$6:$B$7))</f>
        <v>0</v>
      </c>
      <c r="D1104" s="2" t="b">
        <f>IF(ISBLANK(InfoGard!G1104),FALSE,InfoGard!G1104)</f>
        <v>0</v>
      </c>
      <c r="E1104" s="2" t="str">
        <f>IF(NOT(ISBLANK(InfoGard!D1104)),IF(OR(ISBLANK(InfoGard!E1104),InfoGard!E1104="N/A"),"no acb code",CONCATENATE(Lookup!F$1,A1104,Lookup!G$1,B1104,Lookup!H$1,H$1,Lookup!I$1)),"no attestation")</f>
        <v>no attestation</v>
      </c>
      <c r="F1104" s="2" t="str">
        <f>IF(AND(NOT(ISBLANK(InfoGard!G1104)),InfoGard!G1104&lt;&gt;"N/A"),IF(C1104="All",CONCATENATE(Lookup!F$2,D1104,Lookup!G$2,B1104,Lookup!H$2,H$1,Lookup!I$2),CONCATENATE(Lookup!F$3,D1104,Lookup!G$3,B1104,Lookup!H$3)),"no url")</f>
        <v>no url</v>
      </c>
    </row>
    <row r="1105" spans="1:6" hidden="1" x14ac:dyDescent="0.25">
      <c r="A1105" s="2" t="b">
        <f>IF(ISBLANK(InfoGard!D1105),FALSE,LOOKUP(InfoGard!D1105,Lookup!$A$2:$B$4))</f>
        <v>0</v>
      </c>
      <c r="B1105" s="2" t="b">
        <f>IF(ISBLANK(InfoGard!E1105),FALSE,RIGHT(TRIM(InfoGard!E1105),15))</f>
        <v>0</v>
      </c>
      <c r="C1105" s="2" t="b">
        <f>IF(ISBLANK(InfoGard!F1105),FALSE,LOOKUP(InfoGard!F1105,Lookup!$A$6:$B$7))</f>
        <v>0</v>
      </c>
      <c r="D1105" s="2" t="b">
        <f>IF(ISBLANK(InfoGard!G1105),FALSE,InfoGard!G1105)</f>
        <v>0</v>
      </c>
      <c r="E1105" s="2" t="str">
        <f>IF(NOT(ISBLANK(InfoGard!D1105)),IF(OR(ISBLANK(InfoGard!E1105),InfoGard!E1105="N/A"),"no acb code",CONCATENATE(Lookup!F$1,A1105,Lookup!G$1,B1105,Lookup!H$1,H$1,Lookup!I$1)),"no attestation")</f>
        <v>no attestation</v>
      </c>
      <c r="F1105" s="2" t="str">
        <f>IF(AND(NOT(ISBLANK(InfoGard!G1105)),InfoGard!G1105&lt;&gt;"N/A"),IF(C1105="All",CONCATENATE(Lookup!F$2,D1105,Lookup!G$2,B1105,Lookup!H$2,H$1,Lookup!I$2),CONCATENATE(Lookup!F$3,D1105,Lookup!G$3,B1105,Lookup!H$3)),"no url")</f>
        <v>no url</v>
      </c>
    </row>
    <row r="1106" spans="1:6" hidden="1" x14ac:dyDescent="0.25">
      <c r="A1106" s="2" t="b">
        <f>IF(ISBLANK(InfoGard!D1106),FALSE,LOOKUP(InfoGard!D1106,Lookup!$A$2:$B$4))</f>
        <v>0</v>
      </c>
      <c r="B1106" s="2" t="b">
        <f>IF(ISBLANK(InfoGard!E1106),FALSE,RIGHT(TRIM(InfoGard!E1106),15))</f>
        <v>0</v>
      </c>
      <c r="C1106" s="2" t="b">
        <f>IF(ISBLANK(InfoGard!F1106),FALSE,LOOKUP(InfoGard!F1106,Lookup!$A$6:$B$7))</f>
        <v>0</v>
      </c>
      <c r="D1106" s="2" t="b">
        <f>IF(ISBLANK(InfoGard!G1106),FALSE,InfoGard!G1106)</f>
        <v>0</v>
      </c>
      <c r="E1106" s="2" t="str">
        <f>IF(NOT(ISBLANK(InfoGard!D1106)),IF(OR(ISBLANK(InfoGard!E1106),InfoGard!E1106="N/A"),"no acb code",CONCATENATE(Lookup!F$1,A1106,Lookup!G$1,B1106,Lookup!H$1,H$1,Lookup!I$1)),"no attestation")</f>
        <v>no attestation</v>
      </c>
      <c r="F1106" s="2" t="str">
        <f>IF(AND(NOT(ISBLANK(InfoGard!G1106)),InfoGard!G1106&lt;&gt;"N/A"),IF(C1106="All",CONCATENATE(Lookup!F$2,D1106,Lookup!G$2,B1106,Lookup!H$2,H$1,Lookup!I$2),CONCATENATE(Lookup!F$3,D1106,Lookup!G$3,B1106,Lookup!H$3)),"no url")</f>
        <v>no url</v>
      </c>
    </row>
    <row r="1107" spans="1:6" hidden="1" x14ac:dyDescent="0.25">
      <c r="A1107" s="2" t="b">
        <f>IF(ISBLANK(InfoGard!D1107),FALSE,LOOKUP(InfoGard!D1107,Lookup!$A$2:$B$4))</f>
        <v>0</v>
      </c>
      <c r="B1107" s="2" t="b">
        <f>IF(ISBLANK(InfoGard!E1107),FALSE,RIGHT(TRIM(InfoGard!E1107),15))</f>
        <v>0</v>
      </c>
      <c r="C1107" s="2" t="b">
        <f>IF(ISBLANK(InfoGard!F1107),FALSE,LOOKUP(InfoGard!F1107,Lookup!$A$6:$B$7))</f>
        <v>0</v>
      </c>
      <c r="D1107" s="2" t="b">
        <f>IF(ISBLANK(InfoGard!G1107),FALSE,InfoGard!G1107)</f>
        <v>0</v>
      </c>
      <c r="E1107" s="2" t="str">
        <f>IF(NOT(ISBLANK(InfoGard!D1107)),IF(OR(ISBLANK(InfoGard!E1107),InfoGard!E1107="N/A"),"no acb code",CONCATENATE(Lookup!F$1,A1107,Lookup!G$1,B1107,Lookup!H$1,H$1,Lookup!I$1)),"no attestation")</f>
        <v>no attestation</v>
      </c>
      <c r="F1107" s="2" t="str">
        <f>IF(AND(NOT(ISBLANK(InfoGard!G1107)),InfoGard!G1107&lt;&gt;"N/A"),IF(C1107="All",CONCATENATE(Lookup!F$2,D1107,Lookup!G$2,B1107,Lookup!H$2,H$1,Lookup!I$2),CONCATENATE(Lookup!F$3,D1107,Lookup!G$3,B1107,Lookup!H$3)),"no url")</f>
        <v>no url</v>
      </c>
    </row>
    <row r="1108" spans="1:6" hidden="1" x14ac:dyDescent="0.25">
      <c r="A1108" s="2" t="b">
        <f>IF(ISBLANK(InfoGard!D1108),FALSE,LOOKUP(InfoGard!D1108,Lookup!$A$2:$B$4))</f>
        <v>0</v>
      </c>
      <c r="B1108" s="2" t="b">
        <f>IF(ISBLANK(InfoGard!E1108),FALSE,RIGHT(TRIM(InfoGard!E1108),15))</f>
        <v>0</v>
      </c>
      <c r="C1108" s="2" t="b">
        <f>IF(ISBLANK(InfoGard!F1108),FALSE,LOOKUP(InfoGard!F1108,Lookup!$A$6:$B$7))</f>
        <v>0</v>
      </c>
      <c r="D1108" s="2" t="b">
        <f>IF(ISBLANK(InfoGard!G1108),FALSE,InfoGard!G1108)</f>
        <v>0</v>
      </c>
      <c r="E1108" s="2" t="str">
        <f>IF(NOT(ISBLANK(InfoGard!D1108)),IF(OR(ISBLANK(InfoGard!E1108),InfoGard!E1108="N/A"),"no acb code",CONCATENATE(Lookup!F$1,A1108,Lookup!G$1,B1108,Lookup!H$1,H$1,Lookup!I$1)),"no attestation")</f>
        <v>no attestation</v>
      </c>
      <c r="F1108" s="2" t="str">
        <f>IF(AND(NOT(ISBLANK(InfoGard!G1108)),InfoGard!G1108&lt;&gt;"N/A"),IF(C1108="All",CONCATENATE(Lookup!F$2,D1108,Lookup!G$2,B1108,Lookup!H$2,H$1,Lookup!I$2),CONCATENATE(Lookup!F$3,D1108,Lookup!G$3,B1108,Lookup!H$3)),"no url")</f>
        <v>no url</v>
      </c>
    </row>
    <row r="1109" spans="1:6" hidden="1" x14ac:dyDescent="0.25">
      <c r="A1109" s="2" t="b">
        <f>IF(ISBLANK(InfoGard!D1109),FALSE,LOOKUP(InfoGard!D1109,Lookup!$A$2:$B$4))</f>
        <v>0</v>
      </c>
      <c r="B1109" s="2" t="b">
        <f>IF(ISBLANK(InfoGard!E1109),FALSE,RIGHT(TRIM(InfoGard!E1109),15))</f>
        <v>0</v>
      </c>
      <c r="C1109" s="2" t="b">
        <f>IF(ISBLANK(InfoGard!F1109),FALSE,LOOKUP(InfoGard!F1109,Lookup!$A$6:$B$7))</f>
        <v>0</v>
      </c>
      <c r="D1109" s="2" t="b">
        <f>IF(ISBLANK(InfoGard!G1109),FALSE,InfoGard!G1109)</f>
        <v>0</v>
      </c>
      <c r="E1109" s="2" t="str">
        <f>IF(NOT(ISBLANK(InfoGard!D1109)),IF(OR(ISBLANK(InfoGard!E1109),InfoGard!E1109="N/A"),"no acb code",CONCATENATE(Lookup!F$1,A1109,Lookup!G$1,B1109,Lookup!H$1,H$1,Lookup!I$1)),"no attestation")</f>
        <v>no attestation</v>
      </c>
      <c r="F1109" s="2" t="str">
        <f>IF(AND(NOT(ISBLANK(InfoGard!G1109)),InfoGard!G1109&lt;&gt;"N/A"),IF(C1109="All",CONCATENATE(Lookup!F$2,D1109,Lookup!G$2,B1109,Lookup!H$2,H$1,Lookup!I$2),CONCATENATE(Lookup!F$3,D1109,Lookup!G$3,B1109,Lookup!H$3)),"no url")</f>
        <v>no url</v>
      </c>
    </row>
    <row r="1110" spans="1:6" hidden="1" x14ac:dyDescent="0.25">
      <c r="A1110" s="2" t="b">
        <f>IF(ISBLANK(InfoGard!D1110),FALSE,LOOKUP(InfoGard!D1110,Lookup!$A$2:$B$4))</f>
        <v>0</v>
      </c>
      <c r="B1110" s="2" t="b">
        <f>IF(ISBLANK(InfoGard!E1110),FALSE,RIGHT(TRIM(InfoGard!E1110),15))</f>
        <v>0</v>
      </c>
      <c r="C1110" s="2" t="b">
        <f>IF(ISBLANK(InfoGard!F1110),FALSE,LOOKUP(InfoGard!F1110,Lookup!$A$6:$B$7))</f>
        <v>0</v>
      </c>
      <c r="D1110" s="2" t="b">
        <f>IF(ISBLANK(InfoGard!G1110),FALSE,InfoGard!G1110)</f>
        <v>0</v>
      </c>
      <c r="E1110" s="2" t="str">
        <f>IF(NOT(ISBLANK(InfoGard!D1110)),IF(OR(ISBLANK(InfoGard!E1110),InfoGard!E1110="N/A"),"no acb code",CONCATENATE(Lookup!F$1,A1110,Lookup!G$1,B1110,Lookup!H$1,H$1,Lookup!I$1)),"no attestation")</f>
        <v>no attestation</v>
      </c>
      <c r="F1110" s="2" t="str">
        <f>IF(AND(NOT(ISBLANK(InfoGard!G1110)),InfoGard!G1110&lt;&gt;"N/A"),IF(C1110="All",CONCATENATE(Lookup!F$2,D1110,Lookup!G$2,B1110,Lookup!H$2,H$1,Lookup!I$2),CONCATENATE(Lookup!F$3,D1110,Lookup!G$3,B1110,Lookup!H$3)),"no url")</f>
        <v>no url</v>
      </c>
    </row>
    <row r="1111" spans="1:6" x14ac:dyDescent="0.25">
      <c r="A1111" s="2" t="str">
        <f>IF(ISBLANK(InfoGard!D1111),FALSE,LOOKUP(InfoGard!D1111,Lookup!$A$2:$B$4))</f>
        <v>Affirmative</v>
      </c>
      <c r="B1111" s="2" t="str">
        <f>IF(ISBLANK(InfoGard!E1111),FALSE,RIGHT(TRIM(InfoGard!E1111),15))</f>
        <v>IG-3307-15-0006</v>
      </c>
      <c r="C1111" s="2" t="str">
        <f>IF(ISBLANK(InfoGard!F1111),FALSE,LOOKUP(InfoGard!F1111,Lookup!$A$6:$B$7))</f>
        <v>All</v>
      </c>
      <c r="D1111" s="2" t="str">
        <f>IF(ISBLANK(InfoGard!G1111),FALSE,InfoGard!G1111)</f>
        <v>www.nativehealthconnection.com</v>
      </c>
      <c r="E1111" s="2" t="str">
        <f>IF(NOT(ISBLANK(InfoGard!D1111)),IF(OR(ISBLANK(InfoGard!E1111),InfoGard!E1111="N/A"),"no acb code",CONCATENATE(Lookup!F$1,A1111,Lookup!G$1,B1111,Lookup!H$1,H$1,Lookup!I$1)),"no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'IG-3307-15-0006' and cb."name" = 'InfoGard' and cp.product_version_id = pv.product_version_id and pv.product_id = p.product_id and p.vendor_id = vend.vendor_id;</v>
      </c>
      <c r="F1111" s="2" t="str">
        <f>IF(AND(NOT(ISBLANK(InfoGard!G1111)),InfoGard!G1111&lt;&gt;"N/A"),IF(C1111="All",CONCATENATE(Lookup!F$2,D1111,Lookup!G$2,B1111,Lookup!H$2,H$1,Lookup!I$2),CONCATENATE(Lookup!F$3,D1111,Lookup!G$3,B1111,Lookup!H$3)),"no url")</f>
        <v>update openchpl.certified_product as cp set transparency_attestation_url = 'www.nativehealthconnection.com' from (select certified_product_id from (select vend.vendor_code from openchpl.certified_product as cp, openchpl.product_version as pv, openchpl.product as p, openchpl.vendor as vend where cp.acb_certification_id = 'IG-3307-15-0006'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12" spans="1:6" hidden="1" x14ac:dyDescent="0.25">
      <c r="A1112" s="2" t="b">
        <f>IF(ISBLANK(InfoGard!D1112),FALSE,LOOKUP(InfoGard!D1112,Lookup!$A$2:$B$4))</f>
        <v>0</v>
      </c>
      <c r="B1112" s="2" t="b">
        <f>IF(ISBLANK(InfoGard!E1112),FALSE,RIGHT(TRIM(InfoGard!E1112),15))</f>
        <v>0</v>
      </c>
      <c r="C1112" s="2" t="b">
        <f>IF(ISBLANK(InfoGard!F1112),FALSE,LOOKUP(InfoGard!F1112,Lookup!$A$6:$B$7))</f>
        <v>0</v>
      </c>
      <c r="D1112" s="2" t="b">
        <f>IF(ISBLANK(InfoGard!G1112),FALSE,InfoGard!G1112)</f>
        <v>0</v>
      </c>
      <c r="E1112" s="2" t="str">
        <f>IF(NOT(ISBLANK(InfoGard!D1112)),IF(OR(ISBLANK(InfoGard!E1112),InfoGard!E1112="N/A"),"no acb code",CONCATENATE(Lookup!F$1,A1112,Lookup!G$1,B1112,Lookup!H$1,H$1,Lookup!I$1)),"no attestation")</f>
        <v>no attestation</v>
      </c>
      <c r="F1112" s="2" t="str">
        <f>IF(AND(NOT(ISBLANK(InfoGard!G1112)),InfoGard!G1112&lt;&gt;"N/A"),IF(C1112="All",CONCATENATE(Lookup!F$2,D1112,Lookup!G$2,B1112,Lookup!H$2,H$1,Lookup!I$2),CONCATENATE(Lookup!F$3,D1112,Lookup!G$3,B1112,Lookup!H$3)),"no url")</f>
        <v>no url</v>
      </c>
    </row>
    <row r="1113" spans="1:6" hidden="1" x14ac:dyDescent="0.25">
      <c r="A1113" s="2" t="b">
        <f>IF(ISBLANK(InfoGard!D1113),FALSE,LOOKUP(InfoGard!D1113,Lookup!$A$2:$B$4))</f>
        <v>0</v>
      </c>
      <c r="B1113" s="2" t="b">
        <f>IF(ISBLANK(InfoGard!E1113),FALSE,RIGHT(TRIM(InfoGard!E1113),15))</f>
        <v>0</v>
      </c>
      <c r="C1113" s="2" t="b">
        <f>IF(ISBLANK(InfoGard!F1113),FALSE,LOOKUP(InfoGard!F1113,Lookup!$A$6:$B$7))</f>
        <v>0</v>
      </c>
      <c r="D1113" s="2" t="b">
        <f>IF(ISBLANK(InfoGard!G1113),FALSE,InfoGard!G1113)</f>
        <v>0</v>
      </c>
      <c r="E1113" s="2" t="str">
        <f>IF(NOT(ISBLANK(InfoGard!D1113)),IF(OR(ISBLANK(InfoGard!E1113),InfoGard!E1113="N/A"),"no acb code",CONCATENATE(Lookup!F$1,A1113,Lookup!G$1,B1113,Lookup!H$1,H$1,Lookup!I$1)),"no attestation")</f>
        <v>no attestation</v>
      </c>
      <c r="F1113" s="2" t="str">
        <f>IF(AND(NOT(ISBLANK(InfoGard!G1113)),InfoGard!G1113&lt;&gt;"N/A"),IF(C1113="All",CONCATENATE(Lookup!F$2,D1113,Lookup!G$2,B1113,Lookup!H$2,H$1,Lookup!I$2),CONCATENATE(Lookup!F$3,D1113,Lookup!G$3,B1113,Lookup!H$3)),"no url")</f>
        <v>no url</v>
      </c>
    </row>
    <row r="1114" spans="1:6" hidden="1" x14ac:dyDescent="0.25">
      <c r="A1114" s="2" t="b">
        <f>IF(ISBLANK(InfoGard!D1114),FALSE,LOOKUP(InfoGard!D1114,Lookup!$A$2:$B$4))</f>
        <v>0</v>
      </c>
      <c r="B1114" s="2" t="b">
        <f>IF(ISBLANK(InfoGard!E1114),FALSE,RIGHT(TRIM(InfoGard!E1114),15))</f>
        <v>0</v>
      </c>
      <c r="C1114" s="2" t="b">
        <f>IF(ISBLANK(InfoGard!F1114),FALSE,LOOKUP(InfoGard!F1114,Lookup!$A$6:$B$7))</f>
        <v>0</v>
      </c>
      <c r="D1114" s="2" t="b">
        <f>IF(ISBLANK(InfoGard!G1114),FALSE,InfoGard!G1114)</f>
        <v>0</v>
      </c>
      <c r="E1114" s="2" t="str">
        <f>IF(NOT(ISBLANK(InfoGard!D1114)),IF(OR(ISBLANK(InfoGard!E1114),InfoGard!E1114="N/A"),"no acb code",CONCATENATE(Lookup!F$1,A1114,Lookup!G$1,B1114,Lookup!H$1,H$1,Lookup!I$1)),"no attestation")</f>
        <v>no attestation</v>
      </c>
      <c r="F1114" s="2" t="str">
        <f>IF(AND(NOT(ISBLANK(InfoGard!G1114)),InfoGard!G1114&lt;&gt;"N/A"),IF(C1114="All",CONCATENATE(Lookup!F$2,D1114,Lookup!G$2,B1114,Lookup!H$2,H$1,Lookup!I$2),CONCATENATE(Lookup!F$3,D1114,Lookup!G$3,B1114,Lookup!H$3)),"no url")</f>
        <v>no url</v>
      </c>
    </row>
    <row r="1115" spans="1:6" hidden="1" x14ac:dyDescent="0.25">
      <c r="A1115" s="2" t="b">
        <f>IF(ISBLANK(InfoGard!D1115),FALSE,LOOKUP(InfoGard!D1115,Lookup!$A$2:$B$4))</f>
        <v>0</v>
      </c>
      <c r="B1115" s="2" t="b">
        <f>IF(ISBLANK(InfoGard!E1115),FALSE,RIGHT(TRIM(InfoGard!E1115),15))</f>
        <v>0</v>
      </c>
      <c r="C1115" s="2" t="b">
        <f>IF(ISBLANK(InfoGard!F1115),FALSE,LOOKUP(InfoGard!F1115,Lookup!$A$6:$B$7))</f>
        <v>0</v>
      </c>
      <c r="D1115" s="2" t="b">
        <f>IF(ISBLANK(InfoGard!G1115),FALSE,InfoGard!G1115)</f>
        <v>0</v>
      </c>
      <c r="E1115" s="2" t="str">
        <f>IF(NOT(ISBLANK(InfoGard!D1115)),IF(OR(ISBLANK(InfoGard!E1115),InfoGard!E1115="N/A"),"no acb code",CONCATENATE(Lookup!F$1,A1115,Lookup!G$1,B1115,Lookup!H$1,H$1,Lookup!I$1)),"no attestation")</f>
        <v>no attestation</v>
      </c>
      <c r="F1115" s="2" t="str">
        <f>IF(AND(NOT(ISBLANK(InfoGard!G1115)),InfoGard!G1115&lt;&gt;"N/A"),IF(C1115="All",CONCATENATE(Lookup!F$2,D1115,Lookup!G$2,B1115,Lookup!H$2,H$1,Lookup!I$2),CONCATENATE(Lookup!F$3,D1115,Lookup!G$3,B1115,Lookup!H$3)),"no url")</f>
        <v>no url</v>
      </c>
    </row>
    <row r="1116" spans="1:6" hidden="1" x14ac:dyDescent="0.25">
      <c r="A1116" s="2" t="b">
        <f>IF(ISBLANK(InfoGard!D1116),FALSE,LOOKUP(InfoGard!D1116,Lookup!$A$2:$B$4))</f>
        <v>0</v>
      </c>
      <c r="B1116" s="2" t="b">
        <f>IF(ISBLANK(InfoGard!E1116),FALSE,RIGHT(TRIM(InfoGard!E1116),15))</f>
        <v>0</v>
      </c>
      <c r="C1116" s="2" t="b">
        <f>IF(ISBLANK(InfoGard!F1116),FALSE,LOOKUP(InfoGard!F1116,Lookup!$A$6:$B$7))</f>
        <v>0</v>
      </c>
      <c r="D1116" s="2" t="b">
        <f>IF(ISBLANK(InfoGard!G1116),FALSE,InfoGard!G1116)</f>
        <v>0</v>
      </c>
      <c r="E1116" s="2" t="str">
        <f>IF(NOT(ISBLANK(InfoGard!D1116)),IF(OR(ISBLANK(InfoGard!E1116),InfoGard!E1116="N/A"),"no acb code",CONCATENATE(Lookup!F$1,A1116,Lookup!G$1,B1116,Lookup!H$1,H$1,Lookup!I$1)),"no attestation")</f>
        <v>no attestation</v>
      </c>
      <c r="F1116" s="2" t="str">
        <f>IF(AND(NOT(ISBLANK(InfoGard!G1116)),InfoGard!G1116&lt;&gt;"N/A"),IF(C1116="All",CONCATENATE(Lookup!F$2,D1116,Lookup!G$2,B1116,Lookup!H$2,H$1,Lookup!I$2),CONCATENATE(Lookup!F$3,D1116,Lookup!G$3,B1116,Lookup!H$3)),"no url")</f>
        <v>no url</v>
      </c>
    </row>
    <row r="1117" spans="1:6" hidden="1" x14ac:dyDescent="0.25">
      <c r="A1117" s="2" t="b">
        <f>IF(ISBLANK(InfoGard!D1117),FALSE,LOOKUP(InfoGard!D1117,Lookup!$A$2:$B$4))</f>
        <v>0</v>
      </c>
      <c r="B1117" s="2" t="b">
        <f>IF(ISBLANK(InfoGard!E1117),FALSE,RIGHT(TRIM(InfoGard!E1117),15))</f>
        <v>0</v>
      </c>
      <c r="C1117" s="2" t="b">
        <f>IF(ISBLANK(InfoGard!F1117),FALSE,LOOKUP(InfoGard!F1117,Lookup!$A$6:$B$7))</f>
        <v>0</v>
      </c>
      <c r="D1117" s="2" t="b">
        <f>IF(ISBLANK(InfoGard!G1117),FALSE,InfoGard!G1117)</f>
        <v>0</v>
      </c>
      <c r="E1117" s="2" t="str">
        <f>IF(NOT(ISBLANK(InfoGard!D1117)),IF(OR(ISBLANK(InfoGard!E1117),InfoGard!E1117="N/A"),"no acb code",CONCATENATE(Lookup!F$1,A1117,Lookup!G$1,B1117,Lookup!H$1,H$1,Lookup!I$1)),"no attestation")</f>
        <v>no attestation</v>
      </c>
      <c r="F1117" s="2" t="str">
        <f>IF(AND(NOT(ISBLANK(InfoGard!G1117)),InfoGard!G1117&lt;&gt;"N/A"),IF(C1117="All",CONCATENATE(Lookup!F$2,D1117,Lookup!G$2,B1117,Lookup!H$2,H$1,Lookup!I$2),CONCATENATE(Lookup!F$3,D1117,Lookup!G$3,B1117,Lookup!H$3)),"no url")</f>
        <v>no url</v>
      </c>
    </row>
    <row r="1118" spans="1:6" hidden="1" x14ac:dyDescent="0.25">
      <c r="A1118" s="2" t="b">
        <f>IF(ISBLANK(InfoGard!D1118),FALSE,LOOKUP(InfoGard!D1118,Lookup!$A$2:$B$4))</f>
        <v>0</v>
      </c>
      <c r="B1118" s="2" t="b">
        <f>IF(ISBLANK(InfoGard!E1118),FALSE,RIGHT(TRIM(InfoGard!E1118),15))</f>
        <v>0</v>
      </c>
      <c r="C1118" s="2" t="b">
        <f>IF(ISBLANK(InfoGard!F1118),FALSE,LOOKUP(InfoGard!F1118,Lookup!$A$6:$B$7))</f>
        <v>0</v>
      </c>
      <c r="D1118" s="2" t="b">
        <f>IF(ISBLANK(InfoGard!G1118),FALSE,InfoGard!G1118)</f>
        <v>0</v>
      </c>
      <c r="E1118" s="2" t="str">
        <f>IF(NOT(ISBLANK(InfoGard!D1118)),IF(OR(ISBLANK(InfoGard!E1118),InfoGard!E1118="N/A"),"no acb code",CONCATENATE(Lookup!F$1,A1118,Lookup!G$1,B1118,Lookup!H$1,H$1,Lookup!I$1)),"no attestation")</f>
        <v>no attestation</v>
      </c>
      <c r="F1118" s="2" t="str">
        <f>IF(AND(NOT(ISBLANK(InfoGard!G1118)),InfoGard!G1118&lt;&gt;"N/A"),IF(C1118="All",CONCATENATE(Lookup!F$2,D1118,Lookup!G$2,B1118,Lookup!H$2,H$1,Lookup!I$2),CONCATENATE(Lookup!F$3,D1118,Lookup!G$3,B1118,Lookup!H$3)),"no url")</f>
        <v>no url</v>
      </c>
    </row>
    <row r="1119" spans="1:6" x14ac:dyDescent="0.25">
      <c r="A1119" s="2" t="str">
        <f>IF(ISBLANK(InfoGard!D1119),FALSE,LOOKUP(InfoGard!D1119,Lookup!$A$2:$B$4))</f>
        <v>Affirmative</v>
      </c>
      <c r="B1119" s="2" t="str">
        <f>IF(ISBLANK(InfoGard!E1119),FALSE,RIGHT(TRIM(InfoGard!E1119),15))</f>
        <v>IG-3385-14-0082</v>
      </c>
      <c r="C1119" s="2" t="str">
        <f>IF(ISBLANK(InfoGard!F1119),FALSE,LOOKUP(InfoGard!F1119,Lookup!$A$6:$B$7))</f>
        <v>All</v>
      </c>
      <c r="D1119" s="2" t="str">
        <f>IF(ISBLANK(InfoGard!G1119),FALSE,InfoGard!G1119)</f>
        <v>http://www.pluralsoft.com/?page_id=1882</v>
      </c>
      <c r="E1119" s="2" t="str">
        <f>IF(NOT(ISBLANK(InfoGard!D1119)),IF(OR(ISBLANK(InfoGard!E1119),InfoGard!E1119="N/A"),"no acb code",CONCATENATE(Lookup!F$1,A1119,Lookup!G$1,B1119,Lookup!H$1,H$1,Lookup!I$1)),"no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'IG-3385-14-0082' and cb."name" = 'InfoGard' and cp.product_version_id = pv.product_version_id and pv.product_id = p.product_id and p.vendor_id = vend.vendor_id;</v>
      </c>
      <c r="F1119" s="2" t="str">
        <f>IF(AND(NOT(ISBLANK(InfoGard!G1119)),InfoGard!G1119&lt;&gt;"N/A"),IF(C1119="All",CONCATENATE(Lookup!F$2,D1119,Lookup!G$2,B1119,Lookup!H$2,H$1,Lookup!I$2),CONCATENATE(Lookup!F$3,D1119,Lookup!G$3,B1119,Lookup!H$3)),"no url")</f>
        <v>update openchpl.certified_product as cp set transparency_attestation_url = 'http://www.pluralsoft.com/?page_id=1882' from (select certified_product_id from (select vend.vendor_code from openchpl.certified_product as cp, openchpl.product_version as pv, openchpl.product as p, openchpl.vendor as vend where cp.acb_certification_id = 'IG-3385-14-0082'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20" spans="1:6" hidden="1" x14ac:dyDescent="0.25">
      <c r="A1120" s="2" t="b">
        <f>IF(ISBLANK(InfoGard!D1120),FALSE,LOOKUP(InfoGard!D1120,Lookup!$A$2:$B$4))</f>
        <v>0</v>
      </c>
      <c r="B1120" s="2" t="b">
        <f>IF(ISBLANK(InfoGard!E1120),FALSE,RIGHT(TRIM(InfoGard!E1120),15))</f>
        <v>0</v>
      </c>
      <c r="C1120" s="2" t="b">
        <f>IF(ISBLANK(InfoGard!F1120),FALSE,LOOKUP(InfoGard!F1120,Lookup!$A$6:$B$7))</f>
        <v>0</v>
      </c>
      <c r="D1120" s="2" t="b">
        <f>IF(ISBLANK(InfoGard!G1120),FALSE,InfoGard!G1120)</f>
        <v>0</v>
      </c>
      <c r="E1120" s="2" t="str">
        <f>IF(NOT(ISBLANK(InfoGard!D1120)),IF(OR(ISBLANK(InfoGard!E1120),InfoGard!E1120="N/A"),"no acb code",CONCATENATE(Lookup!F$1,A1120,Lookup!G$1,B1120,Lookup!H$1,H$1,Lookup!I$1)),"no attestation")</f>
        <v>no attestation</v>
      </c>
      <c r="F1120" s="2" t="str">
        <f>IF(AND(NOT(ISBLANK(InfoGard!G1120)),InfoGard!G1120&lt;&gt;"N/A"),IF(C1120="All",CONCATENATE(Lookup!F$2,D1120,Lookup!G$2,B1120,Lookup!H$2,H$1,Lookup!I$2),CONCATENATE(Lookup!F$3,D1120,Lookup!G$3,B1120,Lookup!H$3)),"no url")</f>
        <v>no url</v>
      </c>
    </row>
    <row r="1121" spans="1:6" hidden="1" x14ac:dyDescent="0.25">
      <c r="A1121" s="2" t="b">
        <f>IF(ISBLANK(InfoGard!D1121),FALSE,LOOKUP(InfoGard!D1121,Lookup!$A$2:$B$4))</f>
        <v>0</v>
      </c>
      <c r="B1121" s="2" t="b">
        <f>IF(ISBLANK(InfoGard!E1121),FALSE,RIGHT(TRIM(InfoGard!E1121),15))</f>
        <v>0</v>
      </c>
      <c r="C1121" s="2" t="b">
        <f>IF(ISBLANK(InfoGard!F1121),FALSE,LOOKUP(InfoGard!F1121,Lookup!$A$6:$B$7))</f>
        <v>0</v>
      </c>
      <c r="D1121" s="2" t="b">
        <f>IF(ISBLANK(InfoGard!G1121),FALSE,InfoGard!G1121)</f>
        <v>0</v>
      </c>
      <c r="E1121" s="2" t="str">
        <f>IF(NOT(ISBLANK(InfoGard!D1121)),IF(OR(ISBLANK(InfoGard!E1121),InfoGard!E1121="N/A"),"no acb code",CONCATENATE(Lookup!F$1,A1121,Lookup!G$1,B1121,Lookup!H$1,H$1,Lookup!I$1)),"no attestation")</f>
        <v>no attestation</v>
      </c>
      <c r="F1121" s="2" t="str">
        <f>IF(AND(NOT(ISBLANK(InfoGard!G1121)),InfoGard!G1121&lt;&gt;"N/A"),IF(C1121="All",CONCATENATE(Lookup!F$2,D1121,Lookup!G$2,B1121,Lookup!H$2,H$1,Lookup!I$2),CONCATENATE(Lookup!F$3,D1121,Lookup!G$3,B1121,Lookup!H$3)),"no url")</f>
        <v>no url</v>
      </c>
    </row>
    <row r="1122" spans="1:6" hidden="1" x14ac:dyDescent="0.25">
      <c r="A1122" s="2" t="b">
        <f>IF(ISBLANK(InfoGard!D1122),FALSE,LOOKUP(InfoGard!D1122,Lookup!$A$2:$B$4))</f>
        <v>0</v>
      </c>
      <c r="B1122" s="2" t="b">
        <f>IF(ISBLANK(InfoGard!E1122),FALSE,RIGHT(TRIM(InfoGard!E1122),15))</f>
        <v>0</v>
      </c>
      <c r="C1122" s="2" t="b">
        <f>IF(ISBLANK(InfoGard!F1122),FALSE,LOOKUP(InfoGard!F1122,Lookup!$A$6:$B$7))</f>
        <v>0</v>
      </c>
      <c r="D1122" s="2" t="b">
        <f>IF(ISBLANK(InfoGard!G1122),FALSE,InfoGard!G1122)</f>
        <v>0</v>
      </c>
      <c r="E1122" s="2" t="str">
        <f>IF(NOT(ISBLANK(InfoGard!D1122)),IF(OR(ISBLANK(InfoGard!E1122),InfoGard!E1122="N/A"),"no acb code",CONCATENATE(Lookup!F$1,A1122,Lookup!G$1,B1122,Lookup!H$1,H$1,Lookup!I$1)),"no attestation")</f>
        <v>no attestation</v>
      </c>
      <c r="F1122" s="2" t="str">
        <f>IF(AND(NOT(ISBLANK(InfoGard!G1122)),InfoGard!G1122&lt;&gt;"N/A"),IF(C1122="All",CONCATENATE(Lookup!F$2,D1122,Lookup!G$2,B1122,Lookup!H$2,H$1,Lookup!I$2),CONCATENATE(Lookup!F$3,D1122,Lookup!G$3,B1122,Lookup!H$3)),"no url")</f>
        <v>no url</v>
      </c>
    </row>
    <row r="1123" spans="1:6" hidden="1" x14ac:dyDescent="0.25">
      <c r="A1123" s="2" t="b">
        <f>IF(ISBLANK(InfoGard!D1123),FALSE,LOOKUP(InfoGard!D1123,Lookup!$A$2:$B$4))</f>
        <v>0</v>
      </c>
      <c r="B1123" s="2" t="b">
        <f>IF(ISBLANK(InfoGard!E1123),FALSE,RIGHT(TRIM(InfoGard!E1123),15))</f>
        <v>0</v>
      </c>
      <c r="C1123" s="2" t="b">
        <f>IF(ISBLANK(InfoGard!F1123),FALSE,LOOKUP(InfoGard!F1123,Lookup!$A$6:$B$7))</f>
        <v>0</v>
      </c>
      <c r="D1123" s="2" t="b">
        <f>IF(ISBLANK(InfoGard!G1123),FALSE,InfoGard!G1123)</f>
        <v>0</v>
      </c>
      <c r="E1123" s="2" t="str">
        <f>IF(NOT(ISBLANK(InfoGard!D1123)),IF(OR(ISBLANK(InfoGard!E1123),InfoGard!E1123="N/A"),"no acb code",CONCATENATE(Lookup!F$1,A1123,Lookup!G$1,B1123,Lookup!H$1,H$1,Lookup!I$1)),"no attestation")</f>
        <v>no attestation</v>
      </c>
      <c r="F1123" s="2" t="str">
        <f>IF(AND(NOT(ISBLANK(InfoGard!G1123)),InfoGard!G1123&lt;&gt;"N/A"),IF(C1123="All",CONCATENATE(Lookup!F$2,D1123,Lookup!G$2,B1123,Lookup!H$2,H$1,Lookup!I$2),CONCATENATE(Lookup!F$3,D1123,Lookup!G$3,B1123,Lookup!H$3)),"no url")</f>
        <v>no url</v>
      </c>
    </row>
    <row r="1124" spans="1:6" hidden="1" x14ac:dyDescent="0.25">
      <c r="A1124" s="2" t="b">
        <f>IF(ISBLANK(InfoGard!D1124),FALSE,LOOKUP(InfoGard!D1124,Lookup!$A$2:$B$4))</f>
        <v>0</v>
      </c>
      <c r="B1124" s="2" t="b">
        <f>IF(ISBLANK(InfoGard!E1124),FALSE,RIGHT(TRIM(InfoGard!E1124),15))</f>
        <v>0</v>
      </c>
      <c r="C1124" s="2" t="b">
        <f>IF(ISBLANK(InfoGard!F1124),FALSE,LOOKUP(InfoGard!F1124,Lookup!$A$6:$B$7))</f>
        <v>0</v>
      </c>
      <c r="D1124" s="2" t="b">
        <f>IF(ISBLANK(InfoGard!G1124),FALSE,InfoGard!G1124)</f>
        <v>0</v>
      </c>
      <c r="E1124" s="2" t="str">
        <f>IF(NOT(ISBLANK(InfoGard!D1124)),IF(OR(ISBLANK(InfoGard!E1124),InfoGard!E1124="N/A"),"no acb code",CONCATENATE(Lookup!F$1,A1124,Lookup!G$1,B1124,Lookup!H$1,H$1,Lookup!I$1)),"no attestation")</f>
        <v>no attestation</v>
      </c>
      <c r="F1124" s="2" t="str">
        <f>IF(AND(NOT(ISBLANK(InfoGard!G1124)),InfoGard!G1124&lt;&gt;"N/A"),IF(C1124="All",CONCATENATE(Lookup!F$2,D1124,Lookup!G$2,B1124,Lookup!H$2,H$1,Lookup!I$2),CONCATENATE(Lookup!F$3,D1124,Lookup!G$3,B1124,Lookup!H$3)),"no url")</f>
        <v>no url</v>
      </c>
    </row>
    <row r="1125" spans="1:6" hidden="1" x14ac:dyDescent="0.25">
      <c r="A1125" s="2" t="b">
        <f>IF(ISBLANK(InfoGard!D1125),FALSE,LOOKUP(InfoGard!D1125,Lookup!$A$2:$B$4))</f>
        <v>0</v>
      </c>
      <c r="B1125" s="2" t="b">
        <f>IF(ISBLANK(InfoGard!E1125),FALSE,RIGHT(TRIM(InfoGard!E1125),15))</f>
        <v>0</v>
      </c>
      <c r="C1125" s="2" t="b">
        <f>IF(ISBLANK(InfoGard!F1125),FALSE,LOOKUP(InfoGard!F1125,Lookup!$A$6:$B$7))</f>
        <v>0</v>
      </c>
      <c r="D1125" s="2" t="b">
        <f>IF(ISBLANK(InfoGard!G1125),FALSE,InfoGard!G1125)</f>
        <v>0</v>
      </c>
      <c r="E1125" s="2" t="str">
        <f>IF(NOT(ISBLANK(InfoGard!D1125)),IF(OR(ISBLANK(InfoGard!E1125),InfoGard!E1125="N/A"),"no acb code",CONCATENATE(Lookup!F$1,A1125,Lookup!G$1,B1125,Lookup!H$1,H$1,Lookup!I$1)),"no attestation")</f>
        <v>no attestation</v>
      </c>
      <c r="F1125" s="2" t="str">
        <f>IF(AND(NOT(ISBLANK(InfoGard!G1125)),InfoGard!G1125&lt;&gt;"N/A"),IF(C1125="All",CONCATENATE(Lookup!F$2,D1125,Lookup!G$2,B1125,Lookup!H$2,H$1,Lookup!I$2),CONCATENATE(Lookup!F$3,D1125,Lookup!G$3,B1125,Lookup!H$3)),"no url")</f>
        <v>no url</v>
      </c>
    </row>
    <row r="1126" spans="1:6" hidden="1" x14ac:dyDescent="0.25">
      <c r="A1126" s="2" t="b">
        <f>IF(ISBLANK(InfoGard!D1126),FALSE,LOOKUP(InfoGard!D1126,Lookup!$A$2:$B$4))</f>
        <v>0</v>
      </c>
      <c r="B1126" s="2" t="b">
        <f>IF(ISBLANK(InfoGard!E1126),FALSE,RIGHT(TRIM(InfoGard!E1126),15))</f>
        <v>0</v>
      </c>
      <c r="C1126" s="2" t="b">
        <f>IF(ISBLANK(InfoGard!F1126),FALSE,LOOKUP(InfoGard!F1126,Lookup!$A$6:$B$7))</f>
        <v>0</v>
      </c>
      <c r="D1126" s="2" t="b">
        <f>IF(ISBLANK(InfoGard!G1126),FALSE,InfoGard!G1126)</f>
        <v>0</v>
      </c>
      <c r="E1126" s="2" t="str">
        <f>IF(NOT(ISBLANK(InfoGard!D1126)),IF(OR(ISBLANK(InfoGard!E1126),InfoGard!E1126="N/A"),"no acb code",CONCATENATE(Lookup!F$1,A1126,Lookup!G$1,B1126,Lookup!H$1,H$1,Lookup!I$1)),"no attestation")</f>
        <v>no attestation</v>
      </c>
      <c r="F1126" s="2" t="str">
        <f>IF(AND(NOT(ISBLANK(InfoGard!G1126)),InfoGard!G1126&lt;&gt;"N/A"),IF(C1126="All",CONCATENATE(Lookup!F$2,D1126,Lookup!G$2,B1126,Lookup!H$2,H$1,Lookup!I$2),CONCATENATE(Lookup!F$3,D1126,Lookup!G$3,B1126,Lookup!H$3)),"no url")</f>
        <v>no url</v>
      </c>
    </row>
    <row r="1127" spans="1:6" hidden="1" x14ac:dyDescent="0.25">
      <c r="A1127" s="2" t="b">
        <f>IF(ISBLANK(InfoGard!D1127),FALSE,LOOKUP(InfoGard!D1127,Lookup!$A$2:$B$4))</f>
        <v>0</v>
      </c>
      <c r="B1127" s="2" t="b">
        <f>IF(ISBLANK(InfoGard!E1127),FALSE,RIGHT(TRIM(InfoGard!E1127),15))</f>
        <v>0</v>
      </c>
      <c r="C1127" s="2" t="b">
        <f>IF(ISBLANK(InfoGard!F1127),FALSE,LOOKUP(InfoGard!F1127,Lookup!$A$6:$B$7))</f>
        <v>0</v>
      </c>
      <c r="D1127" s="2" t="b">
        <f>IF(ISBLANK(InfoGard!G1127),FALSE,InfoGard!G1127)</f>
        <v>0</v>
      </c>
      <c r="E1127" s="2" t="str">
        <f>IF(NOT(ISBLANK(InfoGard!D1127)),IF(OR(ISBLANK(InfoGard!E1127),InfoGard!E1127="N/A"),"no acb code",CONCATENATE(Lookup!F$1,A1127,Lookup!G$1,B1127,Lookup!H$1,H$1,Lookup!I$1)),"no attestation")</f>
        <v>no attestation</v>
      </c>
      <c r="F1127" s="2" t="str">
        <f>IF(AND(NOT(ISBLANK(InfoGard!G1127)),InfoGard!G1127&lt;&gt;"N/A"),IF(C1127="All",CONCATENATE(Lookup!F$2,D1127,Lookup!G$2,B1127,Lookup!H$2,H$1,Lookup!I$2),CONCATENATE(Lookup!F$3,D1127,Lookup!G$3,B1127,Lookup!H$3)),"no url")</f>
        <v>no url</v>
      </c>
    </row>
    <row r="1128" spans="1:6" hidden="1" x14ac:dyDescent="0.25">
      <c r="A1128" s="2" t="b">
        <f>IF(ISBLANK(InfoGard!D1128),FALSE,LOOKUP(InfoGard!D1128,Lookup!$A$2:$B$4))</f>
        <v>0</v>
      </c>
      <c r="B1128" s="2" t="b">
        <f>IF(ISBLANK(InfoGard!E1128),FALSE,RIGHT(TRIM(InfoGard!E1128),15))</f>
        <v>0</v>
      </c>
      <c r="C1128" s="2" t="b">
        <f>IF(ISBLANK(InfoGard!F1128),FALSE,LOOKUP(InfoGard!F1128,Lookup!$A$6:$B$7))</f>
        <v>0</v>
      </c>
      <c r="D1128" s="2" t="b">
        <f>IF(ISBLANK(InfoGard!G1128),FALSE,InfoGard!G1128)</f>
        <v>0</v>
      </c>
      <c r="E1128" s="2" t="str">
        <f>IF(NOT(ISBLANK(InfoGard!D1128)),IF(OR(ISBLANK(InfoGard!E1128),InfoGard!E1128="N/A"),"no acb code",CONCATENATE(Lookup!F$1,A1128,Lookup!G$1,B1128,Lookup!H$1,H$1,Lookup!I$1)),"no attestation")</f>
        <v>no attestation</v>
      </c>
      <c r="F1128" s="2" t="str">
        <f>IF(AND(NOT(ISBLANK(InfoGard!G1128)),InfoGard!G1128&lt;&gt;"N/A"),IF(C1128="All",CONCATENATE(Lookup!F$2,D1128,Lookup!G$2,B1128,Lookup!H$2,H$1,Lookup!I$2),CONCATENATE(Lookup!F$3,D1128,Lookup!G$3,B1128,Lookup!H$3)),"no url")</f>
        <v>no url</v>
      </c>
    </row>
    <row r="1129" spans="1:6" hidden="1" x14ac:dyDescent="0.25">
      <c r="A1129" s="2" t="b">
        <f>IF(ISBLANK(InfoGard!D1129),FALSE,LOOKUP(InfoGard!D1129,Lookup!$A$2:$B$4))</f>
        <v>0</v>
      </c>
      <c r="B1129" s="2" t="b">
        <f>IF(ISBLANK(InfoGard!E1129),FALSE,RIGHT(TRIM(InfoGard!E1129),15))</f>
        <v>0</v>
      </c>
      <c r="C1129" s="2" t="b">
        <f>IF(ISBLANK(InfoGard!F1129),FALSE,LOOKUP(InfoGard!F1129,Lookup!$A$6:$B$7))</f>
        <v>0</v>
      </c>
      <c r="D1129" s="2" t="b">
        <f>IF(ISBLANK(InfoGard!G1129),FALSE,InfoGard!G1129)</f>
        <v>0</v>
      </c>
      <c r="E1129" s="2" t="str">
        <f>IF(NOT(ISBLANK(InfoGard!D1129)),IF(OR(ISBLANK(InfoGard!E1129),InfoGard!E1129="N/A"),"no acb code",CONCATENATE(Lookup!F$1,A1129,Lookup!G$1,B1129,Lookup!H$1,H$1,Lookup!I$1)),"no attestation")</f>
        <v>no attestation</v>
      </c>
      <c r="F1129" s="2" t="str">
        <f>IF(AND(NOT(ISBLANK(InfoGard!G1129)),InfoGard!G1129&lt;&gt;"N/A"),IF(C1129="All",CONCATENATE(Lookup!F$2,D1129,Lookup!G$2,B1129,Lookup!H$2,H$1,Lookup!I$2),CONCATENATE(Lookup!F$3,D1129,Lookup!G$3,B1129,Lookup!H$3)),"no url")</f>
        <v>no url</v>
      </c>
    </row>
    <row r="1130" spans="1:6" hidden="1" x14ac:dyDescent="0.25">
      <c r="A1130" s="2" t="b">
        <f>IF(ISBLANK(InfoGard!D1130),FALSE,LOOKUP(InfoGard!D1130,Lookup!$A$2:$B$4))</f>
        <v>0</v>
      </c>
      <c r="B1130" s="2" t="b">
        <f>IF(ISBLANK(InfoGard!E1130),FALSE,RIGHT(TRIM(InfoGard!E1130),15))</f>
        <v>0</v>
      </c>
      <c r="C1130" s="2" t="b">
        <f>IF(ISBLANK(InfoGard!F1130),FALSE,LOOKUP(InfoGard!F1130,Lookup!$A$6:$B$7))</f>
        <v>0</v>
      </c>
      <c r="D1130" s="2" t="b">
        <f>IF(ISBLANK(InfoGard!G1130),FALSE,InfoGard!G1130)</f>
        <v>0</v>
      </c>
      <c r="E1130" s="2" t="str">
        <f>IF(NOT(ISBLANK(InfoGard!D1130)),IF(OR(ISBLANK(InfoGard!E1130),InfoGard!E1130="N/A"),"no acb code",CONCATENATE(Lookup!F$1,A1130,Lookup!G$1,B1130,Lookup!H$1,H$1,Lookup!I$1)),"no attestation")</f>
        <v>no attestation</v>
      </c>
      <c r="F1130" s="2" t="str">
        <f>IF(AND(NOT(ISBLANK(InfoGard!G1130)),InfoGard!G1130&lt;&gt;"N/A"),IF(C1130="All",CONCATENATE(Lookup!F$2,D1130,Lookup!G$2,B1130,Lookup!H$2,H$1,Lookup!I$2),CONCATENATE(Lookup!F$3,D1130,Lookup!G$3,B1130,Lookup!H$3)),"no url")</f>
        <v>no url</v>
      </c>
    </row>
    <row r="1131" spans="1:6" hidden="1" x14ac:dyDescent="0.25">
      <c r="A1131" s="2" t="b">
        <f>IF(ISBLANK(InfoGard!D1131),FALSE,LOOKUP(InfoGard!D1131,Lookup!$A$2:$B$4))</f>
        <v>0</v>
      </c>
      <c r="B1131" s="2" t="b">
        <f>IF(ISBLANK(InfoGard!E1131),FALSE,RIGHT(TRIM(InfoGard!E1131),15))</f>
        <v>0</v>
      </c>
      <c r="C1131" s="2" t="b">
        <f>IF(ISBLANK(InfoGard!F1131),FALSE,LOOKUP(InfoGard!F1131,Lookup!$A$6:$B$7))</f>
        <v>0</v>
      </c>
      <c r="D1131" s="2" t="b">
        <f>IF(ISBLANK(InfoGard!G1131),FALSE,InfoGard!G1131)</f>
        <v>0</v>
      </c>
      <c r="E1131" s="2" t="str">
        <f>IF(NOT(ISBLANK(InfoGard!D1131)),IF(OR(ISBLANK(InfoGard!E1131),InfoGard!E1131="N/A"),"no acb code",CONCATENATE(Lookup!F$1,A1131,Lookup!G$1,B1131,Lookup!H$1,H$1,Lookup!I$1)),"no attestation")</f>
        <v>no attestation</v>
      </c>
      <c r="F1131" s="2" t="str">
        <f>IF(AND(NOT(ISBLANK(InfoGard!G1131)),InfoGard!G1131&lt;&gt;"N/A"),IF(C1131="All",CONCATENATE(Lookup!F$2,D1131,Lookup!G$2,B1131,Lookup!H$2,H$1,Lookup!I$2),CONCATENATE(Lookup!F$3,D1131,Lookup!G$3,B1131,Lookup!H$3)),"no url")</f>
        <v>no url</v>
      </c>
    </row>
    <row r="1132" spans="1:6" hidden="1" x14ac:dyDescent="0.25">
      <c r="A1132" s="2" t="b">
        <f>IF(ISBLANK(InfoGard!D1132),FALSE,LOOKUP(InfoGard!D1132,Lookup!$A$2:$B$4))</f>
        <v>0</v>
      </c>
      <c r="B1132" s="2" t="b">
        <f>IF(ISBLANK(InfoGard!E1132),FALSE,RIGHT(TRIM(InfoGard!E1132),15))</f>
        <v>0</v>
      </c>
      <c r="C1132" s="2" t="b">
        <f>IF(ISBLANK(InfoGard!F1132),FALSE,LOOKUP(InfoGard!F1132,Lookup!$A$6:$B$7))</f>
        <v>0</v>
      </c>
      <c r="D1132" s="2" t="b">
        <f>IF(ISBLANK(InfoGard!G1132),FALSE,InfoGard!G1132)</f>
        <v>0</v>
      </c>
      <c r="E1132" s="2" t="str">
        <f>IF(NOT(ISBLANK(InfoGard!D1132)),IF(OR(ISBLANK(InfoGard!E1132),InfoGard!E1132="N/A"),"no acb code",CONCATENATE(Lookup!F$1,A1132,Lookup!G$1,B1132,Lookup!H$1,H$1,Lookup!I$1)),"no attestation")</f>
        <v>no attestation</v>
      </c>
      <c r="F1132" s="2" t="str">
        <f>IF(AND(NOT(ISBLANK(InfoGard!G1132)),InfoGard!G1132&lt;&gt;"N/A"),IF(C1132="All",CONCATENATE(Lookup!F$2,D1132,Lookup!G$2,B1132,Lookup!H$2,H$1,Lookup!I$2),CONCATENATE(Lookup!F$3,D1132,Lookup!G$3,B1132,Lookup!H$3)),"no url")</f>
        <v>no url</v>
      </c>
    </row>
    <row r="1133" spans="1:6" hidden="1" x14ac:dyDescent="0.25">
      <c r="A1133" s="2" t="b">
        <f>IF(ISBLANK(InfoGard!D1133),FALSE,LOOKUP(InfoGard!D1133,Lookup!$A$2:$B$4))</f>
        <v>0</v>
      </c>
      <c r="B1133" s="2" t="b">
        <f>IF(ISBLANK(InfoGard!E1133),FALSE,RIGHT(TRIM(InfoGard!E1133),15))</f>
        <v>0</v>
      </c>
      <c r="C1133" s="2" t="b">
        <f>IF(ISBLANK(InfoGard!F1133),FALSE,LOOKUP(InfoGard!F1133,Lookup!$A$6:$B$7))</f>
        <v>0</v>
      </c>
      <c r="D1133" s="2" t="b">
        <f>IF(ISBLANK(InfoGard!G1133),FALSE,InfoGard!G1133)</f>
        <v>0</v>
      </c>
      <c r="E1133" s="2" t="str">
        <f>IF(NOT(ISBLANK(InfoGard!D1133)),IF(OR(ISBLANK(InfoGard!E1133),InfoGard!E1133="N/A"),"no acb code",CONCATENATE(Lookup!F$1,A1133,Lookup!G$1,B1133,Lookup!H$1,H$1,Lookup!I$1)),"no attestation")</f>
        <v>no attestation</v>
      </c>
      <c r="F1133" s="2" t="str">
        <f>IF(AND(NOT(ISBLANK(InfoGard!G1133)),InfoGard!G1133&lt;&gt;"N/A"),IF(C1133="All",CONCATENATE(Lookup!F$2,D1133,Lookup!G$2,B1133,Lookup!H$2,H$1,Lookup!I$2),CONCATENATE(Lookup!F$3,D1133,Lookup!G$3,B1133,Lookup!H$3)),"no url")</f>
        <v>no url</v>
      </c>
    </row>
    <row r="1134" spans="1:6" hidden="1" x14ac:dyDescent="0.25">
      <c r="A1134" s="2" t="b">
        <f>IF(ISBLANK(InfoGard!D1134),FALSE,LOOKUP(InfoGard!D1134,Lookup!$A$2:$B$4))</f>
        <v>0</v>
      </c>
      <c r="B1134" s="2" t="b">
        <f>IF(ISBLANK(InfoGard!E1134),FALSE,RIGHT(TRIM(InfoGard!E1134),15))</f>
        <v>0</v>
      </c>
      <c r="C1134" s="2" t="b">
        <f>IF(ISBLANK(InfoGard!F1134),FALSE,LOOKUP(InfoGard!F1134,Lookup!$A$6:$B$7))</f>
        <v>0</v>
      </c>
      <c r="D1134" s="2" t="b">
        <f>IF(ISBLANK(InfoGard!G1134),FALSE,InfoGard!G1134)</f>
        <v>0</v>
      </c>
      <c r="E1134" s="2" t="str">
        <f>IF(NOT(ISBLANK(InfoGard!D1134)),IF(OR(ISBLANK(InfoGard!E1134),InfoGard!E1134="N/A"),"no acb code",CONCATENATE(Lookup!F$1,A1134,Lookup!G$1,B1134,Lookup!H$1,H$1,Lookup!I$1)),"no attestation")</f>
        <v>no attestation</v>
      </c>
      <c r="F1134" s="2" t="str">
        <f>IF(AND(NOT(ISBLANK(InfoGard!G1134)),InfoGard!G1134&lt;&gt;"N/A"),IF(C1134="All",CONCATENATE(Lookup!F$2,D1134,Lookup!G$2,B1134,Lookup!H$2,H$1,Lookup!I$2),CONCATENATE(Lookup!F$3,D1134,Lookup!G$3,B1134,Lookup!H$3)),"no url")</f>
        <v>no url</v>
      </c>
    </row>
    <row r="1135" spans="1:6" hidden="1" x14ac:dyDescent="0.25">
      <c r="A1135" s="2" t="b">
        <f>IF(ISBLANK(InfoGard!D1135),FALSE,LOOKUP(InfoGard!D1135,Lookup!$A$2:$B$4))</f>
        <v>0</v>
      </c>
      <c r="B1135" s="2" t="b">
        <f>IF(ISBLANK(InfoGard!E1135),FALSE,RIGHT(TRIM(InfoGard!E1135),15))</f>
        <v>0</v>
      </c>
      <c r="C1135" s="2" t="b">
        <f>IF(ISBLANK(InfoGard!F1135),FALSE,LOOKUP(InfoGard!F1135,Lookup!$A$6:$B$7))</f>
        <v>0</v>
      </c>
      <c r="D1135" s="2" t="b">
        <f>IF(ISBLANK(InfoGard!G1135),FALSE,InfoGard!G1135)</f>
        <v>0</v>
      </c>
      <c r="E1135" s="2" t="str">
        <f>IF(NOT(ISBLANK(InfoGard!D1135)),IF(OR(ISBLANK(InfoGard!E1135),InfoGard!E1135="N/A"),"no acb code",CONCATENATE(Lookup!F$1,A1135,Lookup!G$1,B1135,Lookup!H$1,H$1,Lookup!I$1)),"no attestation")</f>
        <v>no attestation</v>
      </c>
      <c r="F1135" s="2" t="str">
        <f>IF(AND(NOT(ISBLANK(InfoGard!G1135)),InfoGard!G1135&lt;&gt;"N/A"),IF(C1135="All",CONCATENATE(Lookup!F$2,D1135,Lookup!G$2,B1135,Lookup!H$2,H$1,Lookup!I$2),CONCATENATE(Lookup!F$3,D1135,Lookup!G$3,B1135,Lookup!H$3)),"no url")</f>
        <v>no url</v>
      </c>
    </row>
    <row r="1136" spans="1:6" hidden="1" x14ac:dyDescent="0.25">
      <c r="A1136" s="2" t="b">
        <f>IF(ISBLANK(InfoGard!D1136),FALSE,LOOKUP(InfoGard!D1136,Lookup!$A$2:$B$4))</f>
        <v>0</v>
      </c>
      <c r="B1136" s="2" t="b">
        <f>IF(ISBLANK(InfoGard!E1136),FALSE,RIGHT(TRIM(InfoGard!E1136),15))</f>
        <v>0</v>
      </c>
      <c r="C1136" s="2" t="b">
        <f>IF(ISBLANK(InfoGard!F1136),FALSE,LOOKUP(InfoGard!F1136,Lookup!$A$6:$B$7))</f>
        <v>0</v>
      </c>
      <c r="D1136" s="2" t="b">
        <f>IF(ISBLANK(InfoGard!G1136),FALSE,InfoGard!G1136)</f>
        <v>0</v>
      </c>
      <c r="E1136" s="2" t="str">
        <f>IF(NOT(ISBLANK(InfoGard!D1136)),IF(OR(ISBLANK(InfoGard!E1136),InfoGard!E1136="N/A"),"no acb code",CONCATENATE(Lookup!F$1,A1136,Lookup!G$1,B1136,Lookup!H$1,H$1,Lookup!I$1)),"no attestation")</f>
        <v>no attestation</v>
      </c>
      <c r="F1136" s="2" t="str">
        <f>IF(AND(NOT(ISBLANK(InfoGard!G1136)),InfoGard!G1136&lt;&gt;"N/A"),IF(C1136="All",CONCATENATE(Lookup!F$2,D1136,Lookup!G$2,B1136,Lookup!H$2,H$1,Lookup!I$2),CONCATENATE(Lookup!F$3,D1136,Lookup!G$3,B1136,Lookup!H$3)),"no url")</f>
        <v>no url</v>
      </c>
    </row>
    <row r="1137" spans="1:6" hidden="1" x14ac:dyDescent="0.25">
      <c r="A1137" s="2" t="b">
        <f>IF(ISBLANK(InfoGard!D1137),FALSE,LOOKUP(InfoGard!D1137,Lookup!$A$2:$B$4))</f>
        <v>0</v>
      </c>
      <c r="B1137" s="2" t="b">
        <f>IF(ISBLANK(InfoGard!E1137),FALSE,RIGHT(TRIM(InfoGard!E1137),15))</f>
        <v>0</v>
      </c>
      <c r="C1137" s="2" t="b">
        <f>IF(ISBLANK(InfoGard!F1137),FALSE,LOOKUP(InfoGard!F1137,Lookup!$A$6:$B$7))</f>
        <v>0</v>
      </c>
      <c r="D1137" s="2" t="b">
        <f>IF(ISBLANK(InfoGard!G1137),FALSE,InfoGard!G1137)</f>
        <v>0</v>
      </c>
      <c r="E1137" s="2" t="str">
        <f>IF(NOT(ISBLANK(InfoGard!D1137)),IF(OR(ISBLANK(InfoGard!E1137),InfoGard!E1137="N/A"),"no acb code",CONCATENATE(Lookup!F$1,A1137,Lookup!G$1,B1137,Lookup!H$1,H$1,Lookup!I$1)),"no attestation")</f>
        <v>no attestation</v>
      </c>
      <c r="F1137" s="2" t="str">
        <f>IF(AND(NOT(ISBLANK(InfoGard!G1137)),InfoGard!G1137&lt;&gt;"N/A"),IF(C1137="All",CONCATENATE(Lookup!F$2,D1137,Lookup!G$2,B1137,Lookup!H$2,H$1,Lookup!I$2),CONCATENATE(Lookup!F$3,D1137,Lookup!G$3,B1137,Lookup!H$3)),"no url")</f>
        <v>no url</v>
      </c>
    </row>
    <row r="1138" spans="1:6" x14ac:dyDescent="0.25">
      <c r="A1138" s="2" t="str">
        <f>IF(ISBLANK(InfoGard!D1138),FALSE,LOOKUP(InfoGard!D1138,Lookup!$A$2:$B$4))</f>
        <v>Affirmative</v>
      </c>
      <c r="B1138" s="2" t="str">
        <f>IF(ISBLANK(InfoGard!E1138),FALSE,RIGHT(TRIM(InfoGard!E1138),15))</f>
        <v>IG-2412-14-0086</v>
      </c>
      <c r="C1138" s="2" t="str">
        <f>IF(ISBLANK(InfoGard!F1138),FALSE,LOOKUP(InfoGard!F1138,Lookup!$A$6:$B$7))</f>
        <v>All</v>
      </c>
      <c r="D1138" s="2" t="str">
        <f>IF(ISBLANK(InfoGard!G1138),FALSE,InfoGard!G1138)</f>
        <v>http://www.practicesuite.com/onc-atcb-certification-latest</v>
      </c>
      <c r="E1138" s="2" t="str">
        <f>IF(NOT(ISBLANK(InfoGard!D1138)),IF(OR(ISBLANK(InfoGard!E1138),InfoGard!E1138="N/A"),"no acb code",CONCATENATE(Lookup!F$1,A1138,Lookup!G$1,B1138,Lookup!H$1,H$1,Lookup!I$1)),"no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'IG-2412-14-0086' and cb."name" = 'InfoGard' and cp.product_version_id = pv.product_version_id and pv.product_id = p.product_id and p.vendor_id = vend.vendor_id;</v>
      </c>
      <c r="F1138" s="2" t="str">
        <f>IF(AND(NOT(ISBLANK(InfoGard!G1138)),InfoGard!G1138&lt;&gt;"N/A"),IF(C1138="All",CONCATENATE(Lookup!F$2,D1138,Lookup!G$2,B1138,Lookup!H$2,H$1,Lookup!I$2),CONCATENATE(Lookup!F$3,D1138,Lookup!G$3,B1138,Lookup!H$3)),"no url")</f>
        <v>update openchpl.certified_product as cp set transparency_attestation_url = 'http://www.practicesuite.com/onc-atcb-certification-latest' from (select certified_product_id from (select vend.vendor_code from openchpl.certified_product as cp, openchpl.product_version as pv, openchpl.product as p, openchpl.vendor as vend where cp.acb_certification_id = 'IG-2412-14-0086'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39" spans="1:6" hidden="1" x14ac:dyDescent="0.25">
      <c r="A1139" s="2" t="b">
        <f>IF(ISBLANK(InfoGard!D1139),FALSE,LOOKUP(InfoGard!D1139,Lookup!$A$2:$B$4))</f>
        <v>0</v>
      </c>
      <c r="B1139" s="2" t="b">
        <f>IF(ISBLANK(InfoGard!E1139),FALSE,RIGHT(TRIM(InfoGard!E1139),15))</f>
        <v>0</v>
      </c>
      <c r="C1139" s="2" t="b">
        <f>IF(ISBLANK(InfoGard!F1139),FALSE,LOOKUP(InfoGard!F1139,Lookup!$A$6:$B$7))</f>
        <v>0</v>
      </c>
      <c r="D1139" s="2" t="b">
        <f>IF(ISBLANK(InfoGard!G1139),FALSE,InfoGard!G1139)</f>
        <v>0</v>
      </c>
      <c r="E1139" s="2" t="str">
        <f>IF(NOT(ISBLANK(InfoGard!D1139)),IF(OR(ISBLANK(InfoGard!E1139),InfoGard!E1139="N/A"),"no acb code",CONCATENATE(Lookup!F$1,A1139,Lookup!G$1,B1139,Lookup!H$1,H$1,Lookup!I$1)),"no attestation")</f>
        <v>no attestation</v>
      </c>
      <c r="F1139" s="2" t="str">
        <f>IF(AND(NOT(ISBLANK(InfoGard!G1139)),InfoGard!G1139&lt;&gt;"N/A"),IF(C1139="All",CONCATENATE(Lookup!F$2,D1139,Lookup!G$2,B1139,Lookup!H$2,H$1,Lookup!I$2),CONCATENATE(Lookup!F$3,D1139,Lookup!G$3,B1139,Lookup!H$3)),"no url")</f>
        <v>no url</v>
      </c>
    </row>
    <row r="1140" spans="1:6" hidden="1" x14ac:dyDescent="0.25">
      <c r="A1140" s="2" t="b">
        <f>IF(ISBLANK(InfoGard!D1140),FALSE,LOOKUP(InfoGard!D1140,Lookup!$A$2:$B$4))</f>
        <v>0</v>
      </c>
      <c r="B1140" s="2" t="b">
        <f>IF(ISBLANK(InfoGard!E1140),FALSE,RIGHT(TRIM(InfoGard!E1140),15))</f>
        <v>0</v>
      </c>
      <c r="C1140" s="2" t="b">
        <f>IF(ISBLANK(InfoGard!F1140),FALSE,LOOKUP(InfoGard!F1140,Lookup!$A$6:$B$7))</f>
        <v>0</v>
      </c>
      <c r="D1140" s="2" t="b">
        <f>IF(ISBLANK(InfoGard!G1140),FALSE,InfoGard!G1140)</f>
        <v>0</v>
      </c>
      <c r="E1140" s="2" t="str">
        <f>IF(NOT(ISBLANK(InfoGard!D1140)),IF(OR(ISBLANK(InfoGard!E1140),InfoGard!E1140="N/A"),"no acb code",CONCATENATE(Lookup!F$1,A1140,Lookup!G$1,B1140,Lookup!H$1,H$1,Lookup!I$1)),"no attestation")</f>
        <v>no attestation</v>
      </c>
      <c r="F1140" s="2" t="str">
        <f>IF(AND(NOT(ISBLANK(InfoGard!G1140)),InfoGard!G1140&lt;&gt;"N/A"),IF(C1140="All",CONCATENATE(Lookup!F$2,D1140,Lookup!G$2,B1140,Lookup!H$2,H$1,Lookup!I$2),CONCATENATE(Lookup!F$3,D1140,Lookup!G$3,B1140,Lookup!H$3)),"no url")</f>
        <v>no url</v>
      </c>
    </row>
    <row r="1141" spans="1:6" hidden="1" x14ac:dyDescent="0.25">
      <c r="A1141" s="2" t="b">
        <f>IF(ISBLANK(InfoGard!D1141),FALSE,LOOKUP(InfoGard!D1141,Lookup!$A$2:$B$4))</f>
        <v>0</v>
      </c>
      <c r="B1141" s="2" t="b">
        <f>IF(ISBLANK(InfoGard!E1141),FALSE,RIGHT(TRIM(InfoGard!E1141),15))</f>
        <v>0</v>
      </c>
      <c r="C1141" s="2" t="b">
        <f>IF(ISBLANK(InfoGard!F1141),FALSE,LOOKUP(InfoGard!F1141,Lookup!$A$6:$B$7))</f>
        <v>0</v>
      </c>
      <c r="D1141" s="2" t="b">
        <f>IF(ISBLANK(InfoGard!G1141),FALSE,InfoGard!G1141)</f>
        <v>0</v>
      </c>
      <c r="E1141" s="2" t="str">
        <f>IF(NOT(ISBLANK(InfoGard!D1141)),IF(OR(ISBLANK(InfoGard!E1141),InfoGard!E1141="N/A"),"no acb code",CONCATENATE(Lookup!F$1,A1141,Lookup!G$1,B1141,Lookup!H$1,H$1,Lookup!I$1)),"no attestation")</f>
        <v>no attestation</v>
      </c>
      <c r="F1141" s="2" t="str">
        <f>IF(AND(NOT(ISBLANK(InfoGard!G1141)),InfoGard!G1141&lt;&gt;"N/A"),IF(C1141="All",CONCATENATE(Lookup!F$2,D1141,Lookup!G$2,B1141,Lookup!H$2,H$1,Lookup!I$2),CONCATENATE(Lookup!F$3,D1141,Lookup!G$3,B1141,Lookup!H$3)),"no url")</f>
        <v>no url</v>
      </c>
    </row>
    <row r="1142" spans="1:6" hidden="1" x14ac:dyDescent="0.25">
      <c r="A1142" s="2" t="b">
        <f>IF(ISBLANK(InfoGard!D1142),FALSE,LOOKUP(InfoGard!D1142,Lookup!$A$2:$B$4))</f>
        <v>0</v>
      </c>
      <c r="B1142" s="2" t="b">
        <f>IF(ISBLANK(InfoGard!E1142),FALSE,RIGHT(TRIM(InfoGard!E1142),15))</f>
        <v>0</v>
      </c>
      <c r="C1142" s="2" t="b">
        <f>IF(ISBLANK(InfoGard!F1142),FALSE,LOOKUP(InfoGard!F1142,Lookup!$A$6:$B$7))</f>
        <v>0</v>
      </c>
      <c r="D1142" s="2" t="b">
        <f>IF(ISBLANK(InfoGard!G1142),FALSE,InfoGard!G1142)</f>
        <v>0</v>
      </c>
      <c r="E1142" s="2" t="str">
        <f>IF(NOT(ISBLANK(InfoGard!D1142)),IF(OR(ISBLANK(InfoGard!E1142),InfoGard!E1142="N/A"),"no acb code",CONCATENATE(Lookup!F$1,A1142,Lookup!G$1,B1142,Lookup!H$1,H$1,Lookup!I$1)),"no attestation")</f>
        <v>no attestation</v>
      </c>
      <c r="F1142" s="2" t="str">
        <f>IF(AND(NOT(ISBLANK(InfoGard!G1142)),InfoGard!G1142&lt;&gt;"N/A"),IF(C1142="All",CONCATENATE(Lookup!F$2,D1142,Lookup!G$2,B1142,Lookup!H$2,H$1,Lookup!I$2),CONCATENATE(Lookup!F$3,D1142,Lookup!G$3,B1142,Lookup!H$3)),"no url")</f>
        <v>no url</v>
      </c>
    </row>
    <row r="1143" spans="1:6" hidden="1" x14ac:dyDescent="0.25">
      <c r="A1143" s="2" t="b">
        <f>IF(ISBLANK(InfoGard!D1143),FALSE,LOOKUP(InfoGard!D1143,Lookup!$A$2:$B$4))</f>
        <v>0</v>
      </c>
      <c r="B1143" s="2" t="b">
        <f>IF(ISBLANK(InfoGard!E1143),FALSE,RIGHT(TRIM(InfoGard!E1143),15))</f>
        <v>0</v>
      </c>
      <c r="C1143" s="2" t="b">
        <f>IF(ISBLANK(InfoGard!F1143),FALSE,LOOKUP(InfoGard!F1143,Lookup!$A$6:$B$7))</f>
        <v>0</v>
      </c>
      <c r="D1143" s="2" t="b">
        <f>IF(ISBLANK(InfoGard!G1143),FALSE,InfoGard!G1143)</f>
        <v>0</v>
      </c>
      <c r="E1143" s="2" t="str">
        <f>IF(NOT(ISBLANK(InfoGard!D1143)),IF(OR(ISBLANK(InfoGard!E1143),InfoGard!E1143="N/A"),"no acb code",CONCATENATE(Lookup!F$1,A1143,Lookup!G$1,B1143,Lookup!H$1,H$1,Lookup!I$1)),"no attestation")</f>
        <v>no attestation</v>
      </c>
      <c r="F1143" s="2" t="str">
        <f>IF(AND(NOT(ISBLANK(InfoGard!G1143)),InfoGard!G1143&lt;&gt;"N/A"),IF(C1143="All",CONCATENATE(Lookup!F$2,D1143,Lookup!G$2,B1143,Lookup!H$2,H$1,Lookup!I$2),CONCATENATE(Lookup!F$3,D1143,Lookup!G$3,B1143,Lookup!H$3)),"no url")</f>
        <v>no url</v>
      </c>
    </row>
    <row r="1144" spans="1:6" hidden="1" x14ac:dyDescent="0.25">
      <c r="A1144" s="2" t="b">
        <f>IF(ISBLANK(InfoGard!D1144),FALSE,LOOKUP(InfoGard!D1144,Lookup!$A$2:$B$4))</f>
        <v>0</v>
      </c>
      <c r="B1144" s="2" t="b">
        <f>IF(ISBLANK(InfoGard!E1144),FALSE,RIGHT(TRIM(InfoGard!E1144),15))</f>
        <v>0</v>
      </c>
      <c r="C1144" s="2" t="b">
        <f>IF(ISBLANK(InfoGard!F1144),FALSE,LOOKUP(InfoGard!F1144,Lookup!$A$6:$B$7))</f>
        <v>0</v>
      </c>
      <c r="D1144" s="2" t="b">
        <f>IF(ISBLANK(InfoGard!G1144),FALSE,InfoGard!G1144)</f>
        <v>0</v>
      </c>
      <c r="E1144" s="2" t="str">
        <f>IF(NOT(ISBLANK(InfoGard!D1144)),IF(OR(ISBLANK(InfoGard!E1144),InfoGard!E1144="N/A"),"no acb code",CONCATENATE(Lookup!F$1,A1144,Lookup!G$1,B1144,Lookup!H$1,H$1,Lookup!I$1)),"no attestation")</f>
        <v>no attestation</v>
      </c>
      <c r="F1144" s="2" t="str">
        <f>IF(AND(NOT(ISBLANK(InfoGard!G1144)),InfoGard!G1144&lt;&gt;"N/A"),IF(C1144="All",CONCATENATE(Lookup!F$2,D1144,Lookup!G$2,B1144,Lookup!H$2,H$1,Lookup!I$2),CONCATENATE(Lookup!F$3,D1144,Lookup!G$3,B1144,Lookup!H$3)),"no url")</f>
        <v>no url</v>
      </c>
    </row>
    <row r="1145" spans="1:6" hidden="1" x14ac:dyDescent="0.25">
      <c r="A1145" s="2" t="b">
        <f>IF(ISBLANK(InfoGard!D1145),FALSE,LOOKUP(InfoGard!D1145,Lookup!$A$2:$B$4))</f>
        <v>0</v>
      </c>
      <c r="B1145" s="2" t="b">
        <f>IF(ISBLANK(InfoGard!E1145),FALSE,RIGHT(TRIM(InfoGard!E1145),15))</f>
        <v>0</v>
      </c>
      <c r="C1145" s="2" t="b">
        <f>IF(ISBLANK(InfoGard!F1145),FALSE,LOOKUP(InfoGard!F1145,Lookup!$A$6:$B$7))</f>
        <v>0</v>
      </c>
      <c r="D1145" s="2" t="b">
        <f>IF(ISBLANK(InfoGard!G1145),FALSE,InfoGard!G1145)</f>
        <v>0</v>
      </c>
      <c r="E1145" s="2" t="str">
        <f>IF(NOT(ISBLANK(InfoGard!D1145)),IF(OR(ISBLANK(InfoGard!E1145),InfoGard!E1145="N/A"),"no acb code",CONCATENATE(Lookup!F$1,A1145,Lookup!G$1,B1145,Lookup!H$1,H$1,Lookup!I$1)),"no attestation")</f>
        <v>no attestation</v>
      </c>
      <c r="F1145" s="2" t="str">
        <f>IF(AND(NOT(ISBLANK(InfoGard!G1145)),InfoGard!G1145&lt;&gt;"N/A"),IF(C1145="All",CONCATENATE(Lookup!F$2,D1145,Lookup!G$2,B1145,Lookup!H$2,H$1,Lookup!I$2),CONCATENATE(Lookup!F$3,D1145,Lookup!G$3,B1145,Lookup!H$3)),"no url")</f>
        <v>no url</v>
      </c>
    </row>
    <row r="1146" spans="1:6" hidden="1" x14ac:dyDescent="0.25">
      <c r="A1146" s="2" t="b">
        <f>IF(ISBLANK(InfoGard!D1146),FALSE,LOOKUP(InfoGard!D1146,Lookup!$A$2:$B$4))</f>
        <v>0</v>
      </c>
      <c r="B1146" s="2" t="b">
        <f>IF(ISBLANK(InfoGard!E1146),FALSE,RIGHT(TRIM(InfoGard!E1146),15))</f>
        <v>0</v>
      </c>
      <c r="C1146" s="2" t="b">
        <f>IF(ISBLANK(InfoGard!F1146),FALSE,LOOKUP(InfoGard!F1146,Lookup!$A$6:$B$7))</f>
        <v>0</v>
      </c>
      <c r="D1146" s="2" t="b">
        <f>IF(ISBLANK(InfoGard!G1146),FALSE,InfoGard!G1146)</f>
        <v>0</v>
      </c>
      <c r="E1146" s="2" t="str">
        <f>IF(NOT(ISBLANK(InfoGard!D1146)),IF(OR(ISBLANK(InfoGard!E1146),InfoGard!E1146="N/A"),"no acb code",CONCATENATE(Lookup!F$1,A1146,Lookup!G$1,B1146,Lookup!H$1,H$1,Lookup!I$1)),"no attestation")</f>
        <v>no attestation</v>
      </c>
      <c r="F1146" s="2" t="str">
        <f>IF(AND(NOT(ISBLANK(InfoGard!G1146)),InfoGard!G1146&lt;&gt;"N/A"),IF(C1146="All",CONCATENATE(Lookup!F$2,D1146,Lookup!G$2,B1146,Lookup!H$2,H$1,Lookup!I$2),CONCATENATE(Lookup!F$3,D1146,Lookup!G$3,B1146,Lookup!H$3)),"no url")</f>
        <v>no url</v>
      </c>
    </row>
    <row r="1147" spans="1:6" hidden="1" x14ac:dyDescent="0.25">
      <c r="A1147" s="2" t="b">
        <f>IF(ISBLANK(InfoGard!D1147),FALSE,LOOKUP(InfoGard!D1147,Lookup!$A$2:$B$4))</f>
        <v>0</v>
      </c>
      <c r="B1147" s="2" t="b">
        <f>IF(ISBLANK(InfoGard!E1147),FALSE,RIGHT(TRIM(InfoGard!E1147),15))</f>
        <v>0</v>
      </c>
      <c r="C1147" s="2" t="b">
        <f>IF(ISBLANK(InfoGard!F1147),FALSE,LOOKUP(InfoGard!F1147,Lookup!$A$6:$B$7))</f>
        <v>0</v>
      </c>
      <c r="D1147" s="2" t="b">
        <f>IF(ISBLANK(InfoGard!G1147),FALSE,InfoGard!G1147)</f>
        <v>0</v>
      </c>
      <c r="E1147" s="2" t="str">
        <f>IF(NOT(ISBLANK(InfoGard!D1147)),IF(OR(ISBLANK(InfoGard!E1147),InfoGard!E1147="N/A"),"no acb code",CONCATENATE(Lookup!F$1,A1147,Lookup!G$1,B1147,Lookup!H$1,H$1,Lookup!I$1)),"no attestation")</f>
        <v>no attestation</v>
      </c>
      <c r="F1147" s="2" t="str">
        <f>IF(AND(NOT(ISBLANK(InfoGard!G1147)),InfoGard!G1147&lt;&gt;"N/A"),IF(C1147="All",CONCATENATE(Lookup!F$2,D1147,Lookup!G$2,B1147,Lookup!H$2,H$1,Lookup!I$2),CONCATENATE(Lookup!F$3,D1147,Lookup!G$3,B1147,Lookup!H$3)),"no url")</f>
        <v>no url</v>
      </c>
    </row>
    <row r="1148" spans="1:6" hidden="1" x14ac:dyDescent="0.25">
      <c r="A1148" s="2" t="b">
        <f>IF(ISBLANK(InfoGard!D1148),FALSE,LOOKUP(InfoGard!D1148,Lookup!$A$2:$B$4))</f>
        <v>0</v>
      </c>
      <c r="B1148" s="2" t="b">
        <f>IF(ISBLANK(InfoGard!E1148),FALSE,RIGHT(TRIM(InfoGard!E1148),15))</f>
        <v>0</v>
      </c>
      <c r="C1148" s="2" t="b">
        <f>IF(ISBLANK(InfoGard!F1148),FALSE,LOOKUP(InfoGard!F1148,Lookup!$A$6:$B$7))</f>
        <v>0</v>
      </c>
      <c r="D1148" s="2" t="b">
        <f>IF(ISBLANK(InfoGard!G1148),FALSE,InfoGard!G1148)</f>
        <v>0</v>
      </c>
      <c r="E1148" s="2" t="str">
        <f>IF(NOT(ISBLANK(InfoGard!D1148)),IF(OR(ISBLANK(InfoGard!E1148),InfoGard!E1148="N/A"),"no acb code",CONCATENATE(Lookup!F$1,A1148,Lookup!G$1,B1148,Lookup!H$1,H$1,Lookup!I$1)),"no attestation")</f>
        <v>no attestation</v>
      </c>
      <c r="F1148" s="2" t="str">
        <f>IF(AND(NOT(ISBLANK(InfoGard!G1148)),InfoGard!G1148&lt;&gt;"N/A"),IF(C1148="All",CONCATENATE(Lookup!F$2,D1148,Lookup!G$2,B1148,Lookup!H$2,H$1,Lookup!I$2),CONCATENATE(Lookup!F$3,D1148,Lookup!G$3,B1148,Lookup!H$3)),"no url")</f>
        <v>no url</v>
      </c>
    </row>
    <row r="1149" spans="1:6" hidden="1" x14ac:dyDescent="0.25">
      <c r="A1149" s="2" t="b">
        <f>IF(ISBLANK(InfoGard!D1149),FALSE,LOOKUP(InfoGard!D1149,Lookup!$A$2:$B$4))</f>
        <v>0</v>
      </c>
      <c r="B1149" s="2" t="b">
        <f>IF(ISBLANK(InfoGard!E1149),FALSE,RIGHT(TRIM(InfoGard!E1149),15))</f>
        <v>0</v>
      </c>
      <c r="C1149" s="2" t="b">
        <f>IF(ISBLANK(InfoGard!F1149),FALSE,LOOKUP(InfoGard!F1149,Lookup!$A$6:$B$7))</f>
        <v>0</v>
      </c>
      <c r="D1149" s="2" t="b">
        <f>IF(ISBLANK(InfoGard!G1149),FALSE,InfoGard!G1149)</f>
        <v>0</v>
      </c>
      <c r="E1149" s="2" t="str">
        <f>IF(NOT(ISBLANK(InfoGard!D1149)),IF(OR(ISBLANK(InfoGard!E1149),InfoGard!E1149="N/A"),"no acb code",CONCATENATE(Lookup!F$1,A1149,Lookup!G$1,B1149,Lookup!H$1,H$1,Lookup!I$1)),"no attestation")</f>
        <v>no attestation</v>
      </c>
      <c r="F1149" s="2" t="str">
        <f>IF(AND(NOT(ISBLANK(InfoGard!G1149)),InfoGard!G1149&lt;&gt;"N/A"),IF(C1149="All",CONCATENATE(Lookup!F$2,D1149,Lookup!G$2,B1149,Lookup!H$2,H$1,Lookup!I$2),CONCATENATE(Lookup!F$3,D1149,Lookup!G$3,B1149,Lookup!H$3)),"no url")</f>
        <v>no url</v>
      </c>
    </row>
    <row r="1150" spans="1:6" hidden="1" x14ac:dyDescent="0.25">
      <c r="A1150" s="2" t="b">
        <f>IF(ISBLANK(InfoGard!D1150),FALSE,LOOKUP(InfoGard!D1150,Lookup!$A$2:$B$4))</f>
        <v>0</v>
      </c>
      <c r="B1150" s="2" t="b">
        <f>IF(ISBLANK(InfoGard!E1150),FALSE,RIGHT(TRIM(InfoGard!E1150),15))</f>
        <v>0</v>
      </c>
      <c r="C1150" s="2" t="b">
        <f>IF(ISBLANK(InfoGard!F1150),FALSE,LOOKUP(InfoGard!F1150,Lookup!$A$6:$B$7))</f>
        <v>0</v>
      </c>
      <c r="D1150" s="2" t="b">
        <f>IF(ISBLANK(InfoGard!G1150),FALSE,InfoGard!G1150)</f>
        <v>0</v>
      </c>
      <c r="E1150" s="2" t="str">
        <f>IF(NOT(ISBLANK(InfoGard!D1150)),IF(OR(ISBLANK(InfoGard!E1150),InfoGard!E1150="N/A"),"no acb code",CONCATENATE(Lookup!F$1,A1150,Lookup!G$1,B1150,Lookup!H$1,H$1,Lookup!I$1)),"no attestation")</f>
        <v>no attestation</v>
      </c>
      <c r="F1150" s="2" t="str">
        <f>IF(AND(NOT(ISBLANK(InfoGard!G1150)),InfoGard!G1150&lt;&gt;"N/A"),IF(C1150="All",CONCATENATE(Lookup!F$2,D1150,Lookup!G$2,B1150,Lookup!H$2,H$1,Lookup!I$2),CONCATENATE(Lookup!F$3,D1150,Lookup!G$3,B1150,Lookup!H$3)),"no url")</f>
        <v>no url</v>
      </c>
    </row>
    <row r="1151" spans="1:6" hidden="1" x14ac:dyDescent="0.25">
      <c r="A1151" s="2" t="b">
        <f>IF(ISBLANK(InfoGard!D1151),FALSE,LOOKUP(InfoGard!D1151,Lookup!$A$2:$B$4))</f>
        <v>0</v>
      </c>
      <c r="B1151" s="2" t="b">
        <f>IF(ISBLANK(InfoGard!E1151),FALSE,RIGHT(TRIM(InfoGard!E1151),15))</f>
        <v>0</v>
      </c>
      <c r="C1151" s="2" t="b">
        <f>IF(ISBLANK(InfoGard!F1151),FALSE,LOOKUP(InfoGard!F1151,Lookup!$A$6:$B$7))</f>
        <v>0</v>
      </c>
      <c r="D1151" s="2" t="b">
        <f>IF(ISBLANK(InfoGard!G1151),FALSE,InfoGard!G1151)</f>
        <v>0</v>
      </c>
      <c r="E1151" s="2" t="str">
        <f>IF(NOT(ISBLANK(InfoGard!D1151)),IF(OR(ISBLANK(InfoGard!E1151),InfoGard!E1151="N/A"),"no acb code",CONCATENATE(Lookup!F$1,A1151,Lookup!G$1,B1151,Lookup!H$1,H$1,Lookup!I$1)),"no attestation")</f>
        <v>no attestation</v>
      </c>
      <c r="F1151" s="2" t="str">
        <f>IF(AND(NOT(ISBLANK(InfoGard!G1151)),InfoGard!G1151&lt;&gt;"N/A"),IF(C1151="All",CONCATENATE(Lookup!F$2,D1151,Lookup!G$2,B1151,Lookup!H$2,H$1,Lookup!I$2),CONCATENATE(Lookup!F$3,D1151,Lookup!G$3,B1151,Lookup!H$3)),"no url")</f>
        <v>no url</v>
      </c>
    </row>
    <row r="1152" spans="1:6" hidden="1" x14ac:dyDescent="0.25">
      <c r="A1152" s="2" t="b">
        <f>IF(ISBLANK(InfoGard!D1152),FALSE,LOOKUP(InfoGard!D1152,Lookup!$A$2:$B$4))</f>
        <v>0</v>
      </c>
      <c r="B1152" s="2" t="b">
        <f>IF(ISBLANK(InfoGard!E1152),FALSE,RIGHT(TRIM(InfoGard!E1152),15))</f>
        <v>0</v>
      </c>
      <c r="C1152" s="2" t="b">
        <f>IF(ISBLANK(InfoGard!F1152),FALSE,LOOKUP(InfoGard!F1152,Lookup!$A$6:$B$7))</f>
        <v>0</v>
      </c>
      <c r="D1152" s="2" t="b">
        <f>IF(ISBLANK(InfoGard!G1152),FALSE,InfoGard!G1152)</f>
        <v>0</v>
      </c>
      <c r="E1152" s="2" t="str">
        <f>IF(NOT(ISBLANK(InfoGard!D1152)),IF(OR(ISBLANK(InfoGard!E1152),InfoGard!E1152="N/A"),"no acb code",CONCATENATE(Lookup!F$1,A1152,Lookup!G$1,B1152,Lookup!H$1,H$1,Lookup!I$1)),"no attestation")</f>
        <v>no attestation</v>
      </c>
      <c r="F1152" s="2" t="str">
        <f>IF(AND(NOT(ISBLANK(InfoGard!G1152)),InfoGard!G1152&lt;&gt;"N/A"),IF(C1152="All",CONCATENATE(Lookup!F$2,D1152,Lookup!G$2,B1152,Lookup!H$2,H$1,Lookup!I$2),CONCATENATE(Lookup!F$3,D1152,Lookup!G$3,B1152,Lookup!H$3)),"no url")</f>
        <v>no url</v>
      </c>
    </row>
    <row r="1153" spans="1:6" hidden="1" x14ac:dyDescent="0.25">
      <c r="A1153" s="2" t="b">
        <f>IF(ISBLANK(InfoGard!D1153),FALSE,LOOKUP(InfoGard!D1153,Lookup!$A$2:$B$4))</f>
        <v>0</v>
      </c>
      <c r="B1153" s="2" t="b">
        <f>IF(ISBLANK(InfoGard!E1153),FALSE,RIGHT(TRIM(InfoGard!E1153),15))</f>
        <v>0</v>
      </c>
      <c r="C1153" s="2" t="b">
        <f>IF(ISBLANK(InfoGard!F1153),FALSE,LOOKUP(InfoGard!F1153,Lookup!$A$6:$B$7))</f>
        <v>0</v>
      </c>
      <c r="D1153" s="2" t="b">
        <f>IF(ISBLANK(InfoGard!G1153),FALSE,InfoGard!G1153)</f>
        <v>0</v>
      </c>
      <c r="E1153" s="2" t="str">
        <f>IF(NOT(ISBLANK(InfoGard!D1153)),IF(OR(ISBLANK(InfoGard!E1153),InfoGard!E1153="N/A"),"no acb code",CONCATENATE(Lookup!F$1,A1153,Lookup!G$1,B1153,Lookup!H$1,H$1,Lookup!I$1)),"no attestation")</f>
        <v>no attestation</v>
      </c>
      <c r="F1153" s="2" t="str">
        <f>IF(AND(NOT(ISBLANK(InfoGard!G1153)),InfoGard!G1153&lt;&gt;"N/A"),IF(C1153="All",CONCATENATE(Lookup!F$2,D1153,Lookup!G$2,B1153,Lookup!H$2,H$1,Lookup!I$2),CONCATENATE(Lookup!F$3,D1153,Lookup!G$3,B1153,Lookup!H$3)),"no url")</f>
        <v>no url</v>
      </c>
    </row>
    <row r="1154" spans="1:6" hidden="1" x14ac:dyDescent="0.25">
      <c r="A1154" s="2" t="b">
        <f>IF(ISBLANK(InfoGard!D1154),FALSE,LOOKUP(InfoGard!D1154,Lookup!$A$2:$B$4))</f>
        <v>0</v>
      </c>
      <c r="B1154" s="2" t="b">
        <f>IF(ISBLANK(InfoGard!E1154),FALSE,RIGHT(TRIM(InfoGard!E1154),15))</f>
        <v>0</v>
      </c>
      <c r="C1154" s="2" t="b">
        <f>IF(ISBLANK(InfoGard!F1154),FALSE,LOOKUP(InfoGard!F1154,Lookup!$A$6:$B$7))</f>
        <v>0</v>
      </c>
      <c r="D1154" s="2" t="b">
        <f>IF(ISBLANK(InfoGard!G1154),FALSE,InfoGard!G1154)</f>
        <v>0</v>
      </c>
      <c r="E1154" s="2" t="str">
        <f>IF(NOT(ISBLANK(InfoGard!D1154)),IF(OR(ISBLANK(InfoGard!E1154),InfoGard!E1154="N/A"),"no acb code",CONCATENATE(Lookup!F$1,A1154,Lookup!G$1,B1154,Lookup!H$1,H$1,Lookup!I$1)),"no attestation")</f>
        <v>no attestation</v>
      </c>
      <c r="F1154" s="2" t="str">
        <f>IF(AND(NOT(ISBLANK(InfoGard!G1154)),InfoGard!G1154&lt;&gt;"N/A"),IF(C1154="All",CONCATENATE(Lookup!F$2,D1154,Lookup!G$2,B1154,Lookup!H$2,H$1,Lookup!I$2),CONCATENATE(Lookup!F$3,D1154,Lookup!G$3,B1154,Lookup!H$3)),"no url")</f>
        <v>no url</v>
      </c>
    </row>
    <row r="1155" spans="1:6" x14ac:dyDescent="0.25">
      <c r="A1155" s="2" t="str">
        <f>IF(ISBLANK(InfoGard!D1155),FALSE,LOOKUP(InfoGard!D1155,Lookup!$A$2:$B$4))</f>
        <v>Affirmative</v>
      </c>
      <c r="B1155" s="2" t="str">
        <f>IF(ISBLANK(InfoGard!E1155),FALSE,RIGHT(TRIM(InfoGard!E1155),15))</f>
        <v>IG-3198-14-0085</v>
      </c>
      <c r="C1155" s="2" t="str">
        <f>IF(ISBLANK(InfoGard!F1155),FALSE,LOOKUP(InfoGard!F1155,Lookup!$A$6:$B$7))</f>
        <v>All</v>
      </c>
      <c r="D1155" s="2" t="str">
        <f>IF(ISBLANK(InfoGard!G1155),FALSE,InfoGard!G1155)</f>
        <v>http://www.ppi.com/News/103</v>
      </c>
      <c r="E1155" s="2" t="str">
        <f>IF(NOT(ISBLANK(InfoGard!D1155)),IF(OR(ISBLANK(InfoGard!E1155),InfoGard!E1155="N/A"),"no acb code",CONCATENATE(Lookup!F$1,A1155,Lookup!G$1,B1155,Lookup!H$1,H$1,Lookup!I$1)),"no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'IG-3198-14-0085' and cb."name" = 'InfoGard' and cp.product_version_id = pv.product_version_id and pv.product_id = p.product_id and p.vendor_id = vend.vendor_id;</v>
      </c>
      <c r="F1155" s="2" t="str">
        <f>IF(AND(NOT(ISBLANK(InfoGard!G1155)),InfoGard!G1155&lt;&gt;"N/A"),IF(C1155="All",CONCATENATE(Lookup!F$2,D1155,Lookup!G$2,B1155,Lookup!H$2,H$1,Lookup!I$2),CONCATENATE(Lookup!F$3,D1155,Lookup!G$3,B1155,Lookup!H$3)),"no url")</f>
        <v>update openchpl.certified_product as cp set transparency_attestation_url = 'http://www.ppi.com/News/103' from (select certified_product_id from (select vend.vendor_code from openchpl.certified_product as cp, openchpl.product_version as pv, openchpl.product as p, openchpl.vendor as vend where cp.acb_certification_id = 'IG-3198-14-0085'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56" spans="1:6" hidden="1" x14ac:dyDescent="0.25">
      <c r="A1156" s="2" t="b">
        <f>IF(ISBLANK(InfoGard!D1156),FALSE,LOOKUP(InfoGard!D1156,Lookup!$A$2:$B$4))</f>
        <v>0</v>
      </c>
      <c r="B1156" s="2" t="b">
        <f>IF(ISBLANK(InfoGard!E1156),FALSE,RIGHT(TRIM(InfoGard!E1156),15))</f>
        <v>0</v>
      </c>
      <c r="C1156" s="2" t="b">
        <f>IF(ISBLANK(InfoGard!F1156),FALSE,LOOKUP(InfoGard!F1156,Lookup!$A$6:$B$7))</f>
        <v>0</v>
      </c>
      <c r="D1156" s="2" t="b">
        <f>IF(ISBLANK(InfoGard!G1156),FALSE,InfoGard!G1156)</f>
        <v>0</v>
      </c>
      <c r="E1156" s="2" t="str">
        <f>IF(NOT(ISBLANK(InfoGard!D1156)),IF(OR(ISBLANK(InfoGard!E1156),InfoGard!E1156="N/A"),"no acb code",CONCATENATE(Lookup!F$1,A1156,Lookup!G$1,B1156,Lookup!H$1,H$1,Lookup!I$1)),"no attestation")</f>
        <v>no attestation</v>
      </c>
      <c r="F1156" s="2" t="str">
        <f>IF(AND(NOT(ISBLANK(InfoGard!G1156)),InfoGard!G1156&lt;&gt;"N/A"),IF(C1156="All",CONCATENATE(Lookup!F$2,D1156,Lookup!G$2,B1156,Lookup!H$2,H$1,Lookup!I$2),CONCATENATE(Lookup!F$3,D1156,Lookup!G$3,B1156,Lookup!H$3)),"no url")</f>
        <v>no url</v>
      </c>
    </row>
    <row r="1157" spans="1:6" hidden="1" x14ac:dyDescent="0.25">
      <c r="A1157" s="2" t="b">
        <f>IF(ISBLANK(InfoGard!D1157),FALSE,LOOKUP(InfoGard!D1157,Lookup!$A$2:$B$4))</f>
        <v>0</v>
      </c>
      <c r="B1157" s="2" t="b">
        <f>IF(ISBLANK(InfoGard!E1157),FALSE,RIGHT(TRIM(InfoGard!E1157),15))</f>
        <v>0</v>
      </c>
      <c r="C1157" s="2" t="b">
        <f>IF(ISBLANK(InfoGard!F1157),FALSE,LOOKUP(InfoGard!F1157,Lookup!$A$6:$B$7))</f>
        <v>0</v>
      </c>
      <c r="D1157" s="2" t="b">
        <f>IF(ISBLANK(InfoGard!G1157),FALSE,InfoGard!G1157)</f>
        <v>0</v>
      </c>
      <c r="E1157" s="2" t="str">
        <f>IF(NOT(ISBLANK(InfoGard!D1157)),IF(OR(ISBLANK(InfoGard!E1157),InfoGard!E1157="N/A"),"no acb code",CONCATENATE(Lookup!F$1,A1157,Lookup!G$1,B1157,Lookup!H$1,H$1,Lookup!I$1)),"no attestation")</f>
        <v>no attestation</v>
      </c>
      <c r="F1157" s="2" t="str">
        <f>IF(AND(NOT(ISBLANK(InfoGard!G1157)),InfoGard!G1157&lt;&gt;"N/A"),IF(C1157="All",CONCATENATE(Lookup!F$2,D1157,Lookup!G$2,B1157,Lookup!H$2,H$1,Lookup!I$2),CONCATENATE(Lookup!F$3,D1157,Lookup!G$3,B1157,Lookup!H$3)),"no url")</f>
        <v>no url</v>
      </c>
    </row>
    <row r="1158" spans="1:6" hidden="1" x14ac:dyDescent="0.25">
      <c r="A1158" s="2" t="b">
        <f>IF(ISBLANK(InfoGard!D1158),FALSE,LOOKUP(InfoGard!D1158,Lookup!$A$2:$B$4))</f>
        <v>0</v>
      </c>
      <c r="B1158" s="2" t="b">
        <f>IF(ISBLANK(InfoGard!E1158),FALSE,RIGHT(TRIM(InfoGard!E1158),15))</f>
        <v>0</v>
      </c>
      <c r="C1158" s="2" t="b">
        <f>IF(ISBLANK(InfoGard!F1158),FALSE,LOOKUP(InfoGard!F1158,Lookup!$A$6:$B$7))</f>
        <v>0</v>
      </c>
      <c r="D1158" s="2" t="b">
        <f>IF(ISBLANK(InfoGard!G1158),FALSE,InfoGard!G1158)</f>
        <v>0</v>
      </c>
      <c r="E1158" s="2" t="str">
        <f>IF(NOT(ISBLANK(InfoGard!D1158)),IF(OR(ISBLANK(InfoGard!E1158),InfoGard!E1158="N/A"),"no acb code",CONCATENATE(Lookup!F$1,A1158,Lookup!G$1,B1158,Lookup!H$1,H$1,Lookup!I$1)),"no attestation")</f>
        <v>no attestation</v>
      </c>
      <c r="F1158" s="2" t="str">
        <f>IF(AND(NOT(ISBLANK(InfoGard!G1158)),InfoGard!G1158&lt;&gt;"N/A"),IF(C1158="All",CONCATENATE(Lookup!F$2,D1158,Lookup!G$2,B1158,Lookup!H$2,H$1,Lookup!I$2),CONCATENATE(Lookup!F$3,D1158,Lookup!G$3,B1158,Lookup!H$3)),"no url")</f>
        <v>no url</v>
      </c>
    </row>
    <row r="1159" spans="1:6" hidden="1" x14ac:dyDescent="0.25">
      <c r="A1159" s="2" t="b">
        <f>IF(ISBLANK(InfoGard!D1159),FALSE,LOOKUP(InfoGard!D1159,Lookup!$A$2:$B$4))</f>
        <v>0</v>
      </c>
      <c r="B1159" s="2" t="b">
        <f>IF(ISBLANK(InfoGard!E1159),FALSE,RIGHT(TRIM(InfoGard!E1159),15))</f>
        <v>0</v>
      </c>
      <c r="C1159" s="2" t="b">
        <f>IF(ISBLANK(InfoGard!F1159),FALSE,LOOKUP(InfoGard!F1159,Lookup!$A$6:$B$7))</f>
        <v>0</v>
      </c>
      <c r="D1159" s="2" t="b">
        <f>IF(ISBLANK(InfoGard!G1159),FALSE,InfoGard!G1159)</f>
        <v>0</v>
      </c>
      <c r="E1159" s="2" t="str">
        <f>IF(NOT(ISBLANK(InfoGard!D1159)),IF(OR(ISBLANK(InfoGard!E1159),InfoGard!E1159="N/A"),"no acb code",CONCATENATE(Lookup!F$1,A1159,Lookup!G$1,B1159,Lookup!H$1,H$1,Lookup!I$1)),"no attestation")</f>
        <v>no attestation</v>
      </c>
      <c r="F1159" s="2" t="str">
        <f>IF(AND(NOT(ISBLANK(InfoGard!G1159)),InfoGard!G1159&lt;&gt;"N/A"),IF(C1159="All",CONCATENATE(Lookup!F$2,D1159,Lookup!G$2,B1159,Lookup!H$2,H$1,Lookup!I$2),CONCATENATE(Lookup!F$3,D1159,Lookup!G$3,B1159,Lookup!H$3)),"no url")</f>
        <v>no url</v>
      </c>
    </row>
    <row r="1160" spans="1:6" hidden="1" x14ac:dyDescent="0.25">
      <c r="A1160" s="2" t="b">
        <f>IF(ISBLANK(InfoGard!D1160),FALSE,LOOKUP(InfoGard!D1160,Lookup!$A$2:$B$4))</f>
        <v>0</v>
      </c>
      <c r="B1160" s="2" t="b">
        <f>IF(ISBLANK(InfoGard!E1160),FALSE,RIGHT(TRIM(InfoGard!E1160),15))</f>
        <v>0</v>
      </c>
      <c r="C1160" s="2" t="b">
        <f>IF(ISBLANK(InfoGard!F1160),FALSE,LOOKUP(InfoGard!F1160,Lookup!$A$6:$B$7))</f>
        <v>0</v>
      </c>
      <c r="D1160" s="2" t="b">
        <f>IF(ISBLANK(InfoGard!G1160),FALSE,InfoGard!G1160)</f>
        <v>0</v>
      </c>
      <c r="E1160" s="2" t="str">
        <f>IF(NOT(ISBLANK(InfoGard!D1160)),IF(OR(ISBLANK(InfoGard!E1160),InfoGard!E1160="N/A"),"no acb code",CONCATENATE(Lookup!F$1,A1160,Lookup!G$1,B1160,Lookup!H$1,H$1,Lookup!I$1)),"no attestation")</f>
        <v>no attestation</v>
      </c>
      <c r="F1160" s="2" t="str">
        <f>IF(AND(NOT(ISBLANK(InfoGard!G1160)),InfoGard!G1160&lt;&gt;"N/A"),IF(C1160="All",CONCATENATE(Lookup!F$2,D1160,Lookup!G$2,B1160,Lookup!H$2,H$1,Lookup!I$2),CONCATENATE(Lookup!F$3,D1160,Lookup!G$3,B1160,Lookup!H$3)),"no url")</f>
        <v>no url</v>
      </c>
    </row>
    <row r="1161" spans="1:6" hidden="1" x14ac:dyDescent="0.25">
      <c r="A1161" s="2" t="b">
        <f>IF(ISBLANK(InfoGard!D1161),FALSE,LOOKUP(InfoGard!D1161,Lookup!$A$2:$B$4))</f>
        <v>0</v>
      </c>
      <c r="B1161" s="2" t="b">
        <f>IF(ISBLANK(InfoGard!E1161),FALSE,RIGHT(TRIM(InfoGard!E1161),15))</f>
        <v>0</v>
      </c>
      <c r="C1161" s="2" t="b">
        <f>IF(ISBLANK(InfoGard!F1161),FALSE,LOOKUP(InfoGard!F1161,Lookup!$A$6:$B$7))</f>
        <v>0</v>
      </c>
      <c r="D1161" s="2" t="b">
        <f>IF(ISBLANK(InfoGard!G1161),FALSE,InfoGard!G1161)</f>
        <v>0</v>
      </c>
      <c r="E1161" s="2" t="str">
        <f>IF(NOT(ISBLANK(InfoGard!D1161)),IF(OR(ISBLANK(InfoGard!E1161),InfoGard!E1161="N/A"),"no acb code",CONCATENATE(Lookup!F$1,A1161,Lookup!G$1,B1161,Lookup!H$1,H$1,Lookup!I$1)),"no attestation")</f>
        <v>no attestation</v>
      </c>
      <c r="F1161" s="2" t="str">
        <f>IF(AND(NOT(ISBLANK(InfoGard!G1161)),InfoGard!G1161&lt;&gt;"N/A"),IF(C1161="All",CONCATENATE(Lookup!F$2,D1161,Lookup!G$2,B1161,Lookup!H$2,H$1,Lookup!I$2),CONCATENATE(Lookup!F$3,D1161,Lookup!G$3,B1161,Lookup!H$3)),"no url")</f>
        <v>no url</v>
      </c>
    </row>
    <row r="1162" spans="1:6" hidden="1" x14ac:dyDescent="0.25">
      <c r="A1162" s="2" t="b">
        <f>IF(ISBLANK(InfoGard!D1162),FALSE,LOOKUP(InfoGard!D1162,Lookup!$A$2:$B$4))</f>
        <v>0</v>
      </c>
      <c r="B1162" s="2" t="b">
        <f>IF(ISBLANK(InfoGard!E1162),FALSE,RIGHT(TRIM(InfoGard!E1162),15))</f>
        <v>0</v>
      </c>
      <c r="C1162" s="2" t="b">
        <f>IF(ISBLANK(InfoGard!F1162),FALSE,LOOKUP(InfoGard!F1162,Lookup!$A$6:$B$7))</f>
        <v>0</v>
      </c>
      <c r="D1162" s="2" t="b">
        <f>IF(ISBLANK(InfoGard!G1162),FALSE,InfoGard!G1162)</f>
        <v>0</v>
      </c>
      <c r="E1162" s="2" t="str">
        <f>IF(NOT(ISBLANK(InfoGard!D1162)),IF(OR(ISBLANK(InfoGard!E1162),InfoGard!E1162="N/A"),"no acb code",CONCATENATE(Lookup!F$1,A1162,Lookup!G$1,B1162,Lookup!H$1,H$1,Lookup!I$1)),"no attestation")</f>
        <v>no attestation</v>
      </c>
      <c r="F1162" s="2" t="str">
        <f>IF(AND(NOT(ISBLANK(InfoGard!G1162)),InfoGard!G1162&lt;&gt;"N/A"),IF(C1162="All",CONCATENATE(Lookup!F$2,D1162,Lookup!G$2,B1162,Lookup!H$2,H$1,Lookup!I$2),CONCATENATE(Lookup!F$3,D1162,Lookup!G$3,B1162,Lookup!H$3)),"no url")</f>
        <v>no url</v>
      </c>
    </row>
    <row r="1163" spans="1:6" hidden="1" x14ac:dyDescent="0.25">
      <c r="A1163" s="2" t="b">
        <f>IF(ISBLANK(InfoGard!D1163),FALSE,LOOKUP(InfoGard!D1163,Lookup!$A$2:$B$4))</f>
        <v>0</v>
      </c>
      <c r="B1163" s="2" t="b">
        <f>IF(ISBLANK(InfoGard!E1163),FALSE,RIGHT(TRIM(InfoGard!E1163),15))</f>
        <v>0</v>
      </c>
      <c r="C1163" s="2" t="b">
        <f>IF(ISBLANK(InfoGard!F1163),FALSE,LOOKUP(InfoGard!F1163,Lookup!$A$6:$B$7))</f>
        <v>0</v>
      </c>
      <c r="D1163" s="2" t="b">
        <f>IF(ISBLANK(InfoGard!G1163),FALSE,InfoGard!G1163)</f>
        <v>0</v>
      </c>
      <c r="E1163" s="2" t="str">
        <f>IF(NOT(ISBLANK(InfoGard!D1163)),IF(OR(ISBLANK(InfoGard!E1163),InfoGard!E1163="N/A"),"no acb code",CONCATENATE(Lookup!F$1,A1163,Lookup!G$1,B1163,Lookup!H$1,H$1,Lookup!I$1)),"no attestation")</f>
        <v>no attestation</v>
      </c>
      <c r="F1163" s="2" t="str">
        <f>IF(AND(NOT(ISBLANK(InfoGard!G1163)),InfoGard!G1163&lt;&gt;"N/A"),IF(C1163="All",CONCATENATE(Lookup!F$2,D1163,Lookup!G$2,B1163,Lookup!H$2,H$1,Lookup!I$2),CONCATENATE(Lookup!F$3,D1163,Lookup!G$3,B1163,Lookup!H$3)),"no url")</f>
        <v>no url</v>
      </c>
    </row>
    <row r="1164" spans="1:6" hidden="1" x14ac:dyDescent="0.25">
      <c r="A1164" s="2" t="b">
        <f>IF(ISBLANK(InfoGard!D1164),FALSE,LOOKUP(InfoGard!D1164,Lookup!$A$2:$B$4))</f>
        <v>0</v>
      </c>
      <c r="B1164" s="2" t="b">
        <f>IF(ISBLANK(InfoGard!E1164),FALSE,RIGHT(TRIM(InfoGard!E1164),15))</f>
        <v>0</v>
      </c>
      <c r="C1164" s="2" t="b">
        <f>IF(ISBLANK(InfoGard!F1164),FALSE,LOOKUP(InfoGard!F1164,Lookup!$A$6:$B$7))</f>
        <v>0</v>
      </c>
      <c r="D1164" s="2" t="b">
        <f>IF(ISBLANK(InfoGard!G1164),FALSE,InfoGard!G1164)</f>
        <v>0</v>
      </c>
      <c r="E1164" s="2" t="str">
        <f>IF(NOT(ISBLANK(InfoGard!D1164)),IF(OR(ISBLANK(InfoGard!E1164),InfoGard!E1164="N/A"),"no acb code",CONCATENATE(Lookup!F$1,A1164,Lookup!G$1,B1164,Lookup!H$1,H$1,Lookup!I$1)),"no attestation")</f>
        <v>no attestation</v>
      </c>
      <c r="F1164" s="2" t="str">
        <f>IF(AND(NOT(ISBLANK(InfoGard!G1164)),InfoGard!G1164&lt;&gt;"N/A"),IF(C1164="All",CONCATENATE(Lookup!F$2,D1164,Lookup!G$2,B1164,Lookup!H$2,H$1,Lookup!I$2),CONCATENATE(Lookup!F$3,D1164,Lookup!G$3,B1164,Lookup!H$3)),"no url")</f>
        <v>no url</v>
      </c>
    </row>
    <row r="1165" spans="1:6" hidden="1" x14ac:dyDescent="0.25">
      <c r="A1165" s="2" t="b">
        <f>IF(ISBLANK(InfoGard!D1165),FALSE,LOOKUP(InfoGard!D1165,Lookup!$A$2:$B$4))</f>
        <v>0</v>
      </c>
      <c r="B1165" s="2" t="b">
        <f>IF(ISBLANK(InfoGard!E1165),FALSE,RIGHT(TRIM(InfoGard!E1165),15))</f>
        <v>0</v>
      </c>
      <c r="C1165" s="2" t="b">
        <f>IF(ISBLANK(InfoGard!F1165),FALSE,LOOKUP(InfoGard!F1165,Lookup!$A$6:$B$7))</f>
        <v>0</v>
      </c>
      <c r="D1165" s="2" t="b">
        <f>IF(ISBLANK(InfoGard!G1165),FALSE,InfoGard!G1165)</f>
        <v>0</v>
      </c>
      <c r="E1165" s="2" t="str">
        <f>IF(NOT(ISBLANK(InfoGard!D1165)),IF(OR(ISBLANK(InfoGard!E1165),InfoGard!E1165="N/A"),"no acb code",CONCATENATE(Lookup!F$1,A1165,Lookup!G$1,B1165,Lookup!H$1,H$1,Lookup!I$1)),"no attestation")</f>
        <v>no attestation</v>
      </c>
      <c r="F1165" s="2" t="str">
        <f>IF(AND(NOT(ISBLANK(InfoGard!G1165)),InfoGard!G1165&lt;&gt;"N/A"),IF(C1165="All",CONCATENATE(Lookup!F$2,D1165,Lookup!G$2,B1165,Lookup!H$2,H$1,Lookup!I$2),CONCATENATE(Lookup!F$3,D1165,Lookup!G$3,B1165,Lookup!H$3)),"no url")</f>
        <v>no url</v>
      </c>
    </row>
    <row r="1166" spans="1:6" hidden="1" x14ac:dyDescent="0.25">
      <c r="A1166" s="2" t="b">
        <f>IF(ISBLANK(InfoGard!D1166),FALSE,LOOKUP(InfoGard!D1166,Lookup!$A$2:$B$4))</f>
        <v>0</v>
      </c>
      <c r="B1166" s="2" t="b">
        <f>IF(ISBLANK(InfoGard!E1166),FALSE,RIGHT(TRIM(InfoGard!E1166),15))</f>
        <v>0</v>
      </c>
      <c r="C1166" s="2" t="b">
        <f>IF(ISBLANK(InfoGard!F1166),FALSE,LOOKUP(InfoGard!F1166,Lookup!$A$6:$B$7))</f>
        <v>0</v>
      </c>
      <c r="D1166" s="2" t="b">
        <f>IF(ISBLANK(InfoGard!G1166),FALSE,InfoGard!G1166)</f>
        <v>0</v>
      </c>
      <c r="E1166" s="2" t="str">
        <f>IF(NOT(ISBLANK(InfoGard!D1166)),IF(OR(ISBLANK(InfoGard!E1166),InfoGard!E1166="N/A"),"no acb code",CONCATENATE(Lookup!F$1,A1166,Lookup!G$1,B1166,Lookup!H$1,H$1,Lookup!I$1)),"no attestation")</f>
        <v>no attestation</v>
      </c>
      <c r="F1166" s="2" t="str">
        <f>IF(AND(NOT(ISBLANK(InfoGard!G1166)),InfoGard!G1166&lt;&gt;"N/A"),IF(C1166="All",CONCATENATE(Lookup!F$2,D1166,Lookup!G$2,B1166,Lookup!H$2,H$1,Lookup!I$2),CONCATENATE(Lookup!F$3,D1166,Lookup!G$3,B1166,Lookup!H$3)),"no url")</f>
        <v>no url</v>
      </c>
    </row>
    <row r="1167" spans="1:6" hidden="1" x14ac:dyDescent="0.25">
      <c r="A1167" s="2" t="b">
        <f>IF(ISBLANK(InfoGard!D1167),FALSE,LOOKUP(InfoGard!D1167,Lookup!$A$2:$B$4))</f>
        <v>0</v>
      </c>
      <c r="B1167" s="2" t="b">
        <f>IF(ISBLANK(InfoGard!E1167),FALSE,RIGHT(TRIM(InfoGard!E1167),15))</f>
        <v>0</v>
      </c>
      <c r="C1167" s="2" t="b">
        <f>IF(ISBLANK(InfoGard!F1167),FALSE,LOOKUP(InfoGard!F1167,Lookup!$A$6:$B$7))</f>
        <v>0</v>
      </c>
      <c r="D1167" s="2" t="b">
        <f>IF(ISBLANK(InfoGard!G1167),FALSE,InfoGard!G1167)</f>
        <v>0</v>
      </c>
      <c r="E1167" s="2" t="str">
        <f>IF(NOT(ISBLANK(InfoGard!D1167)),IF(OR(ISBLANK(InfoGard!E1167),InfoGard!E1167="N/A"),"no acb code",CONCATENATE(Lookup!F$1,A1167,Lookup!G$1,B1167,Lookup!H$1,H$1,Lookup!I$1)),"no attestation")</f>
        <v>no attestation</v>
      </c>
      <c r="F1167" s="2" t="str">
        <f>IF(AND(NOT(ISBLANK(InfoGard!G1167)),InfoGard!G1167&lt;&gt;"N/A"),IF(C1167="All",CONCATENATE(Lookup!F$2,D1167,Lookup!G$2,B1167,Lookup!H$2,H$1,Lookup!I$2),CONCATENATE(Lookup!F$3,D1167,Lookup!G$3,B1167,Lookup!H$3)),"no url")</f>
        <v>no url</v>
      </c>
    </row>
    <row r="1168" spans="1:6" hidden="1" x14ac:dyDescent="0.25">
      <c r="A1168" s="2" t="b">
        <f>IF(ISBLANK(InfoGard!D1168),FALSE,LOOKUP(InfoGard!D1168,Lookup!$A$2:$B$4))</f>
        <v>0</v>
      </c>
      <c r="B1168" s="2" t="b">
        <f>IF(ISBLANK(InfoGard!E1168),FALSE,RIGHT(TRIM(InfoGard!E1168),15))</f>
        <v>0</v>
      </c>
      <c r="C1168" s="2" t="b">
        <f>IF(ISBLANK(InfoGard!F1168),FALSE,LOOKUP(InfoGard!F1168,Lookup!$A$6:$B$7))</f>
        <v>0</v>
      </c>
      <c r="D1168" s="2" t="b">
        <f>IF(ISBLANK(InfoGard!G1168),FALSE,InfoGard!G1168)</f>
        <v>0</v>
      </c>
      <c r="E1168" s="2" t="str">
        <f>IF(NOT(ISBLANK(InfoGard!D1168)),IF(OR(ISBLANK(InfoGard!E1168),InfoGard!E1168="N/A"),"no acb code",CONCATENATE(Lookup!F$1,A1168,Lookup!G$1,B1168,Lookup!H$1,H$1,Lookup!I$1)),"no attestation")</f>
        <v>no attestation</v>
      </c>
      <c r="F1168" s="2" t="str">
        <f>IF(AND(NOT(ISBLANK(InfoGard!G1168)),InfoGard!G1168&lt;&gt;"N/A"),IF(C1168="All",CONCATENATE(Lookup!F$2,D1168,Lookup!G$2,B1168,Lookup!H$2,H$1,Lookup!I$2),CONCATENATE(Lookup!F$3,D1168,Lookup!G$3,B1168,Lookup!H$3)),"no url")</f>
        <v>no url</v>
      </c>
    </row>
    <row r="1169" spans="1:6" hidden="1" x14ac:dyDescent="0.25">
      <c r="A1169" s="2" t="b">
        <f>IF(ISBLANK(InfoGard!D1169),FALSE,LOOKUP(InfoGard!D1169,Lookup!$A$2:$B$4))</f>
        <v>0</v>
      </c>
      <c r="B1169" s="2" t="b">
        <f>IF(ISBLANK(InfoGard!E1169),FALSE,RIGHT(TRIM(InfoGard!E1169),15))</f>
        <v>0</v>
      </c>
      <c r="C1169" s="2" t="b">
        <f>IF(ISBLANK(InfoGard!F1169),FALSE,LOOKUP(InfoGard!F1169,Lookup!$A$6:$B$7))</f>
        <v>0</v>
      </c>
      <c r="D1169" s="2" t="b">
        <f>IF(ISBLANK(InfoGard!G1169),FALSE,InfoGard!G1169)</f>
        <v>0</v>
      </c>
      <c r="E1169" s="2" t="str">
        <f>IF(NOT(ISBLANK(InfoGard!D1169)),IF(OR(ISBLANK(InfoGard!E1169),InfoGard!E1169="N/A"),"no acb code",CONCATENATE(Lookup!F$1,A1169,Lookup!G$1,B1169,Lookup!H$1,H$1,Lookup!I$1)),"no attestation")</f>
        <v>no attestation</v>
      </c>
      <c r="F1169" s="2" t="str">
        <f>IF(AND(NOT(ISBLANK(InfoGard!G1169)),InfoGard!G1169&lt;&gt;"N/A"),IF(C1169="All",CONCATENATE(Lookup!F$2,D1169,Lookup!G$2,B1169,Lookup!H$2,H$1,Lookup!I$2),CONCATENATE(Lookup!F$3,D1169,Lookup!G$3,B1169,Lookup!H$3)),"no url")</f>
        <v>no url</v>
      </c>
    </row>
    <row r="1170" spans="1:6" hidden="1" x14ac:dyDescent="0.25">
      <c r="A1170" s="2" t="b">
        <f>IF(ISBLANK(InfoGard!D1170),FALSE,LOOKUP(InfoGard!D1170,Lookup!$A$2:$B$4))</f>
        <v>0</v>
      </c>
      <c r="B1170" s="2" t="b">
        <f>IF(ISBLANK(InfoGard!E1170),FALSE,RIGHT(TRIM(InfoGard!E1170),15))</f>
        <v>0</v>
      </c>
      <c r="C1170" s="2" t="b">
        <f>IF(ISBLANK(InfoGard!F1170),FALSE,LOOKUP(InfoGard!F1170,Lookup!$A$6:$B$7))</f>
        <v>0</v>
      </c>
      <c r="D1170" s="2" t="b">
        <f>IF(ISBLANK(InfoGard!G1170),FALSE,InfoGard!G1170)</f>
        <v>0</v>
      </c>
      <c r="E1170" s="2" t="str">
        <f>IF(NOT(ISBLANK(InfoGard!D1170)),IF(OR(ISBLANK(InfoGard!E1170),InfoGard!E1170="N/A"),"no acb code",CONCATENATE(Lookup!F$1,A1170,Lookup!G$1,B1170,Lookup!H$1,H$1,Lookup!I$1)),"no attestation")</f>
        <v>no attestation</v>
      </c>
      <c r="F1170" s="2" t="str">
        <f>IF(AND(NOT(ISBLANK(InfoGard!G1170)),InfoGard!G1170&lt;&gt;"N/A"),IF(C1170="All",CONCATENATE(Lookup!F$2,D1170,Lookup!G$2,B1170,Lookup!H$2,H$1,Lookup!I$2),CONCATENATE(Lookup!F$3,D1170,Lookup!G$3,B1170,Lookup!H$3)),"no url")</f>
        <v>no url</v>
      </c>
    </row>
    <row r="1171" spans="1:6" hidden="1" x14ac:dyDescent="0.25">
      <c r="A1171" s="2" t="b">
        <f>IF(ISBLANK(InfoGard!D1171),FALSE,LOOKUP(InfoGard!D1171,Lookup!$A$2:$B$4))</f>
        <v>0</v>
      </c>
      <c r="B1171" s="2" t="b">
        <f>IF(ISBLANK(InfoGard!E1171),FALSE,RIGHT(TRIM(InfoGard!E1171),15))</f>
        <v>0</v>
      </c>
      <c r="C1171" s="2" t="b">
        <f>IF(ISBLANK(InfoGard!F1171),FALSE,LOOKUP(InfoGard!F1171,Lookup!$A$6:$B$7))</f>
        <v>0</v>
      </c>
      <c r="D1171" s="2" t="b">
        <f>IF(ISBLANK(InfoGard!G1171),FALSE,InfoGard!G1171)</f>
        <v>0</v>
      </c>
      <c r="E1171" s="2" t="str">
        <f>IF(NOT(ISBLANK(InfoGard!D1171)),IF(OR(ISBLANK(InfoGard!E1171),InfoGard!E1171="N/A"),"no acb code",CONCATENATE(Lookup!F$1,A1171,Lookup!G$1,B1171,Lookup!H$1,H$1,Lookup!I$1)),"no attestation")</f>
        <v>no attestation</v>
      </c>
      <c r="F1171" s="2" t="str">
        <f>IF(AND(NOT(ISBLANK(InfoGard!G1171)),InfoGard!G1171&lt;&gt;"N/A"),IF(C1171="All",CONCATENATE(Lookup!F$2,D1171,Lookup!G$2,B1171,Lookup!H$2,H$1,Lookup!I$2),CONCATENATE(Lookup!F$3,D1171,Lookup!G$3,B1171,Lookup!H$3)),"no url")</f>
        <v>no url</v>
      </c>
    </row>
    <row r="1172" spans="1:6" hidden="1" x14ac:dyDescent="0.25">
      <c r="A1172" s="2" t="b">
        <f>IF(ISBLANK(InfoGard!D1172),FALSE,LOOKUP(InfoGard!D1172,Lookup!$A$2:$B$4))</f>
        <v>0</v>
      </c>
      <c r="B1172" s="2" t="b">
        <f>IF(ISBLANK(InfoGard!E1172),FALSE,RIGHT(TRIM(InfoGard!E1172),15))</f>
        <v>0</v>
      </c>
      <c r="C1172" s="2" t="b">
        <f>IF(ISBLANK(InfoGard!F1172),FALSE,LOOKUP(InfoGard!F1172,Lookup!$A$6:$B$7))</f>
        <v>0</v>
      </c>
      <c r="D1172" s="2" t="b">
        <f>IF(ISBLANK(InfoGard!G1172),FALSE,InfoGard!G1172)</f>
        <v>0</v>
      </c>
      <c r="E1172" s="2" t="str">
        <f>IF(NOT(ISBLANK(InfoGard!D1172)),IF(OR(ISBLANK(InfoGard!E1172),InfoGard!E1172="N/A"),"no acb code",CONCATENATE(Lookup!F$1,A1172,Lookup!G$1,B1172,Lookup!H$1,H$1,Lookup!I$1)),"no attestation")</f>
        <v>no attestation</v>
      </c>
      <c r="F1172" s="2" t="str">
        <f>IF(AND(NOT(ISBLANK(InfoGard!G1172)),InfoGard!G1172&lt;&gt;"N/A"),IF(C1172="All",CONCATENATE(Lookup!F$2,D1172,Lookup!G$2,B1172,Lookup!H$2,H$1,Lookup!I$2),CONCATENATE(Lookup!F$3,D1172,Lookup!G$3,B1172,Lookup!H$3)),"no url")</f>
        <v>no url</v>
      </c>
    </row>
    <row r="1173" spans="1:6" hidden="1" x14ac:dyDescent="0.25">
      <c r="A1173" s="2" t="b">
        <f>IF(ISBLANK(InfoGard!D1173),FALSE,LOOKUP(InfoGard!D1173,Lookup!$A$2:$B$4))</f>
        <v>0</v>
      </c>
      <c r="B1173" s="2" t="b">
        <f>IF(ISBLANK(InfoGard!E1173),FALSE,RIGHT(TRIM(InfoGard!E1173),15))</f>
        <v>0</v>
      </c>
      <c r="C1173" s="2" t="b">
        <f>IF(ISBLANK(InfoGard!F1173),FALSE,LOOKUP(InfoGard!F1173,Lookup!$A$6:$B$7))</f>
        <v>0</v>
      </c>
      <c r="D1173" s="2" t="b">
        <f>IF(ISBLANK(InfoGard!G1173),FALSE,InfoGard!G1173)</f>
        <v>0</v>
      </c>
      <c r="E1173" s="2" t="str">
        <f>IF(NOT(ISBLANK(InfoGard!D1173)),IF(OR(ISBLANK(InfoGard!E1173),InfoGard!E1173="N/A"),"no acb code",CONCATENATE(Lookup!F$1,A1173,Lookup!G$1,B1173,Lookup!H$1,H$1,Lookup!I$1)),"no attestation")</f>
        <v>no attestation</v>
      </c>
      <c r="F1173" s="2" t="str">
        <f>IF(AND(NOT(ISBLANK(InfoGard!G1173)),InfoGard!G1173&lt;&gt;"N/A"),IF(C1173="All",CONCATENATE(Lookup!F$2,D1173,Lookup!G$2,B1173,Lookup!H$2,H$1,Lookup!I$2),CONCATENATE(Lookup!F$3,D1173,Lookup!G$3,B1173,Lookup!H$3)),"no url")</f>
        <v>no url</v>
      </c>
    </row>
    <row r="1174" spans="1:6" hidden="1" x14ac:dyDescent="0.25">
      <c r="A1174" s="2" t="b">
        <f>IF(ISBLANK(InfoGard!D1174),FALSE,LOOKUP(InfoGard!D1174,Lookup!$A$2:$B$4))</f>
        <v>0</v>
      </c>
      <c r="B1174" s="2" t="b">
        <f>IF(ISBLANK(InfoGard!E1174),FALSE,RIGHT(TRIM(InfoGard!E1174),15))</f>
        <v>0</v>
      </c>
      <c r="C1174" s="2" t="b">
        <f>IF(ISBLANK(InfoGard!F1174),FALSE,LOOKUP(InfoGard!F1174,Lookup!$A$6:$B$7))</f>
        <v>0</v>
      </c>
      <c r="D1174" s="2" t="b">
        <f>IF(ISBLANK(InfoGard!G1174),FALSE,InfoGard!G1174)</f>
        <v>0</v>
      </c>
      <c r="E1174" s="2" t="str">
        <f>IF(NOT(ISBLANK(InfoGard!D1174)),IF(OR(ISBLANK(InfoGard!E1174),InfoGard!E1174="N/A"),"no acb code",CONCATENATE(Lookup!F$1,A1174,Lookup!G$1,B1174,Lookup!H$1,H$1,Lookup!I$1)),"no attestation")</f>
        <v>no attestation</v>
      </c>
      <c r="F1174" s="2" t="str">
        <f>IF(AND(NOT(ISBLANK(InfoGard!G1174)),InfoGard!G1174&lt;&gt;"N/A"),IF(C1174="All",CONCATENATE(Lookup!F$2,D1174,Lookup!G$2,B1174,Lookup!H$2,H$1,Lookup!I$2),CONCATENATE(Lookup!F$3,D1174,Lookup!G$3,B1174,Lookup!H$3)),"no url")</f>
        <v>no url</v>
      </c>
    </row>
    <row r="1175" spans="1:6" hidden="1" x14ac:dyDescent="0.25">
      <c r="A1175" s="2" t="b">
        <f>IF(ISBLANK(InfoGard!D1175),FALSE,LOOKUP(InfoGard!D1175,Lookup!$A$2:$B$4))</f>
        <v>0</v>
      </c>
      <c r="B1175" s="2" t="b">
        <f>IF(ISBLANK(InfoGard!E1175),FALSE,RIGHT(TRIM(InfoGard!E1175),15))</f>
        <v>0</v>
      </c>
      <c r="C1175" s="2" t="b">
        <f>IF(ISBLANK(InfoGard!F1175),FALSE,LOOKUP(InfoGard!F1175,Lookup!$A$6:$B$7))</f>
        <v>0</v>
      </c>
      <c r="D1175" s="2" t="b">
        <f>IF(ISBLANK(InfoGard!G1175),FALSE,InfoGard!G1175)</f>
        <v>0</v>
      </c>
      <c r="E1175" s="2" t="str">
        <f>IF(NOT(ISBLANK(InfoGard!D1175)),IF(OR(ISBLANK(InfoGard!E1175),InfoGard!E1175="N/A"),"no acb code",CONCATENATE(Lookup!F$1,A1175,Lookup!G$1,B1175,Lookup!H$1,H$1,Lookup!I$1)),"no attestation")</f>
        <v>no attestation</v>
      </c>
      <c r="F1175" s="2" t="str">
        <f>IF(AND(NOT(ISBLANK(InfoGard!G1175)),InfoGard!G1175&lt;&gt;"N/A"),IF(C1175="All",CONCATENATE(Lookup!F$2,D1175,Lookup!G$2,B1175,Lookup!H$2,H$1,Lookup!I$2),CONCATENATE(Lookup!F$3,D1175,Lookup!G$3,B1175,Lookup!H$3)),"no url")</f>
        <v>no url</v>
      </c>
    </row>
    <row r="1176" spans="1:6" hidden="1" x14ac:dyDescent="0.25">
      <c r="A1176" s="2" t="b">
        <f>IF(ISBLANK(InfoGard!D1176),FALSE,LOOKUP(InfoGard!D1176,Lookup!$A$2:$B$4))</f>
        <v>0</v>
      </c>
      <c r="B1176" s="2" t="b">
        <f>IF(ISBLANK(InfoGard!E1176),FALSE,RIGHT(TRIM(InfoGard!E1176),15))</f>
        <v>0</v>
      </c>
      <c r="C1176" s="2" t="b">
        <f>IF(ISBLANK(InfoGard!F1176),FALSE,LOOKUP(InfoGard!F1176,Lookup!$A$6:$B$7))</f>
        <v>0</v>
      </c>
      <c r="D1176" s="2" t="b">
        <f>IF(ISBLANK(InfoGard!G1176),FALSE,InfoGard!G1176)</f>
        <v>0</v>
      </c>
      <c r="E1176" s="2" t="str">
        <f>IF(NOT(ISBLANK(InfoGard!D1176)),IF(OR(ISBLANK(InfoGard!E1176),InfoGard!E1176="N/A"),"no acb code",CONCATENATE(Lookup!F$1,A1176,Lookup!G$1,B1176,Lookup!H$1,H$1,Lookup!I$1)),"no attestation")</f>
        <v>no attestation</v>
      </c>
      <c r="F1176" s="2" t="str">
        <f>IF(AND(NOT(ISBLANK(InfoGard!G1176)),InfoGard!G1176&lt;&gt;"N/A"),IF(C1176="All",CONCATENATE(Lookup!F$2,D1176,Lookup!G$2,B1176,Lookup!H$2,H$1,Lookup!I$2),CONCATENATE(Lookup!F$3,D1176,Lookup!G$3,B1176,Lookup!H$3)),"no url")</f>
        <v>no url</v>
      </c>
    </row>
    <row r="1177" spans="1:6" x14ac:dyDescent="0.25">
      <c r="A1177" s="2" t="str">
        <f>IF(ISBLANK(InfoGard!D1177),FALSE,LOOKUP(InfoGard!D1177,Lookup!$A$2:$B$4))</f>
        <v>Affirmative</v>
      </c>
      <c r="B1177" s="2" t="str">
        <f>IF(ISBLANK(InfoGard!E1177),FALSE,RIGHT(TRIM(InfoGard!E1177),15))</f>
        <v>IG-3086-15-0029</v>
      </c>
      <c r="C1177" s="2" t="str">
        <f>IF(ISBLANK(InfoGard!F1177),FALSE,LOOKUP(InfoGard!F1177,Lookup!$A$6:$B$7))</f>
        <v>All</v>
      </c>
      <c r="D1177" s="2" t="str">
        <f>IF(ISBLANK(InfoGard!G1177),FALSE,InfoGard!G1177)</f>
        <v>www.mypwer.com</v>
      </c>
      <c r="E1177" s="2" t="str">
        <f>IF(NOT(ISBLANK(InfoGard!D1177)),IF(OR(ISBLANK(InfoGard!E1177),InfoGard!E1177="N/A"),"no acb code",CONCATENATE(Lookup!F$1,A1177,Lookup!G$1,B1177,Lookup!H$1,H$1,Lookup!I$1)),"no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'IG-3086-15-0029' and cb."name" = 'InfoGard' and cp.product_version_id = pv.product_version_id and pv.product_id = p.product_id and p.vendor_id = vend.vendor_id;</v>
      </c>
      <c r="F1177" s="2" t="str">
        <f>IF(AND(NOT(ISBLANK(InfoGard!G1177)),InfoGard!G1177&lt;&gt;"N/A"),IF(C1177="All",CONCATENATE(Lookup!F$2,D1177,Lookup!G$2,B1177,Lookup!H$2,H$1,Lookup!I$2),CONCATENATE(Lookup!F$3,D1177,Lookup!G$3,B1177,Lookup!H$3)),"no url")</f>
        <v>update openchpl.certified_product as cp set transparency_attestation_url = 'www.mypwer.com' from (select certified_product_id from (select vend.vendor_code from openchpl.certified_product as cp, openchpl.product_version as pv, openchpl.product as p, openchpl.vendor as vend where cp.acb_certification_id = 'IG-3086-15-0029'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78" spans="1:6" hidden="1" x14ac:dyDescent="0.25">
      <c r="A1178" s="2" t="b">
        <f>IF(ISBLANK(InfoGard!D1178),FALSE,LOOKUP(InfoGard!D1178,Lookup!$A$2:$B$4))</f>
        <v>0</v>
      </c>
      <c r="B1178" s="2" t="b">
        <f>IF(ISBLANK(InfoGard!E1178),FALSE,RIGHT(TRIM(InfoGard!E1178),15))</f>
        <v>0</v>
      </c>
      <c r="C1178" s="2" t="b">
        <f>IF(ISBLANK(InfoGard!F1178),FALSE,LOOKUP(InfoGard!F1178,Lookup!$A$6:$B$7))</f>
        <v>0</v>
      </c>
      <c r="D1178" s="2" t="b">
        <f>IF(ISBLANK(InfoGard!G1178),FALSE,InfoGard!G1178)</f>
        <v>0</v>
      </c>
      <c r="E1178" s="2" t="str">
        <f>IF(NOT(ISBLANK(InfoGard!D1178)),IF(OR(ISBLANK(InfoGard!E1178),InfoGard!E1178="N/A"),"no acb code",CONCATENATE(Lookup!F$1,A1178,Lookup!G$1,B1178,Lookup!H$1,H$1,Lookup!I$1)),"no attestation")</f>
        <v>no attestation</v>
      </c>
      <c r="F1178" s="2" t="str">
        <f>IF(AND(NOT(ISBLANK(InfoGard!G1178)),InfoGard!G1178&lt;&gt;"N/A"),IF(C1178="All",CONCATENATE(Lookup!F$2,D1178,Lookup!G$2,B1178,Lookup!H$2,H$1,Lookup!I$2),CONCATENATE(Lookup!F$3,D1178,Lookup!G$3,B1178,Lookup!H$3)),"no url")</f>
        <v>no url</v>
      </c>
    </row>
    <row r="1179" spans="1:6" hidden="1" x14ac:dyDescent="0.25">
      <c r="A1179" s="2" t="b">
        <f>IF(ISBLANK(InfoGard!D1179),FALSE,LOOKUP(InfoGard!D1179,Lookup!$A$2:$B$4))</f>
        <v>0</v>
      </c>
      <c r="B1179" s="2" t="b">
        <f>IF(ISBLANK(InfoGard!E1179),FALSE,RIGHT(TRIM(InfoGard!E1179),15))</f>
        <v>0</v>
      </c>
      <c r="C1179" s="2" t="b">
        <f>IF(ISBLANK(InfoGard!F1179),FALSE,LOOKUP(InfoGard!F1179,Lookup!$A$6:$B$7))</f>
        <v>0</v>
      </c>
      <c r="D1179" s="2" t="b">
        <f>IF(ISBLANK(InfoGard!G1179),FALSE,InfoGard!G1179)</f>
        <v>0</v>
      </c>
      <c r="E1179" s="2" t="str">
        <f>IF(NOT(ISBLANK(InfoGard!D1179)),IF(OR(ISBLANK(InfoGard!E1179),InfoGard!E1179="N/A"),"no acb code",CONCATENATE(Lookup!F$1,A1179,Lookup!G$1,B1179,Lookup!H$1,H$1,Lookup!I$1)),"no attestation")</f>
        <v>no attestation</v>
      </c>
      <c r="F1179" s="2" t="str">
        <f>IF(AND(NOT(ISBLANK(InfoGard!G1179)),InfoGard!G1179&lt;&gt;"N/A"),IF(C1179="All",CONCATENATE(Lookup!F$2,D1179,Lookup!G$2,B1179,Lookup!H$2,H$1,Lookup!I$2),CONCATENATE(Lookup!F$3,D1179,Lookup!G$3,B1179,Lookup!H$3)),"no url")</f>
        <v>no url</v>
      </c>
    </row>
    <row r="1180" spans="1:6" x14ac:dyDescent="0.25">
      <c r="A1180" s="2" t="str">
        <f>IF(ISBLANK(InfoGard!D1180),FALSE,LOOKUP(InfoGard!D1180,Lookup!$A$2:$B$4))</f>
        <v>Affirmative</v>
      </c>
      <c r="B1180" s="2" t="str">
        <f>IF(ISBLANK(InfoGard!E1180),FALSE,RIGHT(TRIM(InfoGard!E1180),15))</f>
        <v>IG-3290-15-0048</v>
      </c>
      <c r="C1180" s="2" t="str">
        <f>IF(ISBLANK(InfoGard!F1180),FALSE,LOOKUP(InfoGard!F1180,Lookup!$A$6:$B$7))</f>
        <v>All</v>
      </c>
      <c r="D1180" s="2" t="str">
        <f>IF(ISBLANK(InfoGard!G1180),FALSE,InfoGard!G1180)</f>
        <v>http://quikeyes.com/ONCCertifiedHIT.aspx</v>
      </c>
      <c r="E1180" s="2" t="str">
        <f>IF(NOT(ISBLANK(InfoGard!D1180)),IF(OR(ISBLANK(InfoGard!E1180),InfoGard!E1180="N/A"),"no acb code",CONCATENATE(Lookup!F$1,A1180,Lookup!G$1,B1180,Lookup!H$1,H$1,Lookup!I$1)),"no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'IG-3290-15-0048' and cb."name" = 'InfoGard' and cp.product_version_id = pv.product_version_id and pv.product_id = p.product_id and p.vendor_id = vend.vendor_id;</v>
      </c>
      <c r="F1180" s="2" t="str">
        <f>IF(AND(NOT(ISBLANK(InfoGard!G1180)),InfoGard!G1180&lt;&gt;"N/A"),IF(C1180="All",CONCATENATE(Lookup!F$2,D1180,Lookup!G$2,B1180,Lookup!H$2,H$1,Lookup!I$2),CONCATENATE(Lookup!F$3,D1180,Lookup!G$3,B1180,Lookup!H$3)),"no url")</f>
        <v>update openchpl.certified_product as cp set transparency_attestation_url = 'http://quikeyes.com/ONCCertifiedHIT.aspx' from (select certified_product_id from (select vend.vendor_code from openchpl.certified_product as cp, openchpl.product_version as pv, openchpl.product as p, openchpl.vendor as vend where cp.acb_certification_id = 'IG-3290-15-0048'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81" spans="1:6" hidden="1" x14ac:dyDescent="0.25">
      <c r="A1181" s="2" t="b">
        <f>IF(ISBLANK(InfoGard!D1181),FALSE,LOOKUP(InfoGard!D1181,Lookup!$A$2:$B$4))</f>
        <v>0</v>
      </c>
      <c r="B1181" s="2" t="b">
        <f>IF(ISBLANK(InfoGard!E1181),FALSE,RIGHT(TRIM(InfoGard!E1181),15))</f>
        <v>0</v>
      </c>
      <c r="C1181" s="2" t="b">
        <f>IF(ISBLANK(InfoGard!F1181),FALSE,LOOKUP(InfoGard!F1181,Lookup!$A$6:$B$7))</f>
        <v>0</v>
      </c>
      <c r="D1181" s="2" t="b">
        <f>IF(ISBLANK(InfoGard!G1181),FALSE,InfoGard!G1181)</f>
        <v>0</v>
      </c>
      <c r="E1181" s="2" t="str">
        <f>IF(NOT(ISBLANK(InfoGard!D1181)),IF(OR(ISBLANK(InfoGard!E1181),InfoGard!E1181="N/A"),"no acb code",CONCATENATE(Lookup!F$1,A1181,Lookup!G$1,B1181,Lookup!H$1,H$1,Lookup!I$1)),"no attestation")</f>
        <v>no attestation</v>
      </c>
      <c r="F1181" s="2" t="str">
        <f>IF(AND(NOT(ISBLANK(InfoGard!G1181)),InfoGard!G1181&lt;&gt;"N/A"),IF(C1181="All",CONCATENATE(Lookup!F$2,D1181,Lookup!G$2,B1181,Lookup!H$2,H$1,Lookup!I$2),CONCATENATE(Lookup!F$3,D1181,Lookup!G$3,B1181,Lookup!H$3)),"no url")</f>
        <v>no url</v>
      </c>
    </row>
    <row r="1182" spans="1:6" hidden="1" x14ac:dyDescent="0.25">
      <c r="A1182" s="2" t="b">
        <f>IF(ISBLANK(InfoGard!D1182),FALSE,LOOKUP(InfoGard!D1182,Lookup!$A$2:$B$4))</f>
        <v>0</v>
      </c>
      <c r="B1182" s="2" t="b">
        <f>IF(ISBLANK(InfoGard!E1182),FALSE,RIGHT(TRIM(InfoGard!E1182),15))</f>
        <v>0</v>
      </c>
      <c r="C1182" s="2" t="b">
        <f>IF(ISBLANK(InfoGard!F1182),FALSE,LOOKUP(InfoGard!F1182,Lookup!$A$6:$B$7))</f>
        <v>0</v>
      </c>
      <c r="D1182" s="2" t="b">
        <f>IF(ISBLANK(InfoGard!G1182),FALSE,InfoGard!G1182)</f>
        <v>0</v>
      </c>
      <c r="E1182" s="2" t="str">
        <f>IF(NOT(ISBLANK(InfoGard!D1182)),IF(OR(ISBLANK(InfoGard!E1182),InfoGard!E1182="N/A"),"no acb code",CONCATENATE(Lookup!F$1,A1182,Lookup!G$1,B1182,Lookup!H$1,H$1,Lookup!I$1)),"no attestation")</f>
        <v>no attestation</v>
      </c>
      <c r="F1182" s="2" t="str">
        <f>IF(AND(NOT(ISBLANK(InfoGard!G1182)),InfoGard!G1182&lt;&gt;"N/A"),IF(C1182="All",CONCATENATE(Lookup!F$2,D1182,Lookup!G$2,B1182,Lookup!H$2,H$1,Lookup!I$2),CONCATENATE(Lookup!F$3,D1182,Lookup!G$3,B1182,Lookup!H$3)),"no url")</f>
        <v>no url</v>
      </c>
    </row>
    <row r="1183" spans="1:6" hidden="1" x14ac:dyDescent="0.25">
      <c r="A1183" s="2" t="b">
        <f>IF(ISBLANK(InfoGard!D1183),FALSE,LOOKUP(InfoGard!D1183,Lookup!$A$2:$B$4))</f>
        <v>0</v>
      </c>
      <c r="B1183" s="2" t="b">
        <f>IF(ISBLANK(InfoGard!E1183),FALSE,RIGHT(TRIM(InfoGard!E1183),15))</f>
        <v>0</v>
      </c>
      <c r="C1183" s="2" t="b">
        <f>IF(ISBLANK(InfoGard!F1183),FALSE,LOOKUP(InfoGard!F1183,Lookup!$A$6:$B$7))</f>
        <v>0</v>
      </c>
      <c r="D1183" s="2" t="b">
        <f>IF(ISBLANK(InfoGard!G1183),FALSE,InfoGard!G1183)</f>
        <v>0</v>
      </c>
      <c r="E1183" s="2" t="str">
        <f>IF(NOT(ISBLANK(InfoGard!D1183)),IF(OR(ISBLANK(InfoGard!E1183),InfoGard!E1183="N/A"),"no acb code",CONCATENATE(Lookup!F$1,A1183,Lookup!G$1,B1183,Lookup!H$1,H$1,Lookup!I$1)),"no attestation")</f>
        <v>no attestation</v>
      </c>
      <c r="F1183" s="2" t="str">
        <f>IF(AND(NOT(ISBLANK(InfoGard!G1183)),InfoGard!G1183&lt;&gt;"N/A"),IF(C1183="All",CONCATENATE(Lookup!F$2,D1183,Lookup!G$2,B1183,Lookup!H$2,H$1,Lookup!I$2),CONCATENATE(Lookup!F$3,D1183,Lookup!G$3,B1183,Lookup!H$3)),"no url")</f>
        <v>no url</v>
      </c>
    </row>
    <row r="1184" spans="1:6" hidden="1" x14ac:dyDescent="0.25">
      <c r="A1184" s="2" t="b">
        <f>IF(ISBLANK(InfoGard!D1184),FALSE,LOOKUP(InfoGard!D1184,Lookup!$A$2:$B$4))</f>
        <v>0</v>
      </c>
      <c r="B1184" s="2" t="b">
        <f>IF(ISBLANK(InfoGard!E1184),FALSE,RIGHT(TRIM(InfoGard!E1184),15))</f>
        <v>0</v>
      </c>
      <c r="C1184" s="2" t="b">
        <f>IF(ISBLANK(InfoGard!F1184),FALSE,LOOKUP(InfoGard!F1184,Lookup!$A$6:$B$7))</f>
        <v>0</v>
      </c>
      <c r="D1184" s="2" t="b">
        <f>IF(ISBLANK(InfoGard!G1184),FALSE,InfoGard!G1184)</f>
        <v>0</v>
      </c>
      <c r="E1184" s="2" t="str">
        <f>IF(NOT(ISBLANK(InfoGard!D1184)),IF(OR(ISBLANK(InfoGard!E1184),InfoGard!E1184="N/A"),"no acb code",CONCATENATE(Lookup!F$1,A1184,Lookup!G$1,B1184,Lookup!H$1,H$1,Lookup!I$1)),"no attestation")</f>
        <v>no attestation</v>
      </c>
      <c r="F1184" s="2" t="str">
        <f>IF(AND(NOT(ISBLANK(InfoGard!G1184)),InfoGard!G1184&lt;&gt;"N/A"),IF(C1184="All",CONCATENATE(Lookup!F$2,D1184,Lookup!G$2,B1184,Lookup!H$2,H$1,Lookup!I$2),CONCATENATE(Lookup!F$3,D1184,Lookup!G$3,B1184,Lookup!H$3)),"no url")</f>
        <v>no url</v>
      </c>
    </row>
    <row r="1185" spans="1:6" hidden="1" x14ac:dyDescent="0.25">
      <c r="A1185" s="2" t="b">
        <f>IF(ISBLANK(InfoGard!D1185),FALSE,LOOKUP(InfoGard!D1185,Lookup!$A$2:$B$4))</f>
        <v>0</v>
      </c>
      <c r="B1185" s="2" t="b">
        <f>IF(ISBLANK(InfoGard!E1185),FALSE,RIGHT(TRIM(InfoGard!E1185),15))</f>
        <v>0</v>
      </c>
      <c r="C1185" s="2" t="b">
        <f>IF(ISBLANK(InfoGard!F1185),FALSE,LOOKUP(InfoGard!F1185,Lookup!$A$6:$B$7))</f>
        <v>0</v>
      </c>
      <c r="D1185" s="2" t="b">
        <f>IF(ISBLANK(InfoGard!G1185),FALSE,InfoGard!G1185)</f>
        <v>0</v>
      </c>
      <c r="E1185" s="2" t="str">
        <f>IF(NOT(ISBLANK(InfoGard!D1185)),IF(OR(ISBLANK(InfoGard!E1185),InfoGard!E1185="N/A"),"no acb code",CONCATENATE(Lookup!F$1,A1185,Lookup!G$1,B1185,Lookup!H$1,H$1,Lookup!I$1)),"no attestation")</f>
        <v>no attestation</v>
      </c>
      <c r="F1185" s="2" t="str">
        <f>IF(AND(NOT(ISBLANK(InfoGard!G1185)),InfoGard!G1185&lt;&gt;"N/A"),IF(C1185="All",CONCATENATE(Lookup!F$2,D1185,Lookup!G$2,B1185,Lookup!H$2,H$1,Lookup!I$2),CONCATENATE(Lookup!F$3,D1185,Lookup!G$3,B1185,Lookup!H$3)),"no url")</f>
        <v>no url</v>
      </c>
    </row>
    <row r="1186" spans="1:6" hidden="1" x14ac:dyDescent="0.25">
      <c r="A1186" s="2" t="b">
        <f>IF(ISBLANK(InfoGard!D1186),FALSE,LOOKUP(InfoGard!D1186,Lookup!$A$2:$B$4))</f>
        <v>0</v>
      </c>
      <c r="B1186" s="2" t="b">
        <f>IF(ISBLANK(InfoGard!E1186),FALSE,RIGHT(TRIM(InfoGard!E1186),15))</f>
        <v>0</v>
      </c>
      <c r="C1186" s="2" t="b">
        <f>IF(ISBLANK(InfoGard!F1186),FALSE,LOOKUP(InfoGard!F1186,Lookup!$A$6:$B$7))</f>
        <v>0</v>
      </c>
      <c r="D1186" s="2" t="b">
        <f>IF(ISBLANK(InfoGard!G1186),FALSE,InfoGard!G1186)</f>
        <v>0</v>
      </c>
      <c r="E1186" s="2" t="str">
        <f>IF(NOT(ISBLANK(InfoGard!D1186)),IF(OR(ISBLANK(InfoGard!E1186),InfoGard!E1186="N/A"),"no acb code",CONCATENATE(Lookup!F$1,A1186,Lookup!G$1,B1186,Lookup!H$1,H$1,Lookup!I$1)),"no attestation")</f>
        <v>no attestation</v>
      </c>
      <c r="F1186" s="2" t="str">
        <f>IF(AND(NOT(ISBLANK(InfoGard!G1186)),InfoGard!G1186&lt;&gt;"N/A"),IF(C1186="All",CONCATENATE(Lookup!F$2,D1186,Lookup!G$2,B1186,Lookup!H$2,H$1,Lookup!I$2),CONCATENATE(Lookup!F$3,D1186,Lookup!G$3,B1186,Lookup!H$3)),"no url")</f>
        <v>no url</v>
      </c>
    </row>
    <row r="1187" spans="1:6" hidden="1" x14ac:dyDescent="0.25">
      <c r="A1187" s="2" t="b">
        <f>IF(ISBLANK(InfoGard!D1187),FALSE,LOOKUP(InfoGard!D1187,Lookup!$A$2:$B$4))</f>
        <v>0</v>
      </c>
      <c r="B1187" s="2" t="b">
        <f>IF(ISBLANK(InfoGard!E1187),FALSE,RIGHT(TRIM(InfoGard!E1187),15))</f>
        <v>0</v>
      </c>
      <c r="C1187" s="2" t="b">
        <f>IF(ISBLANK(InfoGard!F1187),FALSE,LOOKUP(InfoGard!F1187,Lookup!$A$6:$B$7))</f>
        <v>0</v>
      </c>
      <c r="D1187" s="2" t="b">
        <f>IF(ISBLANK(InfoGard!G1187),FALSE,InfoGard!G1187)</f>
        <v>0</v>
      </c>
      <c r="E1187" s="2" t="str">
        <f>IF(NOT(ISBLANK(InfoGard!D1187)),IF(OR(ISBLANK(InfoGard!E1187),InfoGard!E1187="N/A"),"no acb code",CONCATENATE(Lookup!F$1,A1187,Lookup!G$1,B1187,Lookup!H$1,H$1,Lookup!I$1)),"no attestation")</f>
        <v>no attestation</v>
      </c>
      <c r="F1187" s="2" t="str">
        <f>IF(AND(NOT(ISBLANK(InfoGard!G1187)),InfoGard!G1187&lt;&gt;"N/A"),IF(C1187="All",CONCATENATE(Lookup!F$2,D1187,Lookup!G$2,B1187,Lookup!H$2,H$1,Lookup!I$2),CONCATENATE(Lookup!F$3,D1187,Lookup!G$3,B1187,Lookup!H$3)),"no url")</f>
        <v>no url</v>
      </c>
    </row>
    <row r="1188" spans="1:6" hidden="1" x14ac:dyDescent="0.25">
      <c r="A1188" s="2" t="b">
        <f>IF(ISBLANK(InfoGard!D1188),FALSE,LOOKUP(InfoGard!D1188,Lookup!$A$2:$B$4))</f>
        <v>0</v>
      </c>
      <c r="B1188" s="2" t="b">
        <f>IF(ISBLANK(InfoGard!E1188),FALSE,RIGHT(TRIM(InfoGard!E1188),15))</f>
        <v>0</v>
      </c>
      <c r="C1188" s="2" t="b">
        <f>IF(ISBLANK(InfoGard!F1188),FALSE,LOOKUP(InfoGard!F1188,Lookup!$A$6:$B$7))</f>
        <v>0</v>
      </c>
      <c r="D1188" s="2" t="b">
        <f>IF(ISBLANK(InfoGard!G1188),FALSE,InfoGard!G1188)</f>
        <v>0</v>
      </c>
      <c r="E1188" s="2" t="str">
        <f>IF(NOT(ISBLANK(InfoGard!D1188)),IF(OR(ISBLANK(InfoGard!E1188),InfoGard!E1188="N/A"),"no acb code",CONCATENATE(Lookup!F$1,A1188,Lookup!G$1,B1188,Lookup!H$1,H$1,Lookup!I$1)),"no attestation")</f>
        <v>no attestation</v>
      </c>
      <c r="F1188" s="2" t="str">
        <f>IF(AND(NOT(ISBLANK(InfoGard!G1188)),InfoGard!G1188&lt;&gt;"N/A"),IF(C1188="All",CONCATENATE(Lookup!F$2,D1188,Lookup!G$2,B1188,Lookup!H$2,H$1,Lookup!I$2),CONCATENATE(Lookup!F$3,D1188,Lookup!G$3,B1188,Lookup!H$3)),"no url")</f>
        <v>no url</v>
      </c>
    </row>
    <row r="1189" spans="1:6" hidden="1" x14ac:dyDescent="0.25">
      <c r="A1189" s="2" t="b">
        <f>IF(ISBLANK(InfoGard!D1189),FALSE,LOOKUP(InfoGard!D1189,Lookup!$A$2:$B$4))</f>
        <v>0</v>
      </c>
      <c r="B1189" s="2" t="b">
        <f>IF(ISBLANK(InfoGard!E1189),FALSE,RIGHT(TRIM(InfoGard!E1189),15))</f>
        <v>0</v>
      </c>
      <c r="C1189" s="2" t="b">
        <f>IF(ISBLANK(InfoGard!F1189),FALSE,LOOKUP(InfoGard!F1189,Lookup!$A$6:$B$7))</f>
        <v>0</v>
      </c>
      <c r="D1189" s="2" t="b">
        <f>IF(ISBLANK(InfoGard!G1189),FALSE,InfoGard!G1189)</f>
        <v>0</v>
      </c>
      <c r="E1189" s="2" t="str">
        <f>IF(NOT(ISBLANK(InfoGard!D1189)),IF(OR(ISBLANK(InfoGard!E1189),InfoGard!E1189="N/A"),"no acb code",CONCATENATE(Lookup!F$1,A1189,Lookup!G$1,B1189,Lookup!H$1,H$1,Lookup!I$1)),"no attestation")</f>
        <v>no attestation</v>
      </c>
      <c r="F1189" s="2" t="str">
        <f>IF(AND(NOT(ISBLANK(InfoGard!G1189)),InfoGard!G1189&lt;&gt;"N/A"),IF(C1189="All",CONCATENATE(Lookup!F$2,D1189,Lookup!G$2,B1189,Lookup!H$2,H$1,Lookup!I$2),CONCATENATE(Lookup!F$3,D1189,Lookup!G$3,B1189,Lookup!H$3)),"no url")</f>
        <v>no url</v>
      </c>
    </row>
    <row r="1190" spans="1:6" hidden="1" x14ac:dyDescent="0.25">
      <c r="A1190" s="2" t="b">
        <f>IF(ISBLANK(InfoGard!D1190),FALSE,LOOKUP(InfoGard!D1190,Lookup!$A$2:$B$4))</f>
        <v>0</v>
      </c>
      <c r="B1190" s="2" t="b">
        <f>IF(ISBLANK(InfoGard!E1190),FALSE,RIGHT(TRIM(InfoGard!E1190),15))</f>
        <v>0</v>
      </c>
      <c r="C1190" s="2" t="b">
        <f>IF(ISBLANK(InfoGard!F1190),FALSE,LOOKUP(InfoGard!F1190,Lookup!$A$6:$B$7))</f>
        <v>0</v>
      </c>
      <c r="D1190" s="2" t="b">
        <f>IF(ISBLANK(InfoGard!G1190),FALSE,InfoGard!G1190)</f>
        <v>0</v>
      </c>
      <c r="E1190" s="2" t="str">
        <f>IF(NOT(ISBLANK(InfoGard!D1190)),IF(OR(ISBLANK(InfoGard!E1190),InfoGard!E1190="N/A"),"no acb code",CONCATENATE(Lookup!F$1,A1190,Lookup!G$1,B1190,Lookup!H$1,H$1,Lookup!I$1)),"no attestation")</f>
        <v>no attestation</v>
      </c>
      <c r="F1190" s="2" t="str">
        <f>IF(AND(NOT(ISBLANK(InfoGard!G1190)),InfoGard!G1190&lt;&gt;"N/A"),IF(C1190="All",CONCATENATE(Lookup!F$2,D1190,Lookup!G$2,B1190,Lookup!H$2,H$1,Lookup!I$2),CONCATENATE(Lookup!F$3,D1190,Lookup!G$3,B1190,Lookup!H$3)),"no url")</f>
        <v>no url</v>
      </c>
    </row>
    <row r="1191" spans="1:6" hidden="1" x14ac:dyDescent="0.25">
      <c r="A1191" s="2" t="b">
        <f>IF(ISBLANK(InfoGard!D1191),FALSE,LOOKUP(InfoGard!D1191,Lookup!$A$2:$B$4))</f>
        <v>0</v>
      </c>
      <c r="B1191" s="2" t="b">
        <f>IF(ISBLANK(InfoGard!E1191),FALSE,RIGHT(TRIM(InfoGard!E1191),15))</f>
        <v>0</v>
      </c>
      <c r="C1191" s="2" t="b">
        <f>IF(ISBLANK(InfoGard!F1191),FALSE,LOOKUP(InfoGard!F1191,Lookup!$A$6:$B$7))</f>
        <v>0</v>
      </c>
      <c r="D1191" s="2" t="b">
        <f>IF(ISBLANK(InfoGard!G1191),FALSE,InfoGard!G1191)</f>
        <v>0</v>
      </c>
      <c r="E1191" s="2" t="str">
        <f>IF(NOT(ISBLANK(InfoGard!D1191)),IF(OR(ISBLANK(InfoGard!E1191),InfoGard!E1191="N/A"),"no acb code",CONCATENATE(Lookup!F$1,A1191,Lookup!G$1,B1191,Lookup!H$1,H$1,Lookup!I$1)),"no attestation")</f>
        <v>no attestation</v>
      </c>
      <c r="F1191" s="2" t="str">
        <f>IF(AND(NOT(ISBLANK(InfoGard!G1191)),InfoGard!G1191&lt;&gt;"N/A"),IF(C1191="All",CONCATENATE(Lookup!F$2,D1191,Lookup!G$2,B1191,Lookup!H$2,H$1,Lookup!I$2),CONCATENATE(Lookup!F$3,D1191,Lookup!G$3,B1191,Lookup!H$3)),"no url")</f>
        <v>no url</v>
      </c>
    </row>
    <row r="1192" spans="1:6" hidden="1" x14ac:dyDescent="0.25">
      <c r="A1192" s="2" t="b">
        <f>IF(ISBLANK(InfoGard!D1192),FALSE,LOOKUP(InfoGard!D1192,Lookup!$A$2:$B$4))</f>
        <v>0</v>
      </c>
      <c r="B1192" s="2" t="b">
        <f>IF(ISBLANK(InfoGard!E1192),FALSE,RIGHT(TRIM(InfoGard!E1192),15))</f>
        <v>0</v>
      </c>
      <c r="C1192" s="2" t="b">
        <f>IF(ISBLANK(InfoGard!F1192),FALSE,LOOKUP(InfoGard!F1192,Lookup!$A$6:$B$7))</f>
        <v>0</v>
      </c>
      <c r="D1192" s="2" t="b">
        <f>IF(ISBLANK(InfoGard!G1192),FALSE,InfoGard!G1192)</f>
        <v>0</v>
      </c>
      <c r="E1192" s="2" t="str">
        <f>IF(NOT(ISBLANK(InfoGard!D1192)),IF(OR(ISBLANK(InfoGard!E1192),InfoGard!E1192="N/A"),"no acb code",CONCATENATE(Lookup!F$1,A1192,Lookup!G$1,B1192,Lookup!H$1,H$1,Lookup!I$1)),"no attestation")</f>
        <v>no attestation</v>
      </c>
      <c r="F1192" s="2" t="str">
        <f>IF(AND(NOT(ISBLANK(InfoGard!G1192)),InfoGard!G1192&lt;&gt;"N/A"),IF(C1192="All",CONCATENATE(Lookup!F$2,D1192,Lookup!G$2,B1192,Lookup!H$2,H$1,Lookup!I$2),CONCATENATE(Lookup!F$3,D1192,Lookup!G$3,B1192,Lookup!H$3)),"no url")</f>
        <v>no url</v>
      </c>
    </row>
    <row r="1193" spans="1:6" hidden="1" x14ac:dyDescent="0.25">
      <c r="A1193" s="2" t="b">
        <f>IF(ISBLANK(InfoGard!D1193),FALSE,LOOKUP(InfoGard!D1193,Lookup!$A$2:$B$4))</f>
        <v>0</v>
      </c>
      <c r="B1193" s="2" t="b">
        <f>IF(ISBLANK(InfoGard!E1193),FALSE,RIGHT(TRIM(InfoGard!E1193),15))</f>
        <v>0</v>
      </c>
      <c r="C1193" s="2" t="b">
        <f>IF(ISBLANK(InfoGard!F1193),FALSE,LOOKUP(InfoGard!F1193,Lookup!$A$6:$B$7))</f>
        <v>0</v>
      </c>
      <c r="D1193" s="2" t="b">
        <f>IF(ISBLANK(InfoGard!G1193),FALSE,InfoGard!G1193)</f>
        <v>0</v>
      </c>
      <c r="E1193" s="2" t="str">
        <f>IF(NOT(ISBLANK(InfoGard!D1193)),IF(OR(ISBLANK(InfoGard!E1193),InfoGard!E1193="N/A"),"no acb code",CONCATENATE(Lookup!F$1,A1193,Lookup!G$1,B1193,Lookup!H$1,H$1,Lookup!I$1)),"no attestation")</f>
        <v>no attestation</v>
      </c>
      <c r="F1193" s="2" t="str">
        <f>IF(AND(NOT(ISBLANK(InfoGard!G1193)),InfoGard!G1193&lt;&gt;"N/A"),IF(C1193="All",CONCATENATE(Lookup!F$2,D1193,Lookup!G$2,B1193,Lookup!H$2,H$1,Lookup!I$2),CONCATENATE(Lookup!F$3,D1193,Lookup!G$3,B1193,Lookup!H$3)),"no url")</f>
        <v>no url</v>
      </c>
    </row>
    <row r="1194" spans="1:6" x14ac:dyDescent="0.25">
      <c r="A1194" s="2" t="str">
        <f>IF(ISBLANK(InfoGard!D1194),FALSE,LOOKUP(InfoGard!D1194,Lookup!$A$2:$B$4))</f>
        <v>Negative</v>
      </c>
      <c r="B1194" s="2" t="str">
        <f>IF(ISBLANK(InfoGard!E1194),FALSE,RIGHT(TRIM(InfoGard!E1194),15))</f>
        <v>IG-2445-14-0006</v>
      </c>
      <c r="C1194" s="2" t="str">
        <f>IF(ISBLANK(InfoGard!F1194),FALSE,LOOKUP(InfoGard!F1194,Lookup!$A$6:$B$7))</f>
        <v>All</v>
      </c>
      <c r="D1194" s="2" t="str">
        <f>IF(ISBLANK(InfoGard!G1194),FALSE,InfoGard!G1194)</f>
        <v>http://www.athenahealth.com/~/media/athenaweb/files/pdf/razorinsights_one_mu_disclosure.pdf</v>
      </c>
      <c r="E1194" s="2" t="str">
        <f>IF(NOT(ISBLANK(InfoGard!D1194)),IF(OR(ISBLANK(InfoGard!E1194),InfoGard!E1194="N/A"),"no acb code",CONCATENATE(Lookup!F$1,A1194,Lookup!G$1,B1194,Lookup!H$1,H$1,Lookup!I$1)),"no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'IG-2445-14-0006' and cb."name" = 'InfoGard' and cp.product_version_id = pv.product_version_id and pv.product_id = p.product_id and p.vendor_id = vend.vendor_id;</v>
      </c>
      <c r="F1194" s="2" t="str">
        <f>IF(AND(NOT(ISBLANK(InfoGard!G1194)),InfoGard!G1194&lt;&gt;"N/A"),IF(C1194="All",CONCATENATE(Lookup!F$2,D1194,Lookup!G$2,B1194,Lookup!H$2,H$1,Lookup!I$2),CONCATENATE(Lookup!F$3,D1194,Lookup!G$3,B1194,Lookup!H$3)),"no url")</f>
        <v>update openchpl.certified_product as cp set transparency_attestation_url = 'http://www.athenahealth.com/~/media/athenaweb/files/pdf/razorinsights_one_mu_disclosure.pdf' from (select certified_product_id from (select vend.vendor_code from openchpl.certified_product as cp, openchpl.product_version as pv, openchpl.product as p, openchpl.vendor as vend where cp.acb_certification_id = 'IG-2445-14-0006'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95" spans="1:6" hidden="1" x14ac:dyDescent="0.25">
      <c r="A1195" s="2" t="b">
        <f>IF(ISBLANK(InfoGard!D1195),FALSE,LOOKUP(InfoGard!D1195,Lookup!$A$2:$B$4))</f>
        <v>0</v>
      </c>
      <c r="B1195" s="2" t="b">
        <f>IF(ISBLANK(InfoGard!E1195),FALSE,RIGHT(TRIM(InfoGard!E1195),15))</f>
        <v>0</v>
      </c>
      <c r="C1195" s="2" t="b">
        <f>IF(ISBLANK(InfoGard!F1195),FALSE,LOOKUP(InfoGard!F1195,Lookup!$A$6:$B$7))</f>
        <v>0</v>
      </c>
      <c r="D1195" s="2" t="b">
        <f>IF(ISBLANK(InfoGard!G1195),FALSE,InfoGard!G1195)</f>
        <v>0</v>
      </c>
      <c r="E1195" s="2" t="str">
        <f>IF(NOT(ISBLANK(InfoGard!D1195)),IF(OR(ISBLANK(InfoGard!E1195),InfoGard!E1195="N/A"),"no acb code",CONCATENATE(Lookup!F$1,A1195,Lookup!G$1,B1195,Lookup!H$1,H$1,Lookup!I$1)),"no attestation")</f>
        <v>no attestation</v>
      </c>
      <c r="F1195" s="2" t="str">
        <f>IF(AND(NOT(ISBLANK(InfoGard!G1195)),InfoGard!G1195&lt;&gt;"N/A"),IF(C1195="All",CONCATENATE(Lookup!F$2,D1195,Lookup!G$2,B1195,Lookup!H$2,H$1,Lookup!I$2),CONCATENATE(Lookup!F$3,D1195,Lookup!G$3,B1195,Lookup!H$3)),"no url")</f>
        <v>no url</v>
      </c>
    </row>
    <row r="1196" spans="1:6" hidden="1" x14ac:dyDescent="0.25">
      <c r="A1196" s="2" t="b">
        <f>IF(ISBLANK(InfoGard!D1196),FALSE,LOOKUP(InfoGard!D1196,Lookup!$A$2:$B$4))</f>
        <v>0</v>
      </c>
      <c r="B1196" s="2" t="b">
        <f>IF(ISBLANK(InfoGard!E1196),FALSE,RIGHT(TRIM(InfoGard!E1196),15))</f>
        <v>0</v>
      </c>
      <c r="C1196" s="2" t="b">
        <f>IF(ISBLANK(InfoGard!F1196),FALSE,LOOKUP(InfoGard!F1196,Lookup!$A$6:$B$7))</f>
        <v>0</v>
      </c>
      <c r="D1196" s="2" t="b">
        <f>IF(ISBLANK(InfoGard!G1196),FALSE,InfoGard!G1196)</f>
        <v>0</v>
      </c>
      <c r="E1196" s="2" t="str">
        <f>IF(NOT(ISBLANK(InfoGard!D1196)),IF(OR(ISBLANK(InfoGard!E1196),InfoGard!E1196="N/A"),"no acb code",CONCATENATE(Lookup!F$1,A1196,Lookup!G$1,B1196,Lookup!H$1,H$1,Lookup!I$1)),"no attestation")</f>
        <v>no attestation</v>
      </c>
      <c r="F1196" s="2" t="str">
        <f>IF(AND(NOT(ISBLANK(InfoGard!G1196)),InfoGard!G1196&lt;&gt;"N/A"),IF(C1196="All",CONCATENATE(Lookup!F$2,D1196,Lookup!G$2,B1196,Lookup!H$2,H$1,Lookup!I$2),CONCATENATE(Lookup!F$3,D1196,Lookup!G$3,B1196,Lookup!H$3)),"no url")</f>
        <v>no url</v>
      </c>
    </row>
    <row r="1197" spans="1:6" hidden="1" x14ac:dyDescent="0.25">
      <c r="A1197" s="2" t="b">
        <f>IF(ISBLANK(InfoGard!D1197),FALSE,LOOKUP(InfoGard!D1197,Lookup!$A$2:$B$4))</f>
        <v>0</v>
      </c>
      <c r="B1197" s="2" t="b">
        <f>IF(ISBLANK(InfoGard!E1197),FALSE,RIGHT(TRIM(InfoGard!E1197),15))</f>
        <v>0</v>
      </c>
      <c r="C1197" s="2" t="b">
        <f>IF(ISBLANK(InfoGard!F1197),FALSE,LOOKUP(InfoGard!F1197,Lookup!$A$6:$B$7))</f>
        <v>0</v>
      </c>
      <c r="D1197" s="2" t="b">
        <f>IF(ISBLANK(InfoGard!G1197),FALSE,InfoGard!G1197)</f>
        <v>0</v>
      </c>
      <c r="E1197" s="2" t="str">
        <f>IF(NOT(ISBLANK(InfoGard!D1197)),IF(OR(ISBLANK(InfoGard!E1197),InfoGard!E1197="N/A"),"no acb code",CONCATENATE(Lookup!F$1,A1197,Lookup!G$1,B1197,Lookup!H$1,H$1,Lookup!I$1)),"no attestation")</f>
        <v>no attestation</v>
      </c>
      <c r="F1197" s="2" t="str">
        <f>IF(AND(NOT(ISBLANK(InfoGard!G1197)),InfoGard!G1197&lt;&gt;"N/A"),IF(C1197="All",CONCATENATE(Lookup!F$2,D1197,Lookup!G$2,B1197,Lookup!H$2,H$1,Lookup!I$2),CONCATENATE(Lookup!F$3,D1197,Lookup!G$3,B1197,Lookup!H$3)),"no url")</f>
        <v>no url</v>
      </c>
    </row>
    <row r="1198" spans="1:6" hidden="1" x14ac:dyDescent="0.25">
      <c r="A1198" s="2" t="b">
        <f>IF(ISBLANK(InfoGard!D1198),FALSE,LOOKUP(InfoGard!D1198,Lookup!$A$2:$B$4))</f>
        <v>0</v>
      </c>
      <c r="B1198" s="2" t="b">
        <f>IF(ISBLANK(InfoGard!E1198),FALSE,RIGHT(TRIM(InfoGard!E1198),15))</f>
        <v>0</v>
      </c>
      <c r="C1198" s="2" t="b">
        <f>IF(ISBLANK(InfoGard!F1198),FALSE,LOOKUP(InfoGard!F1198,Lookup!$A$6:$B$7))</f>
        <v>0</v>
      </c>
      <c r="D1198" s="2" t="b">
        <f>IF(ISBLANK(InfoGard!G1198),FALSE,InfoGard!G1198)</f>
        <v>0</v>
      </c>
      <c r="E1198" s="2" t="str">
        <f>IF(NOT(ISBLANK(InfoGard!D1198)),IF(OR(ISBLANK(InfoGard!E1198),InfoGard!E1198="N/A"),"no acb code",CONCATENATE(Lookup!F$1,A1198,Lookup!G$1,B1198,Lookup!H$1,H$1,Lookup!I$1)),"no attestation")</f>
        <v>no attestation</v>
      </c>
      <c r="F1198" s="2" t="str">
        <f>IF(AND(NOT(ISBLANK(InfoGard!G1198)),InfoGard!G1198&lt;&gt;"N/A"),IF(C1198="All",CONCATENATE(Lookup!F$2,D1198,Lookup!G$2,B1198,Lookup!H$2,H$1,Lookup!I$2),CONCATENATE(Lookup!F$3,D1198,Lookup!G$3,B1198,Lookup!H$3)),"no url")</f>
        <v>no url</v>
      </c>
    </row>
    <row r="1199" spans="1:6" hidden="1" x14ac:dyDescent="0.25">
      <c r="A1199" s="2" t="b">
        <f>IF(ISBLANK(InfoGard!D1199),FALSE,LOOKUP(InfoGard!D1199,Lookup!$A$2:$B$4))</f>
        <v>0</v>
      </c>
      <c r="B1199" s="2" t="b">
        <f>IF(ISBLANK(InfoGard!E1199),FALSE,RIGHT(TRIM(InfoGard!E1199),15))</f>
        <v>0</v>
      </c>
      <c r="C1199" s="2" t="b">
        <f>IF(ISBLANK(InfoGard!F1199),FALSE,LOOKUP(InfoGard!F1199,Lookup!$A$6:$B$7))</f>
        <v>0</v>
      </c>
      <c r="D1199" s="2" t="b">
        <f>IF(ISBLANK(InfoGard!G1199),FALSE,InfoGard!G1199)</f>
        <v>0</v>
      </c>
      <c r="E1199" s="2" t="str">
        <f>IF(NOT(ISBLANK(InfoGard!D1199)),IF(OR(ISBLANK(InfoGard!E1199),InfoGard!E1199="N/A"),"no acb code",CONCATENATE(Lookup!F$1,A1199,Lookup!G$1,B1199,Lookup!H$1,H$1,Lookup!I$1)),"no attestation")</f>
        <v>no attestation</v>
      </c>
      <c r="F1199" s="2" t="str">
        <f>IF(AND(NOT(ISBLANK(InfoGard!G1199)),InfoGard!G1199&lt;&gt;"N/A"),IF(C1199="All",CONCATENATE(Lookup!F$2,D1199,Lookup!G$2,B1199,Lookup!H$2,H$1,Lookup!I$2),CONCATENATE(Lookup!F$3,D1199,Lookup!G$3,B1199,Lookup!H$3)),"no url")</f>
        <v>no url</v>
      </c>
    </row>
    <row r="1200" spans="1:6" hidden="1" x14ac:dyDescent="0.25">
      <c r="A1200" s="2" t="b">
        <f>IF(ISBLANK(InfoGard!D1200),FALSE,LOOKUP(InfoGard!D1200,Lookup!$A$2:$B$4))</f>
        <v>0</v>
      </c>
      <c r="B1200" s="2" t="b">
        <f>IF(ISBLANK(InfoGard!E1200),FALSE,RIGHT(TRIM(InfoGard!E1200),15))</f>
        <v>0</v>
      </c>
      <c r="C1200" s="2" t="b">
        <f>IF(ISBLANK(InfoGard!F1200),FALSE,LOOKUP(InfoGard!F1200,Lookup!$A$6:$B$7))</f>
        <v>0</v>
      </c>
      <c r="D1200" s="2" t="b">
        <f>IF(ISBLANK(InfoGard!G1200),FALSE,InfoGard!G1200)</f>
        <v>0</v>
      </c>
      <c r="E1200" s="2" t="str">
        <f>IF(NOT(ISBLANK(InfoGard!D1200)),IF(OR(ISBLANK(InfoGard!E1200),InfoGard!E1200="N/A"),"no acb code",CONCATENATE(Lookup!F$1,A1200,Lookup!G$1,B1200,Lookup!H$1,H$1,Lookup!I$1)),"no attestation")</f>
        <v>no attestation</v>
      </c>
      <c r="F1200" s="2" t="str">
        <f>IF(AND(NOT(ISBLANK(InfoGard!G1200)),InfoGard!G1200&lt;&gt;"N/A"),IF(C1200="All",CONCATENATE(Lookup!F$2,D1200,Lookup!G$2,B1200,Lookup!H$2,H$1,Lookup!I$2),CONCATENATE(Lookup!F$3,D1200,Lookup!G$3,B1200,Lookup!H$3)),"no url")</f>
        <v>no url</v>
      </c>
    </row>
    <row r="1201" spans="1:6" hidden="1" x14ac:dyDescent="0.25">
      <c r="A1201" s="2" t="b">
        <f>IF(ISBLANK(InfoGard!D1201),FALSE,LOOKUP(InfoGard!D1201,Lookup!$A$2:$B$4))</f>
        <v>0</v>
      </c>
      <c r="B1201" s="2" t="b">
        <f>IF(ISBLANK(InfoGard!E1201),FALSE,RIGHT(TRIM(InfoGard!E1201),15))</f>
        <v>0</v>
      </c>
      <c r="C1201" s="2" t="b">
        <f>IF(ISBLANK(InfoGard!F1201),FALSE,LOOKUP(InfoGard!F1201,Lookup!$A$6:$B$7))</f>
        <v>0</v>
      </c>
      <c r="D1201" s="2" t="b">
        <f>IF(ISBLANK(InfoGard!G1201),FALSE,InfoGard!G1201)</f>
        <v>0</v>
      </c>
      <c r="E1201" s="2" t="str">
        <f>IF(NOT(ISBLANK(InfoGard!D1201)),IF(OR(ISBLANK(InfoGard!E1201),InfoGard!E1201="N/A"),"no acb code",CONCATENATE(Lookup!F$1,A1201,Lookup!G$1,B1201,Lookup!H$1,H$1,Lookup!I$1)),"no attestation")</f>
        <v>no attestation</v>
      </c>
      <c r="F1201" s="2" t="str">
        <f>IF(AND(NOT(ISBLANK(InfoGard!G1201)),InfoGard!G1201&lt;&gt;"N/A"),IF(C1201="All",CONCATENATE(Lookup!F$2,D1201,Lookup!G$2,B1201,Lookup!H$2,H$1,Lookup!I$2),CONCATENATE(Lookup!F$3,D1201,Lookup!G$3,B1201,Lookup!H$3)),"no url")</f>
        <v>no url</v>
      </c>
    </row>
    <row r="1202" spans="1:6" hidden="1" x14ac:dyDescent="0.25">
      <c r="A1202" s="2" t="b">
        <f>IF(ISBLANK(InfoGard!D1202),FALSE,LOOKUP(InfoGard!D1202,Lookup!$A$2:$B$4))</f>
        <v>0</v>
      </c>
      <c r="B1202" s="2" t="b">
        <f>IF(ISBLANK(InfoGard!E1202),FALSE,RIGHT(TRIM(InfoGard!E1202),15))</f>
        <v>0</v>
      </c>
      <c r="C1202" s="2" t="b">
        <f>IF(ISBLANK(InfoGard!F1202),FALSE,LOOKUP(InfoGard!F1202,Lookup!$A$6:$B$7))</f>
        <v>0</v>
      </c>
      <c r="D1202" s="2" t="b">
        <f>IF(ISBLANK(InfoGard!G1202),FALSE,InfoGard!G1202)</f>
        <v>0</v>
      </c>
      <c r="E1202" s="2" t="str">
        <f>IF(NOT(ISBLANK(InfoGard!D1202)),IF(OR(ISBLANK(InfoGard!E1202),InfoGard!E1202="N/A"),"no acb code",CONCATENATE(Lookup!F$1,A1202,Lookup!G$1,B1202,Lookup!H$1,H$1,Lookup!I$1)),"no attestation")</f>
        <v>no attestation</v>
      </c>
      <c r="F1202" s="2" t="str">
        <f>IF(AND(NOT(ISBLANK(InfoGard!G1202)),InfoGard!G1202&lt;&gt;"N/A"),IF(C1202="All",CONCATENATE(Lookup!F$2,D1202,Lookup!G$2,B1202,Lookup!H$2,H$1,Lookup!I$2),CONCATENATE(Lookup!F$3,D1202,Lookup!G$3,B1202,Lookup!H$3)),"no url")</f>
        <v>no url</v>
      </c>
    </row>
    <row r="1203" spans="1:6" hidden="1" x14ac:dyDescent="0.25">
      <c r="A1203" s="2" t="b">
        <f>IF(ISBLANK(InfoGard!D1203),FALSE,LOOKUP(InfoGard!D1203,Lookup!$A$2:$B$4))</f>
        <v>0</v>
      </c>
      <c r="B1203" s="2" t="b">
        <f>IF(ISBLANK(InfoGard!E1203),FALSE,RIGHT(TRIM(InfoGard!E1203),15))</f>
        <v>0</v>
      </c>
      <c r="C1203" s="2" t="b">
        <f>IF(ISBLANK(InfoGard!F1203),FALSE,LOOKUP(InfoGard!F1203,Lookup!$A$6:$B$7))</f>
        <v>0</v>
      </c>
      <c r="D1203" s="2" t="b">
        <f>IF(ISBLANK(InfoGard!G1203),FALSE,InfoGard!G1203)</f>
        <v>0</v>
      </c>
      <c r="E1203" s="2" t="str">
        <f>IF(NOT(ISBLANK(InfoGard!D1203)),IF(OR(ISBLANK(InfoGard!E1203),InfoGard!E1203="N/A"),"no acb code",CONCATENATE(Lookup!F$1,A1203,Lookup!G$1,B1203,Lookup!H$1,H$1,Lookup!I$1)),"no attestation")</f>
        <v>no attestation</v>
      </c>
      <c r="F1203" s="2" t="str">
        <f>IF(AND(NOT(ISBLANK(InfoGard!G1203)),InfoGard!G1203&lt;&gt;"N/A"),IF(C1203="All",CONCATENATE(Lookup!F$2,D1203,Lookup!G$2,B1203,Lookup!H$2,H$1,Lookup!I$2),CONCATENATE(Lookup!F$3,D1203,Lookup!G$3,B1203,Lookup!H$3)),"no url")</f>
        <v>no url</v>
      </c>
    </row>
    <row r="1204" spans="1:6" hidden="1" x14ac:dyDescent="0.25">
      <c r="A1204" s="2" t="b">
        <f>IF(ISBLANK(InfoGard!D1204),FALSE,LOOKUP(InfoGard!D1204,Lookup!$A$2:$B$4))</f>
        <v>0</v>
      </c>
      <c r="B1204" s="2" t="b">
        <f>IF(ISBLANK(InfoGard!E1204),FALSE,RIGHT(TRIM(InfoGard!E1204),15))</f>
        <v>0</v>
      </c>
      <c r="C1204" s="2" t="b">
        <f>IF(ISBLANK(InfoGard!F1204),FALSE,LOOKUP(InfoGard!F1204,Lookup!$A$6:$B$7))</f>
        <v>0</v>
      </c>
      <c r="D1204" s="2" t="b">
        <f>IF(ISBLANK(InfoGard!G1204),FALSE,InfoGard!G1204)</f>
        <v>0</v>
      </c>
      <c r="E1204" s="2" t="str">
        <f>IF(NOT(ISBLANK(InfoGard!D1204)),IF(OR(ISBLANK(InfoGard!E1204),InfoGard!E1204="N/A"),"no acb code",CONCATENATE(Lookup!F$1,A1204,Lookup!G$1,B1204,Lookup!H$1,H$1,Lookup!I$1)),"no attestation")</f>
        <v>no attestation</v>
      </c>
      <c r="F1204" s="2" t="str">
        <f>IF(AND(NOT(ISBLANK(InfoGard!G1204)),InfoGard!G1204&lt;&gt;"N/A"),IF(C1204="All",CONCATENATE(Lookup!F$2,D1204,Lookup!G$2,B1204,Lookup!H$2,H$1,Lookup!I$2),CONCATENATE(Lookup!F$3,D1204,Lookup!G$3,B1204,Lookup!H$3)),"no url")</f>
        <v>no url</v>
      </c>
    </row>
    <row r="1205" spans="1:6" hidden="1" x14ac:dyDescent="0.25">
      <c r="A1205" s="2" t="b">
        <f>IF(ISBLANK(InfoGard!D1205),FALSE,LOOKUP(InfoGard!D1205,Lookup!$A$2:$B$4))</f>
        <v>0</v>
      </c>
      <c r="B1205" s="2" t="b">
        <f>IF(ISBLANK(InfoGard!E1205),FALSE,RIGHT(TRIM(InfoGard!E1205),15))</f>
        <v>0</v>
      </c>
      <c r="C1205" s="2" t="b">
        <f>IF(ISBLANK(InfoGard!F1205),FALSE,LOOKUP(InfoGard!F1205,Lookup!$A$6:$B$7))</f>
        <v>0</v>
      </c>
      <c r="D1205" s="2" t="b">
        <f>IF(ISBLANK(InfoGard!G1205),FALSE,InfoGard!G1205)</f>
        <v>0</v>
      </c>
      <c r="E1205" s="2" t="str">
        <f>IF(NOT(ISBLANK(InfoGard!D1205)),IF(OR(ISBLANK(InfoGard!E1205),InfoGard!E1205="N/A"),"no acb code",CONCATENATE(Lookup!F$1,A1205,Lookup!G$1,B1205,Lookup!H$1,H$1,Lookup!I$1)),"no attestation")</f>
        <v>no attestation</v>
      </c>
      <c r="F1205" s="2" t="str">
        <f>IF(AND(NOT(ISBLANK(InfoGard!G1205)),InfoGard!G1205&lt;&gt;"N/A"),IF(C1205="All",CONCATENATE(Lookup!F$2,D1205,Lookup!G$2,B1205,Lookup!H$2,H$1,Lookup!I$2),CONCATENATE(Lookup!F$3,D1205,Lookup!G$3,B1205,Lookup!H$3)),"no url")</f>
        <v>no url</v>
      </c>
    </row>
    <row r="1206" spans="1:6" hidden="1" x14ac:dyDescent="0.25">
      <c r="A1206" s="2" t="b">
        <f>IF(ISBLANK(InfoGard!D1206),FALSE,LOOKUP(InfoGard!D1206,Lookup!$A$2:$B$4))</f>
        <v>0</v>
      </c>
      <c r="B1206" s="2" t="b">
        <f>IF(ISBLANK(InfoGard!E1206),FALSE,RIGHT(TRIM(InfoGard!E1206),15))</f>
        <v>0</v>
      </c>
      <c r="C1206" s="2" t="b">
        <f>IF(ISBLANK(InfoGard!F1206),FALSE,LOOKUP(InfoGard!F1206,Lookup!$A$6:$B$7))</f>
        <v>0</v>
      </c>
      <c r="D1206" s="2" t="b">
        <f>IF(ISBLANK(InfoGard!G1206),FALSE,InfoGard!G1206)</f>
        <v>0</v>
      </c>
      <c r="E1206" s="2" t="str">
        <f>IF(NOT(ISBLANK(InfoGard!D1206)),IF(OR(ISBLANK(InfoGard!E1206),InfoGard!E1206="N/A"),"no acb code",CONCATENATE(Lookup!F$1,A1206,Lookup!G$1,B1206,Lookup!H$1,H$1,Lookup!I$1)),"no attestation")</f>
        <v>no attestation</v>
      </c>
      <c r="F1206" s="2" t="str">
        <f>IF(AND(NOT(ISBLANK(InfoGard!G1206)),InfoGard!G1206&lt;&gt;"N/A"),IF(C1206="All",CONCATENATE(Lookup!F$2,D1206,Lookup!G$2,B1206,Lookup!H$2,H$1,Lookup!I$2),CONCATENATE(Lookup!F$3,D1206,Lookup!G$3,B1206,Lookup!H$3)),"no url")</f>
        <v>no url</v>
      </c>
    </row>
    <row r="1207" spans="1:6" x14ac:dyDescent="0.25">
      <c r="A1207" s="2" t="str">
        <f>IF(ISBLANK(InfoGard!D1207),FALSE,LOOKUP(InfoGard!D1207,Lookup!$A$2:$B$4))</f>
        <v>Affirmative</v>
      </c>
      <c r="B1207" s="2" t="str">
        <f>IF(ISBLANK(InfoGard!E1207),FALSE,RIGHT(TRIM(InfoGard!E1207),15))</f>
        <v>IG-3350-15-0011</v>
      </c>
      <c r="C1207" s="2" t="str">
        <f>IF(ISBLANK(InfoGard!F1207),FALSE,LOOKUP(InfoGard!F1207,Lookup!$A$6:$B$7))</f>
        <v>All</v>
      </c>
      <c r="D1207" s="2" t="str">
        <f>IF(ISBLANK(InfoGard!G1207),FALSE,InfoGard!G1207)</f>
        <v>http://reportingmd.com/products/tom/</v>
      </c>
      <c r="E1207" s="2" t="str">
        <f>IF(NOT(ISBLANK(InfoGard!D1207)),IF(OR(ISBLANK(InfoGard!E1207),InfoGard!E1207="N/A"),"no acb code",CONCATENATE(Lookup!F$1,A1207,Lookup!G$1,B1207,Lookup!H$1,H$1,Lookup!I$1)),"no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'IG-3350-15-0011' and cb."name" = 'InfoGard' and cp.product_version_id = pv.product_version_id and pv.product_id = p.product_id and p.vendor_id = vend.vendor_id;</v>
      </c>
      <c r="F1207" s="2" t="str">
        <f>IF(AND(NOT(ISBLANK(InfoGard!G1207)),InfoGard!G1207&lt;&gt;"N/A"),IF(C1207="All",CONCATENATE(Lookup!F$2,D1207,Lookup!G$2,B1207,Lookup!H$2,H$1,Lookup!I$2),CONCATENATE(Lookup!F$3,D1207,Lookup!G$3,B1207,Lookup!H$3)),"no url")</f>
        <v>update openchpl.certified_product as cp set transparency_attestation_url = 'http://reportingmd.com/products/tom/' from (select certified_product_id from (select vend.vendor_code from openchpl.certified_product as cp, openchpl.product_version as pv, openchpl.product as p, openchpl.vendor as vend where cp.acb_certification_id = 'IG-3350-15-0011'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08" spans="1:6" hidden="1" x14ac:dyDescent="0.25">
      <c r="A1208" s="2" t="b">
        <f>IF(ISBLANK(InfoGard!D1208),FALSE,LOOKUP(InfoGard!D1208,Lookup!$A$2:$B$4))</f>
        <v>0</v>
      </c>
      <c r="B1208" s="2" t="b">
        <f>IF(ISBLANK(InfoGard!E1208),FALSE,RIGHT(TRIM(InfoGard!E1208),15))</f>
        <v>0</v>
      </c>
      <c r="C1208" s="2" t="b">
        <f>IF(ISBLANK(InfoGard!F1208),FALSE,LOOKUP(InfoGard!F1208,Lookup!$A$6:$B$7))</f>
        <v>0</v>
      </c>
      <c r="D1208" s="2" t="b">
        <f>IF(ISBLANK(InfoGard!G1208),FALSE,InfoGard!G1208)</f>
        <v>0</v>
      </c>
      <c r="E1208" s="2" t="str">
        <f>IF(NOT(ISBLANK(InfoGard!D1208)),IF(OR(ISBLANK(InfoGard!E1208),InfoGard!E1208="N/A"),"no acb code",CONCATENATE(Lookup!F$1,A1208,Lookup!G$1,B1208,Lookup!H$1,H$1,Lookup!I$1)),"no attestation")</f>
        <v>no attestation</v>
      </c>
      <c r="F1208" s="2" t="str">
        <f>IF(AND(NOT(ISBLANK(InfoGard!G1208)),InfoGard!G1208&lt;&gt;"N/A"),IF(C1208="All",CONCATENATE(Lookup!F$2,D1208,Lookup!G$2,B1208,Lookup!H$2,H$1,Lookup!I$2),CONCATENATE(Lookup!F$3,D1208,Lookup!G$3,B1208,Lookup!H$3)),"no url")</f>
        <v>no url</v>
      </c>
    </row>
    <row r="1209" spans="1:6" hidden="1" x14ac:dyDescent="0.25">
      <c r="A1209" s="2" t="b">
        <f>IF(ISBLANK(InfoGard!D1209),FALSE,LOOKUP(InfoGard!D1209,Lookup!$A$2:$B$4))</f>
        <v>0</v>
      </c>
      <c r="B1209" s="2" t="b">
        <f>IF(ISBLANK(InfoGard!E1209),FALSE,RIGHT(TRIM(InfoGard!E1209),15))</f>
        <v>0</v>
      </c>
      <c r="C1209" s="2" t="b">
        <f>IF(ISBLANK(InfoGard!F1209),FALSE,LOOKUP(InfoGard!F1209,Lookup!$A$6:$B$7))</f>
        <v>0</v>
      </c>
      <c r="D1209" s="2" t="b">
        <f>IF(ISBLANK(InfoGard!G1209),FALSE,InfoGard!G1209)</f>
        <v>0</v>
      </c>
      <c r="E1209" s="2" t="str">
        <f>IF(NOT(ISBLANK(InfoGard!D1209)),IF(OR(ISBLANK(InfoGard!E1209),InfoGard!E1209="N/A"),"no acb code",CONCATENATE(Lookup!F$1,A1209,Lookup!G$1,B1209,Lookup!H$1,H$1,Lookup!I$1)),"no attestation")</f>
        <v>no attestation</v>
      </c>
      <c r="F1209" s="2" t="str">
        <f>IF(AND(NOT(ISBLANK(InfoGard!G1209)),InfoGard!G1209&lt;&gt;"N/A"),IF(C1209="All",CONCATENATE(Lookup!F$2,D1209,Lookup!G$2,B1209,Lookup!H$2,H$1,Lookup!I$2),CONCATENATE(Lookup!F$3,D1209,Lookup!G$3,B1209,Lookup!H$3)),"no url")</f>
        <v>no url</v>
      </c>
    </row>
    <row r="1210" spans="1:6" hidden="1" x14ac:dyDescent="0.25">
      <c r="A1210" s="2" t="b">
        <f>IF(ISBLANK(InfoGard!D1210),FALSE,LOOKUP(InfoGard!D1210,Lookup!$A$2:$B$4))</f>
        <v>0</v>
      </c>
      <c r="B1210" s="2" t="b">
        <f>IF(ISBLANK(InfoGard!E1210),FALSE,RIGHT(TRIM(InfoGard!E1210),15))</f>
        <v>0</v>
      </c>
      <c r="C1210" s="2" t="b">
        <f>IF(ISBLANK(InfoGard!F1210),FALSE,LOOKUP(InfoGard!F1210,Lookup!$A$6:$B$7))</f>
        <v>0</v>
      </c>
      <c r="D1210" s="2" t="b">
        <f>IF(ISBLANK(InfoGard!G1210),FALSE,InfoGard!G1210)</f>
        <v>0</v>
      </c>
      <c r="E1210" s="2" t="str">
        <f>IF(NOT(ISBLANK(InfoGard!D1210)),IF(OR(ISBLANK(InfoGard!E1210),InfoGard!E1210="N/A"),"no acb code",CONCATENATE(Lookup!F$1,A1210,Lookup!G$1,B1210,Lookup!H$1,H$1,Lookup!I$1)),"no attestation")</f>
        <v>no attestation</v>
      </c>
      <c r="F1210" s="2" t="str">
        <f>IF(AND(NOT(ISBLANK(InfoGard!G1210)),InfoGard!G1210&lt;&gt;"N/A"),IF(C1210="All",CONCATENATE(Lookup!F$2,D1210,Lookup!G$2,B1210,Lookup!H$2,H$1,Lookup!I$2),CONCATENATE(Lookup!F$3,D1210,Lookup!G$3,B1210,Lookup!H$3)),"no url")</f>
        <v>no url</v>
      </c>
    </row>
    <row r="1211" spans="1:6" hidden="1" x14ac:dyDescent="0.25">
      <c r="A1211" s="2" t="b">
        <f>IF(ISBLANK(InfoGard!D1211),FALSE,LOOKUP(InfoGard!D1211,Lookup!$A$2:$B$4))</f>
        <v>0</v>
      </c>
      <c r="B1211" s="2" t="b">
        <f>IF(ISBLANK(InfoGard!E1211),FALSE,RIGHT(TRIM(InfoGard!E1211),15))</f>
        <v>0</v>
      </c>
      <c r="C1211" s="2" t="b">
        <f>IF(ISBLANK(InfoGard!F1211),FALSE,LOOKUP(InfoGard!F1211,Lookup!$A$6:$B$7))</f>
        <v>0</v>
      </c>
      <c r="D1211" s="2" t="b">
        <f>IF(ISBLANK(InfoGard!G1211),FALSE,InfoGard!G1211)</f>
        <v>0</v>
      </c>
      <c r="E1211" s="2" t="str">
        <f>IF(NOT(ISBLANK(InfoGard!D1211)),IF(OR(ISBLANK(InfoGard!E1211),InfoGard!E1211="N/A"),"no acb code",CONCATENATE(Lookup!F$1,A1211,Lookup!G$1,B1211,Lookup!H$1,H$1,Lookup!I$1)),"no attestation")</f>
        <v>no attestation</v>
      </c>
      <c r="F1211" s="2" t="str">
        <f>IF(AND(NOT(ISBLANK(InfoGard!G1211)),InfoGard!G1211&lt;&gt;"N/A"),IF(C1211="All",CONCATENATE(Lookup!F$2,D1211,Lookup!G$2,B1211,Lookup!H$2,H$1,Lookup!I$2),CONCATENATE(Lookup!F$3,D1211,Lookup!G$3,B1211,Lookup!H$3)),"no url")</f>
        <v>no url</v>
      </c>
    </row>
    <row r="1212" spans="1:6" hidden="1" x14ac:dyDescent="0.25">
      <c r="A1212" s="2" t="b">
        <f>IF(ISBLANK(InfoGard!D1212),FALSE,LOOKUP(InfoGard!D1212,Lookup!$A$2:$B$4))</f>
        <v>0</v>
      </c>
      <c r="B1212" s="2" t="b">
        <f>IF(ISBLANK(InfoGard!E1212),FALSE,RIGHT(TRIM(InfoGard!E1212),15))</f>
        <v>0</v>
      </c>
      <c r="C1212" s="2" t="b">
        <f>IF(ISBLANK(InfoGard!F1212),FALSE,LOOKUP(InfoGard!F1212,Lookup!$A$6:$B$7))</f>
        <v>0</v>
      </c>
      <c r="D1212" s="2" t="b">
        <f>IF(ISBLANK(InfoGard!G1212),FALSE,InfoGard!G1212)</f>
        <v>0</v>
      </c>
      <c r="E1212" s="2" t="str">
        <f>IF(NOT(ISBLANK(InfoGard!D1212)),IF(OR(ISBLANK(InfoGard!E1212),InfoGard!E1212="N/A"),"no acb code",CONCATENATE(Lookup!F$1,A1212,Lookup!G$1,B1212,Lookup!H$1,H$1,Lookup!I$1)),"no attestation")</f>
        <v>no attestation</v>
      </c>
      <c r="F1212" s="2" t="str">
        <f>IF(AND(NOT(ISBLANK(InfoGard!G1212)),InfoGard!G1212&lt;&gt;"N/A"),IF(C1212="All",CONCATENATE(Lookup!F$2,D1212,Lookup!G$2,B1212,Lookup!H$2,H$1,Lookup!I$2),CONCATENATE(Lookup!F$3,D1212,Lookup!G$3,B1212,Lookup!H$3)),"no url")</f>
        <v>no url</v>
      </c>
    </row>
    <row r="1213" spans="1:6" hidden="1" x14ac:dyDescent="0.25">
      <c r="A1213" s="2" t="b">
        <f>IF(ISBLANK(InfoGard!D1213),FALSE,LOOKUP(InfoGard!D1213,Lookup!$A$2:$B$4))</f>
        <v>0</v>
      </c>
      <c r="B1213" s="2" t="b">
        <f>IF(ISBLANK(InfoGard!E1213),FALSE,RIGHT(TRIM(InfoGard!E1213),15))</f>
        <v>0</v>
      </c>
      <c r="C1213" s="2" t="b">
        <f>IF(ISBLANK(InfoGard!F1213),FALSE,LOOKUP(InfoGard!F1213,Lookup!$A$6:$B$7))</f>
        <v>0</v>
      </c>
      <c r="D1213" s="2" t="b">
        <f>IF(ISBLANK(InfoGard!G1213),FALSE,InfoGard!G1213)</f>
        <v>0</v>
      </c>
      <c r="E1213" s="2" t="str">
        <f>IF(NOT(ISBLANK(InfoGard!D1213)),IF(OR(ISBLANK(InfoGard!E1213),InfoGard!E1213="N/A"),"no acb code",CONCATENATE(Lookup!F$1,A1213,Lookup!G$1,B1213,Lookup!H$1,H$1,Lookup!I$1)),"no attestation")</f>
        <v>no attestation</v>
      </c>
      <c r="F1213" s="2" t="str">
        <f>IF(AND(NOT(ISBLANK(InfoGard!G1213)),InfoGard!G1213&lt;&gt;"N/A"),IF(C1213="All",CONCATENATE(Lookup!F$2,D1213,Lookup!G$2,B1213,Lookup!H$2,H$1,Lookup!I$2),CONCATENATE(Lookup!F$3,D1213,Lookup!G$3,B1213,Lookup!H$3)),"no url")</f>
        <v>no url</v>
      </c>
    </row>
    <row r="1214" spans="1:6" hidden="1" x14ac:dyDescent="0.25">
      <c r="A1214" s="2" t="b">
        <f>IF(ISBLANK(InfoGard!D1214),FALSE,LOOKUP(InfoGard!D1214,Lookup!$A$2:$B$4))</f>
        <v>0</v>
      </c>
      <c r="B1214" s="2" t="b">
        <f>IF(ISBLANK(InfoGard!E1214),FALSE,RIGHT(TRIM(InfoGard!E1214),15))</f>
        <v>0</v>
      </c>
      <c r="C1214" s="2" t="b">
        <f>IF(ISBLANK(InfoGard!F1214),FALSE,LOOKUP(InfoGard!F1214,Lookup!$A$6:$B$7))</f>
        <v>0</v>
      </c>
      <c r="D1214" s="2" t="b">
        <f>IF(ISBLANK(InfoGard!G1214),FALSE,InfoGard!G1214)</f>
        <v>0</v>
      </c>
      <c r="E1214" s="2" t="str">
        <f>IF(NOT(ISBLANK(InfoGard!D1214)),IF(OR(ISBLANK(InfoGard!E1214),InfoGard!E1214="N/A"),"no acb code",CONCATENATE(Lookup!F$1,A1214,Lookup!G$1,B1214,Lookup!H$1,H$1,Lookup!I$1)),"no attestation")</f>
        <v>no attestation</v>
      </c>
      <c r="F1214" s="2" t="str">
        <f>IF(AND(NOT(ISBLANK(InfoGard!G1214)),InfoGard!G1214&lt;&gt;"N/A"),IF(C1214="All",CONCATENATE(Lookup!F$2,D1214,Lookup!G$2,B1214,Lookup!H$2,H$1,Lookup!I$2),CONCATENATE(Lookup!F$3,D1214,Lookup!G$3,B1214,Lookup!H$3)),"no url")</f>
        <v>no url</v>
      </c>
    </row>
    <row r="1215" spans="1:6" hidden="1" x14ac:dyDescent="0.25">
      <c r="A1215" s="2" t="b">
        <f>IF(ISBLANK(InfoGard!D1215),FALSE,LOOKUP(InfoGard!D1215,Lookup!$A$2:$B$4))</f>
        <v>0</v>
      </c>
      <c r="B1215" s="2" t="b">
        <f>IF(ISBLANK(InfoGard!E1215),FALSE,RIGHT(TRIM(InfoGard!E1215),15))</f>
        <v>0</v>
      </c>
      <c r="C1215" s="2" t="b">
        <f>IF(ISBLANK(InfoGard!F1215),FALSE,LOOKUP(InfoGard!F1215,Lookup!$A$6:$B$7))</f>
        <v>0</v>
      </c>
      <c r="D1215" s="2" t="b">
        <f>IF(ISBLANK(InfoGard!G1215),FALSE,InfoGard!G1215)</f>
        <v>0</v>
      </c>
      <c r="E1215" s="2" t="str">
        <f>IF(NOT(ISBLANK(InfoGard!D1215)),IF(OR(ISBLANK(InfoGard!E1215),InfoGard!E1215="N/A"),"no acb code",CONCATENATE(Lookup!F$1,A1215,Lookup!G$1,B1215,Lookup!H$1,H$1,Lookup!I$1)),"no attestation")</f>
        <v>no attestation</v>
      </c>
      <c r="F1215" s="2" t="str">
        <f>IF(AND(NOT(ISBLANK(InfoGard!G1215)),InfoGard!G1215&lt;&gt;"N/A"),IF(C1215="All",CONCATENATE(Lookup!F$2,D1215,Lookup!G$2,B1215,Lookup!H$2,H$1,Lookup!I$2),CONCATENATE(Lookup!F$3,D1215,Lookup!G$3,B1215,Lookup!H$3)),"no url")</f>
        <v>no url</v>
      </c>
    </row>
    <row r="1216" spans="1:6" hidden="1" x14ac:dyDescent="0.25">
      <c r="A1216" s="2" t="b">
        <f>IF(ISBLANK(InfoGard!D1216),FALSE,LOOKUP(InfoGard!D1216,Lookup!$A$2:$B$4))</f>
        <v>0</v>
      </c>
      <c r="B1216" s="2" t="b">
        <f>IF(ISBLANK(InfoGard!E1216),FALSE,RIGHT(TRIM(InfoGard!E1216),15))</f>
        <v>0</v>
      </c>
      <c r="C1216" s="2" t="b">
        <f>IF(ISBLANK(InfoGard!F1216),FALSE,LOOKUP(InfoGard!F1216,Lookup!$A$6:$B$7))</f>
        <v>0</v>
      </c>
      <c r="D1216" s="2" t="b">
        <f>IF(ISBLANK(InfoGard!G1216),FALSE,InfoGard!G1216)</f>
        <v>0</v>
      </c>
      <c r="E1216" s="2" t="str">
        <f>IF(NOT(ISBLANK(InfoGard!D1216)),IF(OR(ISBLANK(InfoGard!E1216),InfoGard!E1216="N/A"),"no acb code",CONCATENATE(Lookup!F$1,A1216,Lookup!G$1,B1216,Lookup!H$1,H$1,Lookup!I$1)),"no attestation")</f>
        <v>no attestation</v>
      </c>
      <c r="F1216" s="2" t="str">
        <f>IF(AND(NOT(ISBLANK(InfoGard!G1216)),InfoGard!G1216&lt;&gt;"N/A"),IF(C1216="All",CONCATENATE(Lookup!F$2,D1216,Lookup!G$2,B1216,Lookup!H$2,H$1,Lookup!I$2),CONCATENATE(Lookup!F$3,D1216,Lookup!G$3,B1216,Lookup!H$3)),"no url")</f>
        <v>no url</v>
      </c>
    </row>
    <row r="1217" spans="1:6" hidden="1" x14ac:dyDescent="0.25">
      <c r="A1217" s="2" t="b">
        <f>IF(ISBLANK(InfoGard!D1217),FALSE,LOOKUP(InfoGard!D1217,Lookup!$A$2:$B$4))</f>
        <v>0</v>
      </c>
      <c r="B1217" s="2" t="b">
        <f>IF(ISBLANK(InfoGard!E1217),FALSE,RIGHT(TRIM(InfoGard!E1217),15))</f>
        <v>0</v>
      </c>
      <c r="C1217" s="2" t="b">
        <f>IF(ISBLANK(InfoGard!F1217),FALSE,LOOKUP(InfoGard!F1217,Lookup!$A$6:$B$7))</f>
        <v>0</v>
      </c>
      <c r="D1217" s="2" t="b">
        <f>IF(ISBLANK(InfoGard!G1217),FALSE,InfoGard!G1217)</f>
        <v>0</v>
      </c>
      <c r="E1217" s="2" t="str">
        <f>IF(NOT(ISBLANK(InfoGard!D1217)),IF(OR(ISBLANK(InfoGard!E1217),InfoGard!E1217="N/A"),"no acb code",CONCATENATE(Lookup!F$1,A1217,Lookup!G$1,B1217,Lookup!H$1,H$1,Lookup!I$1)),"no attestation")</f>
        <v>no attestation</v>
      </c>
      <c r="F1217" s="2" t="str">
        <f>IF(AND(NOT(ISBLANK(InfoGard!G1217)),InfoGard!G1217&lt;&gt;"N/A"),IF(C1217="All",CONCATENATE(Lookup!F$2,D1217,Lookup!G$2,B1217,Lookup!H$2,H$1,Lookup!I$2),CONCATENATE(Lookup!F$3,D1217,Lookup!G$3,B1217,Lookup!H$3)),"no url")</f>
        <v>no url</v>
      </c>
    </row>
    <row r="1218" spans="1:6" hidden="1" x14ac:dyDescent="0.25">
      <c r="A1218" s="2" t="b">
        <f>IF(ISBLANK(InfoGard!D1218),FALSE,LOOKUP(InfoGard!D1218,Lookup!$A$2:$B$4))</f>
        <v>0</v>
      </c>
      <c r="B1218" s="2" t="b">
        <f>IF(ISBLANK(InfoGard!E1218),FALSE,RIGHT(TRIM(InfoGard!E1218),15))</f>
        <v>0</v>
      </c>
      <c r="C1218" s="2" t="b">
        <f>IF(ISBLANK(InfoGard!F1218),FALSE,LOOKUP(InfoGard!F1218,Lookup!$A$6:$B$7))</f>
        <v>0</v>
      </c>
      <c r="D1218" s="2" t="b">
        <f>IF(ISBLANK(InfoGard!G1218),FALSE,InfoGard!G1218)</f>
        <v>0</v>
      </c>
      <c r="E1218" s="2" t="str">
        <f>IF(NOT(ISBLANK(InfoGard!D1218)),IF(OR(ISBLANK(InfoGard!E1218),InfoGard!E1218="N/A"),"no acb code",CONCATENATE(Lookup!F$1,A1218,Lookup!G$1,B1218,Lookup!H$1,H$1,Lookup!I$1)),"no attestation")</f>
        <v>no attestation</v>
      </c>
      <c r="F1218" s="2" t="str">
        <f>IF(AND(NOT(ISBLANK(InfoGard!G1218)),InfoGard!G1218&lt;&gt;"N/A"),IF(C1218="All",CONCATENATE(Lookup!F$2,D1218,Lookup!G$2,B1218,Lookup!H$2,H$1,Lookup!I$2),CONCATENATE(Lookup!F$3,D1218,Lookup!G$3,B1218,Lookup!H$3)),"no url")</f>
        <v>no url</v>
      </c>
    </row>
    <row r="1219" spans="1:6" hidden="1" x14ac:dyDescent="0.25">
      <c r="A1219" s="2" t="b">
        <f>IF(ISBLANK(InfoGard!D1219),FALSE,LOOKUP(InfoGard!D1219,Lookup!$A$2:$B$4))</f>
        <v>0</v>
      </c>
      <c r="B1219" s="2" t="b">
        <f>IF(ISBLANK(InfoGard!E1219),FALSE,RIGHT(TRIM(InfoGard!E1219),15))</f>
        <v>0</v>
      </c>
      <c r="C1219" s="2" t="b">
        <f>IF(ISBLANK(InfoGard!F1219),FALSE,LOOKUP(InfoGard!F1219,Lookup!$A$6:$B$7))</f>
        <v>0</v>
      </c>
      <c r="D1219" s="2" t="b">
        <f>IF(ISBLANK(InfoGard!G1219),FALSE,InfoGard!G1219)</f>
        <v>0</v>
      </c>
      <c r="E1219" s="2" t="str">
        <f>IF(NOT(ISBLANK(InfoGard!D1219)),IF(OR(ISBLANK(InfoGard!E1219),InfoGard!E1219="N/A"),"no acb code",CONCATENATE(Lookup!F$1,A1219,Lookup!G$1,B1219,Lookup!H$1,H$1,Lookup!I$1)),"no attestation")</f>
        <v>no attestation</v>
      </c>
      <c r="F1219" s="2" t="str">
        <f>IF(AND(NOT(ISBLANK(InfoGard!G1219)),InfoGard!G1219&lt;&gt;"N/A"),IF(C1219="All",CONCATENATE(Lookup!F$2,D1219,Lookup!G$2,B1219,Lookup!H$2,H$1,Lookup!I$2),CONCATENATE(Lookup!F$3,D1219,Lookup!G$3,B1219,Lookup!H$3)),"no url")</f>
        <v>no url</v>
      </c>
    </row>
    <row r="1220" spans="1:6" hidden="1" x14ac:dyDescent="0.25">
      <c r="A1220" s="2" t="b">
        <f>IF(ISBLANK(InfoGard!D1220),FALSE,LOOKUP(InfoGard!D1220,Lookup!$A$2:$B$4))</f>
        <v>0</v>
      </c>
      <c r="B1220" s="2" t="b">
        <f>IF(ISBLANK(InfoGard!E1220),FALSE,RIGHT(TRIM(InfoGard!E1220),15))</f>
        <v>0</v>
      </c>
      <c r="C1220" s="2" t="b">
        <f>IF(ISBLANK(InfoGard!F1220),FALSE,LOOKUP(InfoGard!F1220,Lookup!$A$6:$B$7))</f>
        <v>0</v>
      </c>
      <c r="D1220" s="2" t="b">
        <f>IF(ISBLANK(InfoGard!G1220),FALSE,InfoGard!G1220)</f>
        <v>0</v>
      </c>
      <c r="E1220" s="2" t="str">
        <f>IF(NOT(ISBLANK(InfoGard!D1220)),IF(OR(ISBLANK(InfoGard!E1220),InfoGard!E1220="N/A"),"no acb code",CONCATENATE(Lookup!F$1,A1220,Lookup!G$1,B1220,Lookup!H$1,H$1,Lookup!I$1)),"no attestation")</f>
        <v>no attestation</v>
      </c>
      <c r="F1220" s="2" t="str">
        <f>IF(AND(NOT(ISBLANK(InfoGard!G1220)),InfoGard!G1220&lt;&gt;"N/A"),IF(C1220="All",CONCATENATE(Lookup!F$2,D1220,Lookup!G$2,B1220,Lookup!H$2,H$1,Lookup!I$2),CONCATENATE(Lookup!F$3,D1220,Lookup!G$3,B1220,Lookup!H$3)),"no url")</f>
        <v>no url</v>
      </c>
    </row>
    <row r="1221" spans="1:6" hidden="1" x14ac:dyDescent="0.25">
      <c r="A1221" s="2" t="b">
        <f>IF(ISBLANK(InfoGard!D1221),FALSE,LOOKUP(InfoGard!D1221,Lookup!$A$2:$B$4))</f>
        <v>0</v>
      </c>
      <c r="B1221" s="2" t="b">
        <f>IF(ISBLANK(InfoGard!E1221),FALSE,RIGHT(TRIM(InfoGard!E1221),15))</f>
        <v>0</v>
      </c>
      <c r="C1221" s="2" t="b">
        <f>IF(ISBLANK(InfoGard!F1221),FALSE,LOOKUP(InfoGard!F1221,Lookup!$A$6:$B$7))</f>
        <v>0</v>
      </c>
      <c r="D1221" s="2" t="b">
        <f>IF(ISBLANK(InfoGard!G1221),FALSE,InfoGard!G1221)</f>
        <v>0</v>
      </c>
      <c r="E1221" s="2" t="str">
        <f>IF(NOT(ISBLANK(InfoGard!D1221)),IF(OR(ISBLANK(InfoGard!E1221),InfoGard!E1221="N/A"),"no acb code",CONCATENATE(Lookup!F$1,A1221,Lookup!G$1,B1221,Lookup!H$1,H$1,Lookup!I$1)),"no attestation")</f>
        <v>no attestation</v>
      </c>
      <c r="F1221" s="2" t="str">
        <f>IF(AND(NOT(ISBLANK(InfoGard!G1221)),InfoGard!G1221&lt;&gt;"N/A"),IF(C1221="All",CONCATENATE(Lookup!F$2,D1221,Lookup!G$2,B1221,Lookup!H$2,H$1,Lookup!I$2),CONCATENATE(Lookup!F$3,D1221,Lookup!G$3,B1221,Lookup!H$3)),"no url")</f>
        <v>no url</v>
      </c>
    </row>
    <row r="1222" spans="1:6" hidden="1" x14ac:dyDescent="0.25">
      <c r="A1222" s="2" t="b">
        <f>IF(ISBLANK(InfoGard!D1222),FALSE,LOOKUP(InfoGard!D1222,Lookup!$A$2:$B$4))</f>
        <v>0</v>
      </c>
      <c r="B1222" s="2" t="b">
        <f>IF(ISBLANK(InfoGard!E1222),FALSE,RIGHT(TRIM(InfoGard!E1222),15))</f>
        <v>0</v>
      </c>
      <c r="C1222" s="2" t="b">
        <f>IF(ISBLANK(InfoGard!F1222),FALSE,LOOKUP(InfoGard!F1222,Lookup!$A$6:$B$7))</f>
        <v>0</v>
      </c>
      <c r="D1222" s="2" t="b">
        <f>IF(ISBLANK(InfoGard!G1222),FALSE,InfoGard!G1222)</f>
        <v>0</v>
      </c>
      <c r="E1222" s="2" t="str">
        <f>IF(NOT(ISBLANK(InfoGard!D1222)),IF(OR(ISBLANK(InfoGard!E1222),InfoGard!E1222="N/A"),"no acb code",CONCATENATE(Lookup!F$1,A1222,Lookup!G$1,B1222,Lookup!H$1,H$1,Lookup!I$1)),"no attestation")</f>
        <v>no attestation</v>
      </c>
      <c r="F1222" s="2" t="str">
        <f>IF(AND(NOT(ISBLANK(InfoGard!G1222)),InfoGard!G1222&lt;&gt;"N/A"),IF(C1222="All",CONCATENATE(Lookup!F$2,D1222,Lookup!G$2,B1222,Lookup!H$2,H$1,Lookup!I$2),CONCATENATE(Lookup!F$3,D1222,Lookup!G$3,B1222,Lookup!H$3)),"no url")</f>
        <v>no url</v>
      </c>
    </row>
    <row r="1223" spans="1:6" hidden="1" x14ac:dyDescent="0.25">
      <c r="A1223" s="2" t="b">
        <f>IF(ISBLANK(InfoGard!D1223),FALSE,LOOKUP(InfoGard!D1223,Lookup!$A$2:$B$4))</f>
        <v>0</v>
      </c>
      <c r="B1223" s="2" t="b">
        <f>IF(ISBLANK(InfoGard!E1223),FALSE,RIGHT(TRIM(InfoGard!E1223),15))</f>
        <v>0</v>
      </c>
      <c r="C1223" s="2" t="b">
        <f>IF(ISBLANK(InfoGard!F1223),FALSE,LOOKUP(InfoGard!F1223,Lookup!$A$6:$B$7))</f>
        <v>0</v>
      </c>
      <c r="D1223" s="2" t="b">
        <f>IF(ISBLANK(InfoGard!G1223),FALSE,InfoGard!G1223)</f>
        <v>0</v>
      </c>
      <c r="E1223" s="2" t="str">
        <f>IF(NOT(ISBLANK(InfoGard!D1223)),IF(OR(ISBLANK(InfoGard!E1223),InfoGard!E1223="N/A"),"no acb code",CONCATENATE(Lookup!F$1,A1223,Lookup!G$1,B1223,Lookup!H$1,H$1,Lookup!I$1)),"no attestation")</f>
        <v>no attestation</v>
      </c>
      <c r="F1223" s="2" t="str">
        <f>IF(AND(NOT(ISBLANK(InfoGard!G1223)),InfoGard!G1223&lt;&gt;"N/A"),IF(C1223="All",CONCATENATE(Lookup!F$2,D1223,Lookup!G$2,B1223,Lookup!H$2,H$1,Lookup!I$2),CONCATENATE(Lookup!F$3,D1223,Lookup!G$3,B1223,Lookup!H$3)),"no url")</f>
        <v>no url</v>
      </c>
    </row>
    <row r="1224" spans="1:6" hidden="1" x14ac:dyDescent="0.25">
      <c r="A1224" s="2" t="b">
        <f>IF(ISBLANK(InfoGard!D1224),FALSE,LOOKUP(InfoGard!D1224,Lookup!$A$2:$B$4))</f>
        <v>0</v>
      </c>
      <c r="B1224" s="2" t="b">
        <f>IF(ISBLANK(InfoGard!E1224),FALSE,RIGHT(TRIM(InfoGard!E1224),15))</f>
        <v>0</v>
      </c>
      <c r="C1224" s="2" t="b">
        <f>IF(ISBLANK(InfoGard!F1224),FALSE,LOOKUP(InfoGard!F1224,Lookup!$A$6:$B$7))</f>
        <v>0</v>
      </c>
      <c r="D1224" s="2" t="b">
        <f>IF(ISBLANK(InfoGard!G1224),FALSE,InfoGard!G1224)</f>
        <v>0</v>
      </c>
      <c r="E1224" s="2" t="str">
        <f>IF(NOT(ISBLANK(InfoGard!D1224)),IF(OR(ISBLANK(InfoGard!E1224),InfoGard!E1224="N/A"),"no acb code",CONCATENATE(Lookup!F$1,A1224,Lookup!G$1,B1224,Lookup!H$1,H$1,Lookup!I$1)),"no attestation")</f>
        <v>no attestation</v>
      </c>
      <c r="F1224" s="2" t="str">
        <f>IF(AND(NOT(ISBLANK(InfoGard!G1224)),InfoGard!G1224&lt;&gt;"N/A"),IF(C1224="All",CONCATENATE(Lookup!F$2,D1224,Lookup!G$2,B1224,Lookup!H$2,H$1,Lookup!I$2),CONCATENATE(Lookup!F$3,D1224,Lookup!G$3,B1224,Lookup!H$3)),"no url")</f>
        <v>no url</v>
      </c>
    </row>
    <row r="1225" spans="1:6" hidden="1" x14ac:dyDescent="0.25">
      <c r="A1225" s="2" t="b">
        <f>IF(ISBLANK(InfoGard!D1225),FALSE,LOOKUP(InfoGard!D1225,Lookup!$A$2:$B$4))</f>
        <v>0</v>
      </c>
      <c r="B1225" s="2" t="b">
        <f>IF(ISBLANK(InfoGard!E1225),FALSE,RIGHT(TRIM(InfoGard!E1225),15))</f>
        <v>0</v>
      </c>
      <c r="C1225" s="2" t="b">
        <f>IF(ISBLANK(InfoGard!F1225),FALSE,LOOKUP(InfoGard!F1225,Lookup!$A$6:$B$7))</f>
        <v>0</v>
      </c>
      <c r="D1225" s="2" t="b">
        <f>IF(ISBLANK(InfoGard!G1225),FALSE,InfoGard!G1225)</f>
        <v>0</v>
      </c>
      <c r="E1225" s="2" t="str">
        <f>IF(NOT(ISBLANK(InfoGard!D1225)),IF(OR(ISBLANK(InfoGard!E1225),InfoGard!E1225="N/A"),"no acb code",CONCATENATE(Lookup!F$1,A1225,Lookup!G$1,B1225,Lookup!H$1,H$1,Lookup!I$1)),"no attestation")</f>
        <v>no attestation</v>
      </c>
      <c r="F1225" s="2" t="str">
        <f>IF(AND(NOT(ISBLANK(InfoGard!G1225)),InfoGard!G1225&lt;&gt;"N/A"),IF(C1225="All",CONCATENATE(Lookup!F$2,D1225,Lookup!G$2,B1225,Lookup!H$2,H$1,Lookup!I$2),CONCATENATE(Lookup!F$3,D1225,Lookup!G$3,B1225,Lookup!H$3)),"no url")</f>
        <v>no url</v>
      </c>
    </row>
    <row r="1226" spans="1:6" hidden="1" x14ac:dyDescent="0.25">
      <c r="A1226" s="2" t="b">
        <f>IF(ISBLANK(InfoGard!D1226),FALSE,LOOKUP(InfoGard!D1226,Lookup!$A$2:$B$4))</f>
        <v>0</v>
      </c>
      <c r="B1226" s="2" t="b">
        <f>IF(ISBLANK(InfoGard!E1226),FALSE,RIGHT(TRIM(InfoGard!E1226),15))</f>
        <v>0</v>
      </c>
      <c r="C1226" s="2" t="b">
        <f>IF(ISBLANK(InfoGard!F1226),FALSE,LOOKUP(InfoGard!F1226,Lookup!$A$6:$B$7))</f>
        <v>0</v>
      </c>
      <c r="D1226" s="2" t="b">
        <f>IF(ISBLANK(InfoGard!G1226),FALSE,InfoGard!G1226)</f>
        <v>0</v>
      </c>
      <c r="E1226" s="2" t="str">
        <f>IF(NOT(ISBLANK(InfoGard!D1226)),IF(OR(ISBLANK(InfoGard!E1226),InfoGard!E1226="N/A"),"no acb code",CONCATENATE(Lookup!F$1,A1226,Lookup!G$1,B1226,Lookup!H$1,H$1,Lookup!I$1)),"no attestation")</f>
        <v>no attestation</v>
      </c>
      <c r="F1226" s="2" t="str">
        <f>IF(AND(NOT(ISBLANK(InfoGard!G1226)),InfoGard!G1226&lt;&gt;"N/A"),IF(C1226="All",CONCATENATE(Lookup!F$2,D1226,Lookup!G$2,B1226,Lookup!H$2,H$1,Lookup!I$2),CONCATENATE(Lookup!F$3,D1226,Lookup!G$3,B1226,Lookup!H$3)),"no url")</f>
        <v>no url</v>
      </c>
    </row>
    <row r="1227" spans="1:6" hidden="1" x14ac:dyDescent="0.25">
      <c r="A1227" s="2" t="b">
        <f>IF(ISBLANK(InfoGard!D1227),FALSE,LOOKUP(InfoGard!D1227,Lookup!$A$2:$B$4))</f>
        <v>0</v>
      </c>
      <c r="B1227" s="2" t="b">
        <f>IF(ISBLANK(InfoGard!E1227),FALSE,RIGHT(TRIM(InfoGard!E1227),15))</f>
        <v>0</v>
      </c>
      <c r="C1227" s="2" t="b">
        <f>IF(ISBLANK(InfoGard!F1227),FALSE,LOOKUP(InfoGard!F1227,Lookup!$A$6:$B$7))</f>
        <v>0</v>
      </c>
      <c r="D1227" s="2" t="b">
        <f>IF(ISBLANK(InfoGard!G1227),FALSE,InfoGard!G1227)</f>
        <v>0</v>
      </c>
      <c r="E1227" s="2" t="str">
        <f>IF(NOT(ISBLANK(InfoGard!D1227)),IF(OR(ISBLANK(InfoGard!E1227),InfoGard!E1227="N/A"),"no acb code",CONCATENATE(Lookup!F$1,A1227,Lookup!G$1,B1227,Lookup!H$1,H$1,Lookup!I$1)),"no attestation")</f>
        <v>no attestation</v>
      </c>
      <c r="F1227" s="2" t="str">
        <f>IF(AND(NOT(ISBLANK(InfoGard!G1227)),InfoGard!G1227&lt;&gt;"N/A"),IF(C1227="All",CONCATENATE(Lookup!F$2,D1227,Lookup!G$2,B1227,Lookup!H$2,H$1,Lookup!I$2),CONCATENATE(Lookup!F$3,D1227,Lookup!G$3,B1227,Lookup!H$3)),"no url")</f>
        <v>no url</v>
      </c>
    </row>
    <row r="1228" spans="1:6" hidden="1" x14ac:dyDescent="0.25">
      <c r="A1228" s="2" t="b">
        <f>IF(ISBLANK(InfoGard!D1228),FALSE,LOOKUP(InfoGard!D1228,Lookup!$A$2:$B$4))</f>
        <v>0</v>
      </c>
      <c r="B1228" s="2" t="b">
        <f>IF(ISBLANK(InfoGard!E1228),FALSE,RIGHT(TRIM(InfoGard!E1228),15))</f>
        <v>0</v>
      </c>
      <c r="C1228" s="2" t="b">
        <f>IF(ISBLANK(InfoGard!F1228),FALSE,LOOKUP(InfoGard!F1228,Lookup!$A$6:$B$7))</f>
        <v>0</v>
      </c>
      <c r="D1228" s="2" t="b">
        <f>IF(ISBLANK(InfoGard!G1228),FALSE,InfoGard!G1228)</f>
        <v>0</v>
      </c>
      <c r="E1228" s="2" t="str">
        <f>IF(NOT(ISBLANK(InfoGard!D1228)),IF(OR(ISBLANK(InfoGard!E1228),InfoGard!E1228="N/A"),"no acb code",CONCATENATE(Lookup!F$1,A1228,Lookup!G$1,B1228,Lookup!H$1,H$1,Lookup!I$1)),"no attestation")</f>
        <v>no attestation</v>
      </c>
      <c r="F1228" s="2" t="str">
        <f>IF(AND(NOT(ISBLANK(InfoGard!G1228)),InfoGard!G1228&lt;&gt;"N/A"),IF(C1228="All",CONCATENATE(Lookup!F$2,D1228,Lookup!G$2,B1228,Lookup!H$2,H$1,Lookup!I$2),CONCATENATE(Lookup!F$3,D1228,Lookup!G$3,B1228,Lookup!H$3)),"no url")</f>
        <v>no url</v>
      </c>
    </row>
    <row r="1229" spans="1:6" hidden="1" x14ac:dyDescent="0.25">
      <c r="A1229" s="2" t="b">
        <f>IF(ISBLANK(InfoGard!D1229),FALSE,LOOKUP(InfoGard!D1229,Lookup!$A$2:$B$4))</f>
        <v>0</v>
      </c>
      <c r="B1229" s="2" t="b">
        <f>IF(ISBLANK(InfoGard!E1229),FALSE,RIGHT(TRIM(InfoGard!E1229),15))</f>
        <v>0</v>
      </c>
      <c r="C1229" s="2" t="b">
        <f>IF(ISBLANK(InfoGard!F1229),FALSE,LOOKUP(InfoGard!F1229,Lookup!$A$6:$B$7))</f>
        <v>0</v>
      </c>
      <c r="D1229" s="2" t="b">
        <f>IF(ISBLANK(InfoGard!G1229),FALSE,InfoGard!G1229)</f>
        <v>0</v>
      </c>
      <c r="E1229" s="2" t="str">
        <f>IF(NOT(ISBLANK(InfoGard!D1229)),IF(OR(ISBLANK(InfoGard!E1229),InfoGard!E1229="N/A"),"no acb code",CONCATENATE(Lookup!F$1,A1229,Lookup!G$1,B1229,Lookup!H$1,H$1,Lookup!I$1)),"no attestation")</f>
        <v>no attestation</v>
      </c>
      <c r="F1229" s="2" t="str">
        <f>IF(AND(NOT(ISBLANK(InfoGard!G1229)),InfoGard!G1229&lt;&gt;"N/A"),IF(C1229="All",CONCATENATE(Lookup!F$2,D1229,Lookup!G$2,B1229,Lookup!H$2,H$1,Lookup!I$2),CONCATENATE(Lookup!F$3,D1229,Lookup!G$3,B1229,Lookup!H$3)),"no url")</f>
        <v>no url</v>
      </c>
    </row>
    <row r="1230" spans="1:6" hidden="1" x14ac:dyDescent="0.25">
      <c r="A1230" s="2" t="b">
        <f>IF(ISBLANK(InfoGard!D1230),FALSE,LOOKUP(InfoGard!D1230,Lookup!$A$2:$B$4))</f>
        <v>0</v>
      </c>
      <c r="B1230" s="2" t="b">
        <f>IF(ISBLANK(InfoGard!E1230),FALSE,RIGHT(TRIM(InfoGard!E1230),15))</f>
        <v>0</v>
      </c>
      <c r="C1230" s="2" t="b">
        <f>IF(ISBLANK(InfoGard!F1230),FALSE,LOOKUP(InfoGard!F1230,Lookup!$A$6:$B$7))</f>
        <v>0</v>
      </c>
      <c r="D1230" s="2" t="b">
        <f>IF(ISBLANK(InfoGard!G1230),FALSE,InfoGard!G1230)</f>
        <v>0</v>
      </c>
      <c r="E1230" s="2" t="str">
        <f>IF(NOT(ISBLANK(InfoGard!D1230)),IF(OR(ISBLANK(InfoGard!E1230),InfoGard!E1230="N/A"),"no acb code",CONCATENATE(Lookup!F$1,A1230,Lookup!G$1,B1230,Lookup!H$1,H$1,Lookup!I$1)),"no attestation")</f>
        <v>no attestation</v>
      </c>
      <c r="F1230" s="2" t="str">
        <f>IF(AND(NOT(ISBLANK(InfoGard!G1230)),InfoGard!G1230&lt;&gt;"N/A"),IF(C1230="All",CONCATENATE(Lookup!F$2,D1230,Lookup!G$2,B1230,Lookup!H$2,H$1,Lookup!I$2),CONCATENATE(Lookup!F$3,D1230,Lookup!G$3,B1230,Lookup!H$3)),"no url")</f>
        <v>no url</v>
      </c>
    </row>
    <row r="1231" spans="1:6" hidden="1" x14ac:dyDescent="0.25">
      <c r="A1231" s="2" t="b">
        <f>IF(ISBLANK(InfoGard!D1231),FALSE,LOOKUP(InfoGard!D1231,Lookup!$A$2:$B$4))</f>
        <v>0</v>
      </c>
      <c r="B1231" s="2" t="b">
        <f>IF(ISBLANK(InfoGard!E1231),FALSE,RIGHT(TRIM(InfoGard!E1231),15))</f>
        <v>0</v>
      </c>
      <c r="C1231" s="2" t="b">
        <f>IF(ISBLANK(InfoGard!F1231),FALSE,LOOKUP(InfoGard!F1231,Lookup!$A$6:$B$7))</f>
        <v>0</v>
      </c>
      <c r="D1231" s="2" t="b">
        <f>IF(ISBLANK(InfoGard!G1231),FALSE,InfoGard!G1231)</f>
        <v>0</v>
      </c>
      <c r="E1231" s="2" t="str">
        <f>IF(NOT(ISBLANK(InfoGard!D1231)),IF(OR(ISBLANK(InfoGard!E1231),InfoGard!E1231="N/A"),"no acb code",CONCATENATE(Lookup!F$1,A1231,Lookup!G$1,B1231,Lookup!H$1,H$1,Lookup!I$1)),"no attestation")</f>
        <v>no attestation</v>
      </c>
      <c r="F1231" s="2" t="str">
        <f>IF(AND(NOT(ISBLANK(InfoGard!G1231)),InfoGard!G1231&lt;&gt;"N/A"),IF(C1231="All",CONCATENATE(Lookup!F$2,D1231,Lookup!G$2,B1231,Lookup!H$2,H$1,Lookup!I$2),CONCATENATE(Lookup!F$3,D1231,Lookup!G$3,B1231,Lookup!H$3)),"no url")</f>
        <v>no url</v>
      </c>
    </row>
    <row r="1232" spans="1:6" hidden="1" x14ac:dyDescent="0.25">
      <c r="A1232" s="2" t="b">
        <f>IF(ISBLANK(InfoGard!D1232),FALSE,LOOKUP(InfoGard!D1232,Lookup!$A$2:$B$4))</f>
        <v>0</v>
      </c>
      <c r="B1232" s="2" t="b">
        <f>IF(ISBLANK(InfoGard!E1232),FALSE,RIGHT(TRIM(InfoGard!E1232),15))</f>
        <v>0</v>
      </c>
      <c r="C1232" s="2" t="b">
        <f>IF(ISBLANK(InfoGard!F1232),FALSE,LOOKUP(InfoGard!F1232,Lookup!$A$6:$B$7))</f>
        <v>0</v>
      </c>
      <c r="D1232" s="2" t="b">
        <f>IF(ISBLANK(InfoGard!G1232),FALSE,InfoGard!G1232)</f>
        <v>0</v>
      </c>
      <c r="E1232" s="2" t="str">
        <f>IF(NOT(ISBLANK(InfoGard!D1232)),IF(OR(ISBLANK(InfoGard!E1232),InfoGard!E1232="N/A"),"no acb code",CONCATENATE(Lookup!F$1,A1232,Lookup!G$1,B1232,Lookup!H$1,H$1,Lookup!I$1)),"no attestation")</f>
        <v>no attestation</v>
      </c>
      <c r="F1232" s="2" t="str">
        <f>IF(AND(NOT(ISBLANK(InfoGard!G1232)),InfoGard!G1232&lt;&gt;"N/A"),IF(C1232="All",CONCATENATE(Lookup!F$2,D1232,Lookup!G$2,B1232,Lookup!H$2,H$1,Lookup!I$2),CONCATENATE(Lookup!F$3,D1232,Lookup!G$3,B1232,Lookup!H$3)),"no url")</f>
        <v>no url</v>
      </c>
    </row>
    <row r="1233" spans="1:6" hidden="1" x14ac:dyDescent="0.25">
      <c r="A1233" s="2" t="b">
        <f>IF(ISBLANK(InfoGard!D1233),FALSE,LOOKUP(InfoGard!D1233,Lookup!$A$2:$B$4))</f>
        <v>0</v>
      </c>
      <c r="B1233" s="2" t="b">
        <f>IF(ISBLANK(InfoGard!E1233),FALSE,RIGHT(TRIM(InfoGard!E1233),15))</f>
        <v>0</v>
      </c>
      <c r="C1233" s="2" t="b">
        <f>IF(ISBLANK(InfoGard!F1233),FALSE,LOOKUP(InfoGard!F1233,Lookup!$A$6:$B$7))</f>
        <v>0</v>
      </c>
      <c r="D1233" s="2" t="b">
        <f>IF(ISBLANK(InfoGard!G1233),FALSE,InfoGard!G1233)</f>
        <v>0</v>
      </c>
      <c r="E1233" s="2" t="str">
        <f>IF(NOT(ISBLANK(InfoGard!D1233)),IF(OR(ISBLANK(InfoGard!E1233),InfoGard!E1233="N/A"),"no acb code",CONCATENATE(Lookup!F$1,A1233,Lookup!G$1,B1233,Lookup!H$1,H$1,Lookup!I$1)),"no attestation")</f>
        <v>no attestation</v>
      </c>
      <c r="F1233" s="2" t="str">
        <f>IF(AND(NOT(ISBLANK(InfoGard!G1233)),InfoGard!G1233&lt;&gt;"N/A"),IF(C1233="All",CONCATENATE(Lookup!F$2,D1233,Lookup!G$2,B1233,Lookup!H$2,H$1,Lookup!I$2),CONCATENATE(Lookup!F$3,D1233,Lookup!G$3,B1233,Lookup!H$3)),"no url")</f>
        <v>no url</v>
      </c>
    </row>
    <row r="1234" spans="1:6" hidden="1" x14ac:dyDescent="0.25">
      <c r="A1234" s="2" t="b">
        <f>IF(ISBLANK(InfoGard!D1234),FALSE,LOOKUP(InfoGard!D1234,Lookup!$A$2:$B$4))</f>
        <v>0</v>
      </c>
      <c r="B1234" s="2" t="b">
        <f>IF(ISBLANK(InfoGard!E1234),FALSE,RIGHT(TRIM(InfoGard!E1234),15))</f>
        <v>0</v>
      </c>
      <c r="C1234" s="2" t="b">
        <f>IF(ISBLANK(InfoGard!F1234),FALSE,LOOKUP(InfoGard!F1234,Lookup!$A$6:$B$7))</f>
        <v>0</v>
      </c>
      <c r="D1234" s="2" t="b">
        <f>IF(ISBLANK(InfoGard!G1234),FALSE,InfoGard!G1234)</f>
        <v>0</v>
      </c>
      <c r="E1234" s="2" t="str">
        <f>IF(NOT(ISBLANK(InfoGard!D1234)),IF(OR(ISBLANK(InfoGard!E1234),InfoGard!E1234="N/A"),"no acb code",CONCATENATE(Lookup!F$1,A1234,Lookup!G$1,B1234,Lookup!H$1,H$1,Lookup!I$1)),"no attestation")</f>
        <v>no attestation</v>
      </c>
      <c r="F1234" s="2" t="str">
        <f>IF(AND(NOT(ISBLANK(InfoGard!G1234)),InfoGard!G1234&lt;&gt;"N/A"),IF(C1234="All",CONCATENATE(Lookup!F$2,D1234,Lookup!G$2,B1234,Lookup!H$2,H$1,Lookup!I$2),CONCATENATE(Lookup!F$3,D1234,Lookup!G$3,B1234,Lookup!H$3)),"no url")</f>
        <v>no url</v>
      </c>
    </row>
    <row r="1235" spans="1:6" hidden="1" x14ac:dyDescent="0.25">
      <c r="A1235" s="2" t="b">
        <f>IF(ISBLANK(InfoGard!D1235),FALSE,LOOKUP(InfoGard!D1235,Lookup!$A$2:$B$4))</f>
        <v>0</v>
      </c>
      <c r="B1235" s="2" t="b">
        <f>IF(ISBLANK(InfoGard!E1235),FALSE,RIGHT(TRIM(InfoGard!E1235),15))</f>
        <v>0</v>
      </c>
      <c r="C1235" s="2" t="b">
        <f>IF(ISBLANK(InfoGard!F1235),FALSE,LOOKUP(InfoGard!F1235,Lookup!$A$6:$B$7))</f>
        <v>0</v>
      </c>
      <c r="D1235" s="2" t="b">
        <f>IF(ISBLANK(InfoGard!G1235),FALSE,InfoGard!G1235)</f>
        <v>0</v>
      </c>
      <c r="E1235" s="2" t="str">
        <f>IF(NOT(ISBLANK(InfoGard!D1235)),IF(OR(ISBLANK(InfoGard!E1235),InfoGard!E1235="N/A"),"no acb code",CONCATENATE(Lookup!F$1,A1235,Lookup!G$1,B1235,Lookup!H$1,H$1,Lookup!I$1)),"no attestation")</f>
        <v>no attestation</v>
      </c>
      <c r="F1235" s="2" t="str">
        <f>IF(AND(NOT(ISBLANK(InfoGard!G1235)),InfoGard!G1235&lt;&gt;"N/A"),IF(C1235="All",CONCATENATE(Lookup!F$2,D1235,Lookup!G$2,B1235,Lookup!H$2,H$1,Lookup!I$2),CONCATENATE(Lookup!F$3,D1235,Lookup!G$3,B1235,Lookup!H$3)),"no url")</f>
        <v>no url</v>
      </c>
    </row>
    <row r="1236" spans="1:6" hidden="1" x14ac:dyDescent="0.25">
      <c r="A1236" s="2" t="b">
        <f>IF(ISBLANK(InfoGard!D1236),FALSE,LOOKUP(InfoGard!D1236,Lookup!$A$2:$B$4))</f>
        <v>0</v>
      </c>
      <c r="B1236" s="2" t="b">
        <f>IF(ISBLANK(InfoGard!E1236),FALSE,RIGHT(TRIM(InfoGard!E1236),15))</f>
        <v>0</v>
      </c>
      <c r="C1236" s="2" t="b">
        <f>IF(ISBLANK(InfoGard!F1236),FALSE,LOOKUP(InfoGard!F1236,Lookup!$A$6:$B$7))</f>
        <v>0</v>
      </c>
      <c r="D1236" s="2" t="b">
        <f>IF(ISBLANK(InfoGard!G1236),FALSE,InfoGard!G1236)</f>
        <v>0</v>
      </c>
      <c r="E1236" s="2" t="str">
        <f>IF(NOT(ISBLANK(InfoGard!D1236)),IF(OR(ISBLANK(InfoGard!E1236),InfoGard!E1236="N/A"),"no acb code",CONCATENATE(Lookup!F$1,A1236,Lookup!G$1,B1236,Lookup!H$1,H$1,Lookup!I$1)),"no attestation")</f>
        <v>no attestation</v>
      </c>
      <c r="F1236" s="2" t="str">
        <f>IF(AND(NOT(ISBLANK(InfoGard!G1236)),InfoGard!G1236&lt;&gt;"N/A"),IF(C1236="All",CONCATENATE(Lookup!F$2,D1236,Lookup!G$2,B1236,Lookup!H$2,H$1,Lookup!I$2),CONCATENATE(Lookup!F$3,D1236,Lookup!G$3,B1236,Lookup!H$3)),"no url")</f>
        <v>no url</v>
      </c>
    </row>
    <row r="1237" spans="1:6" hidden="1" x14ac:dyDescent="0.25">
      <c r="A1237" s="2" t="b">
        <f>IF(ISBLANK(InfoGard!D1237),FALSE,LOOKUP(InfoGard!D1237,Lookup!$A$2:$B$4))</f>
        <v>0</v>
      </c>
      <c r="B1237" s="2" t="b">
        <f>IF(ISBLANK(InfoGard!E1237),FALSE,RIGHT(TRIM(InfoGard!E1237),15))</f>
        <v>0</v>
      </c>
      <c r="C1237" s="2" t="b">
        <f>IF(ISBLANK(InfoGard!F1237),FALSE,LOOKUP(InfoGard!F1237,Lookup!$A$6:$B$7))</f>
        <v>0</v>
      </c>
      <c r="D1237" s="2" t="b">
        <f>IF(ISBLANK(InfoGard!G1237),FALSE,InfoGard!G1237)</f>
        <v>0</v>
      </c>
      <c r="E1237" s="2" t="str">
        <f>IF(NOT(ISBLANK(InfoGard!D1237)),IF(OR(ISBLANK(InfoGard!E1237),InfoGard!E1237="N/A"),"no acb code",CONCATENATE(Lookup!F$1,A1237,Lookup!G$1,B1237,Lookup!H$1,H$1,Lookup!I$1)),"no attestation")</f>
        <v>no attestation</v>
      </c>
      <c r="F1237" s="2" t="str">
        <f>IF(AND(NOT(ISBLANK(InfoGard!G1237)),InfoGard!G1237&lt;&gt;"N/A"),IF(C1237="All",CONCATENATE(Lookup!F$2,D1237,Lookup!G$2,B1237,Lookup!H$2,H$1,Lookup!I$2),CONCATENATE(Lookup!F$3,D1237,Lookup!G$3,B1237,Lookup!H$3)),"no url")</f>
        <v>no url</v>
      </c>
    </row>
    <row r="1238" spans="1:6" hidden="1" x14ac:dyDescent="0.25">
      <c r="A1238" s="2" t="b">
        <f>IF(ISBLANK(InfoGard!D1238),FALSE,LOOKUP(InfoGard!D1238,Lookup!$A$2:$B$4))</f>
        <v>0</v>
      </c>
      <c r="B1238" s="2" t="b">
        <f>IF(ISBLANK(InfoGard!E1238),FALSE,RIGHT(TRIM(InfoGard!E1238),15))</f>
        <v>0</v>
      </c>
      <c r="C1238" s="2" t="b">
        <f>IF(ISBLANK(InfoGard!F1238),FALSE,LOOKUP(InfoGard!F1238,Lookup!$A$6:$B$7))</f>
        <v>0</v>
      </c>
      <c r="D1238" s="2" t="b">
        <f>IF(ISBLANK(InfoGard!G1238),FALSE,InfoGard!G1238)</f>
        <v>0</v>
      </c>
      <c r="E1238" s="2" t="str">
        <f>IF(NOT(ISBLANK(InfoGard!D1238)),IF(OR(ISBLANK(InfoGard!E1238),InfoGard!E1238="N/A"),"no acb code",CONCATENATE(Lookup!F$1,A1238,Lookup!G$1,B1238,Lookup!H$1,H$1,Lookup!I$1)),"no attestation")</f>
        <v>no attestation</v>
      </c>
      <c r="F1238" s="2" t="str">
        <f>IF(AND(NOT(ISBLANK(InfoGard!G1238)),InfoGard!G1238&lt;&gt;"N/A"),IF(C1238="All",CONCATENATE(Lookup!F$2,D1238,Lookup!G$2,B1238,Lookup!H$2,H$1,Lookup!I$2),CONCATENATE(Lookup!F$3,D1238,Lookup!G$3,B1238,Lookup!H$3)),"no url")</f>
        <v>no url</v>
      </c>
    </row>
    <row r="1239" spans="1:6" hidden="1" x14ac:dyDescent="0.25">
      <c r="A1239" s="2" t="b">
        <f>IF(ISBLANK(InfoGard!D1239),FALSE,LOOKUP(InfoGard!D1239,Lookup!$A$2:$B$4))</f>
        <v>0</v>
      </c>
      <c r="B1239" s="2" t="b">
        <f>IF(ISBLANK(InfoGard!E1239),FALSE,RIGHT(TRIM(InfoGard!E1239),15))</f>
        <v>0</v>
      </c>
      <c r="C1239" s="2" t="b">
        <f>IF(ISBLANK(InfoGard!F1239),FALSE,LOOKUP(InfoGard!F1239,Lookup!$A$6:$B$7))</f>
        <v>0</v>
      </c>
      <c r="D1239" s="2" t="b">
        <f>IF(ISBLANK(InfoGard!G1239),FALSE,InfoGard!G1239)</f>
        <v>0</v>
      </c>
      <c r="E1239" s="2" t="str">
        <f>IF(NOT(ISBLANK(InfoGard!D1239)),IF(OR(ISBLANK(InfoGard!E1239),InfoGard!E1239="N/A"),"no acb code",CONCATENATE(Lookup!F$1,A1239,Lookup!G$1,B1239,Lookup!H$1,H$1,Lookup!I$1)),"no attestation")</f>
        <v>no attestation</v>
      </c>
      <c r="F1239" s="2" t="str">
        <f>IF(AND(NOT(ISBLANK(InfoGard!G1239)),InfoGard!G1239&lt;&gt;"N/A"),IF(C1239="All",CONCATENATE(Lookup!F$2,D1239,Lookup!G$2,B1239,Lookup!H$2,H$1,Lookup!I$2),CONCATENATE(Lookup!F$3,D1239,Lookup!G$3,B1239,Lookup!H$3)),"no url")</f>
        <v>no url</v>
      </c>
    </row>
    <row r="1240" spans="1:6" hidden="1" x14ac:dyDescent="0.25">
      <c r="A1240" s="2" t="b">
        <f>IF(ISBLANK(InfoGard!D1240),FALSE,LOOKUP(InfoGard!D1240,Lookup!$A$2:$B$4))</f>
        <v>0</v>
      </c>
      <c r="B1240" s="2" t="b">
        <f>IF(ISBLANK(InfoGard!E1240),FALSE,RIGHT(TRIM(InfoGard!E1240),15))</f>
        <v>0</v>
      </c>
      <c r="C1240" s="2" t="b">
        <f>IF(ISBLANK(InfoGard!F1240),FALSE,LOOKUP(InfoGard!F1240,Lookup!$A$6:$B$7))</f>
        <v>0</v>
      </c>
      <c r="D1240" s="2" t="b">
        <f>IF(ISBLANK(InfoGard!G1240),FALSE,InfoGard!G1240)</f>
        <v>0</v>
      </c>
      <c r="E1240" s="2" t="str">
        <f>IF(NOT(ISBLANK(InfoGard!D1240)),IF(OR(ISBLANK(InfoGard!E1240),InfoGard!E1240="N/A"),"no acb code",CONCATENATE(Lookup!F$1,A1240,Lookup!G$1,B1240,Lookup!H$1,H$1,Lookup!I$1)),"no attestation")</f>
        <v>no attestation</v>
      </c>
      <c r="F1240" s="2" t="str">
        <f>IF(AND(NOT(ISBLANK(InfoGard!G1240)),InfoGard!G1240&lt;&gt;"N/A"),IF(C1240="All",CONCATENATE(Lookup!F$2,D1240,Lookup!G$2,B1240,Lookup!H$2,H$1,Lookup!I$2),CONCATENATE(Lookup!F$3,D1240,Lookup!G$3,B1240,Lookup!H$3)),"no url")</f>
        <v>no url</v>
      </c>
    </row>
    <row r="1241" spans="1:6" hidden="1" x14ac:dyDescent="0.25">
      <c r="A1241" s="2" t="b">
        <f>IF(ISBLANK(InfoGard!D1241),FALSE,LOOKUP(InfoGard!D1241,Lookup!$A$2:$B$4))</f>
        <v>0</v>
      </c>
      <c r="B1241" s="2" t="b">
        <f>IF(ISBLANK(InfoGard!E1241),FALSE,RIGHT(TRIM(InfoGard!E1241),15))</f>
        <v>0</v>
      </c>
      <c r="C1241" s="2" t="b">
        <f>IF(ISBLANK(InfoGard!F1241),FALSE,LOOKUP(InfoGard!F1241,Lookup!$A$6:$B$7))</f>
        <v>0</v>
      </c>
      <c r="D1241" s="2" t="b">
        <f>IF(ISBLANK(InfoGard!G1241),FALSE,InfoGard!G1241)</f>
        <v>0</v>
      </c>
      <c r="E1241" s="2" t="str">
        <f>IF(NOT(ISBLANK(InfoGard!D1241)),IF(OR(ISBLANK(InfoGard!E1241),InfoGard!E1241="N/A"),"no acb code",CONCATENATE(Lookup!F$1,A1241,Lookup!G$1,B1241,Lookup!H$1,H$1,Lookup!I$1)),"no attestation")</f>
        <v>no attestation</v>
      </c>
      <c r="F1241" s="2" t="str">
        <f>IF(AND(NOT(ISBLANK(InfoGard!G1241)),InfoGard!G1241&lt;&gt;"N/A"),IF(C1241="All",CONCATENATE(Lookup!F$2,D1241,Lookup!G$2,B1241,Lookup!H$2,H$1,Lookup!I$2),CONCATENATE(Lookup!F$3,D1241,Lookup!G$3,B1241,Lookup!H$3)),"no url")</f>
        <v>no url</v>
      </c>
    </row>
    <row r="1242" spans="1:6" hidden="1" x14ac:dyDescent="0.25">
      <c r="A1242" s="2" t="b">
        <f>IF(ISBLANK(InfoGard!D1242),FALSE,LOOKUP(InfoGard!D1242,Lookup!$A$2:$B$4))</f>
        <v>0</v>
      </c>
      <c r="B1242" s="2" t="b">
        <f>IF(ISBLANK(InfoGard!E1242),FALSE,RIGHT(TRIM(InfoGard!E1242),15))</f>
        <v>0</v>
      </c>
      <c r="C1242" s="2" t="b">
        <f>IF(ISBLANK(InfoGard!F1242),FALSE,LOOKUP(InfoGard!F1242,Lookup!$A$6:$B$7))</f>
        <v>0</v>
      </c>
      <c r="D1242" s="2" t="b">
        <f>IF(ISBLANK(InfoGard!G1242),FALSE,InfoGard!G1242)</f>
        <v>0</v>
      </c>
      <c r="E1242" s="2" t="str">
        <f>IF(NOT(ISBLANK(InfoGard!D1242)),IF(OR(ISBLANK(InfoGard!E1242),InfoGard!E1242="N/A"),"no acb code",CONCATENATE(Lookup!F$1,A1242,Lookup!G$1,B1242,Lookup!H$1,H$1,Lookup!I$1)),"no attestation")</f>
        <v>no attestation</v>
      </c>
      <c r="F1242" s="2" t="str">
        <f>IF(AND(NOT(ISBLANK(InfoGard!G1242)),InfoGard!G1242&lt;&gt;"N/A"),IF(C1242="All",CONCATENATE(Lookup!F$2,D1242,Lookup!G$2,B1242,Lookup!H$2,H$1,Lookup!I$2),CONCATENATE(Lookup!F$3,D1242,Lookup!G$3,B1242,Lookup!H$3)),"no url")</f>
        <v>no url</v>
      </c>
    </row>
    <row r="1243" spans="1:6" hidden="1" x14ac:dyDescent="0.25">
      <c r="A1243" s="2" t="b">
        <f>IF(ISBLANK(InfoGard!D1243),FALSE,LOOKUP(InfoGard!D1243,Lookup!$A$2:$B$4))</f>
        <v>0</v>
      </c>
      <c r="B1243" s="2" t="b">
        <f>IF(ISBLANK(InfoGard!E1243),FALSE,RIGHT(TRIM(InfoGard!E1243),15))</f>
        <v>0</v>
      </c>
      <c r="C1243" s="2" t="b">
        <f>IF(ISBLANK(InfoGard!F1243),FALSE,LOOKUP(InfoGard!F1243,Lookup!$A$6:$B$7))</f>
        <v>0</v>
      </c>
      <c r="D1243" s="2" t="b">
        <f>IF(ISBLANK(InfoGard!G1243),FALSE,InfoGard!G1243)</f>
        <v>0</v>
      </c>
      <c r="E1243" s="2" t="str">
        <f>IF(NOT(ISBLANK(InfoGard!D1243)),IF(OR(ISBLANK(InfoGard!E1243),InfoGard!E1243="N/A"),"no acb code",CONCATENATE(Lookup!F$1,A1243,Lookup!G$1,B1243,Lookup!H$1,H$1,Lookup!I$1)),"no attestation")</f>
        <v>no attestation</v>
      </c>
      <c r="F1243" s="2" t="str">
        <f>IF(AND(NOT(ISBLANK(InfoGard!G1243)),InfoGard!G1243&lt;&gt;"N/A"),IF(C1243="All",CONCATENATE(Lookup!F$2,D1243,Lookup!G$2,B1243,Lookup!H$2,H$1,Lookup!I$2),CONCATENATE(Lookup!F$3,D1243,Lookup!G$3,B1243,Lookup!H$3)),"no url")</f>
        <v>no url</v>
      </c>
    </row>
    <row r="1244" spans="1:6" hidden="1" x14ac:dyDescent="0.25">
      <c r="A1244" s="2" t="b">
        <f>IF(ISBLANK(InfoGard!D1244),FALSE,LOOKUP(InfoGard!D1244,Lookup!$A$2:$B$4))</f>
        <v>0</v>
      </c>
      <c r="B1244" s="2" t="b">
        <f>IF(ISBLANK(InfoGard!E1244),FALSE,RIGHT(TRIM(InfoGard!E1244),15))</f>
        <v>0</v>
      </c>
      <c r="C1244" s="2" t="b">
        <f>IF(ISBLANK(InfoGard!F1244),FALSE,LOOKUP(InfoGard!F1244,Lookup!$A$6:$B$7))</f>
        <v>0</v>
      </c>
      <c r="D1244" s="2" t="b">
        <f>IF(ISBLANK(InfoGard!G1244),FALSE,InfoGard!G1244)</f>
        <v>0</v>
      </c>
      <c r="E1244" s="2" t="str">
        <f>IF(NOT(ISBLANK(InfoGard!D1244)),IF(OR(ISBLANK(InfoGard!E1244),InfoGard!E1244="N/A"),"no acb code",CONCATENATE(Lookup!F$1,A1244,Lookup!G$1,B1244,Lookup!H$1,H$1,Lookup!I$1)),"no attestation")</f>
        <v>no attestation</v>
      </c>
      <c r="F1244" s="2" t="str">
        <f>IF(AND(NOT(ISBLANK(InfoGard!G1244)),InfoGard!G1244&lt;&gt;"N/A"),IF(C1244="All",CONCATENATE(Lookup!F$2,D1244,Lookup!G$2,B1244,Lookup!H$2,H$1,Lookup!I$2),CONCATENATE(Lookup!F$3,D1244,Lookup!G$3,B1244,Lookup!H$3)),"no url")</f>
        <v>no url</v>
      </c>
    </row>
    <row r="1245" spans="1:6" x14ac:dyDescent="0.25">
      <c r="A1245" s="2" t="str">
        <f>IF(ISBLANK(InfoGard!D1245),FALSE,LOOKUP(InfoGard!D1245,Lookup!$A$2:$B$4))</f>
        <v>Affirmative</v>
      </c>
      <c r="B1245" s="2" t="str">
        <f>IF(ISBLANK(InfoGard!E1245),FALSE,RIGHT(TRIM(InfoGard!E1245),15))</f>
        <v>IG-3027-13-0016</v>
      </c>
      <c r="C1245" s="2" t="str">
        <f>IF(ISBLANK(InfoGard!F1245),FALSE,LOOKUP(InfoGard!F1245,Lookup!$A$6:$B$7))</f>
        <v>All</v>
      </c>
      <c r="D1245" s="2" t="str">
        <f>IF(ISBLANK(InfoGard!G1245),FALSE,InfoGard!G1245)</f>
        <v>http://immslink.stchome.com/#!portfolio-detail/ehr-vendor</v>
      </c>
      <c r="E1245" s="2" t="str">
        <f>IF(NOT(ISBLANK(InfoGard!D1245)),IF(OR(ISBLANK(InfoGard!E1245),InfoGard!E1245="N/A"),"no acb code",CONCATENATE(Lookup!F$1,A1245,Lookup!G$1,B1245,Lookup!H$1,H$1,Lookup!I$1)),"no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'IG-3027-13-0016' and cb."name" = 'InfoGard' and cp.product_version_id = pv.product_version_id and pv.product_id = p.product_id and p.vendor_id = vend.vendor_id;</v>
      </c>
      <c r="F1245" s="2" t="str">
        <f>IF(AND(NOT(ISBLANK(InfoGard!G1245)),InfoGard!G1245&lt;&gt;"N/A"),IF(C1245="All",CONCATENATE(Lookup!F$2,D1245,Lookup!G$2,B1245,Lookup!H$2,H$1,Lookup!I$2),CONCATENATE(Lookup!F$3,D1245,Lookup!G$3,B1245,Lookup!H$3)),"no url")</f>
        <v>update openchpl.certified_product as cp set transparency_attestation_url = 'http://immslink.stchome.com/#!portfolio-detail/ehr-vendor' from (select certified_product_id from (select vend.vendor_code from openchpl.certified_product as cp, openchpl.product_version as pv, openchpl.product as p, openchpl.vendor as vend where cp.acb_certification_id = 'IG-3027-13-0016'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46" spans="1:6" x14ac:dyDescent="0.25">
      <c r="A1246" s="2" t="str">
        <f>IF(ISBLANK(InfoGard!D1246),FALSE,LOOKUP(InfoGard!D1246,Lookup!$A$2:$B$4))</f>
        <v>Affirmative</v>
      </c>
      <c r="B1246" s="2" t="str">
        <f>IF(ISBLANK(InfoGard!E1246),FALSE,RIGHT(TRIM(InfoGard!E1246),15))</f>
        <v>IG-3355-14-0103</v>
      </c>
      <c r="C1246" s="2" t="str">
        <f>IF(ISBLANK(InfoGard!F1246),FALSE,LOOKUP(InfoGard!F1246,Lookup!$A$6:$B$7))</f>
        <v>All</v>
      </c>
      <c r="D1246" s="2" t="str">
        <f>IF(ISBLANK(InfoGard!G1246),FALSE,InfoGard!G1246)</f>
        <v>https://md.scribe.com</v>
      </c>
      <c r="E1246" s="2" t="str">
        <f>IF(NOT(ISBLANK(InfoGard!D1246)),IF(OR(ISBLANK(InfoGard!E1246),InfoGard!E1246="N/A"),"no acb code",CONCATENATE(Lookup!F$1,A1246,Lookup!G$1,B1246,Lookup!H$1,H$1,Lookup!I$1)),"no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'IG-3355-14-0103' and cb."name" = 'InfoGard' and cp.product_version_id = pv.product_version_id and pv.product_id = p.product_id and p.vendor_id = vend.vendor_id;</v>
      </c>
      <c r="F1246" s="2" t="str">
        <f>IF(AND(NOT(ISBLANK(InfoGard!G1246)),InfoGard!G1246&lt;&gt;"N/A"),IF(C1246="All",CONCATENATE(Lookup!F$2,D1246,Lookup!G$2,B1246,Lookup!H$2,H$1,Lookup!I$2),CONCATENATE(Lookup!F$3,D1246,Lookup!G$3,B1246,Lookup!H$3)),"no url")</f>
        <v>update openchpl.certified_product as cp set transparency_attestation_url = 'https://md.scribe.com' from (select certified_product_id from (select vend.vendor_code from openchpl.certified_product as cp, openchpl.product_version as pv, openchpl.product as p, openchpl.vendor as vend where cp.acb_certification_id = 'IG-3355-14-0103'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47" spans="1:6" hidden="1" x14ac:dyDescent="0.25">
      <c r="A1247" s="2" t="b">
        <f>IF(ISBLANK(InfoGard!D1247),FALSE,LOOKUP(InfoGard!D1247,Lookup!$A$2:$B$4))</f>
        <v>0</v>
      </c>
      <c r="B1247" s="2" t="b">
        <f>IF(ISBLANK(InfoGard!E1247),FALSE,RIGHT(TRIM(InfoGard!E1247),15))</f>
        <v>0</v>
      </c>
      <c r="C1247" s="2" t="b">
        <f>IF(ISBLANK(InfoGard!F1247),FALSE,LOOKUP(InfoGard!F1247,Lookup!$A$6:$B$7))</f>
        <v>0</v>
      </c>
      <c r="D1247" s="2" t="b">
        <f>IF(ISBLANK(InfoGard!G1247),FALSE,InfoGard!G1247)</f>
        <v>0</v>
      </c>
      <c r="E1247" s="2" t="str">
        <f>IF(NOT(ISBLANK(InfoGard!D1247)),IF(OR(ISBLANK(InfoGard!E1247),InfoGard!E1247="N/A"),"no acb code",CONCATENATE(Lookup!F$1,A1247,Lookup!G$1,B1247,Lookup!H$1,H$1,Lookup!I$1)),"no attestation")</f>
        <v>no attestation</v>
      </c>
      <c r="F1247" s="2" t="str">
        <f>IF(AND(NOT(ISBLANK(InfoGard!G1247)),InfoGard!G1247&lt;&gt;"N/A"),IF(C1247="All",CONCATENATE(Lookup!F$2,D1247,Lookup!G$2,B1247,Lookup!H$2,H$1,Lookup!I$2),CONCATENATE(Lookup!F$3,D1247,Lookup!G$3,B1247,Lookup!H$3)),"no url")</f>
        <v>no url</v>
      </c>
    </row>
    <row r="1248" spans="1:6" hidden="1" x14ac:dyDescent="0.25">
      <c r="A1248" s="2" t="b">
        <f>IF(ISBLANK(InfoGard!D1248),FALSE,LOOKUP(InfoGard!D1248,Lookup!$A$2:$B$4))</f>
        <v>0</v>
      </c>
      <c r="B1248" s="2" t="b">
        <f>IF(ISBLANK(InfoGard!E1248),FALSE,RIGHT(TRIM(InfoGard!E1248),15))</f>
        <v>0</v>
      </c>
      <c r="C1248" s="2" t="b">
        <f>IF(ISBLANK(InfoGard!F1248),FALSE,LOOKUP(InfoGard!F1248,Lookup!$A$6:$B$7))</f>
        <v>0</v>
      </c>
      <c r="D1248" s="2" t="b">
        <f>IF(ISBLANK(InfoGard!G1248),FALSE,InfoGard!G1248)</f>
        <v>0</v>
      </c>
      <c r="E1248" s="2" t="str">
        <f>IF(NOT(ISBLANK(InfoGard!D1248)),IF(OR(ISBLANK(InfoGard!E1248),InfoGard!E1248="N/A"),"no acb code",CONCATENATE(Lookup!F$1,A1248,Lookup!G$1,B1248,Lookup!H$1,H$1,Lookup!I$1)),"no attestation")</f>
        <v>no attestation</v>
      </c>
      <c r="F1248" s="2" t="str">
        <f>IF(AND(NOT(ISBLANK(InfoGard!G1248)),InfoGard!G1248&lt;&gt;"N/A"),IF(C1248="All",CONCATENATE(Lookup!F$2,D1248,Lookup!G$2,B1248,Lookup!H$2,H$1,Lookup!I$2),CONCATENATE(Lookup!F$3,D1248,Lookup!G$3,B1248,Lookup!H$3)),"no url")</f>
        <v>no url</v>
      </c>
    </row>
    <row r="1249" spans="1:6" hidden="1" x14ac:dyDescent="0.25">
      <c r="A1249" s="2" t="b">
        <f>IF(ISBLANK(InfoGard!D1249),FALSE,LOOKUP(InfoGard!D1249,Lookup!$A$2:$B$4))</f>
        <v>0</v>
      </c>
      <c r="B1249" s="2" t="b">
        <f>IF(ISBLANK(InfoGard!E1249),FALSE,RIGHT(TRIM(InfoGard!E1249),15))</f>
        <v>0</v>
      </c>
      <c r="C1249" s="2" t="b">
        <f>IF(ISBLANK(InfoGard!F1249),FALSE,LOOKUP(InfoGard!F1249,Lookup!$A$6:$B$7))</f>
        <v>0</v>
      </c>
      <c r="D1249" s="2" t="b">
        <f>IF(ISBLANK(InfoGard!G1249),FALSE,InfoGard!G1249)</f>
        <v>0</v>
      </c>
      <c r="E1249" s="2" t="str">
        <f>IF(NOT(ISBLANK(InfoGard!D1249)),IF(OR(ISBLANK(InfoGard!E1249),InfoGard!E1249="N/A"),"no acb code",CONCATENATE(Lookup!F$1,A1249,Lookup!G$1,B1249,Lookup!H$1,H$1,Lookup!I$1)),"no attestation")</f>
        <v>no attestation</v>
      </c>
      <c r="F1249" s="2" t="str">
        <f>IF(AND(NOT(ISBLANK(InfoGard!G1249)),InfoGard!G1249&lt;&gt;"N/A"),IF(C1249="All",CONCATENATE(Lookup!F$2,D1249,Lookup!G$2,B1249,Lookup!H$2,H$1,Lookup!I$2),CONCATENATE(Lookup!F$3,D1249,Lookup!G$3,B1249,Lookup!H$3)),"no url")</f>
        <v>no url</v>
      </c>
    </row>
    <row r="1250" spans="1:6" hidden="1" x14ac:dyDescent="0.25">
      <c r="A1250" s="2" t="b">
        <f>IF(ISBLANK(InfoGard!D1250),FALSE,LOOKUP(InfoGard!D1250,Lookup!$A$2:$B$4))</f>
        <v>0</v>
      </c>
      <c r="B1250" s="2" t="b">
        <f>IF(ISBLANK(InfoGard!E1250),FALSE,RIGHT(TRIM(InfoGard!E1250),15))</f>
        <v>0</v>
      </c>
      <c r="C1250" s="2" t="b">
        <f>IF(ISBLANK(InfoGard!F1250),FALSE,LOOKUP(InfoGard!F1250,Lookup!$A$6:$B$7))</f>
        <v>0</v>
      </c>
      <c r="D1250" s="2" t="b">
        <f>IF(ISBLANK(InfoGard!G1250),FALSE,InfoGard!G1250)</f>
        <v>0</v>
      </c>
      <c r="E1250" s="2" t="str">
        <f>IF(NOT(ISBLANK(InfoGard!D1250)),IF(OR(ISBLANK(InfoGard!E1250),InfoGard!E1250="N/A"),"no acb code",CONCATENATE(Lookup!F$1,A1250,Lookup!G$1,B1250,Lookup!H$1,H$1,Lookup!I$1)),"no attestation")</f>
        <v>no attestation</v>
      </c>
      <c r="F1250" s="2" t="str">
        <f>IF(AND(NOT(ISBLANK(InfoGard!G1250)),InfoGard!G1250&lt;&gt;"N/A"),IF(C1250="All",CONCATENATE(Lookup!F$2,D1250,Lookup!G$2,B1250,Lookup!H$2,H$1,Lookup!I$2),CONCATENATE(Lookup!F$3,D1250,Lookup!G$3,B1250,Lookup!H$3)),"no url")</f>
        <v>no url</v>
      </c>
    </row>
    <row r="1251" spans="1:6" hidden="1" x14ac:dyDescent="0.25">
      <c r="A1251" s="2" t="b">
        <f>IF(ISBLANK(InfoGard!D1251),FALSE,LOOKUP(InfoGard!D1251,Lookup!$A$2:$B$4))</f>
        <v>0</v>
      </c>
      <c r="B1251" s="2" t="b">
        <f>IF(ISBLANK(InfoGard!E1251),FALSE,RIGHT(TRIM(InfoGard!E1251),15))</f>
        <v>0</v>
      </c>
      <c r="C1251" s="2" t="b">
        <f>IF(ISBLANK(InfoGard!F1251),FALSE,LOOKUP(InfoGard!F1251,Lookup!$A$6:$B$7))</f>
        <v>0</v>
      </c>
      <c r="D1251" s="2" t="b">
        <f>IF(ISBLANK(InfoGard!G1251),FALSE,InfoGard!G1251)</f>
        <v>0</v>
      </c>
      <c r="E1251" s="2" t="str">
        <f>IF(NOT(ISBLANK(InfoGard!D1251)),IF(OR(ISBLANK(InfoGard!E1251),InfoGard!E1251="N/A"),"no acb code",CONCATENATE(Lookup!F$1,A1251,Lookup!G$1,B1251,Lookup!H$1,H$1,Lookup!I$1)),"no attestation")</f>
        <v>no attestation</v>
      </c>
      <c r="F1251" s="2" t="str">
        <f>IF(AND(NOT(ISBLANK(InfoGard!G1251)),InfoGard!G1251&lt;&gt;"N/A"),IF(C1251="All",CONCATENATE(Lookup!F$2,D1251,Lookup!G$2,B1251,Lookup!H$2,H$1,Lookup!I$2),CONCATENATE(Lookup!F$3,D1251,Lookup!G$3,B1251,Lookup!H$3)),"no url")</f>
        <v>no url</v>
      </c>
    </row>
    <row r="1252" spans="1:6" hidden="1" x14ac:dyDescent="0.25">
      <c r="A1252" s="2" t="b">
        <f>IF(ISBLANK(InfoGard!D1252),FALSE,LOOKUP(InfoGard!D1252,Lookup!$A$2:$B$4))</f>
        <v>0</v>
      </c>
      <c r="B1252" s="2" t="b">
        <f>IF(ISBLANK(InfoGard!E1252),FALSE,RIGHT(TRIM(InfoGard!E1252),15))</f>
        <v>0</v>
      </c>
      <c r="C1252" s="2" t="b">
        <f>IF(ISBLANK(InfoGard!F1252),FALSE,LOOKUP(InfoGard!F1252,Lookup!$A$6:$B$7))</f>
        <v>0</v>
      </c>
      <c r="D1252" s="2" t="b">
        <f>IF(ISBLANK(InfoGard!G1252),FALSE,InfoGard!G1252)</f>
        <v>0</v>
      </c>
      <c r="E1252" s="2" t="str">
        <f>IF(NOT(ISBLANK(InfoGard!D1252)),IF(OR(ISBLANK(InfoGard!E1252),InfoGard!E1252="N/A"),"no acb code",CONCATENATE(Lookup!F$1,A1252,Lookup!G$1,B1252,Lookup!H$1,H$1,Lookup!I$1)),"no attestation")</f>
        <v>no attestation</v>
      </c>
      <c r="F1252" s="2" t="str">
        <f>IF(AND(NOT(ISBLANK(InfoGard!G1252)),InfoGard!G1252&lt;&gt;"N/A"),IF(C1252="All",CONCATENATE(Lookup!F$2,D1252,Lookup!G$2,B1252,Lookup!H$2,H$1,Lookup!I$2),CONCATENATE(Lookup!F$3,D1252,Lookup!G$3,B1252,Lookup!H$3)),"no url")</f>
        <v>no url</v>
      </c>
    </row>
    <row r="1253" spans="1:6" hidden="1" x14ac:dyDescent="0.25">
      <c r="A1253" s="2" t="b">
        <f>IF(ISBLANK(InfoGard!D1253),FALSE,LOOKUP(InfoGard!D1253,Lookup!$A$2:$B$4))</f>
        <v>0</v>
      </c>
      <c r="B1253" s="2" t="b">
        <f>IF(ISBLANK(InfoGard!E1253),FALSE,RIGHT(TRIM(InfoGard!E1253),15))</f>
        <v>0</v>
      </c>
      <c r="C1253" s="2" t="b">
        <f>IF(ISBLANK(InfoGard!F1253),FALSE,LOOKUP(InfoGard!F1253,Lookup!$A$6:$B$7))</f>
        <v>0</v>
      </c>
      <c r="D1253" s="2" t="b">
        <f>IF(ISBLANK(InfoGard!G1253),FALSE,InfoGard!G1253)</f>
        <v>0</v>
      </c>
      <c r="E1253" s="2" t="str">
        <f>IF(NOT(ISBLANK(InfoGard!D1253)),IF(OR(ISBLANK(InfoGard!E1253),InfoGard!E1253="N/A"),"no acb code",CONCATENATE(Lookup!F$1,A1253,Lookup!G$1,B1253,Lookup!H$1,H$1,Lookup!I$1)),"no attestation")</f>
        <v>no attestation</v>
      </c>
      <c r="F1253" s="2" t="str">
        <f>IF(AND(NOT(ISBLANK(InfoGard!G1253)),InfoGard!G1253&lt;&gt;"N/A"),IF(C1253="All",CONCATENATE(Lookup!F$2,D1253,Lookup!G$2,B1253,Lookup!H$2,H$1,Lookup!I$2),CONCATENATE(Lookup!F$3,D1253,Lookup!G$3,B1253,Lookup!H$3)),"no url")</f>
        <v>no url</v>
      </c>
    </row>
    <row r="1254" spans="1:6" hidden="1" x14ac:dyDescent="0.25">
      <c r="A1254" s="2" t="b">
        <f>IF(ISBLANK(InfoGard!D1254),FALSE,LOOKUP(InfoGard!D1254,Lookup!$A$2:$B$4))</f>
        <v>0</v>
      </c>
      <c r="B1254" s="2" t="b">
        <f>IF(ISBLANK(InfoGard!E1254),FALSE,RIGHT(TRIM(InfoGard!E1254),15))</f>
        <v>0</v>
      </c>
      <c r="C1254" s="2" t="b">
        <f>IF(ISBLANK(InfoGard!F1254),FALSE,LOOKUP(InfoGard!F1254,Lookup!$A$6:$B$7))</f>
        <v>0</v>
      </c>
      <c r="D1254" s="2" t="b">
        <f>IF(ISBLANK(InfoGard!G1254),FALSE,InfoGard!G1254)</f>
        <v>0</v>
      </c>
      <c r="E1254" s="2" t="str">
        <f>IF(NOT(ISBLANK(InfoGard!D1254)),IF(OR(ISBLANK(InfoGard!E1254),InfoGard!E1254="N/A"),"no acb code",CONCATENATE(Lookup!F$1,A1254,Lookup!G$1,B1254,Lookup!H$1,H$1,Lookup!I$1)),"no attestation")</f>
        <v>no attestation</v>
      </c>
      <c r="F1254" s="2" t="str">
        <f>IF(AND(NOT(ISBLANK(InfoGard!G1254)),InfoGard!G1254&lt;&gt;"N/A"),IF(C1254="All",CONCATENATE(Lookup!F$2,D1254,Lookup!G$2,B1254,Lookup!H$2,H$1,Lookup!I$2),CONCATENATE(Lookup!F$3,D1254,Lookup!G$3,B1254,Lookup!H$3)),"no url")</f>
        <v>no url</v>
      </c>
    </row>
    <row r="1255" spans="1:6" hidden="1" x14ac:dyDescent="0.25">
      <c r="A1255" s="2" t="b">
        <f>IF(ISBLANK(InfoGard!D1255),FALSE,LOOKUP(InfoGard!D1255,Lookup!$A$2:$B$4))</f>
        <v>0</v>
      </c>
      <c r="B1255" s="2" t="b">
        <f>IF(ISBLANK(InfoGard!E1255),FALSE,RIGHT(TRIM(InfoGard!E1255),15))</f>
        <v>0</v>
      </c>
      <c r="C1255" s="2" t="b">
        <f>IF(ISBLANK(InfoGard!F1255),FALSE,LOOKUP(InfoGard!F1255,Lookup!$A$6:$B$7))</f>
        <v>0</v>
      </c>
      <c r="D1255" s="2" t="b">
        <f>IF(ISBLANK(InfoGard!G1255),FALSE,InfoGard!G1255)</f>
        <v>0</v>
      </c>
      <c r="E1255" s="2" t="str">
        <f>IF(NOT(ISBLANK(InfoGard!D1255)),IF(OR(ISBLANK(InfoGard!E1255),InfoGard!E1255="N/A"),"no acb code",CONCATENATE(Lookup!F$1,A1255,Lookup!G$1,B1255,Lookup!H$1,H$1,Lookup!I$1)),"no attestation")</f>
        <v>no attestation</v>
      </c>
      <c r="F1255" s="2" t="str">
        <f>IF(AND(NOT(ISBLANK(InfoGard!G1255)),InfoGard!G1255&lt;&gt;"N/A"),IF(C1255="All",CONCATENATE(Lookup!F$2,D1255,Lookup!G$2,B1255,Lookup!H$2,H$1,Lookup!I$2),CONCATENATE(Lookup!F$3,D1255,Lookup!G$3,B1255,Lookup!H$3)),"no url")</f>
        <v>no url</v>
      </c>
    </row>
    <row r="1256" spans="1:6" hidden="1" x14ac:dyDescent="0.25">
      <c r="A1256" s="2" t="b">
        <f>IF(ISBLANK(InfoGard!D1256),FALSE,LOOKUP(InfoGard!D1256,Lookup!$A$2:$B$4))</f>
        <v>0</v>
      </c>
      <c r="B1256" s="2" t="b">
        <f>IF(ISBLANK(InfoGard!E1256),FALSE,RIGHT(TRIM(InfoGard!E1256),15))</f>
        <v>0</v>
      </c>
      <c r="C1256" s="2" t="b">
        <f>IF(ISBLANK(InfoGard!F1256),FALSE,LOOKUP(InfoGard!F1256,Lookup!$A$6:$B$7))</f>
        <v>0</v>
      </c>
      <c r="D1256" s="2" t="b">
        <f>IF(ISBLANK(InfoGard!G1256),FALSE,InfoGard!G1256)</f>
        <v>0</v>
      </c>
      <c r="E1256" s="2" t="str">
        <f>IF(NOT(ISBLANK(InfoGard!D1256)),IF(OR(ISBLANK(InfoGard!E1256),InfoGard!E1256="N/A"),"no acb code",CONCATENATE(Lookup!F$1,A1256,Lookup!G$1,B1256,Lookup!H$1,H$1,Lookup!I$1)),"no attestation")</f>
        <v>no attestation</v>
      </c>
      <c r="F1256" s="2" t="str">
        <f>IF(AND(NOT(ISBLANK(InfoGard!G1256)),InfoGard!G1256&lt;&gt;"N/A"),IF(C1256="All",CONCATENATE(Lookup!F$2,D1256,Lookup!G$2,B1256,Lookup!H$2,H$1,Lookup!I$2),CONCATENATE(Lookup!F$3,D1256,Lookup!G$3,B1256,Lookup!H$3)),"no url")</f>
        <v>no url</v>
      </c>
    </row>
    <row r="1257" spans="1:6" hidden="1" x14ac:dyDescent="0.25">
      <c r="A1257" s="2" t="b">
        <f>IF(ISBLANK(InfoGard!D1257),FALSE,LOOKUP(InfoGard!D1257,Lookup!$A$2:$B$4))</f>
        <v>0</v>
      </c>
      <c r="B1257" s="2" t="b">
        <f>IF(ISBLANK(InfoGard!E1257),FALSE,RIGHT(TRIM(InfoGard!E1257),15))</f>
        <v>0</v>
      </c>
      <c r="C1257" s="2" t="b">
        <f>IF(ISBLANK(InfoGard!F1257),FALSE,LOOKUP(InfoGard!F1257,Lookup!$A$6:$B$7))</f>
        <v>0</v>
      </c>
      <c r="D1257" s="2" t="b">
        <f>IF(ISBLANK(InfoGard!G1257),FALSE,InfoGard!G1257)</f>
        <v>0</v>
      </c>
      <c r="E1257" s="2" t="str">
        <f>IF(NOT(ISBLANK(InfoGard!D1257)),IF(OR(ISBLANK(InfoGard!E1257),InfoGard!E1257="N/A"),"no acb code",CONCATENATE(Lookup!F$1,A1257,Lookup!G$1,B1257,Lookup!H$1,H$1,Lookup!I$1)),"no attestation")</f>
        <v>no attestation</v>
      </c>
      <c r="F1257" s="2" t="str">
        <f>IF(AND(NOT(ISBLANK(InfoGard!G1257)),InfoGard!G1257&lt;&gt;"N/A"),IF(C1257="All",CONCATENATE(Lookup!F$2,D1257,Lookup!G$2,B1257,Lookup!H$2,H$1,Lookup!I$2),CONCATENATE(Lookup!F$3,D1257,Lookup!G$3,B1257,Lookup!H$3)),"no url")</f>
        <v>no url</v>
      </c>
    </row>
    <row r="1258" spans="1:6" hidden="1" x14ac:dyDescent="0.25">
      <c r="A1258" s="2" t="b">
        <f>IF(ISBLANK(InfoGard!D1258),FALSE,LOOKUP(InfoGard!D1258,Lookup!$A$2:$B$4))</f>
        <v>0</v>
      </c>
      <c r="B1258" s="2" t="b">
        <f>IF(ISBLANK(InfoGard!E1258),FALSE,RIGHT(TRIM(InfoGard!E1258),15))</f>
        <v>0</v>
      </c>
      <c r="C1258" s="2" t="b">
        <f>IF(ISBLANK(InfoGard!F1258),FALSE,LOOKUP(InfoGard!F1258,Lookup!$A$6:$B$7))</f>
        <v>0</v>
      </c>
      <c r="D1258" s="2" t="b">
        <f>IF(ISBLANK(InfoGard!G1258),FALSE,InfoGard!G1258)</f>
        <v>0</v>
      </c>
      <c r="E1258" s="2" t="str">
        <f>IF(NOT(ISBLANK(InfoGard!D1258)),IF(OR(ISBLANK(InfoGard!E1258),InfoGard!E1258="N/A"),"no acb code",CONCATENATE(Lookup!F$1,A1258,Lookup!G$1,B1258,Lookup!H$1,H$1,Lookup!I$1)),"no attestation")</f>
        <v>no attestation</v>
      </c>
      <c r="F1258" s="2" t="str">
        <f>IF(AND(NOT(ISBLANK(InfoGard!G1258)),InfoGard!G1258&lt;&gt;"N/A"),IF(C1258="All",CONCATENATE(Lookup!F$2,D1258,Lookup!G$2,B1258,Lookup!H$2,H$1,Lookup!I$2),CONCATENATE(Lookup!F$3,D1258,Lookup!G$3,B1258,Lookup!H$3)),"no url")</f>
        <v>no url</v>
      </c>
    </row>
    <row r="1259" spans="1:6" hidden="1" x14ac:dyDescent="0.25">
      <c r="A1259" s="2" t="b">
        <f>IF(ISBLANK(InfoGard!D1259),FALSE,LOOKUP(InfoGard!D1259,Lookup!$A$2:$B$4))</f>
        <v>0</v>
      </c>
      <c r="B1259" s="2" t="b">
        <f>IF(ISBLANK(InfoGard!E1259),FALSE,RIGHT(TRIM(InfoGard!E1259),15))</f>
        <v>0</v>
      </c>
      <c r="C1259" s="2" t="b">
        <f>IF(ISBLANK(InfoGard!F1259),FALSE,LOOKUP(InfoGard!F1259,Lookup!$A$6:$B$7))</f>
        <v>0</v>
      </c>
      <c r="D1259" s="2" t="b">
        <f>IF(ISBLANK(InfoGard!G1259),FALSE,InfoGard!G1259)</f>
        <v>0</v>
      </c>
      <c r="E1259" s="2" t="str">
        <f>IF(NOT(ISBLANK(InfoGard!D1259)),IF(OR(ISBLANK(InfoGard!E1259),InfoGard!E1259="N/A"),"no acb code",CONCATENATE(Lookup!F$1,A1259,Lookup!G$1,B1259,Lookup!H$1,H$1,Lookup!I$1)),"no attestation")</f>
        <v>no attestation</v>
      </c>
      <c r="F1259" s="2" t="str">
        <f>IF(AND(NOT(ISBLANK(InfoGard!G1259)),InfoGard!G1259&lt;&gt;"N/A"),IF(C1259="All",CONCATENATE(Lookup!F$2,D1259,Lookup!G$2,B1259,Lookup!H$2,H$1,Lookup!I$2),CONCATENATE(Lookup!F$3,D1259,Lookup!G$3,B1259,Lookup!H$3)),"no url")</f>
        <v>no url</v>
      </c>
    </row>
    <row r="1260" spans="1:6" hidden="1" x14ac:dyDescent="0.25">
      <c r="A1260" s="2" t="b">
        <f>IF(ISBLANK(InfoGard!D1260),FALSE,LOOKUP(InfoGard!D1260,Lookup!$A$2:$B$4))</f>
        <v>0</v>
      </c>
      <c r="B1260" s="2" t="b">
        <f>IF(ISBLANK(InfoGard!E1260),FALSE,RIGHT(TRIM(InfoGard!E1260),15))</f>
        <v>0</v>
      </c>
      <c r="C1260" s="2" t="b">
        <f>IF(ISBLANK(InfoGard!F1260),FALSE,LOOKUP(InfoGard!F1260,Lookup!$A$6:$B$7))</f>
        <v>0</v>
      </c>
      <c r="D1260" s="2" t="b">
        <f>IF(ISBLANK(InfoGard!G1260),FALSE,InfoGard!G1260)</f>
        <v>0</v>
      </c>
      <c r="E1260" s="2" t="str">
        <f>IF(NOT(ISBLANK(InfoGard!D1260)),IF(OR(ISBLANK(InfoGard!E1260),InfoGard!E1260="N/A"),"no acb code",CONCATENATE(Lookup!F$1,A1260,Lookup!G$1,B1260,Lookup!H$1,H$1,Lookup!I$1)),"no attestation")</f>
        <v>no attestation</v>
      </c>
      <c r="F1260" s="2" t="str">
        <f>IF(AND(NOT(ISBLANK(InfoGard!G1260)),InfoGard!G1260&lt;&gt;"N/A"),IF(C1260="All",CONCATENATE(Lookup!F$2,D1260,Lookup!G$2,B1260,Lookup!H$2,H$1,Lookup!I$2),CONCATENATE(Lookup!F$3,D1260,Lookup!G$3,B1260,Lookup!H$3)),"no url")</f>
        <v>no url</v>
      </c>
    </row>
    <row r="1261" spans="1:6" hidden="1" x14ac:dyDescent="0.25">
      <c r="A1261" s="2" t="b">
        <f>IF(ISBLANK(InfoGard!D1261),FALSE,LOOKUP(InfoGard!D1261,Lookup!$A$2:$B$4))</f>
        <v>0</v>
      </c>
      <c r="B1261" s="2" t="b">
        <f>IF(ISBLANK(InfoGard!E1261),FALSE,RIGHT(TRIM(InfoGard!E1261),15))</f>
        <v>0</v>
      </c>
      <c r="C1261" s="2" t="b">
        <f>IF(ISBLANK(InfoGard!F1261),FALSE,LOOKUP(InfoGard!F1261,Lookup!$A$6:$B$7))</f>
        <v>0</v>
      </c>
      <c r="D1261" s="2" t="b">
        <f>IF(ISBLANK(InfoGard!G1261),FALSE,InfoGard!G1261)</f>
        <v>0</v>
      </c>
      <c r="E1261" s="2" t="str">
        <f>IF(NOT(ISBLANK(InfoGard!D1261)),IF(OR(ISBLANK(InfoGard!E1261),InfoGard!E1261="N/A"),"no acb code",CONCATENATE(Lookup!F$1,A1261,Lookup!G$1,B1261,Lookup!H$1,H$1,Lookup!I$1)),"no attestation")</f>
        <v>no attestation</v>
      </c>
      <c r="F1261" s="2" t="str">
        <f>IF(AND(NOT(ISBLANK(InfoGard!G1261)),InfoGard!G1261&lt;&gt;"N/A"),IF(C1261="All",CONCATENATE(Lookup!F$2,D1261,Lookup!G$2,B1261,Lookup!H$2,H$1,Lookup!I$2),CONCATENATE(Lookup!F$3,D1261,Lookup!G$3,B1261,Lookup!H$3)),"no url")</f>
        <v>no url</v>
      </c>
    </row>
    <row r="1262" spans="1:6" hidden="1" x14ac:dyDescent="0.25">
      <c r="A1262" s="2" t="b">
        <f>IF(ISBLANK(InfoGard!D1262),FALSE,LOOKUP(InfoGard!D1262,Lookup!$A$2:$B$4))</f>
        <v>0</v>
      </c>
      <c r="B1262" s="2" t="b">
        <f>IF(ISBLANK(InfoGard!E1262),FALSE,RIGHT(TRIM(InfoGard!E1262),15))</f>
        <v>0</v>
      </c>
      <c r="C1262" s="2" t="b">
        <f>IF(ISBLANK(InfoGard!F1262),FALSE,LOOKUP(InfoGard!F1262,Lookup!$A$6:$B$7))</f>
        <v>0</v>
      </c>
      <c r="D1262" s="2" t="b">
        <f>IF(ISBLANK(InfoGard!G1262),FALSE,InfoGard!G1262)</f>
        <v>0</v>
      </c>
      <c r="E1262" s="2" t="str">
        <f>IF(NOT(ISBLANK(InfoGard!D1262)),IF(OR(ISBLANK(InfoGard!E1262),InfoGard!E1262="N/A"),"no acb code",CONCATENATE(Lookup!F$1,A1262,Lookup!G$1,B1262,Lookup!H$1,H$1,Lookup!I$1)),"no attestation")</f>
        <v>no attestation</v>
      </c>
      <c r="F1262" s="2" t="str">
        <f>IF(AND(NOT(ISBLANK(InfoGard!G1262)),InfoGard!G1262&lt;&gt;"N/A"),IF(C1262="All",CONCATENATE(Lookup!F$2,D1262,Lookup!G$2,B1262,Lookup!H$2,H$1,Lookup!I$2),CONCATENATE(Lookup!F$3,D1262,Lookup!G$3,B1262,Lookup!H$3)),"no url")</f>
        <v>no url</v>
      </c>
    </row>
    <row r="1263" spans="1:6" hidden="1" x14ac:dyDescent="0.25">
      <c r="A1263" s="2" t="b">
        <f>IF(ISBLANK(InfoGard!D1263),FALSE,LOOKUP(InfoGard!D1263,Lookup!$A$2:$B$4))</f>
        <v>0</v>
      </c>
      <c r="B1263" s="2" t="b">
        <f>IF(ISBLANK(InfoGard!E1263),FALSE,RIGHT(TRIM(InfoGard!E1263),15))</f>
        <v>0</v>
      </c>
      <c r="C1263" s="2" t="b">
        <f>IF(ISBLANK(InfoGard!F1263),FALSE,LOOKUP(InfoGard!F1263,Lookup!$A$6:$B$7))</f>
        <v>0</v>
      </c>
      <c r="D1263" s="2" t="b">
        <f>IF(ISBLANK(InfoGard!G1263),FALSE,InfoGard!G1263)</f>
        <v>0</v>
      </c>
      <c r="E1263" s="2" t="str">
        <f>IF(NOT(ISBLANK(InfoGard!D1263)),IF(OR(ISBLANK(InfoGard!E1263),InfoGard!E1263="N/A"),"no acb code",CONCATENATE(Lookup!F$1,A1263,Lookup!G$1,B1263,Lookup!H$1,H$1,Lookup!I$1)),"no attestation")</f>
        <v>no attestation</v>
      </c>
      <c r="F1263" s="2" t="str">
        <f>IF(AND(NOT(ISBLANK(InfoGard!G1263)),InfoGard!G1263&lt;&gt;"N/A"),IF(C1263="All",CONCATENATE(Lookup!F$2,D1263,Lookup!G$2,B1263,Lookup!H$2,H$1,Lookup!I$2),CONCATENATE(Lookup!F$3,D1263,Lookup!G$3,B1263,Lookup!H$3)),"no url")</f>
        <v>no url</v>
      </c>
    </row>
    <row r="1264" spans="1:6" hidden="1" x14ac:dyDescent="0.25">
      <c r="A1264" s="2" t="b">
        <f>IF(ISBLANK(InfoGard!D1264),FALSE,LOOKUP(InfoGard!D1264,Lookup!$A$2:$B$4))</f>
        <v>0</v>
      </c>
      <c r="B1264" s="2" t="b">
        <f>IF(ISBLANK(InfoGard!E1264),FALSE,RIGHT(TRIM(InfoGard!E1264),15))</f>
        <v>0</v>
      </c>
      <c r="C1264" s="2" t="b">
        <f>IF(ISBLANK(InfoGard!F1264),FALSE,LOOKUP(InfoGard!F1264,Lookup!$A$6:$B$7))</f>
        <v>0</v>
      </c>
      <c r="D1264" s="2" t="b">
        <f>IF(ISBLANK(InfoGard!G1264),FALSE,InfoGard!G1264)</f>
        <v>0</v>
      </c>
      <c r="E1264" s="2" t="str">
        <f>IF(NOT(ISBLANK(InfoGard!D1264)),IF(OR(ISBLANK(InfoGard!E1264),InfoGard!E1264="N/A"),"no acb code",CONCATENATE(Lookup!F$1,A1264,Lookup!G$1,B1264,Lookup!H$1,H$1,Lookup!I$1)),"no attestation")</f>
        <v>no attestation</v>
      </c>
      <c r="F1264" s="2" t="str">
        <f>IF(AND(NOT(ISBLANK(InfoGard!G1264)),InfoGard!G1264&lt;&gt;"N/A"),IF(C1264="All",CONCATENATE(Lookup!F$2,D1264,Lookup!G$2,B1264,Lookup!H$2,H$1,Lookup!I$2),CONCATENATE(Lookup!F$3,D1264,Lookup!G$3,B1264,Lookup!H$3)),"no url")</f>
        <v>no url</v>
      </c>
    </row>
    <row r="1265" spans="1:6" hidden="1" x14ac:dyDescent="0.25">
      <c r="A1265" s="2" t="b">
        <f>IF(ISBLANK(InfoGard!D1265),FALSE,LOOKUP(InfoGard!D1265,Lookup!$A$2:$B$4))</f>
        <v>0</v>
      </c>
      <c r="B1265" s="2" t="b">
        <f>IF(ISBLANK(InfoGard!E1265),FALSE,RIGHT(TRIM(InfoGard!E1265),15))</f>
        <v>0</v>
      </c>
      <c r="C1265" s="2" t="b">
        <f>IF(ISBLANK(InfoGard!F1265),FALSE,LOOKUP(InfoGard!F1265,Lookup!$A$6:$B$7))</f>
        <v>0</v>
      </c>
      <c r="D1265" s="2" t="b">
        <f>IF(ISBLANK(InfoGard!G1265),FALSE,InfoGard!G1265)</f>
        <v>0</v>
      </c>
      <c r="E1265" s="2" t="str">
        <f>IF(NOT(ISBLANK(InfoGard!D1265)),IF(OR(ISBLANK(InfoGard!E1265),InfoGard!E1265="N/A"),"no acb code",CONCATENATE(Lookup!F$1,A1265,Lookup!G$1,B1265,Lookup!H$1,H$1,Lookup!I$1)),"no attestation")</f>
        <v>no attestation</v>
      </c>
      <c r="F1265" s="2" t="str">
        <f>IF(AND(NOT(ISBLANK(InfoGard!G1265)),InfoGard!G1265&lt;&gt;"N/A"),IF(C1265="All",CONCATENATE(Lookup!F$2,D1265,Lookup!G$2,B1265,Lookup!H$2,H$1,Lookup!I$2),CONCATENATE(Lookup!F$3,D1265,Lookup!G$3,B1265,Lookup!H$3)),"no url")</f>
        <v>no url</v>
      </c>
    </row>
    <row r="1266" spans="1:6" x14ac:dyDescent="0.25">
      <c r="A1266" s="2" t="str">
        <f>IF(ISBLANK(InfoGard!D1266),FALSE,LOOKUP(InfoGard!D1266,Lookup!$A$2:$B$4))</f>
        <v>Affirmative</v>
      </c>
      <c r="B1266" s="2" t="str">
        <f>IF(ISBLANK(InfoGard!E1266),FALSE,RIGHT(TRIM(InfoGard!E1266),15))</f>
        <v>IG-3487-15-0039</v>
      </c>
      <c r="C1266" s="2" t="str">
        <f>IF(ISBLANK(InfoGard!F1266),FALSE,LOOKUP(InfoGard!F1266,Lookup!$A$6:$B$7))</f>
        <v>All</v>
      </c>
      <c r="D1266" s="2" t="str">
        <f>IF(ISBLANK(InfoGard!G1266),FALSE,InfoGard!G1266)</f>
        <v>http://usa.healthcare.siemens.com/medical-imaging-it/syngo-dynamics-ehr-certified</v>
      </c>
      <c r="E1266" s="2" t="str">
        <f>IF(NOT(ISBLANK(InfoGard!D1266)),IF(OR(ISBLANK(InfoGard!E1266),InfoGard!E1266="N/A"),"no acb code",CONCATENATE(Lookup!F$1,A1266,Lookup!G$1,B1266,Lookup!H$1,H$1,Lookup!I$1)),"no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'IG-3487-15-0039' and cb."name" = 'InfoGard' and cp.product_version_id = pv.product_version_id and pv.product_id = p.product_id and p.vendor_id = vend.vendor_id;</v>
      </c>
      <c r="F1266" s="2" t="str">
        <f>IF(AND(NOT(ISBLANK(InfoGard!G1266)),InfoGard!G1266&lt;&gt;"N/A"),IF(C1266="All",CONCATENATE(Lookup!F$2,D1266,Lookup!G$2,B1266,Lookup!H$2,H$1,Lookup!I$2),CONCATENATE(Lookup!F$3,D1266,Lookup!G$3,B1266,Lookup!H$3)),"no url")</f>
        <v>update openchpl.certified_product as cp set transparency_attestation_url = 'http://usa.healthcare.siemens.com/medical-imaging-it/syngo-dynamics-ehr-certified' from (select certified_product_id from (select vend.vendor_code from openchpl.certified_product as cp, openchpl.product_version as pv, openchpl.product as p, openchpl.vendor as vend where cp.acb_certification_id = 'IG-3487-15-0039'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67" spans="1:6" hidden="1" x14ac:dyDescent="0.25">
      <c r="A1267" s="2" t="b">
        <f>IF(ISBLANK(InfoGard!D1267),FALSE,LOOKUP(InfoGard!D1267,Lookup!$A$2:$B$4))</f>
        <v>0</v>
      </c>
      <c r="B1267" s="2" t="b">
        <f>IF(ISBLANK(InfoGard!E1267),FALSE,RIGHT(TRIM(InfoGard!E1267),15))</f>
        <v>0</v>
      </c>
      <c r="C1267" s="2" t="b">
        <f>IF(ISBLANK(InfoGard!F1267),FALSE,LOOKUP(InfoGard!F1267,Lookup!$A$6:$B$7))</f>
        <v>0</v>
      </c>
      <c r="D1267" s="2" t="b">
        <f>IF(ISBLANK(InfoGard!G1267),FALSE,InfoGard!G1267)</f>
        <v>0</v>
      </c>
      <c r="E1267" s="2" t="str">
        <f>IF(NOT(ISBLANK(InfoGard!D1267)),IF(OR(ISBLANK(InfoGard!E1267),InfoGard!E1267="N/A"),"no acb code",CONCATENATE(Lookup!F$1,A1267,Lookup!G$1,B1267,Lookup!H$1,H$1,Lookup!I$1)),"no attestation")</f>
        <v>no attestation</v>
      </c>
      <c r="F1267" s="2" t="str">
        <f>IF(AND(NOT(ISBLANK(InfoGard!G1267)),InfoGard!G1267&lt;&gt;"N/A"),IF(C1267="All",CONCATENATE(Lookup!F$2,D1267,Lookup!G$2,B1267,Lookup!H$2,H$1,Lookup!I$2),CONCATENATE(Lookup!F$3,D1267,Lookup!G$3,B1267,Lookup!H$3)),"no url")</f>
        <v>no url</v>
      </c>
    </row>
    <row r="1268" spans="1:6" hidden="1" x14ac:dyDescent="0.25">
      <c r="A1268" s="2" t="b">
        <f>IF(ISBLANK(InfoGard!D1268),FALSE,LOOKUP(InfoGard!D1268,Lookup!$A$2:$B$4))</f>
        <v>0</v>
      </c>
      <c r="B1268" s="2" t="b">
        <f>IF(ISBLANK(InfoGard!E1268),FALSE,RIGHT(TRIM(InfoGard!E1268),15))</f>
        <v>0</v>
      </c>
      <c r="C1268" s="2" t="b">
        <f>IF(ISBLANK(InfoGard!F1268),FALSE,LOOKUP(InfoGard!F1268,Lookup!$A$6:$B$7))</f>
        <v>0</v>
      </c>
      <c r="D1268" s="2" t="b">
        <f>IF(ISBLANK(InfoGard!G1268),FALSE,InfoGard!G1268)</f>
        <v>0</v>
      </c>
      <c r="E1268" s="2" t="str">
        <f>IF(NOT(ISBLANK(InfoGard!D1268)),IF(OR(ISBLANK(InfoGard!E1268),InfoGard!E1268="N/A"),"no acb code",CONCATENATE(Lookup!F$1,A1268,Lookup!G$1,B1268,Lookup!H$1,H$1,Lookup!I$1)),"no attestation")</f>
        <v>no attestation</v>
      </c>
      <c r="F1268" s="2" t="str">
        <f>IF(AND(NOT(ISBLANK(InfoGard!G1268)),InfoGard!G1268&lt;&gt;"N/A"),IF(C1268="All",CONCATENATE(Lookup!F$2,D1268,Lookup!G$2,B1268,Lookup!H$2,H$1,Lookup!I$2),CONCATENATE(Lookup!F$3,D1268,Lookup!G$3,B1268,Lookup!H$3)),"no url")</f>
        <v>no url</v>
      </c>
    </row>
    <row r="1269" spans="1:6" x14ac:dyDescent="0.25">
      <c r="A1269" s="2" t="str">
        <f>IF(ISBLANK(InfoGard!D1269),FALSE,LOOKUP(InfoGard!D1269,Lookup!$A$2:$B$4))</f>
        <v>N/A</v>
      </c>
      <c r="B1269" s="2" t="str">
        <f>IF(ISBLANK(InfoGard!E1269),FALSE,RIGHT(TRIM(InfoGard!E1269),15))</f>
        <v>IG-3275-14-0061</v>
      </c>
      <c r="C1269" s="2" t="str">
        <f>IF(ISBLANK(InfoGard!F1269),FALSE,LOOKUP(InfoGard!F1269,Lookup!$A$6:$B$7))</f>
        <v>All</v>
      </c>
      <c r="D1269" s="2" t="str">
        <f>IF(ISBLANK(InfoGard!G1269),FALSE,InfoGard!G1269)</f>
        <v>N/A</v>
      </c>
      <c r="E1269" s="2" t="str">
        <f>IF(NOT(ISBLANK(InfoGard!D1269)),IF(OR(ISBLANK(InfoGard!E1269),InfoGard!E1269="N/A"),"no acb code",CONCATENATE(Lookup!F$1,A1269,Lookup!G$1,B1269,Lookup!H$1,H$1,Lookup!I$1)),"no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'IG-3275-14-0061' and cb."name" = 'InfoGard' and cp.product_version_id = pv.product_version_id and pv.product_id = p.product_id and p.vendor_id = vend.vendor_id;</v>
      </c>
      <c r="F1269" s="2" t="str">
        <f>IF(AND(NOT(ISBLANK(InfoGard!G1269)),InfoGard!G1269&lt;&gt;"N/A"),IF(C1269="All",CONCATENATE(Lookup!F$2,D1269,Lookup!G$2,B1269,Lookup!H$2,H$1,Lookup!I$2),CONCATENATE(Lookup!F$3,D1269,Lookup!G$3,B1269,Lookup!H$3)),"no url")</f>
        <v>no url</v>
      </c>
    </row>
    <row r="1270" spans="1:6" hidden="1" x14ac:dyDescent="0.25">
      <c r="A1270" s="2" t="b">
        <f>IF(ISBLANK(InfoGard!D1270),FALSE,LOOKUP(InfoGard!D1270,Lookup!$A$2:$B$4))</f>
        <v>0</v>
      </c>
      <c r="B1270" s="2" t="b">
        <f>IF(ISBLANK(InfoGard!E1270),FALSE,RIGHT(TRIM(InfoGard!E1270),15))</f>
        <v>0</v>
      </c>
      <c r="C1270" s="2" t="b">
        <f>IF(ISBLANK(InfoGard!F1270),FALSE,LOOKUP(InfoGard!F1270,Lookup!$A$6:$B$7))</f>
        <v>0</v>
      </c>
      <c r="D1270" s="2" t="b">
        <f>IF(ISBLANK(InfoGard!G1270),FALSE,InfoGard!G1270)</f>
        <v>0</v>
      </c>
      <c r="E1270" s="2" t="str">
        <f>IF(NOT(ISBLANK(InfoGard!D1270)),IF(OR(ISBLANK(InfoGard!E1270),InfoGard!E1270="N/A"),"no acb code",CONCATENATE(Lookup!F$1,A1270,Lookup!G$1,B1270,Lookup!H$1,H$1,Lookup!I$1)),"no attestation")</f>
        <v>no attestation</v>
      </c>
      <c r="F1270" s="2" t="str">
        <f>IF(AND(NOT(ISBLANK(InfoGard!G1270)),InfoGard!G1270&lt;&gt;"N/A"),IF(C1270="All",CONCATENATE(Lookup!F$2,D1270,Lookup!G$2,B1270,Lookup!H$2,H$1,Lookup!I$2),CONCATENATE(Lookup!F$3,D1270,Lookup!G$3,B1270,Lookup!H$3)),"no url")</f>
        <v>no url</v>
      </c>
    </row>
    <row r="1271" spans="1:6" hidden="1" x14ac:dyDescent="0.25">
      <c r="A1271" s="2" t="b">
        <f>IF(ISBLANK(InfoGard!D1271),FALSE,LOOKUP(InfoGard!D1271,Lookup!$A$2:$B$4))</f>
        <v>0</v>
      </c>
      <c r="B1271" s="2" t="b">
        <f>IF(ISBLANK(InfoGard!E1271),FALSE,RIGHT(TRIM(InfoGard!E1271),15))</f>
        <v>0</v>
      </c>
      <c r="C1271" s="2" t="b">
        <f>IF(ISBLANK(InfoGard!F1271),FALSE,LOOKUP(InfoGard!F1271,Lookup!$A$6:$B$7))</f>
        <v>0</v>
      </c>
      <c r="D1271" s="2" t="b">
        <f>IF(ISBLANK(InfoGard!G1271),FALSE,InfoGard!G1271)</f>
        <v>0</v>
      </c>
      <c r="E1271" s="2" t="str">
        <f>IF(NOT(ISBLANK(InfoGard!D1271)),IF(OR(ISBLANK(InfoGard!E1271),InfoGard!E1271="N/A"),"no acb code",CONCATENATE(Lookup!F$1,A1271,Lookup!G$1,B1271,Lookup!H$1,H$1,Lookup!I$1)),"no attestation")</f>
        <v>no attestation</v>
      </c>
      <c r="F1271" s="2" t="str">
        <f>IF(AND(NOT(ISBLANK(InfoGard!G1271)),InfoGard!G1271&lt;&gt;"N/A"),IF(C1271="All",CONCATENATE(Lookup!F$2,D1271,Lookup!G$2,B1271,Lookup!H$2,H$1,Lookup!I$2),CONCATENATE(Lookup!F$3,D1271,Lookup!G$3,B1271,Lookup!H$3)),"no url")</f>
        <v>no url</v>
      </c>
    </row>
    <row r="1272" spans="1:6" hidden="1" x14ac:dyDescent="0.25">
      <c r="A1272" s="2" t="b">
        <f>IF(ISBLANK(InfoGard!D1272),FALSE,LOOKUP(InfoGard!D1272,Lookup!$A$2:$B$4))</f>
        <v>0</v>
      </c>
      <c r="B1272" s="2" t="b">
        <f>IF(ISBLANK(InfoGard!E1272),FALSE,RIGHT(TRIM(InfoGard!E1272),15))</f>
        <v>0</v>
      </c>
      <c r="C1272" s="2" t="b">
        <f>IF(ISBLANK(InfoGard!F1272),FALSE,LOOKUP(InfoGard!F1272,Lookup!$A$6:$B$7))</f>
        <v>0</v>
      </c>
      <c r="D1272" s="2" t="b">
        <f>IF(ISBLANK(InfoGard!G1272),FALSE,InfoGard!G1272)</f>
        <v>0</v>
      </c>
      <c r="E1272" s="2" t="str">
        <f>IF(NOT(ISBLANK(InfoGard!D1272)),IF(OR(ISBLANK(InfoGard!E1272),InfoGard!E1272="N/A"),"no acb code",CONCATENATE(Lookup!F$1,A1272,Lookup!G$1,B1272,Lookup!H$1,H$1,Lookup!I$1)),"no attestation")</f>
        <v>no attestation</v>
      </c>
      <c r="F1272" s="2" t="str">
        <f>IF(AND(NOT(ISBLANK(InfoGard!G1272)),InfoGard!G1272&lt;&gt;"N/A"),IF(C1272="All",CONCATENATE(Lookup!F$2,D1272,Lookup!G$2,B1272,Lookup!H$2,H$1,Lookup!I$2),CONCATENATE(Lookup!F$3,D1272,Lookup!G$3,B1272,Lookup!H$3)),"no url")</f>
        <v>no url</v>
      </c>
    </row>
    <row r="1273" spans="1:6" hidden="1" x14ac:dyDescent="0.25">
      <c r="A1273" s="2" t="b">
        <f>IF(ISBLANK(InfoGard!D1273),FALSE,LOOKUP(InfoGard!D1273,Lookup!$A$2:$B$4))</f>
        <v>0</v>
      </c>
      <c r="B1273" s="2" t="b">
        <f>IF(ISBLANK(InfoGard!E1273),FALSE,RIGHT(TRIM(InfoGard!E1273),15))</f>
        <v>0</v>
      </c>
      <c r="C1273" s="2" t="b">
        <f>IF(ISBLANK(InfoGard!F1273),FALSE,LOOKUP(InfoGard!F1273,Lookup!$A$6:$B$7))</f>
        <v>0</v>
      </c>
      <c r="D1273" s="2" t="b">
        <f>IF(ISBLANK(InfoGard!G1273),FALSE,InfoGard!G1273)</f>
        <v>0</v>
      </c>
      <c r="E1273" s="2" t="str">
        <f>IF(NOT(ISBLANK(InfoGard!D1273)),IF(OR(ISBLANK(InfoGard!E1273),InfoGard!E1273="N/A"),"no acb code",CONCATENATE(Lookup!F$1,A1273,Lookup!G$1,B1273,Lookup!H$1,H$1,Lookup!I$1)),"no attestation")</f>
        <v>no attestation</v>
      </c>
      <c r="F1273" s="2" t="str">
        <f>IF(AND(NOT(ISBLANK(InfoGard!G1273)),InfoGard!G1273&lt;&gt;"N/A"),IF(C1273="All",CONCATENATE(Lookup!F$2,D1273,Lookup!G$2,B1273,Lookup!H$2,H$1,Lookup!I$2),CONCATENATE(Lookup!F$3,D1273,Lookup!G$3,B1273,Lookup!H$3)),"no url")</f>
        <v>no url</v>
      </c>
    </row>
    <row r="1274" spans="1:6" hidden="1" x14ac:dyDescent="0.25">
      <c r="A1274" s="2" t="b">
        <f>IF(ISBLANK(InfoGard!D1274),FALSE,LOOKUP(InfoGard!D1274,Lookup!$A$2:$B$4))</f>
        <v>0</v>
      </c>
      <c r="B1274" s="2" t="b">
        <f>IF(ISBLANK(InfoGard!E1274),FALSE,RIGHT(TRIM(InfoGard!E1274),15))</f>
        <v>0</v>
      </c>
      <c r="C1274" s="2" t="b">
        <f>IF(ISBLANK(InfoGard!F1274),FALSE,LOOKUP(InfoGard!F1274,Lookup!$A$6:$B$7))</f>
        <v>0</v>
      </c>
      <c r="D1274" s="2" t="b">
        <f>IF(ISBLANK(InfoGard!G1274),FALSE,InfoGard!G1274)</f>
        <v>0</v>
      </c>
      <c r="E1274" s="2" t="str">
        <f>IF(NOT(ISBLANK(InfoGard!D1274)),IF(OR(ISBLANK(InfoGard!E1274),InfoGard!E1274="N/A"),"no acb code",CONCATENATE(Lookup!F$1,A1274,Lookup!G$1,B1274,Lookup!H$1,H$1,Lookup!I$1)),"no attestation")</f>
        <v>no attestation</v>
      </c>
      <c r="F1274" s="2" t="str">
        <f>IF(AND(NOT(ISBLANK(InfoGard!G1274)),InfoGard!G1274&lt;&gt;"N/A"),IF(C1274="All",CONCATENATE(Lookup!F$2,D1274,Lookup!G$2,B1274,Lookup!H$2,H$1,Lookup!I$2),CONCATENATE(Lookup!F$3,D1274,Lookup!G$3,B1274,Lookup!H$3)),"no url")</f>
        <v>no url</v>
      </c>
    </row>
    <row r="1275" spans="1:6" hidden="1" x14ac:dyDescent="0.25">
      <c r="A1275" s="2" t="b">
        <f>IF(ISBLANK(InfoGard!D1275),FALSE,LOOKUP(InfoGard!D1275,Lookup!$A$2:$B$4))</f>
        <v>0</v>
      </c>
      <c r="B1275" s="2" t="b">
        <f>IF(ISBLANK(InfoGard!E1275),FALSE,RIGHT(TRIM(InfoGard!E1275),15))</f>
        <v>0</v>
      </c>
      <c r="C1275" s="2" t="b">
        <f>IF(ISBLANK(InfoGard!F1275),FALSE,LOOKUP(InfoGard!F1275,Lookup!$A$6:$B$7))</f>
        <v>0</v>
      </c>
      <c r="D1275" s="2" t="b">
        <f>IF(ISBLANK(InfoGard!G1275),FALSE,InfoGard!G1275)</f>
        <v>0</v>
      </c>
      <c r="E1275" s="2" t="str">
        <f>IF(NOT(ISBLANK(InfoGard!D1275)),IF(OR(ISBLANK(InfoGard!E1275),InfoGard!E1275="N/A"),"no acb code",CONCATENATE(Lookup!F$1,A1275,Lookup!G$1,B1275,Lookup!H$1,H$1,Lookup!I$1)),"no attestation")</f>
        <v>no attestation</v>
      </c>
      <c r="F1275" s="2" t="str">
        <f>IF(AND(NOT(ISBLANK(InfoGard!G1275)),InfoGard!G1275&lt;&gt;"N/A"),IF(C1275="All",CONCATENATE(Lookup!F$2,D1275,Lookup!G$2,B1275,Lookup!H$2,H$1,Lookup!I$2),CONCATENATE(Lookup!F$3,D1275,Lookup!G$3,B1275,Lookup!H$3)),"no url")</f>
        <v>no url</v>
      </c>
    </row>
    <row r="1276" spans="1:6" hidden="1" x14ac:dyDescent="0.25">
      <c r="A1276" s="2" t="b">
        <f>IF(ISBLANK(InfoGard!D1276),FALSE,LOOKUP(InfoGard!D1276,Lookup!$A$2:$B$4))</f>
        <v>0</v>
      </c>
      <c r="B1276" s="2" t="b">
        <f>IF(ISBLANK(InfoGard!E1276),FALSE,RIGHT(TRIM(InfoGard!E1276),15))</f>
        <v>0</v>
      </c>
      <c r="C1276" s="2" t="b">
        <f>IF(ISBLANK(InfoGard!F1276),FALSE,LOOKUP(InfoGard!F1276,Lookup!$A$6:$B$7))</f>
        <v>0</v>
      </c>
      <c r="D1276" s="2" t="b">
        <f>IF(ISBLANK(InfoGard!G1276),FALSE,InfoGard!G1276)</f>
        <v>0</v>
      </c>
      <c r="E1276" s="2" t="str">
        <f>IF(NOT(ISBLANK(InfoGard!D1276)),IF(OR(ISBLANK(InfoGard!E1276),InfoGard!E1276="N/A"),"no acb code",CONCATENATE(Lookup!F$1,A1276,Lookup!G$1,B1276,Lookup!H$1,H$1,Lookup!I$1)),"no attestation")</f>
        <v>no attestation</v>
      </c>
      <c r="F1276" s="2" t="str">
        <f>IF(AND(NOT(ISBLANK(InfoGard!G1276)),InfoGard!G1276&lt;&gt;"N/A"),IF(C1276="All",CONCATENATE(Lookup!F$2,D1276,Lookup!G$2,B1276,Lookup!H$2,H$1,Lookup!I$2),CONCATENATE(Lookup!F$3,D1276,Lookup!G$3,B1276,Lookup!H$3)),"no url")</f>
        <v>no url</v>
      </c>
    </row>
    <row r="1277" spans="1:6" hidden="1" x14ac:dyDescent="0.25">
      <c r="A1277" s="2" t="b">
        <f>IF(ISBLANK(InfoGard!D1277),FALSE,LOOKUP(InfoGard!D1277,Lookup!$A$2:$B$4))</f>
        <v>0</v>
      </c>
      <c r="B1277" s="2" t="b">
        <f>IF(ISBLANK(InfoGard!E1277),FALSE,RIGHT(TRIM(InfoGard!E1277),15))</f>
        <v>0</v>
      </c>
      <c r="C1277" s="2" t="b">
        <f>IF(ISBLANK(InfoGard!F1277),FALSE,LOOKUP(InfoGard!F1277,Lookup!$A$6:$B$7))</f>
        <v>0</v>
      </c>
      <c r="D1277" s="2" t="b">
        <f>IF(ISBLANK(InfoGard!G1277),FALSE,InfoGard!G1277)</f>
        <v>0</v>
      </c>
      <c r="E1277" s="2" t="str">
        <f>IF(NOT(ISBLANK(InfoGard!D1277)),IF(OR(ISBLANK(InfoGard!E1277),InfoGard!E1277="N/A"),"no acb code",CONCATENATE(Lookup!F$1,A1277,Lookup!G$1,B1277,Lookup!H$1,H$1,Lookup!I$1)),"no attestation")</f>
        <v>no attestation</v>
      </c>
      <c r="F1277" s="2" t="str">
        <f>IF(AND(NOT(ISBLANK(InfoGard!G1277)),InfoGard!G1277&lt;&gt;"N/A"),IF(C1277="All",CONCATENATE(Lookup!F$2,D1277,Lookup!G$2,B1277,Lookup!H$2,H$1,Lookup!I$2),CONCATENATE(Lookup!F$3,D1277,Lookup!G$3,B1277,Lookup!H$3)),"no url")</f>
        <v>no url</v>
      </c>
    </row>
    <row r="1278" spans="1:6" hidden="1" x14ac:dyDescent="0.25">
      <c r="A1278" s="2" t="b">
        <f>IF(ISBLANK(InfoGard!D1278),FALSE,LOOKUP(InfoGard!D1278,Lookup!$A$2:$B$4))</f>
        <v>0</v>
      </c>
      <c r="B1278" s="2" t="b">
        <f>IF(ISBLANK(InfoGard!E1278),FALSE,RIGHT(TRIM(InfoGard!E1278),15))</f>
        <v>0</v>
      </c>
      <c r="C1278" s="2" t="b">
        <f>IF(ISBLANK(InfoGard!F1278),FALSE,LOOKUP(InfoGard!F1278,Lookup!$A$6:$B$7))</f>
        <v>0</v>
      </c>
      <c r="D1278" s="2" t="b">
        <f>IF(ISBLANK(InfoGard!G1278),FALSE,InfoGard!G1278)</f>
        <v>0</v>
      </c>
      <c r="E1278" s="2" t="str">
        <f>IF(NOT(ISBLANK(InfoGard!D1278)),IF(OR(ISBLANK(InfoGard!E1278),InfoGard!E1278="N/A"),"no acb code",CONCATENATE(Lookup!F$1,A1278,Lookup!G$1,B1278,Lookup!H$1,H$1,Lookup!I$1)),"no attestation")</f>
        <v>no attestation</v>
      </c>
      <c r="F1278" s="2" t="str">
        <f>IF(AND(NOT(ISBLANK(InfoGard!G1278)),InfoGard!G1278&lt;&gt;"N/A"),IF(C1278="All",CONCATENATE(Lookup!F$2,D1278,Lookup!G$2,B1278,Lookup!H$2,H$1,Lookup!I$2),CONCATENATE(Lookup!F$3,D1278,Lookup!G$3,B1278,Lookup!H$3)),"no url")</f>
        <v>no url</v>
      </c>
    </row>
    <row r="1279" spans="1:6" hidden="1" x14ac:dyDescent="0.25">
      <c r="A1279" s="2" t="b">
        <f>IF(ISBLANK(InfoGard!D1279),FALSE,LOOKUP(InfoGard!D1279,Lookup!$A$2:$B$4))</f>
        <v>0</v>
      </c>
      <c r="B1279" s="2" t="b">
        <f>IF(ISBLANK(InfoGard!E1279),FALSE,RIGHT(TRIM(InfoGard!E1279),15))</f>
        <v>0</v>
      </c>
      <c r="C1279" s="2" t="b">
        <f>IF(ISBLANK(InfoGard!F1279),FALSE,LOOKUP(InfoGard!F1279,Lookup!$A$6:$B$7))</f>
        <v>0</v>
      </c>
      <c r="D1279" s="2" t="b">
        <f>IF(ISBLANK(InfoGard!G1279),FALSE,InfoGard!G1279)</f>
        <v>0</v>
      </c>
      <c r="E1279" s="2" t="str">
        <f>IF(NOT(ISBLANK(InfoGard!D1279)),IF(OR(ISBLANK(InfoGard!E1279),InfoGard!E1279="N/A"),"no acb code",CONCATENATE(Lookup!F$1,A1279,Lookup!G$1,B1279,Lookup!H$1,H$1,Lookup!I$1)),"no attestation")</f>
        <v>no attestation</v>
      </c>
      <c r="F1279" s="2" t="str">
        <f>IF(AND(NOT(ISBLANK(InfoGard!G1279)),InfoGard!G1279&lt;&gt;"N/A"),IF(C1279="All",CONCATENATE(Lookup!F$2,D1279,Lookup!G$2,B1279,Lookup!H$2,H$1,Lookup!I$2),CONCATENATE(Lookup!F$3,D1279,Lookup!G$3,B1279,Lookup!H$3)),"no url")</f>
        <v>no url</v>
      </c>
    </row>
    <row r="1280" spans="1:6" hidden="1" x14ac:dyDescent="0.25">
      <c r="A1280" s="2" t="b">
        <f>IF(ISBLANK(InfoGard!D1280),FALSE,LOOKUP(InfoGard!D1280,Lookup!$A$2:$B$4))</f>
        <v>0</v>
      </c>
      <c r="B1280" s="2" t="b">
        <f>IF(ISBLANK(InfoGard!E1280),FALSE,RIGHT(TRIM(InfoGard!E1280),15))</f>
        <v>0</v>
      </c>
      <c r="C1280" s="2" t="b">
        <f>IF(ISBLANK(InfoGard!F1280),FALSE,LOOKUP(InfoGard!F1280,Lookup!$A$6:$B$7))</f>
        <v>0</v>
      </c>
      <c r="D1280" s="2" t="b">
        <f>IF(ISBLANK(InfoGard!G1280),FALSE,InfoGard!G1280)</f>
        <v>0</v>
      </c>
      <c r="E1280" s="2" t="str">
        <f>IF(NOT(ISBLANK(InfoGard!D1280)),IF(OR(ISBLANK(InfoGard!E1280),InfoGard!E1280="N/A"),"no acb code",CONCATENATE(Lookup!F$1,A1280,Lookup!G$1,B1280,Lookup!H$1,H$1,Lookup!I$1)),"no attestation")</f>
        <v>no attestation</v>
      </c>
      <c r="F1280" s="2" t="str">
        <f>IF(AND(NOT(ISBLANK(InfoGard!G1280)),InfoGard!G1280&lt;&gt;"N/A"),IF(C1280="All",CONCATENATE(Lookup!F$2,D1280,Lookup!G$2,B1280,Lookup!H$2,H$1,Lookup!I$2),CONCATENATE(Lookup!F$3,D1280,Lookup!G$3,B1280,Lookup!H$3)),"no url")</f>
        <v>no url</v>
      </c>
    </row>
    <row r="1281" spans="1:6" hidden="1" x14ac:dyDescent="0.25">
      <c r="A1281" s="2" t="b">
        <f>IF(ISBLANK(InfoGard!D1281),FALSE,LOOKUP(InfoGard!D1281,Lookup!$A$2:$B$4))</f>
        <v>0</v>
      </c>
      <c r="B1281" s="2" t="b">
        <f>IF(ISBLANK(InfoGard!E1281),FALSE,RIGHT(TRIM(InfoGard!E1281),15))</f>
        <v>0</v>
      </c>
      <c r="C1281" s="2" t="b">
        <f>IF(ISBLANK(InfoGard!F1281),FALSE,LOOKUP(InfoGard!F1281,Lookup!$A$6:$B$7))</f>
        <v>0</v>
      </c>
      <c r="D1281" s="2" t="b">
        <f>IF(ISBLANK(InfoGard!G1281),FALSE,InfoGard!G1281)</f>
        <v>0</v>
      </c>
      <c r="E1281" s="2" t="str">
        <f>IF(NOT(ISBLANK(InfoGard!D1281)),IF(OR(ISBLANK(InfoGard!E1281),InfoGard!E1281="N/A"),"no acb code",CONCATENATE(Lookup!F$1,A1281,Lookup!G$1,B1281,Lookup!H$1,H$1,Lookup!I$1)),"no attestation")</f>
        <v>no attestation</v>
      </c>
      <c r="F1281" s="2" t="str">
        <f>IF(AND(NOT(ISBLANK(InfoGard!G1281)),InfoGard!G1281&lt;&gt;"N/A"),IF(C1281="All",CONCATENATE(Lookup!F$2,D1281,Lookup!G$2,B1281,Lookup!H$2,H$1,Lookup!I$2),CONCATENATE(Lookup!F$3,D1281,Lookup!G$3,B1281,Lookup!H$3)),"no url")</f>
        <v>no url</v>
      </c>
    </row>
    <row r="1282" spans="1:6" hidden="1" x14ac:dyDescent="0.25">
      <c r="A1282" s="2" t="b">
        <f>IF(ISBLANK(InfoGard!D1282),FALSE,LOOKUP(InfoGard!D1282,Lookup!$A$2:$B$4))</f>
        <v>0</v>
      </c>
      <c r="B1282" s="2" t="b">
        <f>IF(ISBLANK(InfoGard!E1282),FALSE,RIGHT(TRIM(InfoGard!E1282),15))</f>
        <v>0</v>
      </c>
      <c r="C1282" s="2" t="b">
        <f>IF(ISBLANK(InfoGard!F1282),FALSE,LOOKUP(InfoGard!F1282,Lookup!$A$6:$B$7))</f>
        <v>0</v>
      </c>
      <c r="D1282" s="2" t="b">
        <f>IF(ISBLANK(InfoGard!G1282),FALSE,InfoGard!G1282)</f>
        <v>0</v>
      </c>
      <c r="E1282" s="2" t="str">
        <f>IF(NOT(ISBLANK(InfoGard!D1282)),IF(OR(ISBLANK(InfoGard!E1282),InfoGard!E1282="N/A"),"no acb code",CONCATENATE(Lookup!F$1,A1282,Lookup!G$1,B1282,Lookup!H$1,H$1,Lookup!I$1)),"no attestation")</f>
        <v>no attestation</v>
      </c>
      <c r="F1282" s="2" t="str">
        <f>IF(AND(NOT(ISBLANK(InfoGard!G1282)),InfoGard!G1282&lt;&gt;"N/A"),IF(C1282="All",CONCATENATE(Lookup!F$2,D1282,Lookup!G$2,B1282,Lookup!H$2,H$1,Lookup!I$2),CONCATENATE(Lookup!F$3,D1282,Lookup!G$3,B1282,Lookup!H$3)),"no url")</f>
        <v>no url</v>
      </c>
    </row>
    <row r="1283" spans="1:6" hidden="1" x14ac:dyDescent="0.25">
      <c r="A1283" s="2" t="b">
        <f>IF(ISBLANK(InfoGard!D1283),FALSE,LOOKUP(InfoGard!D1283,Lookup!$A$2:$B$4))</f>
        <v>0</v>
      </c>
      <c r="B1283" s="2" t="b">
        <f>IF(ISBLANK(InfoGard!E1283),FALSE,RIGHT(TRIM(InfoGard!E1283),15))</f>
        <v>0</v>
      </c>
      <c r="C1283" s="2" t="b">
        <f>IF(ISBLANK(InfoGard!F1283),FALSE,LOOKUP(InfoGard!F1283,Lookup!$A$6:$B$7))</f>
        <v>0</v>
      </c>
      <c r="D1283" s="2" t="b">
        <f>IF(ISBLANK(InfoGard!G1283),FALSE,InfoGard!G1283)</f>
        <v>0</v>
      </c>
      <c r="E1283" s="2" t="str">
        <f>IF(NOT(ISBLANK(InfoGard!D1283)),IF(OR(ISBLANK(InfoGard!E1283),InfoGard!E1283="N/A"),"no acb code",CONCATENATE(Lookup!F$1,A1283,Lookup!G$1,B1283,Lookup!H$1,H$1,Lookup!I$1)),"no attestation")</f>
        <v>no attestation</v>
      </c>
      <c r="F1283" s="2" t="str">
        <f>IF(AND(NOT(ISBLANK(InfoGard!G1283)),InfoGard!G1283&lt;&gt;"N/A"),IF(C1283="All",CONCATENATE(Lookup!F$2,D1283,Lookup!G$2,B1283,Lookup!H$2,H$1,Lookup!I$2),CONCATENATE(Lookup!F$3,D1283,Lookup!G$3,B1283,Lookup!H$3)),"no url")</f>
        <v>no url</v>
      </c>
    </row>
    <row r="1284" spans="1:6" hidden="1" x14ac:dyDescent="0.25">
      <c r="A1284" s="2" t="b">
        <f>IF(ISBLANK(InfoGard!D1284),FALSE,LOOKUP(InfoGard!D1284,Lookup!$A$2:$B$4))</f>
        <v>0</v>
      </c>
      <c r="B1284" s="2" t="b">
        <f>IF(ISBLANK(InfoGard!E1284),FALSE,RIGHT(TRIM(InfoGard!E1284),15))</f>
        <v>0</v>
      </c>
      <c r="C1284" s="2" t="b">
        <f>IF(ISBLANK(InfoGard!F1284),FALSE,LOOKUP(InfoGard!F1284,Lookup!$A$6:$B$7))</f>
        <v>0</v>
      </c>
      <c r="D1284" s="2" t="b">
        <f>IF(ISBLANK(InfoGard!G1284),FALSE,InfoGard!G1284)</f>
        <v>0</v>
      </c>
      <c r="E1284" s="2" t="str">
        <f>IF(NOT(ISBLANK(InfoGard!D1284)),IF(OR(ISBLANK(InfoGard!E1284),InfoGard!E1284="N/A"),"no acb code",CONCATENATE(Lookup!F$1,A1284,Lookup!G$1,B1284,Lookup!H$1,H$1,Lookup!I$1)),"no attestation")</f>
        <v>no attestation</v>
      </c>
      <c r="F1284" s="2" t="str">
        <f>IF(AND(NOT(ISBLANK(InfoGard!G1284)),InfoGard!G1284&lt;&gt;"N/A"),IF(C1284="All",CONCATENATE(Lookup!F$2,D1284,Lookup!G$2,B1284,Lookup!H$2,H$1,Lookup!I$2),CONCATENATE(Lookup!F$3,D1284,Lookup!G$3,B1284,Lookup!H$3)),"no url")</f>
        <v>no url</v>
      </c>
    </row>
    <row r="1285" spans="1:6" hidden="1" x14ac:dyDescent="0.25">
      <c r="A1285" s="2" t="b">
        <f>IF(ISBLANK(InfoGard!D1285),FALSE,LOOKUP(InfoGard!D1285,Lookup!$A$2:$B$4))</f>
        <v>0</v>
      </c>
      <c r="B1285" s="2" t="b">
        <f>IF(ISBLANK(InfoGard!E1285),FALSE,RIGHT(TRIM(InfoGard!E1285),15))</f>
        <v>0</v>
      </c>
      <c r="C1285" s="2" t="b">
        <f>IF(ISBLANK(InfoGard!F1285),FALSE,LOOKUP(InfoGard!F1285,Lookup!$A$6:$B$7))</f>
        <v>0</v>
      </c>
      <c r="D1285" s="2" t="b">
        <f>IF(ISBLANK(InfoGard!G1285),FALSE,InfoGard!G1285)</f>
        <v>0</v>
      </c>
      <c r="E1285" s="2" t="str">
        <f>IF(NOT(ISBLANK(InfoGard!D1285)),IF(OR(ISBLANK(InfoGard!E1285),InfoGard!E1285="N/A"),"no acb code",CONCATENATE(Lookup!F$1,A1285,Lookup!G$1,B1285,Lookup!H$1,H$1,Lookup!I$1)),"no attestation")</f>
        <v>no attestation</v>
      </c>
      <c r="F1285" s="2" t="str">
        <f>IF(AND(NOT(ISBLANK(InfoGard!G1285)),InfoGard!G1285&lt;&gt;"N/A"),IF(C1285="All",CONCATENATE(Lookup!F$2,D1285,Lookup!G$2,B1285,Lookup!H$2,H$1,Lookup!I$2),CONCATENATE(Lookup!F$3,D1285,Lookup!G$3,B1285,Lookup!H$3)),"no url")</f>
        <v>no url</v>
      </c>
    </row>
    <row r="1286" spans="1:6" x14ac:dyDescent="0.25">
      <c r="A1286" s="2" t="str">
        <f>IF(ISBLANK(InfoGard!D1286),FALSE,LOOKUP(InfoGard!D1286,Lookup!$A$2:$B$4))</f>
        <v>Affirmative</v>
      </c>
      <c r="B1286" s="2" t="str">
        <f>IF(ISBLANK(InfoGard!E1286),FALSE,RIGHT(TRIM(InfoGard!E1286),15))</f>
        <v>IG-2578-14-0075</v>
      </c>
      <c r="C1286" s="2" t="str">
        <f>IF(ISBLANK(InfoGard!F1286),FALSE,LOOKUP(InfoGard!F1286,Lookup!$A$6:$B$7))</f>
        <v>All</v>
      </c>
      <c r="D1286" s="2" t="str">
        <f>IF(ISBLANK(InfoGard!G1286),FALSE,InfoGard!G1286)</f>
        <v>www.softworxsolutions.com</v>
      </c>
      <c r="E1286" s="2" t="str">
        <f>IF(NOT(ISBLANK(InfoGard!D1286)),IF(OR(ISBLANK(InfoGard!E1286),InfoGard!E1286="N/A"),"no acb code",CONCATENATE(Lookup!F$1,A1286,Lookup!G$1,B1286,Lookup!H$1,H$1,Lookup!I$1)),"no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'IG-2578-14-0075' and cb."name" = 'InfoGard' and cp.product_version_id = pv.product_version_id and pv.product_id = p.product_id and p.vendor_id = vend.vendor_id;</v>
      </c>
      <c r="F1286" s="2" t="str">
        <f>IF(AND(NOT(ISBLANK(InfoGard!G1286)),InfoGard!G1286&lt;&gt;"N/A"),IF(C1286="All",CONCATENATE(Lookup!F$2,D1286,Lookup!G$2,B1286,Lookup!H$2,H$1,Lookup!I$2),CONCATENATE(Lookup!F$3,D1286,Lookup!G$3,B1286,Lookup!H$3)),"no url")</f>
        <v>update openchpl.certified_product as cp set transparency_attestation_url = 'www.softworxsolutions.com' from (select certified_product_id from (select vend.vendor_code from openchpl.certified_product as cp, openchpl.product_version as pv, openchpl.product as p, openchpl.vendor as vend where cp.acb_certification_id = 'IG-2578-14-0075'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87" spans="1:6" hidden="1" x14ac:dyDescent="0.25">
      <c r="A1287" s="2" t="b">
        <f>IF(ISBLANK(InfoGard!D1287),FALSE,LOOKUP(InfoGard!D1287,Lookup!$A$2:$B$4))</f>
        <v>0</v>
      </c>
      <c r="B1287" s="2" t="b">
        <f>IF(ISBLANK(InfoGard!E1287),FALSE,RIGHT(TRIM(InfoGard!E1287),15))</f>
        <v>0</v>
      </c>
      <c r="C1287" s="2" t="b">
        <f>IF(ISBLANK(InfoGard!F1287),FALSE,LOOKUP(InfoGard!F1287,Lookup!$A$6:$B$7))</f>
        <v>0</v>
      </c>
      <c r="D1287" s="2" t="b">
        <f>IF(ISBLANK(InfoGard!G1287),FALSE,InfoGard!G1287)</f>
        <v>0</v>
      </c>
      <c r="E1287" s="2" t="str">
        <f>IF(NOT(ISBLANK(InfoGard!D1287)),IF(OR(ISBLANK(InfoGard!E1287),InfoGard!E1287="N/A"),"no acb code",CONCATENATE(Lookup!F$1,A1287,Lookup!G$1,B1287,Lookup!H$1,H$1,Lookup!I$1)),"no attestation")</f>
        <v>no attestation</v>
      </c>
      <c r="F1287" s="2" t="str">
        <f>IF(AND(NOT(ISBLANK(InfoGard!G1287)),InfoGard!G1287&lt;&gt;"N/A"),IF(C1287="All",CONCATENATE(Lookup!F$2,D1287,Lookup!G$2,B1287,Lookup!H$2,H$1,Lookup!I$2),CONCATENATE(Lookup!F$3,D1287,Lookup!G$3,B1287,Lookup!H$3)),"no url")</f>
        <v>no url</v>
      </c>
    </row>
    <row r="1288" spans="1:6" hidden="1" x14ac:dyDescent="0.25">
      <c r="A1288" s="2" t="b">
        <f>IF(ISBLANK(InfoGard!D1288),FALSE,LOOKUP(InfoGard!D1288,Lookup!$A$2:$B$4))</f>
        <v>0</v>
      </c>
      <c r="B1288" s="2" t="b">
        <f>IF(ISBLANK(InfoGard!E1288),FALSE,RIGHT(TRIM(InfoGard!E1288),15))</f>
        <v>0</v>
      </c>
      <c r="C1288" s="2" t="b">
        <f>IF(ISBLANK(InfoGard!F1288),FALSE,LOOKUP(InfoGard!F1288,Lookup!$A$6:$B$7))</f>
        <v>0</v>
      </c>
      <c r="D1288" s="2" t="b">
        <f>IF(ISBLANK(InfoGard!G1288),FALSE,InfoGard!G1288)</f>
        <v>0</v>
      </c>
      <c r="E1288" s="2" t="str">
        <f>IF(NOT(ISBLANK(InfoGard!D1288)),IF(OR(ISBLANK(InfoGard!E1288),InfoGard!E1288="N/A"),"no acb code",CONCATENATE(Lookup!F$1,A1288,Lookup!G$1,B1288,Lookup!H$1,H$1,Lookup!I$1)),"no attestation")</f>
        <v>no attestation</v>
      </c>
      <c r="F1288" s="2" t="str">
        <f>IF(AND(NOT(ISBLANK(InfoGard!G1288)),InfoGard!G1288&lt;&gt;"N/A"),IF(C1288="All",CONCATENATE(Lookup!F$2,D1288,Lookup!G$2,B1288,Lookup!H$2,H$1,Lookup!I$2),CONCATENATE(Lookup!F$3,D1288,Lookup!G$3,B1288,Lookup!H$3)),"no url")</f>
        <v>no url</v>
      </c>
    </row>
    <row r="1289" spans="1:6" hidden="1" x14ac:dyDescent="0.25">
      <c r="A1289" s="2" t="b">
        <f>IF(ISBLANK(InfoGard!D1289),FALSE,LOOKUP(InfoGard!D1289,Lookup!$A$2:$B$4))</f>
        <v>0</v>
      </c>
      <c r="B1289" s="2" t="b">
        <f>IF(ISBLANK(InfoGard!E1289),FALSE,RIGHT(TRIM(InfoGard!E1289),15))</f>
        <v>0</v>
      </c>
      <c r="C1289" s="2" t="b">
        <f>IF(ISBLANK(InfoGard!F1289),FALSE,LOOKUP(InfoGard!F1289,Lookup!$A$6:$B$7))</f>
        <v>0</v>
      </c>
      <c r="D1289" s="2" t="b">
        <f>IF(ISBLANK(InfoGard!G1289),FALSE,InfoGard!G1289)</f>
        <v>0</v>
      </c>
      <c r="E1289" s="2" t="str">
        <f>IF(NOT(ISBLANK(InfoGard!D1289)),IF(OR(ISBLANK(InfoGard!E1289),InfoGard!E1289="N/A"),"no acb code",CONCATENATE(Lookup!F$1,A1289,Lookup!G$1,B1289,Lookup!H$1,H$1,Lookup!I$1)),"no attestation")</f>
        <v>no attestation</v>
      </c>
      <c r="F1289" s="2" t="str">
        <f>IF(AND(NOT(ISBLANK(InfoGard!G1289)),InfoGard!G1289&lt;&gt;"N/A"),IF(C1289="All",CONCATENATE(Lookup!F$2,D1289,Lookup!G$2,B1289,Lookup!H$2,H$1,Lookup!I$2),CONCATENATE(Lookup!F$3,D1289,Lookup!G$3,B1289,Lookup!H$3)),"no url")</f>
        <v>no url</v>
      </c>
    </row>
    <row r="1290" spans="1:6" hidden="1" x14ac:dyDescent="0.25">
      <c r="A1290" s="2" t="b">
        <f>IF(ISBLANK(InfoGard!D1290),FALSE,LOOKUP(InfoGard!D1290,Lookup!$A$2:$B$4))</f>
        <v>0</v>
      </c>
      <c r="B1290" s="2" t="b">
        <f>IF(ISBLANK(InfoGard!E1290),FALSE,RIGHT(TRIM(InfoGard!E1290),15))</f>
        <v>0</v>
      </c>
      <c r="C1290" s="2" t="b">
        <f>IF(ISBLANK(InfoGard!F1290),FALSE,LOOKUP(InfoGard!F1290,Lookup!$A$6:$B$7))</f>
        <v>0</v>
      </c>
      <c r="D1290" s="2" t="b">
        <f>IF(ISBLANK(InfoGard!G1290),FALSE,InfoGard!G1290)</f>
        <v>0</v>
      </c>
      <c r="E1290" s="2" t="str">
        <f>IF(NOT(ISBLANK(InfoGard!D1290)),IF(OR(ISBLANK(InfoGard!E1290),InfoGard!E1290="N/A"),"no acb code",CONCATENATE(Lookup!F$1,A1290,Lookup!G$1,B1290,Lookup!H$1,H$1,Lookup!I$1)),"no attestation")</f>
        <v>no attestation</v>
      </c>
      <c r="F1290" s="2" t="str">
        <f>IF(AND(NOT(ISBLANK(InfoGard!G1290)),InfoGard!G1290&lt;&gt;"N/A"),IF(C1290="All",CONCATENATE(Lookup!F$2,D1290,Lookup!G$2,B1290,Lookup!H$2,H$1,Lookup!I$2),CONCATENATE(Lookup!F$3,D1290,Lookup!G$3,B1290,Lookup!H$3)),"no url")</f>
        <v>no url</v>
      </c>
    </row>
    <row r="1291" spans="1:6" hidden="1" x14ac:dyDescent="0.25">
      <c r="A1291" s="2" t="b">
        <f>IF(ISBLANK(InfoGard!D1291),FALSE,LOOKUP(InfoGard!D1291,Lookup!$A$2:$B$4))</f>
        <v>0</v>
      </c>
      <c r="B1291" s="2" t="b">
        <f>IF(ISBLANK(InfoGard!E1291),FALSE,RIGHT(TRIM(InfoGard!E1291),15))</f>
        <v>0</v>
      </c>
      <c r="C1291" s="2" t="b">
        <f>IF(ISBLANK(InfoGard!F1291),FALSE,LOOKUP(InfoGard!F1291,Lookup!$A$6:$B$7))</f>
        <v>0</v>
      </c>
      <c r="D1291" s="2" t="b">
        <f>IF(ISBLANK(InfoGard!G1291),FALSE,InfoGard!G1291)</f>
        <v>0</v>
      </c>
      <c r="E1291" s="2" t="str">
        <f>IF(NOT(ISBLANK(InfoGard!D1291)),IF(OR(ISBLANK(InfoGard!E1291),InfoGard!E1291="N/A"),"no acb code",CONCATENATE(Lookup!F$1,A1291,Lookup!G$1,B1291,Lookup!H$1,H$1,Lookup!I$1)),"no attestation")</f>
        <v>no attestation</v>
      </c>
      <c r="F1291" s="2" t="str">
        <f>IF(AND(NOT(ISBLANK(InfoGard!G1291)),InfoGard!G1291&lt;&gt;"N/A"),IF(C1291="All",CONCATENATE(Lookup!F$2,D1291,Lookup!G$2,B1291,Lookup!H$2,H$1,Lookup!I$2),CONCATENATE(Lookup!F$3,D1291,Lookup!G$3,B1291,Lookup!H$3)),"no url")</f>
        <v>no url</v>
      </c>
    </row>
    <row r="1292" spans="1:6" hidden="1" x14ac:dyDescent="0.25">
      <c r="A1292" s="2" t="b">
        <f>IF(ISBLANK(InfoGard!D1292),FALSE,LOOKUP(InfoGard!D1292,Lookup!$A$2:$B$4))</f>
        <v>0</v>
      </c>
      <c r="B1292" s="2" t="b">
        <f>IF(ISBLANK(InfoGard!E1292),FALSE,RIGHT(TRIM(InfoGard!E1292),15))</f>
        <v>0</v>
      </c>
      <c r="C1292" s="2" t="b">
        <f>IF(ISBLANK(InfoGard!F1292),FALSE,LOOKUP(InfoGard!F1292,Lookup!$A$6:$B$7))</f>
        <v>0</v>
      </c>
      <c r="D1292" s="2" t="b">
        <f>IF(ISBLANK(InfoGard!G1292),FALSE,InfoGard!G1292)</f>
        <v>0</v>
      </c>
      <c r="E1292" s="2" t="str">
        <f>IF(NOT(ISBLANK(InfoGard!D1292)),IF(OR(ISBLANK(InfoGard!E1292),InfoGard!E1292="N/A"),"no acb code",CONCATENATE(Lookup!F$1,A1292,Lookup!G$1,B1292,Lookup!H$1,H$1,Lookup!I$1)),"no attestation")</f>
        <v>no attestation</v>
      </c>
      <c r="F1292" s="2" t="str">
        <f>IF(AND(NOT(ISBLANK(InfoGard!G1292)),InfoGard!G1292&lt;&gt;"N/A"),IF(C1292="All",CONCATENATE(Lookup!F$2,D1292,Lookup!G$2,B1292,Lookup!H$2,H$1,Lookup!I$2),CONCATENATE(Lookup!F$3,D1292,Lookup!G$3,B1292,Lookup!H$3)),"no url")</f>
        <v>no url</v>
      </c>
    </row>
    <row r="1293" spans="1:6" hidden="1" x14ac:dyDescent="0.25">
      <c r="A1293" s="2" t="b">
        <f>IF(ISBLANK(InfoGard!D1293),FALSE,LOOKUP(InfoGard!D1293,Lookup!$A$2:$B$4))</f>
        <v>0</v>
      </c>
      <c r="B1293" s="2" t="b">
        <f>IF(ISBLANK(InfoGard!E1293),FALSE,RIGHT(TRIM(InfoGard!E1293),15))</f>
        <v>0</v>
      </c>
      <c r="C1293" s="2" t="b">
        <f>IF(ISBLANK(InfoGard!F1293),FALSE,LOOKUP(InfoGard!F1293,Lookup!$A$6:$B$7))</f>
        <v>0</v>
      </c>
      <c r="D1293" s="2" t="b">
        <f>IF(ISBLANK(InfoGard!G1293),FALSE,InfoGard!G1293)</f>
        <v>0</v>
      </c>
      <c r="E1293" s="2" t="str">
        <f>IF(NOT(ISBLANK(InfoGard!D1293)),IF(OR(ISBLANK(InfoGard!E1293),InfoGard!E1293="N/A"),"no acb code",CONCATENATE(Lookup!F$1,A1293,Lookup!G$1,B1293,Lookup!H$1,H$1,Lookup!I$1)),"no attestation")</f>
        <v>no attestation</v>
      </c>
      <c r="F1293" s="2" t="str">
        <f>IF(AND(NOT(ISBLANK(InfoGard!G1293)),InfoGard!G1293&lt;&gt;"N/A"),IF(C1293="All",CONCATENATE(Lookup!F$2,D1293,Lookup!G$2,B1293,Lookup!H$2,H$1,Lookup!I$2),CONCATENATE(Lookup!F$3,D1293,Lookup!G$3,B1293,Lookup!H$3)),"no url")</f>
        <v>no url</v>
      </c>
    </row>
    <row r="1294" spans="1:6" hidden="1" x14ac:dyDescent="0.25">
      <c r="A1294" s="2" t="b">
        <f>IF(ISBLANK(InfoGard!D1294),FALSE,LOOKUP(InfoGard!D1294,Lookup!$A$2:$B$4))</f>
        <v>0</v>
      </c>
      <c r="B1294" s="2" t="b">
        <f>IF(ISBLANK(InfoGard!E1294),FALSE,RIGHT(TRIM(InfoGard!E1294),15))</f>
        <v>0</v>
      </c>
      <c r="C1294" s="2" t="b">
        <f>IF(ISBLANK(InfoGard!F1294),FALSE,LOOKUP(InfoGard!F1294,Lookup!$A$6:$B$7))</f>
        <v>0</v>
      </c>
      <c r="D1294" s="2" t="b">
        <f>IF(ISBLANK(InfoGard!G1294),FALSE,InfoGard!G1294)</f>
        <v>0</v>
      </c>
      <c r="E1294" s="2" t="str">
        <f>IF(NOT(ISBLANK(InfoGard!D1294)),IF(OR(ISBLANK(InfoGard!E1294),InfoGard!E1294="N/A"),"no acb code",CONCATENATE(Lookup!F$1,A1294,Lookup!G$1,B1294,Lookup!H$1,H$1,Lookup!I$1)),"no attestation")</f>
        <v>no attestation</v>
      </c>
      <c r="F1294" s="2" t="str">
        <f>IF(AND(NOT(ISBLANK(InfoGard!G1294)),InfoGard!G1294&lt;&gt;"N/A"),IF(C1294="All",CONCATENATE(Lookup!F$2,D1294,Lookup!G$2,B1294,Lookup!H$2,H$1,Lookup!I$2),CONCATENATE(Lookup!F$3,D1294,Lookup!G$3,B1294,Lookup!H$3)),"no url")</f>
        <v>no url</v>
      </c>
    </row>
    <row r="1295" spans="1:6" hidden="1" x14ac:dyDescent="0.25">
      <c r="A1295" s="2" t="b">
        <f>IF(ISBLANK(InfoGard!D1295),FALSE,LOOKUP(InfoGard!D1295,Lookup!$A$2:$B$4))</f>
        <v>0</v>
      </c>
      <c r="B1295" s="2" t="b">
        <f>IF(ISBLANK(InfoGard!E1295),FALSE,RIGHT(TRIM(InfoGard!E1295),15))</f>
        <v>0</v>
      </c>
      <c r="C1295" s="2" t="b">
        <f>IF(ISBLANK(InfoGard!F1295),FALSE,LOOKUP(InfoGard!F1295,Lookup!$A$6:$B$7))</f>
        <v>0</v>
      </c>
      <c r="D1295" s="2" t="b">
        <f>IF(ISBLANK(InfoGard!G1295),FALSE,InfoGard!G1295)</f>
        <v>0</v>
      </c>
      <c r="E1295" s="2" t="str">
        <f>IF(NOT(ISBLANK(InfoGard!D1295)),IF(OR(ISBLANK(InfoGard!E1295),InfoGard!E1295="N/A"),"no acb code",CONCATENATE(Lookup!F$1,A1295,Lookup!G$1,B1295,Lookup!H$1,H$1,Lookup!I$1)),"no attestation")</f>
        <v>no attestation</v>
      </c>
      <c r="F1295" s="2" t="str">
        <f>IF(AND(NOT(ISBLANK(InfoGard!G1295)),InfoGard!G1295&lt;&gt;"N/A"),IF(C1295="All",CONCATENATE(Lookup!F$2,D1295,Lookup!G$2,B1295,Lookup!H$2,H$1,Lookup!I$2),CONCATENATE(Lookup!F$3,D1295,Lookup!G$3,B1295,Lookup!H$3)),"no url")</f>
        <v>no url</v>
      </c>
    </row>
    <row r="1296" spans="1:6" hidden="1" x14ac:dyDescent="0.25">
      <c r="A1296" s="2" t="b">
        <f>IF(ISBLANK(InfoGard!D1296),FALSE,LOOKUP(InfoGard!D1296,Lookup!$A$2:$B$4))</f>
        <v>0</v>
      </c>
      <c r="B1296" s="2" t="b">
        <f>IF(ISBLANK(InfoGard!E1296),FALSE,RIGHT(TRIM(InfoGard!E1296),15))</f>
        <v>0</v>
      </c>
      <c r="C1296" s="2" t="b">
        <f>IF(ISBLANK(InfoGard!F1296),FALSE,LOOKUP(InfoGard!F1296,Lookup!$A$6:$B$7))</f>
        <v>0</v>
      </c>
      <c r="D1296" s="2" t="b">
        <f>IF(ISBLANK(InfoGard!G1296),FALSE,InfoGard!G1296)</f>
        <v>0</v>
      </c>
      <c r="E1296" s="2" t="str">
        <f>IF(NOT(ISBLANK(InfoGard!D1296)),IF(OR(ISBLANK(InfoGard!E1296),InfoGard!E1296="N/A"),"no acb code",CONCATENATE(Lookup!F$1,A1296,Lookup!G$1,B1296,Lookup!H$1,H$1,Lookup!I$1)),"no attestation")</f>
        <v>no attestation</v>
      </c>
      <c r="F1296" s="2" t="str">
        <f>IF(AND(NOT(ISBLANK(InfoGard!G1296)),InfoGard!G1296&lt;&gt;"N/A"),IF(C1296="All",CONCATENATE(Lookup!F$2,D1296,Lookup!G$2,B1296,Lookup!H$2,H$1,Lookup!I$2),CONCATENATE(Lookup!F$3,D1296,Lookup!G$3,B1296,Lookup!H$3)),"no url")</f>
        <v>no url</v>
      </c>
    </row>
    <row r="1297" spans="1:6" hidden="1" x14ac:dyDescent="0.25">
      <c r="A1297" s="2" t="b">
        <f>IF(ISBLANK(InfoGard!D1297),FALSE,LOOKUP(InfoGard!D1297,Lookup!$A$2:$B$4))</f>
        <v>0</v>
      </c>
      <c r="B1297" s="2" t="b">
        <f>IF(ISBLANK(InfoGard!E1297),FALSE,RIGHT(TRIM(InfoGard!E1297),15))</f>
        <v>0</v>
      </c>
      <c r="C1297" s="2" t="b">
        <f>IF(ISBLANK(InfoGard!F1297),FALSE,LOOKUP(InfoGard!F1297,Lookup!$A$6:$B$7))</f>
        <v>0</v>
      </c>
      <c r="D1297" s="2" t="b">
        <f>IF(ISBLANK(InfoGard!G1297),FALSE,InfoGard!G1297)</f>
        <v>0</v>
      </c>
      <c r="E1297" s="2" t="str">
        <f>IF(NOT(ISBLANK(InfoGard!D1297)),IF(OR(ISBLANK(InfoGard!E1297),InfoGard!E1297="N/A"),"no acb code",CONCATENATE(Lookup!F$1,A1297,Lookup!G$1,B1297,Lookup!H$1,H$1,Lookup!I$1)),"no attestation")</f>
        <v>no attestation</v>
      </c>
      <c r="F1297" s="2" t="str">
        <f>IF(AND(NOT(ISBLANK(InfoGard!G1297)),InfoGard!G1297&lt;&gt;"N/A"),IF(C1297="All",CONCATENATE(Lookup!F$2,D1297,Lookup!G$2,B1297,Lookup!H$2,H$1,Lookup!I$2),CONCATENATE(Lookup!F$3,D1297,Lookup!G$3,B1297,Lookup!H$3)),"no url")</f>
        <v>no url</v>
      </c>
    </row>
    <row r="1298" spans="1:6" hidden="1" x14ac:dyDescent="0.25">
      <c r="A1298" s="2" t="b">
        <f>IF(ISBLANK(InfoGard!D1298),FALSE,LOOKUP(InfoGard!D1298,Lookup!$A$2:$B$4))</f>
        <v>0</v>
      </c>
      <c r="B1298" s="2" t="b">
        <f>IF(ISBLANK(InfoGard!E1298),FALSE,RIGHT(TRIM(InfoGard!E1298),15))</f>
        <v>0</v>
      </c>
      <c r="C1298" s="2" t="b">
        <f>IF(ISBLANK(InfoGard!F1298),FALSE,LOOKUP(InfoGard!F1298,Lookup!$A$6:$B$7))</f>
        <v>0</v>
      </c>
      <c r="D1298" s="2" t="b">
        <f>IF(ISBLANK(InfoGard!G1298),FALSE,InfoGard!G1298)</f>
        <v>0</v>
      </c>
      <c r="E1298" s="2" t="str">
        <f>IF(NOT(ISBLANK(InfoGard!D1298)),IF(OR(ISBLANK(InfoGard!E1298),InfoGard!E1298="N/A"),"no acb code",CONCATENATE(Lookup!F$1,A1298,Lookup!G$1,B1298,Lookup!H$1,H$1,Lookup!I$1)),"no attestation")</f>
        <v>no attestation</v>
      </c>
      <c r="F1298" s="2" t="str">
        <f>IF(AND(NOT(ISBLANK(InfoGard!G1298)),InfoGard!G1298&lt;&gt;"N/A"),IF(C1298="All",CONCATENATE(Lookup!F$2,D1298,Lookup!G$2,B1298,Lookup!H$2,H$1,Lookup!I$2),CONCATENATE(Lookup!F$3,D1298,Lookup!G$3,B1298,Lookup!H$3)),"no url")</f>
        <v>no url</v>
      </c>
    </row>
    <row r="1299" spans="1:6" hidden="1" x14ac:dyDescent="0.25">
      <c r="A1299" s="2" t="b">
        <f>IF(ISBLANK(InfoGard!D1299),FALSE,LOOKUP(InfoGard!D1299,Lookup!$A$2:$B$4))</f>
        <v>0</v>
      </c>
      <c r="B1299" s="2" t="b">
        <f>IF(ISBLANK(InfoGard!E1299),FALSE,RIGHT(TRIM(InfoGard!E1299),15))</f>
        <v>0</v>
      </c>
      <c r="C1299" s="2" t="b">
        <f>IF(ISBLANK(InfoGard!F1299),FALSE,LOOKUP(InfoGard!F1299,Lookup!$A$6:$B$7))</f>
        <v>0</v>
      </c>
      <c r="D1299" s="2" t="b">
        <f>IF(ISBLANK(InfoGard!G1299),FALSE,InfoGard!G1299)</f>
        <v>0</v>
      </c>
      <c r="E1299" s="2" t="str">
        <f>IF(NOT(ISBLANK(InfoGard!D1299)),IF(OR(ISBLANK(InfoGard!E1299),InfoGard!E1299="N/A"),"no acb code",CONCATENATE(Lookup!F$1,A1299,Lookup!G$1,B1299,Lookup!H$1,H$1,Lookup!I$1)),"no attestation")</f>
        <v>no attestation</v>
      </c>
      <c r="F1299" s="2" t="str">
        <f>IF(AND(NOT(ISBLANK(InfoGard!G1299)),InfoGard!G1299&lt;&gt;"N/A"),IF(C1299="All",CONCATENATE(Lookup!F$2,D1299,Lookup!G$2,B1299,Lookup!H$2,H$1,Lookup!I$2),CONCATENATE(Lookup!F$3,D1299,Lookup!G$3,B1299,Lookup!H$3)),"no url")</f>
        <v>no url</v>
      </c>
    </row>
    <row r="1300" spans="1:6" hidden="1" x14ac:dyDescent="0.25">
      <c r="A1300" s="2" t="b">
        <f>IF(ISBLANK(InfoGard!D1300),FALSE,LOOKUP(InfoGard!D1300,Lookup!$A$2:$B$4))</f>
        <v>0</v>
      </c>
      <c r="B1300" s="2" t="b">
        <f>IF(ISBLANK(InfoGard!E1300),FALSE,RIGHT(TRIM(InfoGard!E1300),15))</f>
        <v>0</v>
      </c>
      <c r="C1300" s="2" t="b">
        <f>IF(ISBLANK(InfoGard!F1300),FALSE,LOOKUP(InfoGard!F1300,Lookup!$A$6:$B$7))</f>
        <v>0</v>
      </c>
      <c r="D1300" s="2" t="b">
        <f>IF(ISBLANK(InfoGard!G1300),FALSE,InfoGard!G1300)</f>
        <v>0</v>
      </c>
      <c r="E1300" s="2" t="str">
        <f>IF(NOT(ISBLANK(InfoGard!D1300)),IF(OR(ISBLANK(InfoGard!E1300),InfoGard!E1300="N/A"),"no acb code",CONCATENATE(Lookup!F$1,A1300,Lookup!G$1,B1300,Lookup!H$1,H$1,Lookup!I$1)),"no attestation")</f>
        <v>no attestation</v>
      </c>
      <c r="F1300" s="2" t="str">
        <f>IF(AND(NOT(ISBLANK(InfoGard!G1300)),InfoGard!G1300&lt;&gt;"N/A"),IF(C1300="All",CONCATENATE(Lookup!F$2,D1300,Lookup!G$2,B1300,Lookup!H$2,H$1,Lookup!I$2),CONCATENATE(Lookup!F$3,D1300,Lookup!G$3,B1300,Lookup!H$3)),"no url")</f>
        <v>no url</v>
      </c>
    </row>
    <row r="1301" spans="1:6" hidden="1" x14ac:dyDescent="0.25">
      <c r="A1301" s="2" t="b">
        <f>IF(ISBLANK(InfoGard!D1301),FALSE,LOOKUP(InfoGard!D1301,Lookup!$A$2:$B$4))</f>
        <v>0</v>
      </c>
      <c r="B1301" s="2" t="b">
        <f>IF(ISBLANK(InfoGard!E1301),FALSE,RIGHT(TRIM(InfoGard!E1301),15))</f>
        <v>0</v>
      </c>
      <c r="C1301" s="2" t="b">
        <f>IF(ISBLANK(InfoGard!F1301),FALSE,LOOKUP(InfoGard!F1301,Lookup!$A$6:$B$7))</f>
        <v>0</v>
      </c>
      <c r="D1301" s="2" t="b">
        <f>IF(ISBLANK(InfoGard!G1301),FALSE,InfoGard!G1301)</f>
        <v>0</v>
      </c>
      <c r="E1301" s="2" t="str">
        <f>IF(NOT(ISBLANK(InfoGard!D1301)),IF(OR(ISBLANK(InfoGard!E1301),InfoGard!E1301="N/A"),"no acb code",CONCATENATE(Lookup!F$1,A1301,Lookup!G$1,B1301,Lookup!H$1,H$1,Lookup!I$1)),"no attestation")</f>
        <v>no attestation</v>
      </c>
      <c r="F1301" s="2" t="str">
        <f>IF(AND(NOT(ISBLANK(InfoGard!G1301)),InfoGard!G1301&lt;&gt;"N/A"),IF(C1301="All",CONCATENATE(Lookup!F$2,D1301,Lookup!G$2,B1301,Lookup!H$2,H$1,Lookup!I$2),CONCATENATE(Lookup!F$3,D1301,Lookup!G$3,B1301,Lookup!H$3)),"no url")</f>
        <v>no url</v>
      </c>
    </row>
    <row r="1302" spans="1:6" hidden="1" x14ac:dyDescent="0.25">
      <c r="A1302" s="2" t="b">
        <f>IF(ISBLANK(InfoGard!D1302),FALSE,LOOKUP(InfoGard!D1302,Lookup!$A$2:$B$4))</f>
        <v>0</v>
      </c>
      <c r="B1302" s="2" t="b">
        <f>IF(ISBLANK(InfoGard!E1302),FALSE,RIGHT(TRIM(InfoGard!E1302),15))</f>
        <v>0</v>
      </c>
      <c r="C1302" s="2" t="b">
        <f>IF(ISBLANK(InfoGard!F1302),FALSE,LOOKUP(InfoGard!F1302,Lookup!$A$6:$B$7))</f>
        <v>0</v>
      </c>
      <c r="D1302" s="2" t="b">
        <f>IF(ISBLANK(InfoGard!G1302),FALSE,InfoGard!G1302)</f>
        <v>0</v>
      </c>
      <c r="E1302" s="2" t="str">
        <f>IF(NOT(ISBLANK(InfoGard!D1302)),IF(OR(ISBLANK(InfoGard!E1302),InfoGard!E1302="N/A"),"no acb code",CONCATENATE(Lookup!F$1,A1302,Lookup!G$1,B1302,Lookup!H$1,H$1,Lookup!I$1)),"no attestation")</f>
        <v>no attestation</v>
      </c>
      <c r="F1302" s="2" t="str">
        <f>IF(AND(NOT(ISBLANK(InfoGard!G1302)),InfoGard!G1302&lt;&gt;"N/A"),IF(C1302="All",CONCATENATE(Lookup!F$2,D1302,Lookup!G$2,B1302,Lookup!H$2,H$1,Lookup!I$2),CONCATENATE(Lookup!F$3,D1302,Lookup!G$3,B1302,Lookup!H$3)),"no url")</f>
        <v>no url</v>
      </c>
    </row>
    <row r="1303" spans="1:6" hidden="1" x14ac:dyDescent="0.25">
      <c r="A1303" s="2" t="b">
        <f>IF(ISBLANK(InfoGard!D1303),FALSE,LOOKUP(InfoGard!D1303,Lookup!$A$2:$B$4))</f>
        <v>0</v>
      </c>
      <c r="B1303" s="2" t="b">
        <f>IF(ISBLANK(InfoGard!E1303),FALSE,RIGHT(TRIM(InfoGard!E1303),15))</f>
        <v>0</v>
      </c>
      <c r="C1303" s="2" t="b">
        <f>IF(ISBLANK(InfoGard!F1303),FALSE,LOOKUP(InfoGard!F1303,Lookup!$A$6:$B$7))</f>
        <v>0</v>
      </c>
      <c r="D1303" s="2" t="b">
        <f>IF(ISBLANK(InfoGard!G1303),FALSE,InfoGard!G1303)</f>
        <v>0</v>
      </c>
      <c r="E1303" s="2" t="str">
        <f>IF(NOT(ISBLANK(InfoGard!D1303)),IF(OR(ISBLANK(InfoGard!E1303),InfoGard!E1303="N/A"),"no acb code",CONCATENATE(Lookup!F$1,A1303,Lookup!G$1,B1303,Lookup!H$1,H$1,Lookup!I$1)),"no attestation")</f>
        <v>no attestation</v>
      </c>
      <c r="F1303" s="2" t="str">
        <f>IF(AND(NOT(ISBLANK(InfoGard!G1303)),InfoGard!G1303&lt;&gt;"N/A"),IF(C1303="All",CONCATENATE(Lookup!F$2,D1303,Lookup!G$2,B1303,Lookup!H$2,H$1,Lookup!I$2),CONCATENATE(Lookup!F$3,D1303,Lookup!G$3,B1303,Lookup!H$3)),"no url")</f>
        <v>no url</v>
      </c>
    </row>
    <row r="1304" spans="1:6" hidden="1" x14ac:dyDescent="0.25">
      <c r="A1304" s="2" t="b">
        <f>IF(ISBLANK(InfoGard!D1304),FALSE,LOOKUP(InfoGard!D1304,Lookup!$A$2:$B$4))</f>
        <v>0</v>
      </c>
      <c r="B1304" s="2" t="b">
        <f>IF(ISBLANK(InfoGard!E1304),FALSE,RIGHT(TRIM(InfoGard!E1304),15))</f>
        <v>0</v>
      </c>
      <c r="C1304" s="2" t="b">
        <f>IF(ISBLANK(InfoGard!F1304),FALSE,LOOKUP(InfoGard!F1304,Lookup!$A$6:$B$7))</f>
        <v>0</v>
      </c>
      <c r="D1304" s="2" t="b">
        <f>IF(ISBLANK(InfoGard!G1304),FALSE,InfoGard!G1304)</f>
        <v>0</v>
      </c>
      <c r="E1304" s="2" t="str">
        <f>IF(NOT(ISBLANK(InfoGard!D1304)),IF(OR(ISBLANK(InfoGard!E1304),InfoGard!E1304="N/A"),"no acb code",CONCATENATE(Lookup!F$1,A1304,Lookup!G$1,B1304,Lookup!H$1,H$1,Lookup!I$1)),"no attestation")</f>
        <v>no attestation</v>
      </c>
      <c r="F1304" s="2" t="str">
        <f>IF(AND(NOT(ISBLANK(InfoGard!G1304)),InfoGard!G1304&lt;&gt;"N/A"),IF(C1304="All",CONCATENATE(Lookup!F$2,D1304,Lookup!G$2,B1304,Lookup!H$2,H$1,Lookup!I$2),CONCATENATE(Lookup!F$3,D1304,Lookup!G$3,B1304,Lookup!H$3)),"no url")</f>
        <v>no url</v>
      </c>
    </row>
    <row r="1305" spans="1:6" hidden="1" x14ac:dyDescent="0.25">
      <c r="A1305" s="2" t="b">
        <f>IF(ISBLANK(InfoGard!D1305),FALSE,LOOKUP(InfoGard!D1305,Lookup!$A$2:$B$4))</f>
        <v>0</v>
      </c>
      <c r="B1305" s="2" t="b">
        <f>IF(ISBLANK(InfoGard!E1305),FALSE,RIGHT(TRIM(InfoGard!E1305),15))</f>
        <v>0</v>
      </c>
      <c r="C1305" s="2" t="b">
        <f>IF(ISBLANK(InfoGard!F1305),FALSE,LOOKUP(InfoGard!F1305,Lookup!$A$6:$B$7))</f>
        <v>0</v>
      </c>
      <c r="D1305" s="2" t="b">
        <f>IF(ISBLANK(InfoGard!G1305),FALSE,InfoGard!G1305)</f>
        <v>0</v>
      </c>
      <c r="E1305" s="2" t="str">
        <f>IF(NOT(ISBLANK(InfoGard!D1305)),IF(OR(ISBLANK(InfoGard!E1305),InfoGard!E1305="N/A"),"no acb code",CONCATENATE(Lookup!F$1,A1305,Lookup!G$1,B1305,Lookup!H$1,H$1,Lookup!I$1)),"no attestation")</f>
        <v>no attestation</v>
      </c>
      <c r="F1305" s="2" t="str">
        <f>IF(AND(NOT(ISBLANK(InfoGard!G1305)),InfoGard!G1305&lt;&gt;"N/A"),IF(C1305="All",CONCATENATE(Lookup!F$2,D1305,Lookup!G$2,B1305,Lookup!H$2,H$1,Lookup!I$2),CONCATENATE(Lookup!F$3,D1305,Lookup!G$3,B1305,Lookup!H$3)),"no url")</f>
        <v>no url</v>
      </c>
    </row>
    <row r="1306" spans="1:6" hidden="1" x14ac:dyDescent="0.25">
      <c r="A1306" s="2" t="b">
        <f>IF(ISBLANK(InfoGard!D1306),FALSE,LOOKUP(InfoGard!D1306,Lookup!$A$2:$B$4))</f>
        <v>0</v>
      </c>
      <c r="B1306" s="2" t="b">
        <f>IF(ISBLANK(InfoGard!E1306),FALSE,RIGHT(TRIM(InfoGard!E1306),15))</f>
        <v>0</v>
      </c>
      <c r="C1306" s="2" t="b">
        <f>IF(ISBLANK(InfoGard!F1306),FALSE,LOOKUP(InfoGard!F1306,Lookup!$A$6:$B$7))</f>
        <v>0</v>
      </c>
      <c r="D1306" s="2" t="b">
        <f>IF(ISBLANK(InfoGard!G1306),FALSE,InfoGard!G1306)</f>
        <v>0</v>
      </c>
      <c r="E1306" s="2" t="str">
        <f>IF(NOT(ISBLANK(InfoGard!D1306)),IF(OR(ISBLANK(InfoGard!E1306),InfoGard!E1306="N/A"),"no acb code",CONCATENATE(Lookup!F$1,A1306,Lookup!G$1,B1306,Lookup!H$1,H$1,Lookup!I$1)),"no attestation")</f>
        <v>no attestation</v>
      </c>
      <c r="F1306" s="2" t="str">
        <f>IF(AND(NOT(ISBLANK(InfoGard!G1306)),InfoGard!G1306&lt;&gt;"N/A"),IF(C1306="All",CONCATENATE(Lookup!F$2,D1306,Lookup!G$2,B1306,Lookup!H$2,H$1,Lookup!I$2),CONCATENATE(Lookup!F$3,D1306,Lookup!G$3,B1306,Lookup!H$3)),"no url")</f>
        <v>no url</v>
      </c>
    </row>
    <row r="1307" spans="1:6" hidden="1" x14ac:dyDescent="0.25">
      <c r="A1307" s="2" t="b">
        <f>IF(ISBLANK(InfoGard!D1307),FALSE,LOOKUP(InfoGard!D1307,Lookup!$A$2:$B$4))</f>
        <v>0</v>
      </c>
      <c r="B1307" s="2" t="b">
        <f>IF(ISBLANK(InfoGard!E1307),FALSE,RIGHT(TRIM(InfoGard!E1307),15))</f>
        <v>0</v>
      </c>
      <c r="C1307" s="2" t="b">
        <f>IF(ISBLANK(InfoGard!F1307),FALSE,LOOKUP(InfoGard!F1307,Lookup!$A$6:$B$7))</f>
        <v>0</v>
      </c>
      <c r="D1307" s="2" t="b">
        <f>IF(ISBLANK(InfoGard!G1307),FALSE,InfoGard!G1307)</f>
        <v>0</v>
      </c>
      <c r="E1307" s="2" t="str">
        <f>IF(NOT(ISBLANK(InfoGard!D1307)),IF(OR(ISBLANK(InfoGard!E1307),InfoGard!E1307="N/A"),"no acb code",CONCATENATE(Lookup!F$1,A1307,Lookup!G$1,B1307,Lookup!H$1,H$1,Lookup!I$1)),"no attestation")</f>
        <v>no attestation</v>
      </c>
      <c r="F1307" s="2" t="str">
        <f>IF(AND(NOT(ISBLANK(InfoGard!G1307)),InfoGard!G1307&lt;&gt;"N/A"),IF(C1307="All",CONCATENATE(Lookup!F$2,D1307,Lookup!G$2,B1307,Lookup!H$2,H$1,Lookup!I$2),CONCATENATE(Lookup!F$3,D1307,Lookup!G$3,B1307,Lookup!H$3)),"no url")</f>
        <v>no url</v>
      </c>
    </row>
    <row r="1308" spans="1:6" hidden="1" x14ac:dyDescent="0.25">
      <c r="A1308" s="2" t="b">
        <f>IF(ISBLANK(InfoGard!D1308),FALSE,LOOKUP(InfoGard!D1308,Lookup!$A$2:$B$4))</f>
        <v>0</v>
      </c>
      <c r="B1308" s="2" t="b">
        <f>IF(ISBLANK(InfoGard!E1308),FALSE,RIGHT(TRIM(InfoGard!E1308),15))</f>
        <v>0</v>
      </c>
      <c r="C1308" s="2" t="b">
        <f>IF(ISBLANK(InfoGard!F1308),FALSE,LOOKUP(InfoGard!F1308,Lookup!$A$6:$B$7))</f>
        <v>0</v>
      </c>
      <c r="D1308" s="2" t="b">
        <f>IF(ISBLANK(InfoGard!G1308),FALSE,InfoGard!G1308)</f>
        <v>0</v>
      </c>
      <c r="E1308" s="2" t="str">
        <f>IF(NOT(ISBLANK(InfoGard!D1308)),IF(OR(ISBLANK(InfoGard!E1308),InfoGard!E1308="N/A"),"no acb code",CONCATENATE(Lookup!F$1,A1308,Lookup!G$1,B1308,Lookup!H$1,H$1,Lookup!I$1)),"no attestation")</f>
        <v>no attestation</v>
      </c>
      <c r="F1308" s="2" t="str">
        <f>IF(AND(NOT(ISBLANK(InfoGard!G1308)),InfoGard!G1308&lt;&gt;"N/A"),IF(C1308="All",CONCATENATE(Lookup!F$2,D1308,Lookup!G$2,B1308,Lookup!H$2,H$1,Lookup!I$2),CONCATENATE(Lookup!F$3,D1308,Lookup!G$3,B1308,Lookup!H$3)),"no url")</f>
        <v>no url</v>
      </c>
    </row>
    <row r="1309" spans="1:6" x14ac:dyDescent="0.25">
      <c r="A1309" s="2" t="str">
        <f>IF(ISBLANK(InfoGard!D1309),FALSE,LOOKUP(InfoGard!D1309,Lookup!$A$2:$B$4))</f>
        <v>Affirmative</v>
      </c>
      <c r="B1309" s="2" t="str">
        <f>IF(ISBLANK(InfoGard!E1309),FALSE,RIGHT(TRIM(InfoGard!E1309),15))</f>
        <v>IG-2623-15-0054</v>
      </c>
      <c r="C1309" s="2" t="str">
        <f>IF(ISBLANK(InfoGard!F1309),FALSE,LOOKUP(InfoGard!F1309,Lookup!$A$6:$B$7))</f>
        <v>All</v>
      </c>
      <c r="D1309" s="2" t="str">
        <f>IF(ISBLANK(InfoGard!G1309),FALSE,InfoGard!G1309)</f>
        <v>http://www.insightcs.com/Meaningful_Use.html</v>
      </c>
      <c r="E1309" s="2" t="str">
        <f>IF(NOT(ISBLANK(InfoGard!D1309)),IF(OR(ISBLANK(InfoGard!E1309),InfoGard!E1309="N/A"),"no acb code",CONCATENATE(Lookup!F$1,A1309,Lookup!G$1,B1309,Lookup!H$1,H$1,Lookup!I$1)),"no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'IG-2623-15-0054' and cb."name" = 'InfoGard' and cp.product_version_id = pv.product_version_id and pv.product_id = p.product_id and p.vendor_id = vend.vendor_id;</v>
      </c>
      <c r="F1309" s="2" t="str">
        <f>IF(AND(NOT(ISBLANK(InfoGard!G1309)),InfoGard!G1309&lt;&gt;"N/A"),IF(C1309="All",CONCATENATE(Lookup!F$2,D1309,Lookup!G$2,B1309,Lookup!H$2,H$1,Lookup!I$2),CONCATENATE(Lookup!F$3,D1309,Lookup!G$3,B1309,Lookup!H$3)),"no url")</f>
        <v>update openchpl.certified_product as cp set transparency_attestation_url = 'http://www.insightcs.com/Meaningful_Use.html' from (select certified_product_id from (select vend.vendor_code from openchpl.certified_product as cp, openchpl.product_version as pv, openchpl.product as p, openchpl.vendor as vend where cp.acb_certification_id = 'IG-2623-15-0054'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10" spans="1:6" hidden="1" x14ac:dyDescent="0.25">
      <c r="A1310" s="2" t="b">
        <f>IF(ISBLANK(InfoGard!D1310),FALSE,LOOKUP(InfoGard!D1310,Lookup!$A$2:$B$4))</f>
        <v>0</v>
      </c>
      <c r="B1310" s="2" t="b">
        <f>IF(ISBLANK(InfoGard!E1310),FALSE,RIGHT(TRIM(InfoGard!E1310),15))</f>
        <v>0</v>
      </c>
      <c r="C1310" s="2" t="b">
        <f>IF(ISBLANK(InfoGard!F1310),FALSE,LOOKUP(InfoGard!F1310,Lookup!$A$6:$B$7))</f>
        <v>0</v>
      </c>
      <c r="D1310" s="2" t="b">
        <f>IF(ISBLANK(InfoGard!G1310),FALSE,InfoGard!G1310)</f>
        <v>0</v>
      </c>
      <c r="E1310" s="2" t="str">
        <f>IF(NOT(ISBLANK(InfoGard!D1310)),IF(OR(ISBLANK(InfoGard!E1310),InfoGard!E1310="N/A"),"no acb code",CONCATENATE(Lookup!F$1,A1310,Lookup!G$1,B1310,Lookup!H$1,H$1,Lookup!I$1)),"no attestation")</f>
        <v>no attestation</v>
      </c>
      <c r="F1310" s="2" t="str">
        <f>IF(AND(NOT(ISBLANK(InfoGard!G1310)),InfoGard!G1310&lt;&gt;"N/A"),IF(C1310="All",CONCATENATE(Lookup!F$2,D1310,Lookup!G$2,B1310,Lookup!H$2,H$1,Lookup!I$2),CONCATENATE(Lookup!F$3,D1310,Lookup!G$3,B1310,Lookup!H$3)),"no url")</f>
        <v>no url</v>
      </c>
    </row>
    <row r="1311" spans="1:6" hidden="1" x14ac:dyDescent="0.25">
      <c r="A1311" s="2" t="b">
        <f>IF(ISBLANK(InfoGard!D1311),FALSE,LOOKUP(InfoGard!D1311,Lookup!$A$2:$B$4))</f>
        <v>0</v>
      </c>
      <c r="B1311" s="2" t="b">
        <f>IF(ISBLANK(InfoGard!E1311),FALSE,RIGHT(TRIM(InfoGard!E1311),15))</f>
        <v>0</v>
      </c>
      <c r="C1311" s="2" t="b">
        <f>IF(ISBLANK(InfoGard!F1311),FALSE,LOOKUP(InfoGard!F1311,Lookup!$A$6:$B$7))</f>
        <v>0</v>
      </c>
      <c r="D1311" s="2" t="b">
        <f>IF(ISBLANK(InfoGard!G1311),FALSE,InfoGard!G1311)</f>
        <v>0</v>
      </c>
      <c r="E1311" s="2" t="str">
        <f>IF(NOT(ISBLANK(InfoGard!D1311)),IF(OR(ISBLANK(InfoGard!E1311),InfoGard!E1311="N/A"),"no acb code",CONCATENATE(Lookup!F$1,A1311,Lookup!G$1,B1311,Lookup!H$1,H$1,Lookup!I$1)),"no attestation")</f>
        <v>no attestation</v>
      </c>
      <c r="F1311" s="2" t="str">
        <f>IF(AND(NOT(ISBLANK(InfoGard!G1311)),InfoGard!G1311&lt;&gt;"N/A"),IF(C1311="All",CONCATENATE(Lookup!F$2,D1311,Lookup!G$2,B1311,Lookup!H$2,H$1,Lookup!I$2),CONCATENATE(Lookup!F$3,D1311,Lookup!G$3,B1311,Lookup!H$3)),"no url")</f>
        <v>no url</v>
      </c>
    </row>
    <row r="1312" spans="1:6" hidden="1" x14ac:dyDescent="0.25">
      <c r="A1312" s="2" t="b">
        <f>IF(ISBLANK(InfoGard!D1312),FALSE,LOOKUP(InfoGard!D1312,Lookup!$A$2:$B$4))</f>
        <v>0</v>
      </c>
      <c r="B1312" s="2" t="b">
        <f>IF(ISBLANK(InfoGard!E1312),FALSE,RIGHT(TRIM(InfoGard!E1312),15))</f>
        <v>0</v>
      </c>
      <c r="C1312" s="2" t="b">
        <f>IF(ISBLANK(InfoGard!F1312),FALSE,LOOKUP(InfoGard!F1312,Lookup!$A$6:$B$7))</f>
        <v>0</v>
      </c>
      <c r="D1312" s="2" t="b">
        <f>IF(ISBLANK(InfoGard!G1312),FALSE,InfoGard!G1312)</f>
        <v>0</v>
      </c>
      <c r="E1312" s="2" t="str">
        <f>IF(NOT(ISBLANK(InfoGard!D1312)),IF(OR(ISBLANK(InfoGard!E1312),InfoGard!E1312="N/A"),"no acb code",CONCATENATE(Lookup!F$1,A1312,Lookup!G$1,B1312,Lookup!H$1,H$1,Lookup!I$1)),"no attestation")</f>
        <v>no attestation</v>
      </c>
      <c r="F1312" s="2" t="str">
        <f>IF(AND(NOT(ISBLANK(InfoGard!G1312)),InfoGard!G1312&lt;&gt;"N/A"),IF(C1312="All",CONCATENATE(Lookup!F$2,D1312,Lookup!G$2,B1312,Lookup!H$2,H$1,Lookup!I$2),CONCATENATE(Lookup!F$3,D1312,Lookup!G$3,B1312,Lookup!H$3)),"no url")</f>
        <v>no url</v>
      </c>
    </row>
    <row r="1313" spans="1:6" x14ac:dyDescent="0.25">
      <c r="A1313" s="2" t="str">
        <f>IF(ISBLANK(InfoGard!D1313),FALSE,LOOKUP(InfoGard!D1313,Lookup!$A$2:$B$4))</f>
        <v>Affirmative</v>
      </c>
      <c r="B1313" s="2" t="str">
        <f>IF(ISBLANK(InfoGard!E1313),FALSE,RIGHT(TRIM(InfoGard!E1313),15))</f>
        <v>IG-2585-15-0018</v>
      </c>
      <c r="C1313" s="2" t="str">
        <f>IF(ISBLANK(InfoGard!F1313),FALSE,LOOKUP(InfoGard!F1313,Lookup!$A$6:$B$7))</f>
        <v>All</v>
      </c>
      <c r="D1313" s="2" t="str">
        <f>IF(ISBLANK(InfoGard!G1313),FALSE,InfoGard!G1313)</f>
        <v>http://www.streamlinehealthcare.com/meaningful-use/</v>
      </c>
      <c r="E1313" s="2" t="str">
        <f>IF(NOT(ISBLANK(InfoGard!D1313)),IF(OR(ISBLANK(InfoGard!E1313),InfoGard!E1313="N/A"),"no acb code",CONCATENATE(Lookup!F$1,A1313,Lookup!G$1,B1313,Lookup!H$1,H$1,Lookup!I$1)),"no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'IG-2585-15-0018' and cb."name" = 'InfoGard' and cp.product_version_id = pv.product_version_id and pv.product_id = p.product_id and p.vendor_id = vend.vendor_id;</v>
      </c>
      <c r="F1313" s="2" t="str">
        <f>IF(AND(NOT(ISBLANK(InfoGard!G1313)),InfoGard!G1313&lt;&gt;"N/A"),IF(C1313="All",CONCATENATE(Lookup!F$2,D1313,Lookup!G$2,B1313,Lookup!H$2,H$1,Lookup!I$2),CONCATENATE(Lookup!F$3,D1313,Lookup!G$3,B1313,Lookup!H$3)),"no url")</f>
        <v>update openchpl.certified_product as cp set transparency_attestation_url = 'http://www.streamlinehealthcare.com/meaningful-use/' from (select certified_product_id from (select vend.vendor_code from openchpl.certified_product as cp, openchpl.product_version as pv, openchpl.product as p, openchpl.vendor as vend where cp.acb_certification_id = 'IG-2585-15-0018'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14" spans="1:6" hidden="1" x14ac:dyDescent="0.25">
      <c r="A1314" s="2" t="b">
        <f>IF(ISBLANK(InfoGard!D1314),FALSE,LOOKUP(InfoGard!D1314,Lookup!$A$2:$B$4))</f>
        <v>0</v>
      </c>
      <c r="B1314" s="2" t="b">
        <f>IF(ISBLANK(InfoGard!E1314),FALSE,RIGHT(TRIM(InfoGard!E1314),15))</f>
        <v>0</v>
      </c>
      <c r="C1314" s="2" t="b">
        <f>IF(ISBLANK(InfoGard!F1314),FALSE,LOOKUP(InfoGard!F1314,Lookup!$A$6:$B$7))</f>
        <v>0</v>
      </c>
      <c r="D1314" s="2" t="b">
        <f>IF(ISBLANK(InfoGard!G1314),FALSE,InfoGard!G1314)</f>
        <v>0</v>
      </c>
      <c r="E1314" s="2" t="str">
        <f>IF(NOT(ISBLANK(InfoGard!D1314)),IF(OR(ISBLANK(InfoGard!E1314),InfoGard!E1314="N/A"),"no acb code",CONCATENATE(Lookup!F$1,A1314,Lookup!G$1,B1314,Lookup!H$1,H$1,Lookup!I$1)),"no attestation")</f>
        <v>no attestation</v>
      </c>
      <c r="F1314" s="2" t="str">
        <f>IF(AND(NOT(ISBLANK(InfoGard!G1314)),InfoGard!G1314&lt;&gt;"N/A"),IF(C1314="All",CONCATENATE(Lookup!F$2,D1314,Lookup!G$2,B1314,Lookup!H$2,H$1,Lookup!I$2),CONCATENATE(Lookup!F$3,D1314,Lookup!G$3,B1314,Lookup!H$3)),"no url")</f>
        <v>no url</v>
      </c>
    </row>
    <row r="1315" spans="1:6" hidden="1" x14ac:dyDescent="0.25">
      <c r="A1315" s="2" t="b">
        <f>IF(ISBLANK(InfoGard!D1315),FALSE,LOOKUP(InfoGard!D1315,Lookup!$A$2:$B$4))</f>
        <v>0</v>
      </c>
      <c r="B1315" s="2" t="b">
        <f>IF(ISBLANK(InfoGard!E1315),FALSE,RIGHT(TRIM(InfoGard!E1315),15))</f>
        <v>0</v>
      </c>
      <c r="C1315" s="2" t="b">
        <f>IF(ISBLANK(InfoGard!F1315),FALSE,LOOKUP(InfoGard!F1315,Lookup!$A$6:$B$7))</f>
        <v>0</v>
      </c>
      <c r="D1315" s="2" t="b">
        <f>IF(ISBLANK(InfoGard!G1315),FALSE,InfoGard!G1315)</f>
        <v>0</v>
      </c>
      <c r="E1315" s="2" t="str">
        <f>IF(NOT(ISBLANK(InfoGard!D1315)),IF(OR(ISBLANK(InfoGard!E1315),InfoGard!E1315="N/A"),"no acb code",CONCATENATE(Lookup!F$1,A1315,Lookup!G$1,B1315,Lookup!H$1,H$1,Lookup!I$1)),"no attestation")</f>
        <v>no attestation</v>
      </c>
      <c r="F1315" s="2" t="str">
        <f>IF(AND(NOT(ISBLANK(InfoGard!G1315)),InfoGard!G1315&lt;&gt;"N/A"),IF(C1315="All",CONCATENATE(Lookup!F$2,D1315,Lookup!G$2,B1315,Lookup!H$2,H$1,Lookup!I$2),CONCATENATE(Lookup!F$3,D1315,Lookup!G$3,B1315,Lookup!H$3)),"no url")</f>
        <v>no url</v>
      </c>
    </row>
    <row r="1316" spans="1:6" hidden="1" x14ac:dyDescent="0.25">
      <c r="A1316" s="2" t="b">
        <f>IF(ISBLANK(InfoGard!D1316),FALSE,LOOKUP(InfoGard!D1316,Lookup!$A$2:$B$4))</f>
        <v>0</v>
      </c>
      <c r="B1316" s="2" t="b">
        <f>IF(ISBLANK(InfoGard!E1316),FALSE,RIGHT(TRIM(InfoGard!E1316),15))</f>
        <v>0</v>
      </c>
      <c r="C1316" s="2" t="b">
        <f>IF(ISBLANK(InfoGard!F1316),FALSE,LOOKUP(InfoGard!F1316,Lookup!$A$6:$B$7))</f>
        <v>0</v>
      </c>
      <c r="D1316" s="2" t="b">
        <f>IF(ISBLANK(InfoGard!G1316),FALSE,InfoGard!G1316)</f>
        <v>0</v>
      </c>
      <c r="E1316" s="2" t="str">
        <f>IF(NOT(ISBLANK(InfoGard!D1316)),IF(OR(ISBLANK(InfoGard!E1316),InfoGard!E1316="N/A"),"no acb code",CONCATENATE(Lookup!F$1,A1316,Lookup!G$1,B1316,Lookup!H$1,H$1,Lookup!I$1)),"no attestation")</f>
        <v>no attestation</v>
      </c>
      <c r="F1316" s="2" t="str">
        <f>IF(AND(NOT(ISBLANK(InfoGard!G1316)),InfoGard!G1316&lt;&gt;"N/A"),IF(C1316="All",CONCATENATE(Lookup!F$2,D1316,Lookup!G$2,B1316,Lookup!H$2,H$1,Lookup!I$2),CONCATENATE(Lookup!F$3,D1316,Lookup!G$3,B1316,Lookup!H$3)),"no url")</f>
        <v>no url</v>
      </c>
    </row>
    <row r="1317" spans="1:6" hidden="1" x14ac:dyDescent="0.25">
      <c r="A1317" s="2" t="b">
        <f>IF(ISBLANK(InfoGard!D1317),FALSE,LOOKUP(InfoGard!D1317,Lookup!$A$2:$B$4))</f>
        <v>0</v>
      </c>
      <c r="B1317" s="2" t="b">
        <f>IF(ISBLANK(InfoGard!E1317),FALSE,RIGHT(TRIM(InfoGard!E1317),15))</f>
        <v>0</v>
      </c>
      <c r="C1317" s="2" t="b">
        <f>IF(ISBLANK(InfoGard!F1317),FALSE,LOOKUP(InfoGard!F1317,Lookup!$A$6:$B$7))</f>
        <v>0</v>
      </c>
      <c r="D1317" s="2" t="b">
        <f>IF(ISBLANK(InfoGard!G1317),FALSE,InfoGard!G1317)</f>
        <v>0</v>
      </c>
      <c r="E1317" s="2" t="str">
        <f>IF(NOT(ISBLANK(InfoGard!D1317)),IF(OR(ISBLANK(InfoGard!E1317),InfoGard!E1317="N/A"),"no acb code",CONCATENATE(Lookup!F$1,A1317,Lookup!G$1,B1317,Lookup!H$1,H$1,Lookup!I$1)),"no attestation")</f>
        <v>no attestation</v>
      </c>
      <c r="F1317" s="2" t="str">
        <f>IF(AND(NOT(ISBLANK(InfoGard!G1317)),InfoGard!G1317&lt;&gt;"N/A"),IF(C1317="All",CONCATENATE(Lookup!F$2,D1317,Lookup!G$2,B1317,Lookup!H$2,H$1,Lookup!I$2),CONCATENATE(Lookup!F$3,D1317,Lookup!G$3,B1317,Lookup!H$3)),"no url")</f>
        <v>no url</v>
      </c>
    </row>
    <row r="1318" spans="1:6" hidden="1" x14ac:dyDescent="0.25">
      <c r="A1318" s="2" t="b">
        <f>IF(ISBLANK(InfoGard!D1318),FALSE,LOOKUP(InfoGard!D1318,Lookup!$A$2:$B$4))</f>
        <v>0</v>
      </c>
      <c r="B1318" s="2" t="b">
        <f>IF(ISBLANK(InfoGard!E1318),FALSE,RIGHT(TRIM(InfoGard!E1318),15))</f>
        <v>0</v>
      </c>
      <c r="C1318" s="2" t="b">
        <f>IF(ISBLANK(InfoGard!F1318),FALSE,LOOKUP(InfoGard!F1318,Lookup!$A$6:$B$7))</f>
        <v>0</v>
      </c>
      <c r="D1318" s="2" t="b">
        <f>IF(ISBLANK(InfoGard!G1318),FALSE,InfoGard!G1318)</f>
        <v>0</v>
      </c>
      <c r="E1318" s="2" t="str">
        <f>IF(NOT(ISBLANK(InfoGard!D1318)),IF(OR(ISBLANK(InfoGard!E1318),InfoGard!E1318="N/A"),"no acb code",CONCATENATE(Lookup!F$1,A1318,Lookup!G$1,B1318,Lookup!H$1,H$1,Lookup!I$1)),"no attestation")</f>
        <v>no attestation</v>
      </c>
      <c r="F1318" s="2" t="str">
        <f>IF(AND(NOT(ISBLANK(InfoGard!G1318)),InfoGard!G1318&lt;&gt;"N/A"),IF(C1318="All",CONCATENATE(Lookup!F$2,D1318,Lookup!G$2,B1318,Lookup!H$2,H$1,Lookup!I$2),CONCATENATE(Lookup!F$3,D1318,Lookup!G$3,B1318,Lookup!H$3)),"no url")</f>
        <v>no url</v>
      </c>
    </row>
    <row r="1319" spans="1:6" hidden="1" x14ac:dyDescent="0.25">
      <c r="A1319" s="2" t="b">
        <f>IF(ISBLANK(InfoGard!D1319),FALSE,LOOKUP(InfoGard!D1319,Lookup!$A$2:$B$4))</f>
        <v>0</v>
      </c>
      <c r="B1319" s="2" t="b">
        <f>IF(ISBLANK(InfoGard!E1319),FALSE,RIGHT(TRIM(InfoGard!E1319),15))</f>
        <v>0</v>
      </c>
      <c r="C1319" s="2" t="b">
        <f>IF(ISBLANK(InfoGard!F1319),FALSE,LOOKUP(InfoGard!F1319,Lookup!$A$6:$B$7))</f>
        <v>0</v>
      </c>
      <c r="D1319" s="2" t="b">
        <f>IF(ISBLANK(InfoGard!G1319),FALSE,InfoGard!G1319)</f>
        <v>0</v>
      </c>
      <c r="E1319" s="2" t="str">
        <f>IF(NOT(ISBLANK(InfoGard!D1319)),IF(OR(ISBLANK(InfoGard!E1319),InfoGard!E1319="N/A"),"no acb code",CONCATENATE(Lookup!F$1,A1319,Lookup!G$1,B1319,Lookup!H$1,H$1,Lookup!I$1)),"no attestation")</f>
        <v>no attestation</v>
      </c>
      <c r="F1319" s="2" t="str">
        <f>IF(AND(NOT(ISBLANK(InfoGard!G1319)),InfoGard!G1319&lt;&gt;"N/A"),IF(C1319="All",CONCATENATE(Lookup!F$2,D1319,Lookup!G$2,B1319,Lookup!H$2,H$1,Lookup!I$2),CONCATENATE(Lookup!F$3,D1319,Lookup!G$3,B1319,Lookup!H$3)),"no url")</f>
        <v>no url</v>
      </c>
    </row>
    <row r="1320" spans="1:6" hidden="1" x14ac:dyDescent="0.25">
      <c r="A1320" s="2" t="b">
        <f>IF(ISBLANK(InfoGard!D1320),FALSE,LOOKUP(InfoGard!D1320,Lookup!$A$2:$B$4))</f>
        <v>0</v>
      </c>
      <c r="B1320" s="2" t="b">
        <f>IF(ISBLANK(InfoGard!E1320),FALSE,RIGHT(TRIM(InfoGard!E1320),15))</f>
        <v>0</v>
      </c>
      <c r="C1320" s="2" t="b">
        <f>IF(ISBLANK(InfoGard!F1320),FALSE,LOOKUP(InfoGard!F1320,Lookup!$A$6:$B$7))</f>
        <v>0</v>
      </c>
      <c r="D1320" s="2" t="b">
        <f>IF(ISBLANK(InfoGard!G1320),FALSE,InfoGard!G1320)</f>
        <v>0</v>
      </c>
      <c r="E1320" s="2" t="str">
        <f>IF(NOT(ISBLANK(InfoGard!D1320)),IF(OR(ISBLANK(InfoGard!E1320),InfoGard!E1320="N/A"),"no acb code",CONCATENATE(Lookup!F$1,A1320,Lookup!G$1,B1320,Lookup!H$1,H$1,Lookup!I$1)),"no attestation")</f>
        <v>no attestation</v>
      </c>
      <c r="F1320" s="2" t="str">
        <f>IF(AND(NOT(ISBLANK(InfoGard!G1320)),InfoGard!G1320&lt;&gt;"N/A"),IF(C1320="All",CONCATENATE(Lookup!F$2,D1320,Lookup!G$2,B1320,Lookup!H$2,H$1,Lookup!I$2),CONCATENATE(Lookup!F$3,D1320,Lookup!G$3,B1320,Lookup!H$3)),"no url")</f>
        <v>no url</v>
      </c>
    </row>
    <row r="1321" spans="1:6" hidden="1" x14ac:dyDescent="0.25">
      <c r="A1321" s="2" t="b">
        <f>IF(ISBLANK(InfoGard!D1321),FALSE,LOOKUP(InfoGard!D1321,Lookup!$A$2:$B$4))</f>
        <v>0</v>
      </c>
      <c r="B1321" s="2" t="b">
        <f>IF(ISBLANK(InfoGard!E1321),FALSE,RIGHT(TRIM(InfoGard!E1321),15))</f>
        <v>0</v>
      </c>
      <c r="C1321" s="2" t="b">
        <f>IF(ISBLANK(InfoGard!F1321),FALSE,LOOKUP(InfoGard!F1321,Lookup!$A$6:$B$7))</f>
        <v>0</v>
      </c>
      <c r="D1321" s="2" t="b">
        <f>IF(ISBLANK(InfoGard!G1321),FALSE,InfoGard!G1321)</f>
        <v>0</v>
      </c>
      <c r="E1321" s="2" t="str">
        <f>IF(NOT(ISBLANK(InfoGard!D1321)),IF(OR(ISBLANK(InfoGard!E1321),InfoGard!E1321="N/A"),"no acb code",CONCATENATE(Lookup!F$1,A1321,Lookup!G$1,B1321,Lookup!H$1,H$1,Lookup!I$1)),"no attestation")</f>
        <v>no attestation</v>
      </c>
      <c r="F1321" s="2" t="str">
        <f>IF(AND(NOT(ISBLANK(InfoGard!G1321)),InfoGard!G1321&lt;&gt;"N/A"),IF(C1321="All",CONCATENATE(Lookup!F$2,D1321,Lookup!G$2,B1321,Lookup!H$2,H$1,Lookup!I$2),CONCATENATE(Lookup!F$3,D1321,Lookup!G$3,B1321,Lookup!H$3)),"no url")</f>
        <v>no url</v>
      </c>
    </row>
    <row r="1322" spans="1:6" hidden="1" x14ac:dyDescent="0.25">
      <c r="A1322" s="2" t="b">
        <f>IF(ISBLANK(InfoGard!D1322),FALSE,LOOKUP(InfoGard!D1322,Lookup!$A$2:$B$4))</f>
        <v>0</v>
      </c>
      <c r="B1322" s="2" t="b">
        <f>IF(ISBLANK(InfoGard!E1322),FALSE,RIGHT(TRIM(InfoGard!E1322),15))</f>
        <v>0</v>
      </c>
      <c r="C1322" s="2" t="b">
        <f>IF(ISBLANK(InfoGard!F1322),FALSE,LOOKUP(InfoGard!F1322,Lookup!$A$6:$B$7))</f>
        <v>0</v>
      </c>
      <c r="D1322" s="2" t="b">
        <f>IF(ISBLANK(InfoGard!G1322),FALSE,InfoGard!G1322)</f>
        <v>0</v>
      </c>
      <c r="E1322" s="2" t="str">
        <f>IF(NOT(ISBLANK(InfoGard!D1322)),IF(OR(ISBLANK(InfoGard!E1322),InfoGard!E1322="N/A"),"no acb code",CONCATENATE(Lookup!F$1,A1322,Lookup!G$1,B1322,Lookup!H$1,H$1,Lookup!I$1)),"no attestation")</f>
        <v>no attestation</v>
      </c>
      <c r="F1322" s="2" t="str">
        <f>IF(AND(NOT(ISBLANK(InfoGard!G1322)),InfoGard!G1322&lt;&gt;"N/A"),IF(C1322="All",CONCATENATE(Lookup!F$2,D1322,Lookup!G$2,B1322,Lookup!H$2,H$1,Lookup!I$2),CONCATENATE(Lookup!F$3,D1322,Lookup!G$3,B1322,Lookup!H$3)),"no url")</f>
        <v>no url</v>
      </c>
    </row>
    <row r="1323" spans="1:6" hidden="1" x14ac:dyDescent="0.25">
      <c r="A1323" s="2" t="b">
        <f>IF(ISBLANK(InfoGard!D1323),FALSE,LOOKUP(InfoGard!D1323,Lookup!$A$2:$B$4))</f>
        <v>0</v>
      </c>
      <c r="B1323" s="2" t="b">
        <f>IF(ISBLANK(InfoGard!E1323),FALSE,RIGHT(TRIM(InfoGard!E1323),15))</f>
        <v>0</v>
      </c>
      <c r="C1323" s="2" t="b">
        <f>IF(ISBLANK(InfoGard!F1323),FALSE,LOOKUP(InfoGard!F1323,Lookup!$A$6:$B$7))</f>
        <v>0</v>
      </c>
      <c r="D1323" s="2" t="b">
        <f>IF(ISBLANK(InfoGard!G1323),FALSE,InfoGard!G1323)</f>
        <v>0</v>
      </c>
      <c r="E1323" s="2" t="str">
        <f>IF(NOT(ISBLANK(InfoGard!D1323)),IF(OR(ISBLANK(InfoGard!E1323),InfoGard!E1323="N/A"),"no acb code",CONCATENATE(Lookup!F$1,A1323,Lookup!G$1,B1323,Lookup!H$1,H$1,Lookup!I$1)),"no attestation")</f>
        <v>no attestation</v>
      </c>
      <c r="F1323" s="2" t="str">
        <f>IF(AND(NOT(ISBLANK(InfoGard!G1323)),InfoGard!G1323&lt;&gt;"N/A"),IF(C1323="All",CONCATENATE(Lookup!F$2,D1323,Lookup!G$2,B1323,Lookup!H$2,H$1,Lookup!I$2),CONCATENATE(Lookup!F$3,D1323,Lookup!G$3,B1323,Lookup!H$3)),"no url")</f>
        <v>no url</v>
      </c>
    </row>
    <row r="1324" spans="1:6" hidden="1" x14ac:dyDescent="0.25">
      <c r="A1324" s="2" t="b">
        <f>IF(ISBLANK(InfoGard!D1324),FALSE,LOOKUP(InfoGard!D1324,Lookup!$A$2:$B$4))</f>
        <v>0</v>
      </c>
      <c r="B1324" s="2" t="b">
        <f>IF(ISBLANK(InfoGard!E1324),FALSE,RIGHT(TRIM(InfoGard!E1324),15))</f>
        <v>0</v>
      </c>
      <c r="C1324" s="2" t="b">
        <f>IF(ISBLANK(InfoGard!F1324),FALSE,LOOKUP(InfoGard!F1324,Lookup!$A$6:$B$7))</f>
        <v>0</v>
      </c>
      <c r="D1324" s="2" t="b">
        <f>IF(ISBLANK(InfoGard!G1324),FALSE,InfoGard!G1324)</f>
        <v>0</v>
      </c>
      <c r="E1324" s="2" t="str">
        <f>IF(NOT(ISBLANK(InfoGard!D1324)),IF(OR(ISBLANK(InfoGard!E1324),InfoGard!E1324="N/A"),"no acb code",CONCATENATE(Lookup!F$1,A1324,Lookup!G$1,B1324,Lookup!H$1,H$1,Lookup!I$1)),"no attestation")</f>
        <v>no attestation</v>
      </c>
      <c r="F1324" s="2" t="str">
        <f>IF(AND(NOT(ISBLANK(InfoGard!G1324)),InfoGard!G1324&lt;&gt;"N/A"),IF(C1324="All",CONCATENATE(Lookup!F$2,D1324,Lookup!G$2,B1324,Lookup!H$2,H$1,Lookup!I$2),CONCATENATE(Lookup!F$3,D1324,Lookup!G$3,B1324,Lookup!H$3)),"no url")</f>
        <v>no url</v>
      </c>
    </row>
    <row r="1325" spans="1:6" hidden="1" x14ac:dyDescent="0.25">
      <c r="A1325" s="2" t="b">
        <f>IF(ISBLANK(InfoGard!D1325),FALSE,LOOKUP(InfoGard!D1325,Lookup!$A$2:$B$4))</f>
        <v>0</v>
      </c>
      <c r="B1325" s="2" t="b">
        <f>IF(ISBLANK(InfoGard!E1325),FALSE,RIGHT(TRIM(InfoGard!E1325),15))</f>
        <v>0</v>
      </c>
      <c r="C1325" s="2" t="b">
        <f>IF(ISBLANK(InfoGard!F1325),FALSE,LOOKUP(InfoGard!F1325,Lookup!$A$6:$B$7))</f>
        <v>0</v>
      </c>
      <c r="D1325" s="2" t="b">
        <f>IF(ISBLANK(InfoGard!G1325),FALSE,InfoGard!G1325)</f>
        <v>0</v>
      </c>
      <c r="E1325" s="2" t="str">
        <f>IF(NOT(ISBLANK(InfoGard!D1325)),IF(OR(ISBLANK(InfoGard!E1325),InfoGard!E1325="N/A"),"no acb code",CONCATENATE(Lookup!F$1,A1325,Lookup!G$1,B1325,Lookup!H$1,H$1,Lookup!I$1)),"no attestation")</f>
        <v>no attestation</v>
      </c>
      <c r="F1325" s="2" t="str">
        <f>IF(AND(NOT(ISBLANK(InfoGard!G1325)),InfoGard!G1325&lt;&gt;"N/A"),IF(C1325="All",CONCATENATE(Lookup!F$2,D1325,Lookup!G$2,B1325,Lookup!H$2,H$1,Lookup!I$2),CONCATENATE(Lookup!F$3,D1325,Lookup!G$3,B1325,Lookup!H$3)),"no url")</f>
        <v>no url</v>
      </c>
    </row>
    <row r="1326" spans="1:6" hidden="1" x14ac:dyDescent="0.25">
      <c r="A1326" s="2" t="b">
        <f>IF(ISBLANK(InfoGard!D1326),FALSE,LOOKUP(InfoGard!D1326,Lookup!$A$2:$B$4))</f>
        <v>0</v>
      </c>
      <c r="B1326" s="2" t="b">
        <f>IF(ISBLANK(InfoGard!E1326),FALSE,RIGHT(TRIM(InfoGard!E1326),15))</f>
        <v>0</v>
      </c>
      <c r="C1326" s="2" t="b">
        <f>IF(ISBLANK(InfoGard!F1326),FALSE,LOOKUP(InfoGard!F1326,Lookup!$A$6:$B$7))</f>
        <v>0</v>
      </c>
      <c r="D1326" s="2" t="b">
        <f>IF(ISBLANK(InfoGard!G1326),FALSE,InfoGard!G1326)</f>
        <v>0</v>
      </c>
      <c r="E1326" s="2" t="str">
        <f>IF(NOT(ISBLANK(InfoGard!D1326)),IF(OR(ISBLANK(InfoGard!E1326),InfoGard!E1326="N/A"),"no acb code",CONCATENATE(Lookup!F$1,A1326,Lookup!G$1,B1326,Lookup!H$1,H$1,Lookup!I$1)),"no attestation")</f>
        <v>no attestation</v>
      </c>
      <c r="F1326" s="2" t="str">
        <f>IF(AND(NOT(ISBLANK(InfoGard!G1326)),InfoGard!G1326&lt;&gt;"N/A"),IF(C1326="All",CONCATENATE(Lookup!F$2,D1326,Lookup!G$2,B1326,Lookup!H$2,H$1,Lookup!I$2),CONCATENATE(Lookup!F$3,D1326,Lookup!G$3,B1326,Lookup!H$3)),"no url")</f>
        <v>no url</v>
      </c>
    </row>
    <row r="1327" spans="1:6" x14ac:dyDescent="0.25">
      <c r="A1327" s="2" t="str">
        <f>IF(ISBLANK(InfoGard!D1327),FALSE,LOOKUP(InfoGard!D1327,Lookup!$A$2:$B$4))</f>
        <v>Affirmative</v>
      </c>
      <c r="B1327" s="2" t="str">
        <f>IF(ISBLANK(InfoGard!E1327),FALSE,RIGHT(TRIM(InfoGard!E1327),15))</f>
        <v>IG-3138-14-0008</v>
      </c>
      <c r="C1327" s="2" t="str">
        <f>IF(ISBLANK(InfoGard!F1327),FALSE,LOOKUP(InfoGard!F1327,Lookup!$A$6:$B$7))</f>
        <v>All</v>
      </c>
      <c r="D1327" s="2" t="str">
        <f>IF(ISBLANK(InfoGard!G1327),FALSE,InfoGard!G1327)</f>
        <v>http://www.systemedx.com/mu2/</v>
      </c>
      <c r="E1327" s="2" t="str">
        <f>IF(NOT(ISBLANK(InfoGard!D1327)),IF(OR(ISBLANK(InfoGard!E1327),InfoGard!E1327="N/A"),"no acb code",CONCATENATE(Lookup!F$1,A1327,Lookup!G$1,B1327,Lookup!H$1,H$1,Lookup!I$1)),"no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'IG-3138-14-0008' and cb."name" = 'InfoGard' and cp.product_version_id = pv.product_version_id and pv.product_id = p.product_id and p.vendor_id = vend.vendor_id;</v>
      </c>
      <c r="F1327" s="2" t="str">
        <f>IF(AND(NOT(ISBLANK(InfoGard!G1327)),InfoGard!G1327&lt;&gt;"N/A"),IF(C1327="All",CONCATENATE(Lookup!F$2,D1327,Lookup!G$2,B1327,Lookup!H$2,H$1,Lookup!I$2),CONCATENATE(Lookup!F$3,D1327,Lookup!G$3,B1327,Lookup!H$3)),"no url")</f>
        <v>update openchpl.certified_product as cp set transparency_attestation_url = 'http://www.systemedx.com/mu2/' from (select certified_product_id from (select vend.vendor_code from openchpl.certified_product as cp, openchpl.product_version as pv, openchpl.product as p, openchpl.vendor as vend where cp.acb_certification_id = 'IG-3138-14-0008'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28" spans="1:6" hidden="1" x14ac:dyDescent="0.25">
      <c r="A1328" s="2" t="b">
        <f>IF(ISBLANK(InfoGard!D1328),FALSE,LOOKUP(InfoGard!D1328,Lookup!$A$2:$B$4))</f>
        <v>0</v>
      </c>
      <c r="B1328" s="2" t="b">
        <f>IF(ISBLANK(InfoGard!E1328),FALSE,RIGHT(TRIM(InfoGard!E1328),15))</f>
        <v>0</v>
      </c>
      <c r="C1328" s="2" t="b">
        <f>IF(ISBLANK(InfoGard!F1328),FALSE,LOOKUP(InfoGard!F1328,Lookup!$A$6:$B$7))</f>
        <v>0</v>
      </c>
      <c r="D1328" s="2" t="b">
        <f>IF(ISBLANK(InfoGard!G1328),FALSE,InfoGard!G1328)</f>
        <v>0</v>
      </c>
      <c r="E1328" s="2" t="str">
        <f>IF(NOT(ISBLANK(InfoGard!D1328)),IF(OR(ISBLANK(InfoGard!E1328),InfoGard!E1328="N/A"),"no acb code",CONCATENATE(Lookup!F$1,A1328,Lookup!G$1,B1328,Lookup!H$1,H$1,Lookup!I$1)),"no attestation")</f>
        <v>no attestation</v>
      </c>
      <c r="F1328" s="2" t="str">
        <f>IF(AND(NOT(ISBLANK(InfoGard!G1328)),InfoGard!G1328&lt;&gt;"N/A"),IF(C1328="All",CONCATENATE(Lookup!F$2,D1328,Lookup!G$2,B1328,Lookup!H$2,H$1,Lookup!I$2),CONCATENATE(Lookup!F$3,D1328,Lookup!G$3,B1328,Lookup!H$3)),"no url")</f>
        <v>no url</v>
      </c>
    </row>
    <row r="1329" spans="1:6" hidden="1" x14ac:dyDescent="0.25">
      <c r="A1329" s="2" t="b">
        <f>IF(ISBLANK(InfoGard!D1329),FALSE,LOOKUP(InfoGard!D1329,Lookup!$A$2:$B$4))</f>
        <v>0</v>
      </c>
      <c r="B1329" s="2" t="b">
        <f>IF(ISBLANK(InfoGard!E1329),FALSE,RIGHT(TRIM(InfoGard!E1329),15))</f>
        <v>0</v>
      </c>
      <c r="C1329" s="2" t="b">
        <f>IF(ISBLANK(InfoGard!F1329),FALSE,LOOKUP(InfoGard!F1329,Lookup!$A$6:$B$7))</f>
        <v>0</v>
      </c>
      <c r="D1329" s="2" t="b">
        <f>IF(ISBLANK(InfoGard!G1329),FALSE,InfoGard!G1329)</f>
        <v>0</v>
      </c>
      <c r="E1329" s="2" t="str">
        <f>IF(NOT(ISBLANK(InfoGard!D1329)),IF(OR(ISBLANK(InfoGard!E1329),InfoGard!E1329="N/A"),"no acb code",CONCATENATE(Lookup!F$1,A1329,Lookup!G$1,B1329,Lookup!H$1,H$1,Lookup!I$1)),"no attestation")</f>
        <v>no attestation</v>
      </c>
      <c r="F1329" s="2" t="str">
        <f>IF(AND(NOT(ISBLANK(InfoGard!G1329)),InfoGard!G1329&lt;&gt;"N/A"),IF(C1329="All",CONCATENATE(Lookup!F$2,D1329,Lookup!G$2,B1329,Lookup!H$2,H$1,Lookup!I$2),CONCATENATE(Lookup!F$3,D1329,Lookup!G$3,B1329,Lookup!H$3)),"no url")</f>
        <v>no url</v>
      </c>
    </row>
    <row r="1330" spans="1:6" hidden="1" x14ac:dyDescent="0.25">
      <c r="A1330" s="2" t="b">
        <f>IF(ISBLANK(InfoGard!D1330),FALSE,LOOKUP(InfoGard!D1330,Lookup!$A$2:$B$4))</f>
        <v>0</v>
      </c>
      <c r="B1330" s="2" t="b">
        <f>IF(ISBLANK(InfoGard!E1330),FALSE,RIGHT(TRIM(InfoGard!E1330),15))</f>
        <v>0</v>
      </c>
      <c r="C1330" s="2" t="b">
        <f>IF(ISBLANK(InfoGard!F1330),FALSE,LOOKUP(InfoGard!F1330,Lookup!$A$6:$B$7))</f>
        <v>0</v>
      </c>
      <c r="D1330" s="2" t="b">
        <f>IF(ISBLANK(InfoGard!G1330),FALSE,InfoGard!G1330)</f>
        <v>0</v>
      </c>
      <c r="E1330" s="2" t="str">
        <f>IF(NOT(ISBLANK(InfoGard!D1330)),IF(OR(ISBLANK(InfoGard!E1330),InfoGard!E1330="N/A"),"no acb code",CONCATENATE(Lookup!F$1,A1330,Lookup!G$1,B1330,Lookup!H$1,H$1,Lookup!I$1)),"no attestation")</f>
        <v>no attestation</v>
      </c>
      <c r="F1330" s="2" t="str">
        <f>IF(AND(NOT(ISBLANK(InfoGard!G1330)),InfoGard!G1330&lt;&gt;"N/A"),IF(C1330="All",CONCATENATE(Lookup!F$2,D1330,Lookup!G$2,B1330,Lookup!H$2,H$1,Lookup!I$2),CONCATENATE(Lookup!F$3,D1330,Lookup!G$3,B1330,Lookup!H$3)),"no url")</f>
        <v>no url</v>
      </c>
    </row>
    <row r="1331" spans="1:6" hidden="1" x14ac:dyDescent="0.25">
      <c r="A1331" s="2" t="b">
        <f>IF(ISBLANK(InfoGard!D1331),FALSE,LOOKUP(InfoGard!D1331,Lookup!$A$2:$B$4))</f>
        <v>0</v>
      </c>
      <c r="B1331" s="2" t="b">
        <f>IF(ISBLANK(InfoGard!E1331),FALSE,RIGHT(TRIM(InfoGard!E1331),15))</f>
        <v>0</v>
      </c>
      <c r="C1331" s="2" t="b">
        <f>IF(ISBLANK(InfoGard!F1331),FALSE,LOOKUP(InfoGard!F1331,Lookup!$A$6:$B$7))</f>
        <v>0</v>
      </c>
      <c r="D1331" s="2" t="b">
        <f>IF(ISBLANK(InfoGard!G1331),FALSE,InfoGard!G1331)</f>
        <v>0</v>
      </c>
      <c r="E1331" s="2" t="str">
        <f>IF(NOT(ISBLANK(InfoGard!D1331)),IF(OR(ISBLANK(InfoGard!E1331),InfoGard!E1331="N/A"),"no acb code",CONCATENATE(Lookup!F$1,A1331,Lookup!G$1,B1331,Lookup!H$1,H$1,Lookup!I$1)),"no attestation")</f>
        <v>no attestation</v>
      </c>
      <c r="F1331" s="2" t="str">
        <f>IF(AND(NOT(ISBLANK(InfoGard!G1331)),InfoGard!G1331&lt;&gt;"N/A"),IF(C1331="All",CONCATENATE(Lookup!F$2,D1331,Lookup!G$2,B1331,Lookup!H$2,H$1,Lookup!I$2),CONCATENATE(Lookup!F$3,D1331,Lookup!G$3,B1331,Lookup!H$3)),"no url")</f>
        <v>no url</v>
      </c>
    </row>
    <row r="1332" spans="1:6" hidden="1" x14ac:dyDescent="0.25">
      <c r="A1332" s="2" t="b">
        <f>IF(ISBLANK(InfoGard!D1332),FALSE,LOOKUP(InfoGard!D1332,Lookup!$A$2:$B$4))</f>
        <v>0</v>
      </c>
      <c r="B1332" s="2" t="b">
        <f>IF(ISBLANK(InfoGard!E1332),FALSE,RIGHT(TRIM(InfoGard!E1332),15))</f>
        <v>0</v>
      </c>
      <c r="C1332" s="2" t="b">
        <f>IF(ISBLANK(InfoGard!F1332),FALSE,LOOKUP(InfoGard!F1332,Lookup!$A$6:$B$7))</f>
        <v>0</v>
      </c>
      <c r="D1332" s="2" t="b">
        <f>IF(ISBLANK(InfoGard!G1332),FALSE,InfoGard!G1332)</f>
        <v>0</v>
      </c>
      <c r="E1332" s="2" t="str">
        <f>IF(NOT(ISBLANK(InfoGard!D1332)),IF(OR(ISBLANK(InfoGard!E1332),InfoGard!E1332="N/A"),"no acb code",CONCATENATE(Lookup!F$1,A1332,Lookup!G$1,B1332,Lookup!H$1,H$1,Lookup!I$1)),"no attestation")</f>
        <v>no attestation</v>
      </c>
      <c r="F1332" s="2" t="str">
        <f>IF(AND(NOT(ISBLANK(InfoGard!G1332)),InfoGard!G1332&lt;&gt;"N/A"),IF(C1332="All",CONCATENATE(Lookup!F$2,D1332,Lookup!G$2,B1332,Lookup!H$2,H$1,Lookup!I$2),CONCATENATE(Lookup!F$3,D1332,Lookup!G$3,B1332,Lookup!H$3)),"no url")</f>
        <v>no url</v>
      </c>
    </row>
    <row r="1333" spans="1:6" hidden="1" x14ac:dyDescent="0.25">
      <c r="A1333" s="2" t="b">
        <f>IF(ISBLANK(InfoGard!D1333),FALSE,LOOKUP(InfoGard!D1333,Lookup!$A$2:$B$4))</f>
        <v>0</v>
      </c>
      <c r="B1333" s="2" t="b">
        <f>IF(ISBLANK(InfoGard!E1333),FALSE,RIGHT(TRIM(InfoGard!E1333),15))</f>
        <v>0</v>
      </c>
      <c r="C1333" s="2" t="b">
        <f>IF(ISBLANK(InfoGard!F1333),FALSE,LOOKUP(InfoGard!F1333,Lookup!$A$6:$B$7))</f>
        <v>0</v>
      </c>
      <c r="D1333" s="2" t="b">
        <f>IF(ISBLANK(InfoGard!G1333),FALSE,InfoGard!G1333)</f>
        <v>0</v>
      </c>
      <c r="E1333" s="2" t="str">
        <f>IF(NOT(ISBLANK(InfoGard!D1333)),IF(OR(ISBLANK(InfoGard!E1333),InfoGard!E1333="N/A"),"no acb code",CONCATENATE(Lookup!F$1,A1333,Lookup!G$1,B1333,Lookup!H$1,H$1,Lookup!I$1)),"no attestation")</f>
        <v>no attestation</v>
      </c>
      <c r="F1333" s="2" t="str">
        <f>IF(AND(NOT(ISBLANK(InfoGard!G1333)),InfoGard!G1333&lt;&gt;"N/A"),IF(C1333="All",CONCATENATE(Lookup!F$2,D1333,Lookup!G$2,B1333,Lookup!H$2,H$1,Lookup!I$2),CONCATENATE(Lookup!F$3,D1333,Lookup!G$3,B1333,Lookup!H$3)),"no url")</f>
        <v>no url</v>
      </c>
    </row>
    <row r="1334" spans="1:6" hidden="1" x14ac:dyDescent="0.25">
      <c r="A1334" s="2" t="b">
        <f>IF(ISBLANK(InfoGard!D1334),FALSE,LOOKUP(InfoGard!D1334,Lookup!$A$2:$B$4))</f>
        <v>0</v>
      </c>
      <c r="B1334" s="2" t="b">
        <f>IF(ISBLANK(InfoGard!E1334),FALSE,RIGHT(TRIM(InfoGard!E1334),15))</f>
        <v>0</v>
      </c>
      <c r="C1334" s="2" t="b">
        <f>IF(ISBLANK(InfoGard!F1334),FALSE,LOOKUP(InfoGard!F1334,Lookup!$A$6:$B$7))</f>
        <v>0</v>
      </c>
      <c r="D1334" s="2" t="b">
        <f>IF(ISBLANK(InfoGard!G1334),FALSE,InfoGard!G1334)</f>
        <v>0</v>
      </c>
      <c r="E1334" s="2" t="str">
        <f>IF(NOT(ISBLANK(InfoGard!D1334)),IF(OR(ISBLANK(InfoGard!E1334),InfoGard!E1334="N/A"),"no acb code",CONCATENATE(Lookup!F$1,A1334,Lookup!G$1,B1334,Lookup!H$1,H$1,Lookup!I$1)),"no attestation")</f>
        <v>no attestation</v>
      </c>
      <c r="F1334" s="2" t="str">
        <f>IF(AND(NOT(ISBLANK(InfoGard!G1334)),InfoGard!G1334&lt;&gt;"N/A"),IF(C1334="All",CONCATENATE(Lookup!F$2,D1334,Lookup!G$2,B1334,Lookup!H$2,H$1,Lookup!I$2),CONCATENATE(Lookup!F$3,D1334,Lookup!G$3,B1334,Lookup!H$3)),"no url")</f>
        <v>no url</v>
      </c>
    </row>
    <row r="1335" spans="1:6" hidden="1" x14ac:dyDescent="0.25">
      <c r="A1335" s="2" t="b">
        <f>IF(ISBLANK(InfoGard!D1335),FALSE,LOOKUP(InfoGard!D1335,Lookup!$A$2:$B$4))</f>
        <v>0</v>
      </c>
      <c r="B1335" s="2" t="b">
        <f>IF(ISBLANK(InfoGard!E1335),FALSE,RIGHT(TRIM(InfoGard!E1335),15))</f>
        <v>0</v>
      </c>
      <c r="C1335" s="2" t="b">
        <f>IF(ISBLANK(InfoGard!F1335),FALSE,LOOKUP(InfoGard!F1335,Lookup!$A$6:$B$7))</f>
        <v>0</v>
      </c>
      <c r="D1335" s="2" t="b">
        <f>IF(ISBLANK(InfoGard!G1335),FALSE,InfoGard!G1335)</f>
        <v>0</v>
      </c>
      <c r="E1335" s="2" t="str">
        <f>IF(NOT(ISBLANK(InfoGard!D1335)),IF(OR(ISBLANK(InfoGard!E1335),InfoGard!E1335="N/A"),"no acb code",CONCATENATE(Lookup!F$1,A1335,Lookup!G$1,B1335,Lookup!H$1,H$1,Lookup!I$1)),"no attestation")</f>
        <v>no attestation</v>
      </c>
      <c r="F1335" s="2" t="str">
        <f>IF(AND(NOT(ISBLANK(InfoGard!G1335)),InfoGard!G1335&lt;&gt;"N/A"),IF(C1335="All",CONCATENATE(Lookup!F$2,D1335,Lookup!G$2,B1335,Lookup!H$2,H$1,Lookup!I$2),CONCATENATE(Lookup!F$3,D1335,Lookup!G$3,B1335,Lookup!H$3)),"no url")</f>
        <v>no url</v>
      </c>
    </row>
    <row r="1336" spans="1:6" hidden="1" x14ac:dyDescent="0.25">
      <c r="A1336" s="2" t="b">
        <f>IF(ISBLANK(InfoGard!D1336),FALSE,LOOKUP(InfoGard!D1336,Lookup!$A$2:$B$4))</f>
        <v>0</v>
      </c>
      <c r="B1336" s="2" t="b">
        <f>IF(ISBLANK(InfoGard!E1336),FALSE,RIGHT(TRIM(InfoGard!E1336),15))</f>
        <v>0</v>
      </c>
      <c r="C1336" s="2" t="b">
        <f>IF(ISBLANK(InfoGard!F1336),FALSE,LOOKUP(InfoGard!F1336,Lookup!$A$6:$B$7))</f>
        <v>0</v>
      </c>
      <c r="D1336" s="2" t="b">
        <f>IF(ISBLANK(InfoGard!G1336),FALSE,InfoGard!G1336)</f>
        <v>0</v>
      </c>
      <c r="E1336" s="2" t="str">
        <f>IF(NOT(ISBLANK(InfoGard!D1336)),IF(OR(ISBLANK(InfoGard!E1336),InfoGard!E1336="N/A"),"no acb code",CONCATENATE(Lookup!F$1,A1336,Lookup!G$1,B1336,Lookup!H$1,H$1,Lookup!I$1)),"no attestation")</f>
        <v>no attestation</v>
      </c>
      <c r="F1336" s="2" t="str">
        <f>IF(AND(NOT(ISBLANK(InfoGard!G1336)),InfoGard!G1336&lt;&gt;"N/A"),IF(C1336="All",CONCATENATE(Lookup!F$2,D1336,Lookup!G$2,B1336,Lookup!H$2,H$1,Lookup!I$2),CONCATENATE(Lookup!F$3,D1336,Lookup!G$3,B1336,Lookup!H$3)),"no url")</f>
        <v>no url</v>
      </c>
    </row>
    <row r="1337" spans="1:6" hidden="1" x14ac:dyDescent="0.25">
      <c r="A1337" s="2" t="b">
        <f>IF(ISBLANK(InfoGard!D1337),FALSE,LOOKUP(InfoGard!D1337,Lookup!$A$2:$B$4))</f>
        <v>0</v>
      </c>
      <c r="B1337" s="2" t="b">
        <f>IF(ISBLANK(InfoGard!E1337),FALSE,RIGHT(TRIM(InfoGard!E1337),15))</f>
        <v>0</v>
      </c>
      <c r="C1337" s="2" t="b">
        <f>IF(ISBLANK(InfoGard!F1337),FALSE,LOOKUP(InfoGard!F1337,Lookup!$A$6:$B$7))</f>
        <v>0</v>
      </c>
      <c r="D1337" s="2" t="b">
        <f>IF(ISBLANK(InfoGard!G1337),FALSE,InfoGard!G1337)</f>
        <v>0</v>
      </c>
      <c r="E1337" s="2" t="str">
        <f>IF(NOT(ISBLANK(InfoGard!D1337)),IF(OR(ISBLANK(InfoGard!E1337),InfoGard!E1337="N/A"),"no acb code",CONCATENATE(Lookup!F$1,A1337,Lookup!G$1,B1337,Lookup!H$1,H$1,Lookup!I$1)),"no attestation")</f>
        <v>no attestation</v>
      </c>
      <c r="F1337" s="2" t="str">
        <f>IF(AND(NOT(ISBLANK(InfoGard!G1337)),InfoGard!G1337&lt;&gt;"N/A"),IF(C1337="All",CONCATENATE(Lookup!F$2,D1337,Lookup!G$2,B1337,Lookup!H$2,H$1,Lookup!I$2),CONCATENATE(Lookup!F$3,D1337,Lookup!G$3,B1337,Lookup!H$3)),"no url")</f>
        <v>no url</v>
      </c>
    </row>
    <row r="1338" spans="1:6" hidden="1" x14ac:dyDescent="0.25">
      <c r="A1338" s="2" t="b">
        <f>IF(ISBLANK(InfoGard!D1338),FALSE,LOOKUP(InfoGard!D1338,Lookup!$A$2:$B$4))</f>
        <v>0</v>
      </c>
      <c r="B1338" s="2" t="b">
        <f>IF(ISBLANK(InfoGard!E1338),FALSE,RIGHT(TRIM(InfoGard!E1338),15))</f>
        <v>0</v>
      </c>
      <c r="C1338" s="2" t="b">
        <f>IF(ISBLANK(InfoGard!F1338),FALSE,LOOKUP(InfoGard!F1338,Lookup!$A$6:$B$7))</f>
        <v>0</v>
      </c>
      <c r="D1338" s="2" t="b">
        <f>IF(ISBLANK(InfoGard!G1338),FALSE,InfoGard!G1338)</f>
        <v>0</v>
      </c>
      <c r="E1338" s="2" t="str">
        <f>IF(NOT(ISBLANK(InfoGard!D1338)),IF(OR(ISBLANK(InfoGard!E1338),InfoGard!E1338="N/A"),"no acb code",CONCATENATE(Lookup!F$1,A1338,Lookup!G$1,B1338,Lookup!H$1,H$1,Lookup!I$1)),"no attestation")</f>
        <v>no attestation</v>
      </c>
      <c r="F1338" s="2" t="str">
        <f>IF(AND(NOT(ISBLANK(InfoGard!G1338)),InfoGard!G1338&lt;&gt;"N/A"),IF(C1338="All",CONCATENATE(Lookup!F$2,D1338,Lookup!G$2,B1338,Lookup!H$2,H$1,Lookup!I$2),CONCATENATE(Lookup!F$3,D1338,Lookup!G$3,B1338,Lookup!H$3)),"no url")</f>
        <v>no url</v>
      </c>
    </row>
    <row r="1339" spans="1:6" hidden="1" x14ac:dyDescent="0.25">
      <c r="A1339" s="2" t="b">
        <f>IF(ISBLANK(InfoGard!D1339),FALSE,LOOKUP(InfoGard!D1339,Lookup!$A$2:$B$4))</f>
        <v>0</v>
      </c>
      <c r="B1339" s="2" t="b">
        <f>IF(ISBLANK(InfoGard!E1339),FALSE,RIGHT(TRIM(InfoGard!E1339),15))</f>
        <v>0</v>
      </c>
      <c r="C1339" s="2" t="b">
        <f>IF(ISBLANK(InfoGard!F1339),FALSE,LOOKUP(InfoGard!F1339,Lookup!$A$6:$B$7))</f>
        <v>0</v>
      </c>
      <c r="D1339" s="2" t="b">
        <f>IF(ISBLANK(InfoGard!G1339),FALSE,InfoGard!G1339)</f>
        <v>0</v>
      </c>
      <c r="E1339" s="2" t="str">
        <f>IF(NOT(ISBLANK(InfoGard!D1339)),IF(OR(ISBLANK(InfoGard!E1339),InfoGard!E1339="N/A"),"no acb code",CONCATENATE(Lookup!F$1,A1339,Lookup!G$1,B1339,Lookup!H$1,H$1,Lookup!I$1)),"no attestation")</f>
        <v>no attestation</v>
      </c>
      <c r="F1339" s="2" t="str">
        <f>IF(AND(NOT(ISBLANK(InfoGard!G1339)),InfoGard!G1339&lt;&gt;"N/A"),IF(C1339="All",CONCATENATE(Lookup!F$2,D1339,Lookup!G$2,B1339,Lookup!H$2,H$1,Lookup!I$2),CONCATENATE(Lookup!F$3,D1339,Lookup!G$3,B1339,Lookup!H$3)),"no url")</f>
        <v>no url</v>
      </c>
    </row>
    <row r="1340" spans="1:6" hidden="1" x14ac:dyDescent="0.25">
      <c r="A1340" s="2" t="b">
        <f>IF(ISBLANK(InfoGard!D1340),FALSE,LOOKUP(InfoGard!D1340,Lookup!$A$2:$B$4))</f>
        <v>0</v>
      </c>
      <c r="B1340" s="2" t="b">
        <f>IF(ISBLANK(InfoGard!E1340),FALSE,RIGHT(TRIM(InfoGard!E1340),15))</f>
        <v>0</v>
      </c>
      <c r="C1340" s="2" t="b">
        <f>IF(ISBLANK(InfoGard!F1340),FALSE,LOOKUP(InfoGard!F1340,Lookup!$A$6:$B$7))</f>
        <v>0</v>
      </c>
      <c r="D1340" s="2" t="b">
        <f>IF(ISBLANK(InfoGard!G1340),FALSE,InfoGard!G1340)</f>
        <v>0</v>
      </c>
      <c r="E1340" s="2" t="str">
        <f>IF(NOT(ISBLANK(InfoGard!D1340)),IF(OR(ISBLANK(InfoGard!E1340),InfoGard!E1340="N/A"),"no acb code",CONCATENATE(Lookup!F$1,A1340,Lookup!G$1,B1340,Lookup!H$1,H$1,Lookup!I$1)),"no attestation")</f>
        <v>no attestation</v>
      </c>
      <c r="F1340" s="2" t="str">
        <f>IF(AND(NOT(ISBLANK(InfoGard!G1340)),InfoGard!G1340&lt;&gt;"N/A"),IF(C1340="All",CONCATENATE(Lookup!F$2,D1340,Lookup!G$2,B1340,Lookup!H$2,H$1,Lookup!I$2),CONCATENATE(Lookup!F$3,D1340,Lookup!G$3,B1340,Lookup!H$3)),"no url")</f>
        <v>no url</v>
      </c>
    </row>
    <row r="1341" spans="1:6" hidden="1" x14ac:dyDescent="0.25">
      <c r="A1341" s="2" t="b">
        <f>IF(ISBLANK(InfoGard!D1341),FALSE,LOOKUP(InfoGard!D1341,Lookup!$A$2:$B$4))</f>
        <v>0</v>
      </c>
      <c r="B1341" s="2" t="b">
        <f>IF(ISBLANK(InfoGard!E1341),FALSE,RIGHT(TRIM(InfoGard!E1341),15))</f>
        <v>0</v>
      </c>
      <c r="C1341" s="2" t="b">
        <f>IF(ISBLANK(InfoGard!F1341),FALSE,LOOKUP(InfoGard!F1341,Lookup!$A$6:$B$7))</f>
        <v>0</v>
      </c>
      <c r="D1341" s="2" t="b">
        <f>IF(ISBLANK(InfoGard!G1341),FALSE,InfoGard!G1341)</f>
        <v>0</v>
      </c>
      <c r="E1341" s="2" t="str">
        <f>IF(NOT(ISBLANK(InfoGard!D1341)),IF(OR(ISBLANK(InfoGard!E1341),InfoGard!E1341="N/A"),"no acb code",CONCATENATE(Lookup!F$1,A1341,Lookup!G$1,B1341,Lookup!H$1,H$1,Lookup!I$1)),"no attestation")</f>
        <v>no attestation</v>
      </c>
      <c r="F1341" s="2" t="str">
        <f>IF(AND(NOT(ISBLANK(InfoGard!G1341)),InfoGard!G1341&lt;&gt;"N/A"),IF(C1341="All",CONCATENATE(Lookup!F$2,D1341,Lookup!G$2,B1341,Lookup!H$2,H$1,Lookup!I$2),CONCATENATE(Lookup!F$3,D1341,Lookup!G$3,B1341,Lookup!H$3)),"no url")</f>
        <v>no url</v>
      </c>
    </row>
    <row r="1342" spans="1:6" hidden="1" x14ac:dyDescent="0.25">
      <c r="A1342" s="2" t="b">
        <f>IF(ISBLANK(InfoGard!D1342),FALSE,LOOKUP(InfoGard!D1342,Lookup!$A$2:$B$4))</f>
        <v>0</v>
      </c>
      <c r="B1342" s="2" t="b">
        <f>IF(ISBLANK(InfoGard!E1342),FALSE,RIGHT(TRIM(InfoGard!E1342),15))</f>
        <v>0</v>
      </c>
      <c r="C1342" s="2" t="b">
        <f>IF(ISBLANK(InfoGard!F1342),FALSE,LOOKUP(InfoGard!F1342,Lookup!$A$6:$B$7))</f>
        <v>0</v>
      </c>
      <c r="D1342" s="2" t="b">
        <f>IF(ISBLANK(InfoGard!G1342),FALSE,InfoGard!G1342)</f>
        <v>0</v>
      </c>
      <c r="E1342" s="2" t="str">
        <f>IF(NOT(ISBLANK(InfoGard!D1342)),IF(OR(ISBLANK(InfoGard!E1342),InfoGard!E1342="N/A"),"no acb code",CONCATENATE(Lookup!F$1,A1342,Lookup!G$1,B1342,Lookup!H$1,H$1,Lookup!I$1)),"no attestation")</f>
        <v>no attestation</v>
      </c>
      <c r="F1342" s="2" t="str">
        <f>IF(AND(NOT(ISBLANK(InfoGard!G1342)),InfoGard!G1342&lt;&gt;"N/A"),IF(C1342="All",CONCATENATE(Lookup!F$2,D1342,Lookup!G$2,B1342,Lookup!H$2,H$1,Lookup!I$2),CONCATENATE(Lookup!F$3,D1342,Lookup!G$3,B1342,Lookup!H$3)),"no url")</f>
        <v>no url</v>
      </c>
    </row>
    <row r="1343" spans="1:6" hidden="1" x14ac:dyDescent="0.25">
      <c r="A1343" s="2" t="b">
        <f>IF(ISBLANK(InfoGard!D1343),FALSE,LOOKUP(InfoGard!D1343,Lookup!$A$2:$B$4))</f>
        <v>0</v>
      </c>
      <c r="B1343" s="2" t="b">
        <f>IF(ISBLANK(InfoGard!E1343),FALSE,RIGHT(TRIM(InfoGard!E1343),15))</f>
        <v>0</v>
      </c>
      <c r="C1343" s="2" t="b">
        <f>IF(ISBLANK(InfoGard!F1343),FALSE,LOOKUP(InfoGard!F1343,Lookup!$A$6:$B$7))</f>
        <v>0</v>
      </c>
      <c r="D1343" s="2" t="b">
        <f>IF(ISBLANK(InfoGard!G1343),FALSE,InfoGard!G1343)</f>
        <v>0</v>
      </c>
      <c r="E1343" s="2" t="str">
        <f>IF(NOT(ISBLANK(InfoGard!D1343)),IF(OR(ISBLANK(InfoGard!E1343),InfoGard!E1343="N/A"),"no acb code",CONCATENATE(Lookup!F$1,A1343,Lookup!G$1,B1343,Lookup!H$1,H$1,Lookup!I$1)),"no attestation")</f>
        <v>no attestation</v>
      </c>
      <c r="F1343" s="2" t="str">
        <f>IF(AND(NOT(ISBLANK(InfoGard!G1343)),InfoGard!G1343&lt;&gt;"N/A"),IF(C1343="All",CONCATENATE(Lookup!F$2,D1343,Lookup!G$2,B1343,Lookup!H$2,H$1,Lookup!I$2),CONCATENATE(Lookup!F$3,D1343,Lookup!G$3,B1343,Lookup!H$3)),"no url")</f>
        <v>no url</v>
      </c>
    </row>
    <row r="1344" spans="1:6" hidden="1" x14ac:dyDescent="0.25">
      <c r="A1344" s="2" t="b">
        <f>IF(ISBLANK(InfoGard!D1344),FALSE,LOOKUP(InfoGard!D1344,Lookup!$A$2:$B$4))</f>
        <v>0</v>
      </c>
      <c r="B1344" s="2" t="b">
        <f>IF(ISBLANK(InfoGard!E1344),FALSE,RIGHT(TRIM(InfoGard!E1344),15))</f>
        <v>0</v>
      </c>
      <c r="C1344" s="2" t="b">
        <f>IF(ISBLANK(InfoGard!F1344),FALSE,LOOKUP(InfoGard!F1344,Lookup!$A$6:$B$7))</f>
        <v>0</v>
      </c>
      <c r="D1344" s="2" t="b">
        <f>IF(ISBLANK(InfoGard!G1344),FALSE,InfoGard!G1344)</f>
        <v>0</v>
      </c>
      <c r="E1344" s="2" t="str">
        <f>IF(NOT(ISBLANK(InfoGard!D1344)),IF(OR(ISBLANK(InfoGard!E1344),InfoGard!E1344="N/A"),"no acb code",CONCATENATE(Lookup!F$1,A1344,Lookup!G$1,B1344,Lookup!H$1,H$1,Lookup!I$1)),"no attestation")</f>
        <v>no attestation</v>
      </c>
      <c r="F1344" s="2" t="str">
        <f>IF(AND(NOT(ISBLANK(InfoGard!G1344)),InfoGard!G1344&lt;&gt;"N/A"),IF(C1344="All",CONCATENATE(Lookup!F$2,D1344,Lookup!G$2,B1344,Lookup!H$2,H$1,Lookup!I$2),CONCATENATE(Lookup!F$3,D1344,Lookup!G$3,B1344,Lookup!H$3)),"no url")</f>
        <v>no url</v>
      </c>
    </row>
    <row r="1345" spans="1:6" hidden="1" x14ac:dyDescent="0.25">
      <c r="A1345" s="2" t="b">
        <f>IF(ISBLANK(InfoGard!D1345),FALSE,LOOKUP(InfoGard!D1345,Lookup!$A$2:$B$4))</f>
        <v>0</v>
      </c>
      <c r="B1345" s="2" t="b">
        <f>IF(ISBLANK(InfoGard!E1345),FALSE,RIGHT(TRIM(InfoGard!E1345),15))</f>
        <v>0</v>
      </c>
      <c r="C1345" s="2" t="b">
        <f>IF(ISBLANK(InfoGard!F1345),FALSE,LOOKUP(InfoGard!F1345,Lookup!$A$6:$B$7))</f>
        <v>0</v>
      </c>
      <c r="D1345" s="2" t="b">
        <f>IF(ISBLANK(InfoGard!G1345),FALSE,InfoGard!G1345)</f>
        <v>0</v>
      </c>
      <c r="E1345" s="2" t="str">
        <f>IF(NOT(ISBLANK(InfoGard!D1345)),IF(OR(ISBLANK(InfoGard!E1345),InfoGard!E1345="N/A"),"no acb code",CONCATENATE(Lookup!F$1,A1345,Lookup!G$1,B1345,Lookup!H$1,H$1,Lookup!I$1)),"no attestation")</f>
        <v>no attestation</v>
      </c>
      <c r="F1345" s="2" t="str">
        <f>IF(AND(NOT(ISBLANK(InfoGard!G1345)),InfoGard!G1345&lt;&gt;"N/A"),IF(C1345="All",CONCATENATE(Lookup!F$2,D1345,Lookup!G$2,B1345,Lookup!H$2,H$1,Lookup!I$2),CONCATENATE(Lookup!F$3,D1345,Lookup!G$3,B1345,Lookup!H$3)),"no url")</f>
        <v>no url</v>
      </c>
    </row>
    <row r="1346" spans="1:6" hidden="1" x14ac:dyDescent="0.25">
      <c r="A1346" s="2" t="b">
        <f>IF(ISBLANK(InfoGard!D1346),FALSE,LOOKUP(InfoGard!D1346,Lookup!$A$2:$B$4))</f>
        <v>0</v>
      </c>
      <c r="B1346" s="2" t="b">
        <f>IF(ISBLANK(InfoGard!E1346),FALSE,RIGHT(TRIM(InfoGard!E1346),15))</f>
        <v>0</v>
      </c>
      <c r="C1346" s="2" t="b">
        <f>IF(ISBLANK(InfoGard!F1346),FALSE,LOOKUP(InfoGard!F1346,Lookup!$A$6:$B$7))</f>
        <v>0</v>
      </c>
      <c r="D1346" s="2" t="b">
        <f>IF(ISBLANK(InfoGard!G1346),FALSE,InfoGard!G1346)</f>
        <v>0</v>
      </c>
      <c r="E1346" s="2" t="str">
        <f>IF(NOT(ISBLANK(InfoGard!D1346)),IF(OR(ISBLANK(InfoGard!E1346),InfoGard!E1346="N/A"),"no acb code",CONCATENATE(Lookup!F$1,A1346,Lookup!G$1,B1346,Lookup!H$1,H$1,Lookup!I$1)),"no attestation")</f>
        <v>no attestation</v>
      </c>
      <c r="F1346" s="2" t="str">
        <f>IF(AND(NOT(ISBLANK(InfoGard!G1346)),InfoGard!G1346&lt;&gt;"N/A"),IF(C1346="All",CONCATENATE(Lookup!F$2,D1346,Lookup!G$2,B1346,Lookup!H$2,H$1,Lookup!I$2),CONCATENATE(Lookup!F$3,D1346,Lookup!G$3,B1346,Lookup!H$3)),"no url")</f>
        <v>no url</v>
      </c>
    </row>
    <row r="1347" spans="1:6" hidden="1" x14ac:dyDescent="0.25">
      <c r="A1347" s="2" t="b">
        <f>IF(ISBLANK(InfoGard!D1347),FALSE,LOOKUP(InfoGard!D1347,Lookup!$A$2:$B$4))</f>
        <v>0</v>
      </c>
      <c r="B1347" s="2" t="b">
        <f>IF(ISBLANK(InfoGard!E1347),FALSE,RIGHT(TRIM(InfoGard!E1347),15))</f>
        <v>0</v>
      </c>
      <c r="C1347" s="2" t="b">
        <f>IF(ISBLANK(InfoGard!F1347),FALSE,LOOKUP(InfoGard!F1347,Lookup!$A$6:$B$7))</f>
        <v>0</v>
      </c>
      <c r="D1347" s="2" t="b">
        <f>IF(ISBLANK(InfoGard!G1347),FALSE,InfoGard!G1347)</f>
        <v>0</v>
      </c>
      <c r="E1347" s="2" t="str">
        <f>IF(NOT(ISBLANK(InfoGard!D1347)),IF(OR(ISBLANK(InfoGard!E1347),InfoGard!E1347="N/A"),"no acb code",CONCATENATE(Lookup!F$1,A1347,Lookup!G$1,B1347,Lookup!H$1,H$1,Lookup!I$1)),"no attestation")</f>
        <v>no attestation</v>
      </c>
      <c r="F1347" s="2" t="str">
        <f>IF(AND(NOT(ISBLANK(InfoGard!G1347)),InfoGard!G1347&lt;&gt;"N/A"),IF(C1347="All",CONCATENATE(Lookup!F$2,D1347,Lookup!G$2,B1347,Lookup!H$2,H$1,Lookup!I$2),CONCATENATE(Lookup!F$3,D1347,Lookup!G$3,B1347,Lookup!H$3)),"no url")</f>
        <v>no url</v>
      </c>
    </row>
    <row r="1348" spans="1:6" hidden="1" x14ac:dyDescent="0.25">
      <c r="A1348" s="2" t="b">
        <f>IF(ISBLANK(InfoGard!D1348),FALSE,LOOKUP(InfoGard!D1348,Lookup!$A$2:$B$4))</f>
        <v>0</v>
      </c>
      <c r="B1348" s="2" t="b">
        <f>IF(ISBLANK(InfoGard!E1348),FALSE,RIGHT(TRIM(InfoGard!E1348),15))</f>
        <v>0</v>
      </c>
      <c r="C1348" s="2" t="b">
        <f>IF(ISBLANK(InfoGard!F1348),FALSE,LOOKUP(InfoGard!F1348,Lookup!$A$6:$B$7))</f>
        <v>0</v>
      </c>
      <c r="D1348" s="2" t="b">
        <f>IF(ISBLANK(InfoGard!G1348),FALSE,InfoGard!G1348)</f>
        <v>0</v>
      </c>
      <c r="E1348" s="2" t="str">
        <f>IF(NOT(ISBLANK(InfoGard!D1348)),IF(OR(ISBLANK(InfoGard!E1348),InfoGard!E1348="N/A"),"no acb code",CONCATENATE(Lookup!F$1,A1348,Lookup!G$1,B1348,Lookup!H$1,H$1,Lookup!I$1)),"no attestation")</f>
        <v>no attestation</v>
      </c>
      <c r="F1348" s="2" t="str">
        <f>IF(AND(NOT(ISBLANK(InfoGard!G1348)),InfoGard!G1348&lt;&gt;"N/A"),IF(C1348="All",CONCATENATE(Lookup!F$2,D1348,Lookup!G$2,B1348,Lookup!H$2,H$1,Lookup!I$2),CONCATENATE(Lookup!F$3,D1348,Lookup!G$3,B1348,Lookup!H$3)),"no url")</f>
        <v>no url</v>
      </c>
    </row>
    <row r="1349" spans="1:6" x14ac:dyDescent="0.25">
      <c r="A1349" s="2" t="str">
        <f>IF(ISBLANK(InfoGard!D1349),FALSE,LOOKUP(InfoGard!D1349,Lookup!$A$2:$B$4))</f>
        <v>Affirmative</v>
      </c>
      <c r="B1349" s="2" t="str">
        <f>IF(ISBLANK(InfoGard!E1349),FALSE,RIGHT(TRIM(InfoGard!E1349),15))</f>
        <v>IG-2655-14-0088</v>
      </c>
      <c r="C1349" s="2" t="str">
        <f>IF(ISBLANK(InfoGard!F1349),FALSE,LOOKUP(InfoGard!F1349,Lookup!$A$6:$B$7))</f>
        <v>All</v>
      </c>
      <c r="D1349" s="2" t="str">
        <f>IF(ISBLANK(InfoGard!G1349),FALSE,InfoGard!G1349)</f>
        <v>http://www.10e11.com/certifications/</v>
      </c>
      <c r="E1349" s="2" t="str">
        <f>IF(NOT(ISBLANK(InfoGard!D1349)),IF(OR(ISBLANK(InfoGard!E1349),InfoGard!E1349="N/A"),"no acb code",CONCATENATE(Lookup!F$1,A1349,Lookup!G$1,B1349,Lookup!H$1,H$1,Lookup!I$1)),"no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'IG-2655-14-0088' and cb."name" = 'InfoGard' and cp.product_version_id = pv.product_version_id and pv.product_id = p.product_id and p.vendor_id = vend.vendor_id;</v>
      </c>
      <c r="F1349" s="2" t="str">
        <f>IF(AND(NOT(ISBLANK(InfoGard!G1349)),InfoGard!G1349&lt;&gt;"N/A"),IF(C1349="All",CONCATENATE(Lookup!F$2,D1349,Lookup!G$2,B1349,Lookup!H$2,H$1,Lookup!I$2),CONCATENATE(Lookup!F$3,D1349,Lookup!G$3,B1349,Lookup!H$3)),"no url")</f>
        <v>update openchpl.certified_product as cp set transparency_attestation_url = 'http://www.10e11.com/certifications/' from (select certified_product_id from (select vend.vendor_code from openchpl.certified_product as cp, openchpl.product_version as pv, openchpl.product as p, openchpl.vendor as vend where cp.acb_certification_id = 'IG-2655-14-0088'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50" spans="1:6" hidden="1" x14ac:dyDescent="0.25">
      <c r="A1350" s="2" t="b">
        <f>IF(ISBLANK(InfoGard!D1350),FALSE,LOOKUP(InfoGard!D1350,Lookup!$A$2:$B$4))</f>
        <v>0</v>
      </c>
      <c r="B1350" s="2" t="b">
        <f>IF(ISBLANK(InfoGard!E1350),FALSE,RIGHT(TRIM(InfoGard!E1350),15))</f>
        <v>0</v>
      </c>
      <c r="C1350" s="2" t="b">
        <f>IF(ISBLANK(InfoGard!F1350),FALSE,LOOKUP(InfoGard!F1350,Lookup!$A$6:$B$7))</f>
        <v>0</v>
      </c>
      <c r="D1350" s="2" t="b">
        <f>IF(ISBLANK(InfoGard!G1350),FALSE,InfoGard!G1350)</f>
        <v>0</v>
      </c>
      <c r="E1350" s="2" t="str">
        <f>IF(NOT(ISBLANK(InfoGard!D1350)),IF(OR(ISBLANK(InfoGard!E1350),InfoGard!E1350="N/A"),"no acb code",CONCATENATE(Lookup!F$1,A1350,Lookup!G$1,B1350,Lookup!H$1,H$1,Lookup!I$1)),"no attestation")</f>
        <v>no attestation</v>
      </c>
      <c r="F1350" s="2" t="str">
        <f>IF(AND(NOT(ISBLANK(InfoGard!G1350)),InfoGard!G1350&lt;&gt;"N/A"),IF(C1350="All",CONCATENATE(Lookup!F$2,D1350,Lookup!G$2,B1350,Lookup!H$2,H$1,Lookup!I$2),CONCATENATE(Lookup!F$3,D1350,Lookup!G$3,B1350,Lookup!H$3)),"no url")</f>
        <v>no url</v>
      </c>
    </row>
    <row r="1351" spans="1:6" hidden="1" x14ac:dyDescent="0.25">
      <c r="A1351" s="2" t="b">
        <f>IF(ISBLANK(InfoGard!D1351),FALSE,LOOKUP(InfoGard!D1351,Lookup!$A$2:$B$4))</f>
        <v>0</v>
      </c>
      <c r="B1351" s="2" t="b">
        <f>IF(ISBLANK(InfoGard!E1351),FALSE,RIGHT(TRIM(InfoGard!E1351),15))</f>
        <v>0</v>
      </c>
      <c r="C1351" s="2" t="b">
        <f>IF(ISBLANK(InfoGard!F1351),FALSE,LOOKUP(InfoGard!F1351,Lookup!$A$6:$B$7))</f>
        <v>0</v>
      </c>
      <c r="D1351" s="2" t="b">
        <f>IF(ISBLANK(InfoGard!G1351),FALSE,InfoGard!G1351)</f>
        <v>0</v>
      </c>
      <c r="E1351" s="2" t="str">
        <f>IF(NOT(ISBLANK(InfoGard!D1351)),IF(OR(ISBLANK(InfoGard!E1351),InfoGard!E1351="N/A"),"no acb code",CONCATENATE(Lookup!F$1,A1351,Lookup!G$1,B1351,Lookup!H$1,H$1,Lookup!I$1)),"no attestation")</f>
        <v>no attestation</v>
      </c>
      <c r="F1351" s="2" t="str">
        <f>IF(AND(NOT(ISBLANK(InfoGard!G1351)),InfoGard!G1351&lt;&gt;"N/A"),IF(C1351="All",CONCATENATE(Lookup!F$2,D1351,Lookup!G$2,B1351,Lookup!H$2,H$1,Lookup!I$2),CONCATENATE(Lookup!F$3,D1351,Lookup!G$3,B1351,Lookup!H$3)),"no url")</f>
        <v>no url</v>
      </c>
    </row>
    <row r="1352" spans="1:6" hidden="1" x14ac:dyDescent="0.25">
      <c r="A1352" s="2" t="b">
        <f>IF(ISBLANK(InfoGard!D1352),FALSE,LOOKUP(InfoGard!D1352,Lookup!$A$2:$B$4))</f>
        <v>0</v>
      </c>
      <c r="B1352" s="2" t="b">
        <f>IF(ISBLANK(InfoGard!E1352),FALSE,RIGHT(TRIM(InfoGard!E1352),15))</f>
        <v>0</v>
      </c>
      <c r="C1352" s="2" t="b">
        <f>IF(ISBLANK(InfoGard!F1352),FALSE,LOOKUP(InfoGard!F1352,Lookup!$A$6:$B$7))</f>
        <v>0</v>
      </c>
      <c r="D1352" s="2" t="b">
        <f>IF(ISBLANK(InfoGard!G1352),FALSE,InfoGard!G1352)</f>
        <v>0</v>
      </c>
      <c r="E1352" s="2" t="str">
        <f>IF(NOT(ISBLANK(InfoGard!D1352)),IF(OR(ISBLANK(InfoGard!E1352),InfoGard!E1352="N/A"),"no acb code",CONCATENATE(Lookup!F$1,A1352,Lookup!G$1,B1352,Lookup!H$1,H$1,Lookup!I$1)),"no attestation")</f>
        <v>no attestation</v>
      </c>
      <c r="F1352" s="2" t="str">
        <f>IF(AND(NOT(ISBLANK(InfoGard!G1352)),InfoGard!G1352&lt;&gt;"N/A"),IF(C1352="All",CONCATENATE(Lookup!F$2,D1352,Lookup!G$2,B1352,Lookup!H$2,H$1,Lookup!I$2),CONCATENATE(Lookup!F$3,D1352,Lookup!G$3,B1352,Lookup!H$3)),"no url")</f>
        <v>no url</v>
      </c>
    </row>
    <row r="1353" spans="1:6" hidden="1" x14ac:dyDescent="0.25">
      <c r="A1353" s="2" t="b">
        <f>IF(ISBLANK(InfoGard!D1353),FALSE,LOOKUP(InfoGard!D1353,Lookup!$A$2:$B$4))</f>
        <v>0</v>
      </c>
      <c r="B1353" s="2" t="b">
        <f>IF(ISBLANK(InfoGard!E1353),FALSE,RIGHT(TRIM(InfoGard!E1353),15))</f>
        <v>0</v>
      </c>
      <c r="C1353" s="2" t="b">
        <f>IF(ISBLANK(InfoGard!F1353),FALSE,LOOKUP(InfoGard!F1353,Lookup!$A$6:$B$7))</f>
        <v>0</v>
      </c>
      <c r="D1353" s="2" t="b">
        <f>IF(ISBLANK(InfoGard!G1353),FALSE,InfoGard!G1353)</f>
        <v>0</v>
      </c>
      <c r="E1353" s="2" t="str">
        <f>IF(NOT(ISBLANK(InfoGard!D1353)),IF(OR(ISBLANK(InfoGard!E1353),InfoGard!E1353="N/A"),"no acb code",CONCATENATE(Lookup!F$1,A1353,Lookup!G$1,B1353,Lookup!H$1,H$1,Lookup!I$1)),"no attestation")</f>
        <v>no attestation</v>
      </c>
      <c r="F1353" s="2" t="str">
        <f>IF(AND(NOT(ISBLANK(InfoGard!G1353)),InfoGard!G1353&lt;&gt;"N/A"),IF(C1353="All",CONCATENATE(Lookup!F$2,D1353,Lookup!G$2,B1353,Lookup!H$2,H$1,Lookup!I$2),CONCATENATE(Lookup!F$3,D1353,Lookup!G$3,B1353,Lookup!H$3)),"no url")</f>
        <v>no url</v>
      </c>
    </row>
    <row r="1354" spans="1:6" hidden="1" x14ac:dyDescent="0.25">
      <c r="A1354" s="2" t="b">
        <f>IF(ISBLANK(InfoGard!D1354),FALSE,LOOKUP(InfoGard!D1354,Lookup!$A$2:$B$4))</f>
        <v>0</v>
      </c>
      <c r="B1354" s="2" t="b">
        <f>IF(ISBLANK(InfoGard!E1354),FALSE,RIGHT(TRIM(InfoGard!E1354),15))</f>
        <v>0</v>
      </c>
      <c r="C1354" s="2" t="b">
        <f>IF(ISBLANK(InfoGard!F1354),FALSE,LOOKUP(InfoGard!F1354,Lookup!$A$6:$B$7))</f>
        <v>0</v>
      </c>
      <c r="D1354" s="2" t="b">
        <f>IF(ISBLANK(InfoGard!G1354),FALSE,InfoGard!G1354)</f>
        <v>0</v>
      </c>
      <c r="E1354" s="2" t="str">
        <f>IF(NOT(ISBLANK(InfoGard!D1354)),IF(OR(ISBLANK(InfoGard!E1354),InfoGard!E1354="N/A"),"no acb code",CONCATENATE(Lookup!F$1,A1354,Lookup!G$1,B1354,Lookup!H$1,H$1,Lookup!I$1)),"no attestation")</f>
        <v>no attestation</v>
      </c>
      <c r="F1354" s="2" t="str">
        <f>IF(AND(NOT(ISBLANK(InfoGard!G1354)),InfoGard!G1354&lt;&gt;"N/A"),IF(C1354="All",CONCATENATE(Lookup!F$2,D1354,Lookup!G$2,B1354,Lookup!H$2,H$1,Lookup!I$2),CONCATENATE(Lookup!F$3,D1354,Lookup!G$3,B1354,Lookup!H$3)),"no url")</f>
        <v>no url</v>
      </c>
    </row>
    <row r="1355" spans="1:6" hidden="1" x14ac:dyDescent="0.25">
      <c r="A1355" s="2" t="b">
        <f>IF(ISBLANK(InfoGard!D1355),FALSE,LOOKUP(InfoGard!D1355,Lookup!$A$2:$B$4))</f>
        <v>0</v>
      </c>
      <c r="B1355" s="2" t="b">
        <f>IF(ISBLANK(InfoGard!E1355),FALSE,RIGHT(TRIM(InfoGard!E1355),15))</f>
        <v>0</v>
      </c>
      <c r="C1355" s="2" t="b">
        <f>IF(ISBLANK(InfoGard!F1355),FALSE,LOOKUP(InfoGard!F1355,Lookup!$A$6:$B$7))</f>
        <v>0</v>
      </c>
      <c r="D1355" s="2" t="b">
        <f>IF(ISBLANK(InfoGard!G1355),FALSE,InfoGard!G1355)</f>
        <v>0</v>
      </c>
      <c r="E1355" s="2" t="str">
        <f>IF(NOT(ISBLANK(InfoGard!D1355)),IF(OR(ISBLANK(InfoGard!E1355),InfoGard!E1355="N/A"),"no acb code",CONCATENATE(Lookup!F$1,A1355,Lookup!G$1,B1355,Lookup!H$1,H$1,Lookup!I$1)),"no attestation")</f>
        <v>no attestation</v>
      </c>
      <c r="F1355" s="2" t="str">
        <f>IF(AND(NOT(ISBLANK(InfoGard!G1355)),InfoGard!G1355&lt;&gt;"N/A"),IF(C1355="All",CONCATENATE(Lookup!F$2,D1355,Lookup!G$2,B1355,Lookup!H$2,H$1,Lookup!I$2),CONCATENATE(Lookup!F$3,D1355,Lookup!G$3,B1355,Lookup!H$3)),"no url")</f>
        <v>no url</v>
      </c>
    </row>
    <row r="1356" spans="1:6" hidden="1" x14ac:dyDescent="0.25">
      <c r="A1356" s="2" t="b">
        <f>IF(ISBLANK(InfoGard!D1356),FALSE,LOOKUP(InfoGard!D1356,Lookup!$A$2:$B$4))</f>
        <v>0</v>
      </c>
      <c r="B1356" s="2" t="b">
        <f>IF(ISBLANK(InfoGard!E1356),FALSE,RIGHT(TRIM(InfoGard!E1356),15))</f>
        <v>0</v>
      </c>
      <c r="C1356" s="2" t="b">
        <f>IF(ISBLANK(InfoGard!F1356),FALSE,LOOKUP(InfoGard!F1356,Lookup!$A$6:$B$7))</f>
        <v>0</v>
      </c>
      <c r="D1356" s="2" t="b">
        <f>IF(ISBLANK(InfoGard!G1356),FALSE,InfoGard!G1356)</f>
        <v>0</v>
      </c>
      <c r="E1356" s="2" t="str">
        <f>IF(NOT(ISBLANK(InfoGard!D1356)),IF(OR(ISBLANK(InfoGard!E1356),InfoGard!E1356="N/A"),"no acb code",CONCATENATE(Lookup!F$1,A1356,Lookup!G$1,B1356,Lookup!H$1,H$1,Lookup!I$1)),"no attestation")</f>
        <v>no attestation</v>
      </c>
      <c r="F1356" s="2" t="str">
        <f>IF(AND(NOT(ISBLANK(InfoGard!G1356)),InfoGard!G1356&lt;&gt;"N/A"),IF(C1356="All",CONCATENATE(Lookup!F$2,D1356,Lookup!G$2,B1356,Lookup!H$2,H$1,Lookup!I$2),CONCATENATE(Lookup!F$3,D1356,Lookup!G$3,B1356,Lookup!H$3)),"no url")</f>
        <v>no url</v>
      </c>
    </row>
    <row r="1357" spans="1:6" hidden="1" x14ac:dyDescent="0.25">
      <c r="A1357" s="2" t="b">
        <f>IF(ISBLANK(InfoGard!D1357),FALSE,LOOKUP(InfoGard!D1357,Lookup!$A$2:$B$4))</f>
        <v>0</v>
      </c>
      <c r="B1357" s="2" t="b">
        <f>IF(ISBLANK(InfoGard!E1357),FALSE,RIGHT(TRIM(InfoGard!E1357),15))</f>
        <v>0</v>
      </c>
      <c r="C1357" s="2" t="b">
        <f>IF(ISBLANK(InfoGard!F1357),FALSE,LOOKUP(InfoGard!F1357,Lookup!$A$6:$B$7))</f>
        <v>0</v>
      </c>
      <c r="D1357" s="2" t="b">
        <f>IF(ISBLANK(InfoGard!G1357),FALSE,InfoGard!G1357)</f>
        <v>0</v>
      </c>
      <c r="E1357" s="2" t="str">
        <f>IF(NOT(ISBLANK(InfoGard!D1357)),IF(OR(ISBLANK(InfoGard!E1357),InfoGard!E1357="N/A"),"no acb code",CONCATENATE(Lookup!F$1,A1357,Lookup!G$1,B1357,Lookup!H$1,H$1,Lookup!I$1)),"no attestation")</f>
        <v>no attestation</v>
      </c>
      <c r="F1357" s="2" t="str">
        <f>IF(AND(NOT(ISBLANK(InfoGard!G1357)),InfoGard!G1357&lt;&gt;"N/A"),IF(C1357="All",CONCATENATE(Lookup!F$2,D1357,Lookup!G$2,B1357,Lookup!H$2,H$1,Lookup!I$2),CONCATENATE(Lookup!F$3,D1357,Lookup!G$3,B1357,Lookup!H$3)),"no url")</f>
        <v>no url</v>
      </c>
    </row>
    <row r="1358" spans="1:6" hidden="1" x14ac:dyDescent="0.25">
      <c r="A1358" s="2" t="b">
        <f>IF(ISBLANK(InfoGard!D1358),FALSE,LOOKUP(InfoGard!D1358,Lookup!$A$2:$B$4))</f>
        <v>0</v>
      </c>
      <c r="B1358" s="2" t="b">
        <f>IF(ISBLANK(InfoGard!E1358),FALSE,RIGHT(TRIM(InfoGard!E1358),15))</f>
        <v>0</v>
      </c>
      <c r="C1358" s="2" t="b">
        <f>IF(ISBLANK(InfoGard!F1358),FALSE,LOOKUP(InfoGard!F1358,Lookup!$A$6:$B$7))</f>
        <v>0</v>
      </c>
      <c r="D1358" s="2" t="b">
        <f>IF(ISBLANK(InfoGard!G1358),FALSE,InfoGard!G1358)</f>
        <v>0</v>
      </c>
      <c r="E1358" s="2" t="str">
        <f>IF(NOT(ISBLANK(InfoGard!D1358)),IF(OR(ISBLANK(InfoGard!E1358),InfoGard!E1358="N/A"),"no acb code",CONCATENATE(Lookup!F$1,A1358,Lookup!G$1,B1358,Lookup!H$1,H$1,Lookup!I$1)),"no attestation")</f>
        <v>no attestation</v>
      </c>
      <c r="F1358" s="2" t="str">
        <f>IF(AND(NOT(ISBLANK(InfoGard!G1358)),InfoGard!G1358&lt;&gt;"N/A"),IF(C1358="All",CONCATENATE(Lookup!F$2,D1358,Lookup!G$2,B1358,Lookup!H$2,H$1,Lookup!I$2),CONCATENATE(Lookup!F$3,D1358,Lookup!G$3,B1358,Lookup!H$3)),"no url")</f>
        <v>no url</v>
      </c>
    </row>
    <row r="1359" spans="1:6" hidden="1" x14ac:dyDescent="0.25">
      <c r="A1359" s="2" t="b">
        <f>IF(ISBLANK(InfoGard!D1359),FALSE,LOOKUP(InfoGard!D1359,Lookup!$A$2:$B$4))</f>
        <v>0</v>
      </c>
      <c r="B1359" s="2" t="b">
        <f>IF(ISBLANK(InfoGard!E1359),FALSE,RIGHT(TRIM(InfoGard!E1359),15))</f>
        <v>0</v>
      </c>
      <c r="C1359" s="2" t="b">
        <f>IF(ISBLANK(InfoGard!F1359),FALSE,LOOKUP(InfoGard!F1359,Lookup!$A$6:$B$7))</f>
        <v>0</v>
      </c>
      <c r="D1359" s="2" t="b">
        <f>IF(ISBLANK(InfoGard!G1359),FALSE,InfoGard!G1359)</f>
        <v>0</v>
      </c>
      <c r="E1359" s="2" t="str">
        <f>IF(NOT(ISBLANK(InfoGard!D1359)),IF(OR(ISBLANK(InfoGard!E1359),InfoGard!E1359="N/A"),"no acb code",CONCATENATE(Lookup!F$1,A1359,Lookup!G$1,B1359,Lookup!H$1,H$1,Lookup!I$1)),"no attestation")</f>
        <v>no attestation</v>
      </c>
      <c r="F1359" s="2" t="str">
        <f>IF(AND(NOT(ISBLANK(InfoGard!G1359)),InfoGard!G1359&lt;&gt;"N/A"),IF(C1359="All",CONCATENATE(Lookup!F$2,D1359,Lookup!G$2,B1359,Lookup!H$2,H$1,Lookup!I$2),CONCATENATE(Lookup!F$3,D1359,Lookup!G$3,B1359,Lookup!H$3)),"no url")</f>
        <v>no url</v>
      </c>
    </row>
    <row r="1360" spans="1:6" hidden="1" x14ac:dyDescent="0.25">
      <c r="A1360" s="2" t="b">
        <f>IF(ISBLANK(InfoGard!D1360),FALSE,LOOKUP(InfoGard!D1360,Lookup!$A$2:$B$4))</f>
        <v>0</v>
      </c>
      <c r="B1360" s="2" t="b">
        <f>IF(ISBLANK(InfoGard!E1360),FALSE,RIGHT(TRIM(InfoGard!E1360),15))</f>
        <v>0</v>
      </c>
      <c r="C1360" s="2" t="b">
        <f>IF(ISBLANK(InfoGard!F1360),FALSE,LOOKUP(InfoGard!F1360,Lookup!$A$6:$B$7))</f>
        <v>0</v>
      </c>
      <c r="D1360" s="2" t="b">
        <f>IF(ISBLANK(InfoGard!G1360),FALSE,InfoGard!G1360)</f>
        <v>0</v>
      </c>
      <c r="E1360" s="2" t="str">
        <f>IF(NOT(ISBLANK(InfoGard!D1360)),IF(OR(ISBLANK(InfoGard!E1360),InfoGard!E1360="N/A"),"no acb code",CONCATENATE(Lookup!F$1,A1360,Lookup!G$1,B1360,Lookup!H$1,H$1,Lookup!I$1)),"no attestation")</f>
        <v>no attestation</v>
      </c>
      <c r="F1360" s="2" t="str">
        <f>IF(AND(NOT(ISBLANK(InfoGard!G1360)),InfoGard!G1360&lt;&gt;"N/A"),IF(C1360="All",CONCATENATE(Lookup!F$2,D1360,Lookup!G$2,B1360,Lookup!H$2,H$1,Lookup!I$2),CONCATENATE(Lookup!F$3,D1360,Lookup!G$3,B1360,Lookup!H$3)),"no url")</f>
        <v>no url</v>
      </c>
    </row>
    <row r="1361" spans="1:6" hidden="1" x14ac:dyDescent="0.25">
      <c r="A1361" s="2" t="b">
        <f>IF(ISBLANK(InfoGard!D1361),FALSE,LOOKUP(InfoGard!D1361,Lookup!$A$2:$B$4))</f>
        <v>0</v>
      </c>
      <c r="B1361" s="2" t="b">
        <f>IF(ISBLANK(InfoGard!E1361),FALSE,RIGHT(TRIM(InfoGard!E1361),15))</f>
        <v>0</v>
      </c>
      <c r="C1361" s="2" t="b">
        <f>IF(ISBLANK(InfoGard!F1361),FALSE,LOOKUP(InfoGard!F1361,Lookup!$A$6:$B$7))</f>
        <v>0</v>
      </c>
      <c r="D1361" s="2" t="b">
        <f>IF(ISBLANK(InfoGard!G1361),FALSE,InfoGard!G1361)</f>
        <v>0</v>
      </c>
      <c r="E1361" s="2" t="str">
        <f>IF(NOT(ISBLANK(InfoGard!D1361)),IF(OR(ISBLANK(InfoGard!E1361),InfoGard!E1361="N/A"),"no acb code",CONCATENATE(Lookup!F$1,A1361,Lookup!G$1,B1361,Lookup!H$1,H$1,Lookup!I$1)),"no attestation")</f>
        <v>no attestation</v>
      </c>
      <c r="F1361" s="2" t="str">
        <f>IF(AND(NOT(ISBLANK(InfoGard!G1361)),InfoGard!G1361&lt;&gt;"N/A"),IF(C1361="All",CONCATENATE(Lookup!F$2,D1361,Lookup!G$2,B1361,Lookup!H$2,H$1,Lookup!I$2),CONCATENATE(Lookup!F$3,D1361,Lookup!G$3,B1361,Lookup!H$3)),"no url")</f>
        <v>no url</v>
      </c>
    </row>
    <row r="1362" spans="1:6" hidden="1" x14ac:dyDescent="0.25">
      <c r="A1362" s="2" t="b">
        <f>IF(ISBLANK(InfoGard!D1362),FALSE,LOOKUP(InfoGard!D1362,Lookup!$A$2:$B$4))</f>
        <v>0</v>
      </c>
      <c r="B1362" s="2" t="b">
        <f>IF(ISBLANK(InfoGard!E1362),FALSE,RIGHT(TRIM(InfoGard!E1362),15))</f>
        <v>0</v>
      </c>
      <c r="C1362" s="2" t="b">
        <f>IF(ISBLANK(InfoGard!F1362),FALSE,LOOKUP(InfoGard!F1362,Lookup!$A$6:$B$7))</f>
        <v>0</v>
      </c>
      <c r="D1362" s="2" t="b">
        <f>IF(ISBLANK(InfoGard!G1362),FALSE,InfoGard!G1362)</f>
        <v>0</v>
      </c>
      <c r="E1362" s="2" t="str">
        <f>IF(NOT(ISBLANK(InfoGard!D1362)),IF(OR(ISBLANK(InfoGard!E1362),InfoGard!E1362="N/A"),"no acb code",CONCATENATE(Lookup!F$1,A1362,Lookup!G$1,B1362,Lookup!H$1,H$1,Lookup!I$1)),"no attestation")</f>
        <v>no attestation</v>
      </c>
      <c r="F1362" s="2" t="str">
        <f>IF(AND(NOT(ISBLANK(InfoGard!G1362)),InfoGard!G1362&lt;&gt;"N/A"),IF(C1362="All",CONCATENATE(Lookup!F$2,D1362,Lookup!G$2,B1362,Lookup!H$2,H$1,Lookup!I$2),CONCATENATE(Lookup!F$3,D1362,Lookup!G$3,B1362,Lookup!H$3)),"no url")</f>
        <v>no url</v>
      </c>
    </row>
    <row r="1363" spans="1:6" hidden="1" x14ac:dyDescent="0.25">
      <c r="A1363" s="2" t="b">
        <f>IF(ISBLANK(InfoGard!D1363),FALSE,LOOKUP(InfoGard!D1363,Lookup!$A$2:$B$4))</f>
        <v>0</v>
      </c>
      <c r="B1363" s="2" t="b">
        <f>IF(ISBLANK(InfoGard!E1363),FALSE,RIGHT(TRIM(InfoGard!E1363),15))</f>
        <v>0</v>
      </c>
      <c r="C1363" s="2" t="b">
        <f>IF(ISBLANK(InfoGard!F1363),FALSE,LOOKUP(InfoGard!F1363,Lookup!$A$6:$B$7))</f>
        <v>0</v>
      </c>
      <c r="D1363" s="2" t="b">
        <f>IF(ISBLANK(InfoGard!G1363),FALSE,InfoGard!G1363)</f>
        <v>0</v>
      </c>
      <c r="E1363" s="2" t="str">
        <f>IF(NOT(ISBLANK(InfoGard!D1363)),IF(OR(ISBLANK(InfoGard!E1363),InfoGard!E1363="N/A"),"no acb code",CONCATENATE(Lookup!F$1,A1363,Lookup!G$1,B1363,Lookup!H$1,H$1,Lookup!I$1)),"no attestation")</f>
        <v>no attestation</v>
      </c>
      <c r="F1363" s="2" t="str">
        <f>IF(AND(NOT(ISBLANK(InfoGard!G1363)),InfoGard!G1363&lt;&gt;"N/A"),IF(C1363="All",CONCATENATE(Lookup!F$2,D1363,Lookup!G$2,B1363,Lookup!H$2,H$1,Lookup!I$2),CONCATENATE(Lookup!F$3,D1363,Lookup!G$3,B1363,Lookup!H$3)),"no url")</f>
        <v>no url</v>
      </c>
    </row>
    <row r="1364" spans="1:6" hidden="1" x14ac:dyDescent="0.25">
      <c r="A1364" s="2" t="b">
        <f>IF(ISBLANK(InfoGard!D1364),FALSE,LOOKUP(InfoGard!D1364,Lookup!$A$2:$B$4))</f>
        <v>0</v>
      </c>
      <c r="B1364" s="2" t="b">
        <f>IF(ISBLANK(InfoGard!E1364),FALSE,RIGHT(TRIM(InfoGard!E1364),15))</f>
        <v>0</v>
      </c>
      <c r="C1364" s="2" t="b">
        <f>IF(ISBLANK(InfoGard!F1364),FALSE,LOOKUP(InfoGard!F1364,Lookup!$A$6:$B$7))</f>
        <v>0</v>
      </c>
      <c r="D1364" s="2" t="b">
        <f>IF(ISBLANK(InfoGard!G1364),FALSE,InfoGard!G1364)</f>
        <v>0</v>
      </c>
      <c r="E1364" s="2" t="str">
        <f>IF(NOT(ISBLANK(InfoGard!D1364)),IF(OR(ISBLANK(InfoGard!E1364),InfoGard!E1364="N/A"),"no acb code",CONCATENATE(Lookup!F$1,A1364,Lookup!G$1,B1364,Lookup!H$1,H$1,Lookup!I$1)),"no attestation")</f>
        <v>no attestation</v>
      </c>
      <c r="F1364" s="2" t="str">
        <f>IF(AND(NOT(ISBLANK(InfoGard!G1364)),InfoGard!G1364&lt;&gt;"N/A"),IF(C1364="All",CONCATENATE(Lookup!F$2,D1364,Lookup!G$2,B1364,Lookup!H$2,H$1,Lookup!I$2),CONCATENATE(Lookup!F$3,D1364,Lookup!G$3,B1364,Lookup!H$3)),"no url")</f>
        <v>no url</v>
      </c>
    </row>
    <row r="1365" spans="1:6" hidden="1" x14ac:dyDescent="0.25">
      <c r="A1365" s="2" t="b">
        <f>IF(ISBLANK(InfoGard!D1365),FALSE,LOOKUP(InfoGard!D1365,Lookup!$A$2:$B$4))</f>
        <v>0</v>
      </c>
      <c r="B1365" s="2" t="b">
        <f>IF(ISBLANK(InfoGard!E1365),FALSE,RIGHT(TRIM(InfoGard!E1365),15))</f>
        <v>0</v>
      </c>
      <c r="C1365" s="2" t="b">
        <f>IF(ISBLANK(InfoGard!F1365),FALSE,LOOKUP(InfoGard!F1365,Lookup!$A$6:$B$7))</f>
        <v>0</v>
      </c>
      <c r="D1365" s="2" t="b">
        <f>IF(ISBLANK(InfoGard!G1365),FALSE,InfoGard!G1365)</f>
        <v>0</v>
      </c>
      <c r="E1365" s="2" t="str">
        <f>IF(NOT(ISBLANK(InfoGard!D1365)),IF(OR(ISBLANK(InfoGard!E1365),InfoGard!E1365="N/A"),"no acb code",CONCATENATE(Lookup!F$1,A1365,Lookup!G$1,B1365,Lookup!H$1,H$1,Lookup!I$1)),"no attestation")</f>
        <v>no attestation</v>
      </c>
      <c r="F1365" s="2" t="str">
        <f>IF(AND(NOT(ISBLANK(InfoGard!G1365)),InfoGard!G1365&lt;&gt;"N/A"),IF(C1365="All",CONCATENATE(Lookup!F$2,D1365,Lookup!G$2,B1365,Lookup!H$2,H$1,Lookup!I$2),CONCATENATE(Lookup!F$3,D1365,Lookup!G$3,B1365,Lookup!H$3)),"no url")</f>
        <v>no url</v>
      </c>
    </row>
    <row r="1366" spans="1:6" hidden="1" x14ac:dyDescent="0.25">
      <c r="A1366" s="2" t="b">
        <f>IF(ISBLANK(InfoGard!D1366),FALSE,LOOKUP(InfoGard!D1366,Lookup!$A$2:$B$4))</f>
        <v>0</v>
      </c>
      <c r="B1366" s="2" t="b">
        <f>IF(ISBLANK(InfoGard!E1366),FALSE,RIGHT(TRIM(InfoGard!E1366),15))</f>
        <v>0</v>
      </c>
      <c r="C1366" s="2" t="b">
        <f>IF(ISBLANK(InfoGard!F1366),FALSE,LOOKUP(InfoGard!F1366,Lookup!$A$6:$B$7))</f>
        <v>0</v>
      </c>
      <c r="D1366" s="2" t="b">
        <f>IF(ISBLANK(InfoGard!G1366),FALSE,InfoGard!G1366)</f>
        <v>0</v>
      </c>
      <c r="E1366" s="2" t="str">
        <f>IF(NOT(ISBLANK(InfoGard!D1366)),IF(OR(ISBLANK(InfoGard!E1366),InfoGard!E1366="N/A"),"no acb code",CONCATENATE(Lookup!F$1,A1366,Lookup!G$1,B1366,Lookup!H$1,H$1,Lookup!I$1)),"no attestation")</f>
        <v>no attestation</v>
      </c>
      <c r="F1366" s="2" t="str">
        <f>IF(AND(NOT(ISBLANK(InfoGard!G1366)),InfoGard!G1366&lt;&gt;"N/A"),IF(C1366="All",CONCATENATE(Lookup!F$2,D1366,Lookup!G$2,B1366,Lookup!H$2,H$1,Lookup!I$2),CONCATENATE(Lookup!F$3,D1366,Lookup!G$3,B1366,Lookup!H$3)),"no url")</f>
        <v>no url</v>
      </c>
    </row>
    <row r="1367" spans="1:6" hidden="1" x14ac:dyDescent="0.25">
      <c r="A1367" s="2" t="b">
        <f>IF(ISBLANK(InfoGard!D1367),FALSE,LOOKUP(InfoGard!D1367,Lookup!$A$2:$B$4))</f>
        <v>0</v>
      </c>
      <c r="B1367" s="2" t="b">
        <f>IF(ISBLANK(InfoGard!E1367),FALSE,RIGHT(TRIM(InfoGard!E1367),15))</f>
        <v>0</v>
      </c>
      <c r="C1367" s="2" t="b">
        <f>IF(ISBLANK(InfoGard!F1367),FALSE,LOOKUP(InfoGard!F1367,Lookup!$A$6:$B$7))</f>
        <v>0</v>
      </c>
      <c r="D1367" s="2" t="b">
        <f>IF(ISBLANK(InfoGard!G1367),FALSE,InfoGard!G1367)</f>
        <v>0</v>
      </c>
      <c r="E1367" s="2" t="str">
        <f>IF(NOT(ISBLANK(InfoGard!D1367)),IF(OR(ISBLANK(InfoGard!E1367),InfoGard!E1367="N/A"),"no acb code",CONCATENATE(Lookup!F$1,A1367,Lookup!G$1,B1367,Lookup!H$1,H$1,Lookup!I$1)),"no attestation")</f>
        <v>no attestation</v>
      </c>
      <c r="F1367" s="2" t="str">
        <f>IF(AND(NOT(ISBLANK(InfoGard!G1367)),InfoGard!G1367&lt;&gt;"N/A"),IF(C1367="All",CONCATENATE(Lookup!F$2,D1367,Lookup!G$2,B1367,Lookup!H$2,H$1,Lookup!I$2),CONCATENATE(Lookup!F$3,D1367,Lookup!G$3,B1367,Lookup!H$3)),"no url")</f>
        <v>no url</v>
      </c>
    </row>
    <row r="1368" spans="1:6" hidden="1" x14ac:dyDescent="0.25">
      <c r="A1368" s="2" t="b">
        <f>IF(ISBLANK(InfoGard!D1368),FALSE,LOOKUP(InfoGard!D1368,Lookup!$A$2:$B$4))</f>
        <v>0</v>
      </c>
      <c r="B1368" s="2" t="b">
        <f>IF(ISBLANK(InfoGard!E1368),FALSE,RIGHT(TRIM(InfoGard!E1368),15))</f>
        <v>0</v>
      </c>
      <c r="C1368" s="2" t="b">
        <f>IF(ISBLANK(InfoGard!F1368),FALSE,LOOKUP(InfoGard!F1368,Lookup!$A$6:$B$7))</f>
        <v>0</v>
      </c>
      <c r="D1368" s="2" t="b">
        <f>IF(ISBLANK(InfoGard!G1368),FALSE,InfoGard!G1368)</f>
        <v>0</v>
      </c>
      <c r="E1368" s="2" t="str">
        <f>IF(NOT(ISBLANK(InfoGard!D1368)),IF(OR(ISBLANK(InfoGard!E1368),InfoGard!E1368="N/A"),"no acb code",CONCATENATE(Lookup!F$1,A1368,Lookup!G$1,B1368,Lookup!H$1,H$1,Lookup!I$1)),"no attestation")</f>
        <v>no attestation</v>
      </c>
      <c r="F1368" s="2" t="str">
        <f>IF(AND(NOT(ISBLANK(InfoGard!G1368)),InfoGard!G1368&lt;&gt;"N/A"),IF(C1368="All",CONCATENATE(Lookup!F$2,D1368,Lookup!G$2,B1368,Lookup!H$2,H$1,Lookup!I$2),CONCATENATE(Lookup!F$3,D1368,Lookup!G$3,B1368,Lookup!H$3)),"no url")</f>
        <v>no url</v>
      </c>
    </row>
    <row r="1369" spans="1:6" hidden="1" x14ac:dyDescent="0.25">
      <c r="A1369" s="2" t="b">
        <f>IF(ISBLANK(InfoGard!D1369),FALSE,LOOKUP(InfoGard!D1369,Lookup!$A$2:$B$4))</f>
        <v>0</v>
      </c>
      <c r="B1369" s="2" t="b">
        <f>IF(ISBLANK(InfoGard!E1369),FALSE,RIGHT(TRIM(InfoGard!E1369),15))</f>
        <v>0</v>
      </c>
      <c r="C1369" s="2" t="b">
        <f>IF(ISBLANK(InfoGard!F1369),FALSE,LOOKUP(InfoGard!F1369,Lookup!$A$6:$B$7))</f>
        <v>0</v>
      </c>
      <c r="D1369" s="2" t="b">
        <f>IF(ISBLANK(InfoGard!G1369),FALSE,InfoGard!G1369)</f>
        <v>0</v>
      </c>
      <c r="E1369" s="2" t="str">
        <f>IF(NOT(ISBLANK(InfoGard!D1369)),IF(OR(ISBLANK(InfoGard!E1369),InfoGard!E1369="N/A"),"no acb code",CONCATENATE(Lookup!F$1,A1369,Lookup!G$1,B1369,Lookup!H$1,H$1,Lookup!I$1)),"no attestation")</f>
        <v>no attestation</v>
      </c>
      <c r="F1369" s="2" t="str">
        <f>IF(AND(NOT(ISBLANK(InfoGard!G1369)),InfoGard!G1369&lt;&gt;"N/A"),IF(C1369="All",CONCATENATE(Lookup!F$2,D1369,Lookup!G$2,B1369,Lookup!H$2,H$1,Lookup!I$2),CONCATENATE(Lookup!F$3,D1369,Lookup!G$3,B1369,Lookup!H$3)),"no url")</f>
        <v>no url</v>
      </c>
    </row>
    <row r="1370" spans="1:6" hidden="1" x14ac:dyDescent="0.25">
      <c r="A1370" s="2" t="b">
        <f>IF(ISBLANK(InfoGard!D1370),FALSE,LOOKUP(InfoGard!D1370,Lookup!$A$2:$B$4))</f>
        <v>0</v>
      </c>
      <c r="B1370" s="2" t="b">
        <f>IF(ISBLANK(InfoGard!E1370),FALSE,RIGHT(TRIM(InfoGard!E1370),15))</f>
        <v>0</v>
      </c>
      <c r="C1370" s="2" t="b">
        <f>IF(ISBLANK(InfoGard!F1370),FALSE,LOOKUP(InfoGard!F1370,Lookup!$A$6:$B$7))</f>
        <v>0</v>
      </c>
      <c r="D1370" s="2" t="b">
        <f>IF(ISBLANK(InfoGard!G1370),FALSE,InfoGard!G1370)</f>
        <v>0</v>
      </c>
      <c r="E1370" s="2" t="str">
        <f>IF(NOT(ISBLANK(InfoGard!D1370)),IF(OR(ISBLANK(InfoGard!E1370),InfoGard!E1370="N/A"),"no acb code",CONCATENATE(Lookup!F$1,A1370,Lookup!G$1,B1370,Lookup!H$1,H$1,Lookup!I$1)),"no attestation")</f>
        <v>no attestation</v>
      </c>
      <c r="F1370" s="2" t="str">
        <f>IF(AND(NOT(ISBLANK(InfoGard!G1370)),InfoGard!G1370&lt;&gt;"N/A"),IF(C1370="All",CONCATENATE(Lookup!F$2,D1370,Lookup!G$2,B1370,Lookup!H$2,H$1,Lookup!I$2),CONCATENATE(Lookup!F$3,D1370,Lookup!G$3,B1370,Lookup!H$3)),"no url")</f>
        <v>no url</v>
      </c>
    </row>
    <row r="1371" spans="1:6" hidden="1" x14ac:dyDescent="0.25">
      <c r="A1371" s="2" t="b">
        <f>IF(ISBLANK(InfoGard!D1371),FALSE,LOOKUP(InfoGard!D1371,Lookup!$A$2:$B$4))</f>
        <v>0</v>
      </c>
      <c r="B1371" s="2" t="b">
        <f>IF(ISBLANK(InfoGard!E1371),FALSE,RIGHT(TRIM(InfoGard!E1371),15))</f>
        <v>0</v>
      </c>
      <c r="C1371" s="2" t="b">
        <f>IF(ISBLANK(InfoGard!F1371),FALSE,LOOKUP(InfoGard!F1371,Lookup!$A$6:$B$7))</f>
        <v>0</v>
      </c>
      <c r="D1371" s="2" t="b">
        <f>IF(ISBLANK(InfoGard!G1371),FALSE,InfoGard!G1371)</f>
        <v>0</v>
      </c>
      <c r="E1371" s="2" t="str">
        <f>IF(NOT(ISBLANK(InfoGard!D1371)),IF(OR(ISBLANK(InfoGard!E1371),InfoGard!E1371="N/A"),"no acb code",CONCATENATE(Lookup!F$1,A1371,Lookup!G$1,B1371,Lookup!H$1,H$1,Lookup!I$1)),"no attestation")</f>
        <v>no attestation</v>
      </c>
      <c r="F1371" s="2" t="str">
        <f>IF(AND(NOT(ISBLANK(InfoGard!G1371)),InfoGard!G1371&lt;&gt;"N/A"),IF(C1371="All",CONCATENATE(Lookup!F$2,D1371,Lookup!G$2,B1371,Lookup!H$2,H$1,Lookup!I$2),CONCATENATE(Lookup!F$3,D1371,Lookup!G$3,B1371,Lookup!H$3)),"no url")</f>
        <v>no url</v>
      </c>
    </row>
    <row r="1372" spans="1:6" hidden="1" x14ac:dyDescent="0.25">
      <c r="A1372" s="2" t="b">
        <f>IF(ISBLANK(InfoGard!D1372),FALSE,LOOKUP(InfoGard!D1372,Lookup!$A$2:$B$4))</f>
        <v>0</v>
      </c>
      <c r="B1372" s="2" t="b">
        <f>IF(ISBLANK(InfoGard!E1372),FALSE,RIGHT(TRIM(InfoGard!E1372),15))</f>
        <v>0</v>
      </c>
      <c r="C1372" s="2" t="b">
        <f>IF(ISBLANK(InfoGard!F1372),FALSE,LOOKUP(InfoGard!F1372,Lookup!$A$6:$B$7))</f>
        <v>0</v>
      </c>
      <c r="D1372" s="2" t="b">
        <f>IF(ISBLANK(InfoGard!G1372),FALSE,InfoGard!G1372)</f>
        <v>0</v>
      </c>
      <c r="E1372" s="2" t="str">
        <f>IF(NOT(ISBLANK(InfoGard!D1372)),IF(OR(ISBLANK(InfoGard!E1372),InfoGard!E1372="N/A"),"no acb code",CONCATENATE(Lookup!F$1,A1372,Lookup!G$1,B1372,Lookup!H$1,H$1,Lookup!I$1)),"no attestation")</f>
        <v>no attestation</v>
      </c>
      <c r="F1372" s="2" t="str">
        <f>IF(AND(NOT(ISBLANK(InfoGard!G1372)),InfoGard!G1372&lt;&gt;"N/A"),IF(C1372="All",CONCATENATE(Lookup!F$2,D1372,Lookup!G$2,B1372,Lookup!H$2,H$1,Lookup!I$2),CONCATENATE(Lookup!F$3,D1372,Lookup!G$3,B1372,Lookup!H$3)),"no url")</f>
        <v>no url</v>
      </c>
    </row>
    <row r="1373" spans="1:6" hidden="1" x14ac:dyDescent="0.25">
      <c r="A1373" s="2" t="b">
        <f>IF(ISBLANK(InfoGard!D1373),FALSE,LOOKUP(InfoGard!D1373,Lookup!$A$2:$B$4))</f>
        <v>0</v>
      </c>
      <c r="B1373" s="2" t="b">
        <f>IF(ISBLANK(InfoGard!E1373),FALSE,RIGHT(TRIM(InfoGard!E1373),15))</f>
        <v>0</v>
      </c>
      <c r="C1373" s="2" t="b">
        <f>IF(ISBLANK(InfoGard!F1373),FALSE,LOOKUP(InfoGard!F1373,Lookup!$A$6:$B$7))</f>
        <v>0</v>
      </c>
      <c r="D1373" s="2" t="b">
        <f>IF(ISBLANK(InfoGard!G1373),FALSE,InfoGard!G1373)</f>
        <v>0</v>
      </c>
      <c r="E1373" s="2" t="str">
        <f>IF(NOT(ISBLANK(InfoGard!D1373)),IF(OR(ISBLANK(InfoGard!E1373),InfoGard!E1373="N/A"),"no acb code",CONCATENATE(Lookup!F$1,A1373,Lookup!G$1,B1373,Lookup!H$1,H$1,Lookup!I$1)),"no attestation")</f>
        <v>no attestation</v>
      </c>
      <c r="F1373" s="2" t="str">
        <f>IF(AND(NOT(ISBLANK(InfoGard!G1373)),InfoGard!G1373&lt;&gt;"N/A"),IF(C1373="All",CONCATENATE(Lookup!F$2,D1373,Lookup!G$2,B1373,Lookup!H$2,H$1,Lookup!I$2),CONCATENATE(Lookup!F$3,D1373,Lookup!G$3,B1373,Lookup!H$3)),"no url")</f>
        <v>no url</v>
      </c>
    </row>
    <row r="1374" spans="1:6" hidden="1" x14ac:dyDescent="0.25">
      <c r="A1374" s="2" t="b">
        <f>IF(ISBLANK(InfoGard!D1374),FALSE,LOOKUP(InfoGard!D1374,Lookup!$A$2:$B$4))</f>
        <v>0</v>
      </c>
      <c r="B1374" s="2" t="b">
        <f>IF(ISBLANK(InfoGard!E1374),FALSE,RIGHT(TRIM(InfoGard!E1374),15))</f>
        <v>0</v>
      </c>
      <c r="C1374" s="2" t="b">
        <f>IF(ISBLANK(InfoGard!F1374),FALSE,LOOKUP(InfoGard!F1374,Lookup!$A$6:$B$7))</f>
        <v>0</v>
      </c>
      <c r="D1374" s="2" t="b">
        <f>IF(ISBLANK(InfoGard!G1374),FALSE,InfoGard!G1374)</f>
        <v>0</v>
      </c>
      <c r="E1374" s="2" t="str">
        <f>IF(NOT(ISBLANK(InfoGard!D1374)),IF(OR(ISBLANK(InfoGard!E1374),InfoGard!E1374="N/A"),"no acb code",CONCATENATE(Lookup!F$1,A1374,Lookup!G$1,B1374,Lookup!H$1,H$1,Lookup!I$1)),"no attestation")</f>
        <v>no attestation</v>
      </c>
      <c r="F1374" s="2" t="str">
        <f>IF(AND(NOT(ISBLANK(InfoGard!G1374)),InfoGard!G1374&lt;&gt;"N/A"),IF(C1374="All",CONCATENATE(Lookup!F$2,D1374,Lookup!G$2,B1374,Lookup!H$2,H$1,Lookup!I$2),CONCATENATE(Lookup!F$3,D1374,Lookup!G$3,B1374,Lookup!H$3)),"no url")</f>
        <v>no url</v>
      </c>
    </row>
    <row r="1375" spans="1:6" hidden="1" x14ac:dyDescent="0.25">
      <c r="A1375" s="2" t="b">
        <f>IF(ISBLANK(InfoGard!D1375),FALSE,LOOKUP(InfoGard!D1375,Lookup!$A$2:$B$4))</f>
        <v>0</v>
      </c>
      <c r="B1375" s="2" t="b">
        <f>IF(ISBLANK(InfoGard!E1375),FALSE,RIGHT(TRIM(InfoGard!E1375),15))</f>
        <v>0</v>
      </c>
      <c r="C1375" s="2" t="b">
        <f>IF(ISBLANK(InfoGard!F1375),FALSE,LOOKUP(InfoGard!F1375,Lookup!$A$6:$B$7))</f>
        <v>0</v>
      </c>
      <c r="D1375" s="2" t="b">
        <f>IF(ISBLANK(InfoGard!G1375),FALSE,InfoGard!G1375)</f>
        <v>0</v>
      </c>
      <c r="E1375" s="2" t="str">
        <f>IF(NOT(ISBLANK(InfoGard!D1375)),IF(OR(ISBLANK(InfoGard!E1375),InfoGard!E1375="N/A"),"no acb code",CONCATENATE(Lookup!F$1,A1375,Lookup!G$1,B1375,Lookup!H$1,H$1,Lookup!I$1)),"no attestation")</f>
        <v>no attestation</v>
      </c>
      <c r="F1375" s="2" t="str">
        <f>IF(AND(NOT(ISBLANK(InfoGard!G1375)),InfoGard!G1375&lt;&gt;"N/A"),IF(C1375="All",CONCATENATE(Lookup!F$2,D1375,Lookup!G$2,B1375,Lookup!H$2,H$1,Lookup!I$2),CONCATENATE(Lookup!F$3,D1375,Lookup!G$3,B1375,Lookup!H$3)),"no url")</f>
        <v>no url</v>
      </c>
    </row>
    <row r="1376" spans="1:6" hidden="1" x14ac:dyDescent="0.25">
      <c r="A1376" s="2" t="b">
        <f>IF(ISBLANK(InfoGard!D1376),FALSE,LOOKUP(InfoGard!D1376,Lookup!$A$2:$B$4))</f>
        <v>0</v>
      </c>
      <c r="B1376" s="2" t="b">
        <f>IF(ISBLANK(InfoGard!E1376),FALSE,RIGHT(TRIM(InfoGard!E1376),15))</f>
        <v>0</v>
      </c>
      <c r="C1376" s="2" t="b">
        <f>IF(ISBLANK(InfoGard!F1376),FALSE,LOOKUP(InfoGard!F1376,Lookup!$A$6:$B$7))</f>
        <v>0</v>
      </c>
      <c r="D1376" s="2" t="b">
        <f>IF(ISBLANK(InfoGard!G1376),FALSE,InfoGard!G1376)</f>
        <v>0</v>
      </c>
      <c r="E1376" s="2" t="str">
        <f>IF(NOT(ISBLANK(InfoGard!D1376)),IF(OR(ISBLANK(InfoGard!E1376),InfoGard!E1376="N/A"),"no acb code",CONCATENATE(Lookup!F$1,A1376,Lookup!G$1,B1376,Lookup!H$1,H$1,Lookup!I$1)),"no attestation")</f>
        <v>no attestation</v>
      </c>
      <c r="F1376" s="2" t="str">
        <f>IF(AND(NOT(ISBLANK(InfoGard!G1376)),InfoGard!G1376&lt;&gt;"N/A"),IF(C1376="All",CONCATENATE(Lookup!F$2,D1376,Lookup!G$2,B1376,Lookup!H$2,H$1,Lookup!I$2),CONCATENATE(Lookup!F$3,D1376,Lookup!G$3,B1376,Lookup!H$3)),"no url")</f>
        <v>no url</v>
      </c>
    </row>
    <row r="1377" spans="1:6" hidden="1" x14ac:dyDescent="0.25">
      <c r="A1377" s="2" t="b">
        <f>IF(ISBLANK(InfoGard!D1377),FALSE,LOOKUP(InfoGard!D1377,Lookup!$A$2:$B$4))</f>
        <v>0</v>
      </c>
      <c r="B1377" s="2" t="b">
        <f>IF(ISBLANK(InfoGard!E1377),FALSE,RIGHT(TRIM(InfoGard!E1377),15))</f>
        <v>0</v>
      </c>
      <c r="C1377" s="2" t="b">
        <f>IF(ISBLANK(InfoGard!F1377),FALSE,LOOKUP(InfoGard!F1377,Lookup!$A$6:$B$7))</f>
        <v>0</v>
      </c>
      <c r="D1377" s="2" t="b">
        <f>IF(ISBLANK(InfoGard!G1377),FALSE,InfoGard!G1377)</f>
        <v>0</v>
      </c>
      <c r="E1377" s="2" t="str">
        <f>IF(NOT(ISBLANK(InfoGard!D1377)),IF(OR(ISBLANK(InfoGard!E1377),InfoGard!E1377="N/A"),"no acb code",CONCATENATE(Lookup!F$1,A1377,Lookup!G$1,B1377,Lookup!H$1,H$1,Lookup!I$1)),"no attestation")</f>
        <v>no attestation</v>
      </c>
      <c r="F1377" s="2" t="str">
        <f>IF(AND(NOT(ISBLANK(InfoGard!G1377)),InfoGard!G1377&lt;&gt;"N/A"),IF(C1377="All",CONCATENATE(Lookup!F$2,D1377,Lookup!G$2,B1377,Lookup!H$2,H$1,Lookup!I$2),CONCATENATE(Lookup!F$3,D1377,Lookup!G$3,B1377,Lookup!H$3)),"no url")</f>
        <v>no url</v>
      </c>
    </row>
    <row r="1378" spans="1:6" hidden="1" x14ac:dyDescent="0.25">
      <c r="A1378" s="2" t="b">
        <f>IF(ISBLANK(InfoGard!D1378),FALSE,LOOKUP(InfoGard!D1378,Lookup!$A$2:$B$4))</f>
        <v>0</v>
      </c>
      <c r="B1378" s="2" t="b">
        <f>IF(ISBLANK(InfoGard!E1378),FALSE,RIGHT(TRIM(InfoGard!E1378),15))</f>
        <v>0</v>
      </c>
      <c r="C1378" s="2" t="b">
        <f>IF(ISBLANK(InfoGard!F1378),FALSE,LOOKUP(InfoGard!F1378,Lookup!$A$6:$B$7))</f>
        <v>0</v>
      </c>
      <c r="D1378" s="2" t="b">
        <f>IF(ISBLANK(InfoGard!G1378),FALSE,InfoGard!G1378)</f>
        <v>0</v>
      </c>
      <c r="E1378" s="2" t="str">
        <f>IF(NOT(ISBLANK(InfoGard!D1378)),IF(OR(ISBLANK(InfoGard!E1378),InfoGard!E1378="N/A"),"no acb code",CONCATENATE(Lookup!F$1,A1378,Lookup!G$1,B1378,Lookup!H$1,H$1,Lookup!I$1)),"no attestation")</f>
        <v>no attestation</v>
      </c>
      <c r="F1378" s="2" t="str">
        <f>IF(AND(NOT(ISBLANK(InfoGard!G1378)),InfoGard!G1378&lt;&gt;"N/A"),IF(C1378="All",CONCATENATE(Lookup!F$2,D1378,Lookup!G$2,B1378,Lookup!H$2,H$1,Lookup!I$2),CONCATENATE(Lookup!F$3,D1378,Lookup!G$3,B1378,Lookup!H$3)),"no url")</f>
        <v>no url</v>
      </c>
    </row>
    <row r="1379" spans="1:6" hidden="1" x14ac:dyDescent="0.25">
      <c r="A1379" s="2" t="b">
        <f>IF(ISBLANK(InfoGard!D1379),FALSE,LOOKUP(InfoGard!D1379,Lookup!$A$2:$B$4))</f>
        <v>0</v>
      </c>
      <c r="B1379" s="2" t="b">
        <f>IF(ISBLANK(InfoGard!E1379),FALSE,RIGHT(TRIM(InfoGard!E1379),15))</f>
        <v>0</v>
      </c>
      <c r="C1379" s="2" t="b">
        <f>IF(ISBLANK(InfoGard!F1379),FALSE,LOOKUP(InfoGard!F1379,Lookup!$A$6:$B$7))</f>
        <v>0</v>
      </c>
      <c r="D1379" s="2" t="b">
        <f>IF(ISBLANK(InfoGard!G1379),FALSE,InfoGard!G1379)</f>
        <v>0</v>
      </c>
      <c r="E1379" s="2" t="str">
        <f>IF(NOT(ISBLANK(InfoGard!D1379)),IF(OR(ISBLANK(InfoGard!E1379),InfoGard!E1379="N/A"),"no acb code",CONCATENATE(Lookup!F$1,A1379,Lookup!G$1,B1379,Lookup!H$1,H$1,Lookup!I$1)),"no attestation")</f>
        <v>no attestation</v>
      </c>
      <c r="F1379" s="2" t="str">
        <f>IF(AND(NOT(ISBLANK(InfoGard!G1379)),InfoGard!G1379&lt;&gt;"N/A"),IF(C1379="All",CONCATENATE(Lookup!F$2,D1379,Lookup!G$2,B1379,Lookup!H$2,H$1,Lookup!I$2),CONCATENATE(Lookup!F$3,D1379,Lookup!G$3,B1379,Lookup!H$3)),"no url")</f>
        <v>no url</v>
      </c>
    </row>
    <row r="1380" spans="1:6" hidden="1" x14ac:dyDescent="0.25">
      <c r="A1380" s="2" t="b">
        <f>IF(ISBLANK(InfoGard!D1380),FALSE,LOOKUP(InfoGard!D1380,Lookup!$A$2:$B$4))</f>
        <v>0</v>
      </c>
      <c r="B1380" s="2" t="b">
        <f>IF(ISBLANK(InfoGard!E1380),FALSE,RIGHT(TRIM(InfoGard!E1380),15))</f>
        <v>0</v>
      </c>
      <c r="C1380" s="2" t="b">
        <f>IF(ISBLANK(InfoGard!F1380),FALSE,LOOKUP(InfoGard!F1380,Lookup!$A$6:$B$7))</f>
        <v>0</v>
      </c>
      <c r="D1380" s="2" t="b">
        <f>IF(ISBLANK(InfoGard!G1380),FALSE,InfoGard!G1380)</f>
        <v>0</v>
      </c>
      <c r="E1380" s="2" t="str">
        <f>IF(NOT(ISBLANK(InfoGard!D1380)),IF(OR(ISBLANK(InfoGard!E1380),InfoGard!E1380="N/A"),"no acb code",CONCATENATE(Lookup!F$1,A1380,Lookup!G$1,B1380,Lookup!H$1,H$1,Lookup!I$1)),"no attestation")</f>
        <v>no attestation</v>
      </c>
      <c r="F1380" s="2" t="str">
        <f>IF(AND(NOT(ISBLANK(InfoGard!G1380)),InfoGard!G1380&lt;&gt;"N/A"),IF(C1380="All",CONCATENATE(Lookup!F$2,D1380,Lookup!G$2,B1380,Lookup!H$2,H$1,Lookup!I$2),CONCATENATE(Lookup!F$3,D1380,Lookup!G$3,B1380,Lookup!H$3)),"no url")</f>
        <v>no url</v>
      </c>
    </row>
    <row r="1381" spans="1:6" hidden="1" x14ac:dyDescent="0.25">
      <c r="A1381" s="2" t="b">
        <f>IF(ISBLANK(InfoGard!D1381),FALSE,LOOKUP(InfoGard!D1381,Lookup!$A$2:$B$4))</f>
        <v>0</v>
      </c>
      <c r="B1381" s="2" t="b">
        <f>IF(ISBLANK(InfoGard!E1381),FALSE,RIGHT(TRIM(InfoGard!E1381),15))</f>
        <v>0</v>
      </c>
      <c r="C1381" s="2" t="b">
        <f>IF(ISBLANK(InfoGard!F1381),FALSE,LOOKUP(InfoGard!F1381,Lookup!$A$6:$B$7))</f>
        <v>0</v>
      </c>
      <c r="D1381" s="2" t="b">
        <f>IF(ISBLANK(InfoGard!G1381),FALSE,InfoGard!G1381)</f>
        <v>0</v>
      </c>
      <c r="E1381" s="2" t="str">
        <f>IF(NOT(ISBLANK(InfoGard!D1381)),IF(OR(ISBLANK(InfoGard!E1381),InfoGard!E1381="N/A"),"no acb code",CONCATENATE(Lookup!F$1,A1381,Lookup!G$1,B1381,Lookup!H$1,H$1,Lookup!I$1)),"no attestation")</f>
        <v>no attestation</v>
      </c>
      <c r="F1381" s="2" t="str">
        <f>IF(AND(NOT(ISBLANK(InfoGard!G1381)),InfoGard!G1381&lt;&gt;"N/A"),IF(C1381="All",CONCATENATE(Lookup!F$2,D1381,Lookup!G$2,B1381,Lookup!H$2,H$1,Lookup!I$2),CONCATENATE(Lookup!F$3,D1381,Lookup!G$3,B1381,Lookup!H$3)),"no url")</f>
        <v>no url</v>
      </c>
    </row>
    <row r="1382" spans="1:6" hidden="1" x14ac:dyDescent="0.25">
      <c r="A1382" s="2" t="b">
        <f>IF(ISBLANK(InfoGard!D1382),FALSE,LOOKUP(InfoGard!D1382,Lookup!$A$2:$B$4))</f>
        <v>0</v>
      </c>
      <c r="B1382" s="2" t="b">
        <f>IF(ISBLANK(InfoGard!E1382),FALSE,RIGHT(TRIM(InfoGard!E1382),15))</f>
        <v>0</v>
      </c>
      <c r="C1382" s="2" t="b">
        <f>IF(ISBLANK(InfoGard!F1382),FALSE,LOOKUP(InfoGard!F1382,Lookup!$A$6:$B$7))</f>
        <v>0</v>
      </c>
      <c r="D1382" s="2" t="b">
        <f>IF(ISBLANK(InfoGard!G1382),FALSE,InfoGard!G1382)</f>
        <v>0</v>
      </c>
      <c r="E1382" s="2" t="str">
        <f>IF(NOT(ISBLANK(InfoGard!D1382)),IF(OR(ISBLANK(InfoGard!E1382),InfoGard!E1382="N/A"),"no acb code",CONCATENATE(Lookup!F$1,A1382,Lookup!G$1,B1382,Lookup!H$1,H$1,Lookup!I$1)),"no attestation")</f>
        <v>no attestation</v>
      </c>
      <c r="F1382" s="2" t="str">
        <f>IF(AND(NOT(ISBLANK(InfoGard!G1382)),InfoGard!G1382&lt;&gt;"N/A"),IF(C1382="All",CONCATENATE(Lookup!F$2,D1382,Lookup!G$2,B1382,Lookup!H$2,H$1,Lookup!I$2),CONCATENATE(Lookup!F$3,D1382,Lookup!G$3,B1382,Lookup!H$3)),"no url")</f>
        <v>no url</v>
      </c>
    </row>
    <row r="1383" spans="1:6" hidden="1" x14ac:dyDescent="0.25">
      <c r="A1383" s="2" t="b">
        <f>IF(ISBLANK(InfoGard!D1383),FALSE,LOOKUP(InfoGard!D1383,Lookup!$A$2:$B$4))</f>
        <v>0</v>
      </c>
      <c r="B1383" s="2" t="b">
        <f>IF(ISBLANK(InfoGard!E1383),FALSE,RIGHT(TRIM(InfoGard!E1383),15))</f>
        <v>0</v>
      </c>
      <c r="C1383" s="2" t="b">
        <f>IF(ISBLANK(InfoGard!F1383),FALSE,LOOKUP(InfoGard!F1383,Lookup!$A$6:$B$7))</f>
        <v>0</v>
      </c>
      <c r="D1383" s="2" t="b">
        <f>IF(ISBLANK(InfoGard!G1383),FALSE,InfoGard!G1383)</f>
        <v>0</v>
      </c>
      <c r="E1383" s="2" t="str">
        <f>IF(NOT(ISBLANK(InfoGard!D1383)),IF(OR(ISBLANK(InfoGard!E1383),InfoGard!E1383="N/A"),"no acb code",CONCATENATE(Lookup!F$1,A1383,Lookup!G$1,B1383,Lookup!H$1,H$1,Lookup!I$1)),"no attestation")</f>
        <v>no attestation</v>
      </c>
      <c r="F1383" s="2" t="str">
        <f>IF(AND(NOT(ISBLANK(InfoGard!G1383)),InfoGard!G1383&lt;&gt;"N/A"),IF(C1383="All",CONCATENATE(Lookup!F$2,D1383,Lookup!G$2,B1383,Lookup!H$2,H$1,Lookup!I$2),CONCATENATE(Lookup!F$3,D1383,Lookup!G$3,B1383,Lookup!H$3)),"no url")</f>
        <v>no url</v>
      </c>
    </row>
    <row r="1384" spans="1:6" x14ac:dyDescent="0.25">
      <c r="A1384" s="2" t="str">
        <f>IF(ISBLANK(InfoGard!D1384),FALSE,LOOKUP(InfoGard!D1384,Lookup!$A$2:$B$4))</f>
        <v>Negative</v>
      </c>
      <c r="B1384" s="2" t="str">
        <f>IF(ISBLANK(InfoGard!E1384),FALSE,RIGHT(TRIM(InfoGard!E1384),15))</f>
        <v>IG-3095-13-0045</v>
      </c>
      <c r="C1384" s="2" t="str">
        <f>IF(ISBLANK(InfoGard!F1384),FALSE,LOOKUP(InfoGard!F1384,Lookup!$A$6:$B$7))</f>
        <v>All</v>
      </c>
      <c r="D1384" s="2" t="str">
        <f>IF(ISBLANK(InfoGard!G1384),FALSE,InfoGard!G1384)</f>
        <v>www.twistle.com</v>
      </c>
      <c r="E1384" s="2" t="str">
        <f>IF(NOT(ISBLANK(InfoGard!D1384)),IF(OR(ISBLANK(InfoGard!E1384),InfoGard!E1384="N/A"),"no acb code",CONCATENATE(Lookup!F$1,A1384,Lookup!G$1,B1384,Lookup!H$1,H$1,Lookup!I$1)),"no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'IG-3095-13-0045' and cb."name" = 'InfoGard' and cp.product_version_id = pv.product_version_id and pv.product_id = p.product_id and p.vendor_id = vend.vendor_id;</v>
      </c>
      <c r="F1384" s="2" t="str">
        <f>IF(AND(NOT(ISBLANK(InfoGard!G1384)),InfoGard!G1384&lt;&gt;"N/A"),IF(C1384="All",CONCATENATE(Lookup!F$2,D1384,Lookup!G$2,B1384,Lookup!H$2,H$1,Lookup!I$2),CONCATENATE(Lookup!F$3,D1384,Lookup!G$3,B1384,Lookup!H$3)),"no url")</f>
        <v>update openchpl.certified_product as cp set transparency_attestation_url = 'www.twistle.com' from (select certified_product_id from (select vend.vendor_code from openchpl.certified_product as cp, openchpl.product_version as pv, openchpl.product as p, openchpl.vendor as vend where cp.acb_certification_id = 'IG-3095-13-0045'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85" spans="1:6" hidden="1" x14ac:dyDescent="0.25">
      <c r="A1385" s="2" t="b">
        <f>IF(ISBLANK(InfoGard!D1385),FALSE,LOOKUP(InfoGard!D1385,Lookup!$A$2:$B$4))</f>
        <v>0</v>
      </c>
      <c r="B1385" s="2" t="b">
        <f>IF(ISBLANK(InfoGard!E1385),FALSE,RIGHT(TRIM(InfoGard!E1385),15))</f>
        <v>0</v>
      </c>
      <c r="C1385" s="2" t="b">
        <f>IF(ISBLANK(InfoGard!F1385),FALSE,LOOKUP(InfoGard!F1385,Lookup!$A$6:$B$7))</f>
        <v>0</v>
      </c>
      <c r="D1385" s="2" t="b">
        <f>IF(ISBLANK(InfoGard!G1385),FALSE,InfoGard!G1385)</f>
        <v>0</v>
      </c>
      <c r="E1385" s="2" t="str">
        <f>IF(NOT(ISBLANK(InfoGard!D1385)),IF(OR(ISBLANK(InfoGard!E1385),InfoGard!E1385="N/A"),"no acb code",CONCATENATE(Lookup!F$1,A1385,Lookup!G$1,B1385,Lookup!H$1,H$1,Lookup!I$1)),"no attestation")</f>
        <v>no attestation</v>
      </c>
      <c r="F1385" s="2" t="str">
        <f>IF(AND(NOT(ISBLANK(InfoGard!G1385)),InfoGard!G1385&lt;&gt;"N/A"),IF(C1385="All",CONCATENATE(Lookup!F$2,D1385,Lookup!G$2,B1385,Lookup!H$2,H$1,Lookup!I$2),CONCATENATE(Lookup!F$3,D1385,Lookup!G$3,B1385,Lookup!H$3)),"no url")</f>
        <v>no url</v>
      </c>
    </row>
    <row r="1386" spans="1:6" hidden="1" x14ac:dyDescent="0.25">
      <c r="A1386" s="2" t="b">
        <f>IF(ISBLANK(InfoGard!D1386),FALSE,LOOKUP(InfoGard!D1386,Lookup!$A$2:$B$4))</f>
        <v>0</v>
      </c>
      <c r="B1386" s="2" t="b">
        <f>IF(ISBLANK(InfoGard!E1386),FALSE,RIGHT(TRIM(InfoGard!E1386),15))</f>
        <v>0</v>
      </c>
      <c r="C1386" s="2" t="b">
        <f>IF(ISBLANK(InfoGard!F1386),FALSE,LOOKUP(InfoGard!F1386,Lookup!$A$6:$B$7))</f>
        <v>0</v>
      </c>
      <c r="D1386" s="2" t="b">
        <f>IF(ISBLANK(InfoGard!G1386),FALSE,InfoGard!G1386)</f>
        <v>0</v>
      </c>
      <c r="E1386" s="2" t="str">
        <f>IF(NOT(ISBLANK(InfoGard!D1386)),IF(OR(ISBLANK(InfoGard!E1386),InfoGard!E1386="N/A"),"no acb code",CONCATENATE(Lookup!F$1,A1386,Lookup!G$1,B1386,Lookup!H$1,H$1,Lookup!I$1)),"no attestation")</f>
        <v>no attestation</v>
      </c>
      <c r="F1386" s="2" t="str">
        <f>IF(AND(NOT(ISBLANK(InfoGard!G1386)),InfoGard!G1386&lt;&gt;"N/A"),IF(C1386="All",CONCATENATE(Lookup!F$2,D1386,Lookup!G$2,B1386,Lookup!H$2,H$1,Lookup!I$2),CONCATENATE(Lookup!F$3,D1386,Lookup!G$3,B1386,Lookup!H$3)),"no url")</f>
        <v>no url</v>
      </c>
    </row>
    <row r="1387" spans="1:6" hidden="1" x14ac:dyDescent="0.25">
      <c r="A1387" s="2" t="b">
        <f>IF(ISBLANK(InfoGard!D1387),FALSE,LOOKUP(InfoGard!D1387,Lookup!$A$2:$B$4))</f>
        <v>0</v>
      </c>
      <c r="B1387" s="2" t="b">
        <f>IF(ISBLANK(InfoGard!E1387),FALSE,RIGHT(TRIM(InfoGard!E1387),15))</f>
        <v>0</v>
      </c>
      <c r="C1387" s="2" t="b">
        <f>IF(ISBLANK(InfoGard!F1387),FALSE,LOOKUP(InfoGard!F1387,Lookup!$A$6:$B$7))</f>
        <v>0</v>
      </c>
      <c r="D1387" s="2" t="b">
        <f>IF(ISBLANK(InfoGard!G1387),FALSE,InfoGard!G1387)</f>
        <v>0</v>
      </c>
      <c r="E1387" s="2" t="str">
        <f>IF(NOT(ISBLANK(InfoGard!D1387)),IF(OR(ISBLANK(InfoGard!E1387),InfoGard!E1387="N/A"),"no acb code",CONCATENATE(Lookup!F$1,A1387,Lookup!G$1,B1387,Lookup!H$1,H$1,Lookup!I$1)),"no attestation")</f>
        <v>no attestation</v>
      </c>
      <c r="F1387" s="2" t="str">
        <f>IF(AND(NOT(ISBLANK(InfoGard!G1387)),InfoGard!G1387&lt;&gt;"N/A"),IF(C1387="All",CONCATENATE(Lookup!F$2,D1387,Lookup!G$2,B1387,Lookup!H$2,H$1,Lookup!I$2),CONCATENATE(Lookup!F$3,D1387,Lookup!G$3,B1387,Lookup!H$3)),"no url")</f>
        <v>no url</v>
      </c>
    </row>
    <row r="1388" spans="1:6" hidden="1" x14ac:dyDescent="0.25">
      <c r="A1388" s="2" t="b">
        <f>IF(ISBLANK(InfoGard!D1388),FALSE,LOOKUP(InfoGard!D1388,Lookup!$A$2:$B$4))</f>
        <v>0</v>
      </c>
      <c r="B1388" s="2" t="b">
        <f>IF(ISBLANK(InfoGard!E1388),FALSE,RIGHT(TRIM(InfoGard!E1388),15))</f>
        <v>0</v>
      </c>
      <c r="C1388" s="2" t="b">
        <f>IF(ISBLANK(InfoGard!F1388),FALSE,LOOKUP(InfoGard!F1388,Lookup!$A$6:$B$7))</f>
        <v>0</v>
      </c>
      <c r="D1388" s="2" t="b">
        <f>IF(ISBLANK(InfoGard!G1388),FALSE,InfoGard!G1388)</f>
        <v>0</v>
      </c>
      <c r="E1388" s="2" t="str">
        <f>IF(NOT(ISBLANK(InfoGard!D1388)),IF(OR(ISBLANK(InfoGard!E1388),InfoGard!E1388="N/A"),"no acb code",CONCATENATE(Lookup!F$1,A1388,Lookup!G$1,B1388,Lookup!H$1,H$1,Lookup!I$1)),"no attestation")</f>
        <v>no attestation</v>
      </c>
      <c r="F1388" s="2" t="str">
        <f>IF(AND(NOT(ISBLANK(InfoGard!G1388)),InfoGard!G1388&lt;&gt;"N/A"),IF(C1388="All",CONCATENATE(Lookup!F$2,D1388,Lookup!G$2,B1388,Lookup!H$2,H$1,Lookup!I$2),CONCATENATE(Lookup!F$3,D1388,Lookup!G$3,B1388,Lookup!H$3)),"no url")</f>
        <v>no url</v>
      </c>
    </row>
    <row r="1389" spans="1:6" hidden="1" x14ac:dyDescent="0.25">
      <c r="A1389" s="2" t="b">
        <f>IF(ISBLANK(InfoGard!D1389),FALSE,LOOKUP(InfoGard!D1389,Lookup!$A$2:$B$4))</f>
        <v>0</v>
      </c>
      <c r="B1389" s="2" t="b">
        <f>IF(ISBLANK(InfoGard!E1389),FALSE,RIGHT(TRIM(InfoGard!E1389),15))</f>
        <v>0</v>
      </c>
      <c r="C1389" s="2" t="b">
        <f>IF(ISBLANK(InfoGard!F1389),FALSE,LOOKUP(InfoGard!F1389,Lookup!$A$6:$B$7))</f>
        <v>0</v>
      </c>
      <c r="D1389" s="2" t="b">
        <f>IF(ISBLANK(InfoGard!G1389),FALSE,InfoGard!G1389)</f>
        <v>0</v>
      </c>
      <c r="E1389" s="2" t="str">
        <f>IF(NOT(ISBLANK(InfoGard!D1389)),IF(OR(ISBLANK(InfoGard!E1389),InfoGard!E1389="N/A"),"no acb code",CONCATENATE(Lookup!F$1,A1389,Lookup!G$1,B1389,Lookup!H$1,H$1,Lookup!I$1)),"no attestation")</f>
        <v>no attestation</v>
      </c>
      <c r="F1389" s="2" t="str">
        <f>IF(AND(NOT(ISBLANK(InfoGard!G1389)),InfoGard!G1389&lt;&gt;"N/A"),IF(C1389="All",CONCATENATE(Lookup!F$2,D1389,Lookup!G$2,B1389,Lookup!H$2,H$1,Lookup!I$2),CONCATENATE(Lookup!F$3,D1389,Lookup!G$3,B1389,Lookup!H$3)),"no url")</f>
        <v>no url</v>
      </c>
    </row>
    <row r="1390" spans="1:6" hidden="1" x14ac:dyDescent="0.25">
      <c r="A1390" s="2" t="b">
        <f>IF(ISBLANK(InfoGard!D1390),FALSE,LOOKUP(InfoGard!D1390,Lookup!$A$2:$B$4))</f>
        <v>0</v>
      </c>
      <c r="B1390" s="2" t="b">
        <f>IF(ISBLANK(InfoGard!E1390),FALSE,RIGHT(TRIM(InfoGard!E1390),15))</f>
        <v>0</v>
      </c>
      <c r="C1390" s="2" t="b">
        <f>IF(ISBLANK(InfoGard!F1390),FALSE,LOOKUP(InfoGard!F1390,Lookup!$A$6:$B$7))</f>
        <v>0</v>
      </c>
      <c r="D1390" s="2" t="b">
        <f>IF(ISBLANK(InfoGard!G1390),FALSE,InfoGard!G1390)</f>
        <v>0</v>
      </c>
      <c r="E1390" s="2" t="str">
        <f>IF(NOT(ISBLANK(InfoGard!D1390)),IF(OR(ISBLANK(InfoGard!E1390),InfoGard!E1390="N/A"),"no acb code",CONCATENATE(Lookup!F$1,A1390,Lookup!G$1,B1390,Lookup!H$1,H$1,Lookup!I$1)),"no attestation")</f>
        <v>no attestation</v>
      </c>
      <c r="F1390" s="2" t="str">
        <f>IF(AND(NOT(ISBLANK(InfoGard!G1390)),InfoGard!G1390&lt;&gt;"N/A"),IF(C1390="All",CONCATENATE(Lookup!F$2,D1390,Lookup!G$2,B1390,Lookup!H$2,H$1,Lookup!I$2),CONCATENATE(Lookup!F$3,D1390,Lookup!G$3,B1390,Lookup!H$3)),"no url")</f>
        <v>no url</v>
      </c>
    </row>
    <row r="1391" spans="1:6" hidden="1" x14ac:dyDescent="0.25">
      <c r="A1391" s="2" t="b">
        <f>IF(ISBLANK(InfoGard!D1391),FALSE,LOOKUP(InfoGard!D1391,Lookup!$A$2:$B$4))</f>
        <v>0</v>
      </c>
      <c r="B1391" s="2" t="b">
        <f>IF(ISBLANK(InfoGard!E1391),FALSE,RIGHT(TRIM(InfoGard!E1391),15))</f>
        <v>0</v>
      </c>
      <c r="C1391" s="2" t="b">
        <f>IF(ISBLANK(InfoGard!F1391),FALSE,LOOKUP(InfoGard!F1391,Lookup!$A$6:$B$7))</f>
        <v>0</v>
      </c>
      <c r="D1391" s="2" t="b">
        <f>IF(ISBLANK(InfoGard!G1391),FALSE,InfoGard!G1391)</f>
        <v>0</v>
      </c>
      <c r="E1391" s="2" t="str">
        <f>IF(NOT(ISBLANK(InfoGard!D1391)),IF(OR(ISBLANK(InfoGard!E1391),InfoGard!E1391="N/A"),"no acb code",CONCATENATE(Lookup!F$1,A1391,Lookup!G$1,B1391,Lookup!H$1,H$1,Lookup!I$1)),"no attestation")</f>
        <v>no attestation</v>
      </c>
      <c r="F1391" s="2" t="str">
        <f>IF(AND(NOT(ISBLANK(InfoGard!G1391)),InfoGard!G1391&lt;&gt;"N/A"),IF(C1391="All",CONCATENATE(Lookup!F$2,D1391,Lookup!G$2,B1391,Lookup!H$2,H$1,Lookup!I$2),CONCATENATE(Lookup!F$3,D1391,Lookup!G$3,B1391,Lookup!H$3)),"no url")</f>
        <v>no url</v>
      </c>
    </row>
    <row r="1392" spans="1:6" hidden="1" x14ac:dyDescent="0.25">
      <c r="A1392" s="2" t="b">
        <f>IF(ISBLANK(InfoGard!D1392),FALSE,LOOKUP(InfoGard!D1392,Lookup!$A$2:$B$4))</f>
        <v>0</v>
      </c>
      <c r="B1392" s="2" t="b">
        <f>IF(ISBLANK(InfoGard!E1392),FALSE,RIGHT(TRIM(InfoGard!E1392),15))</f>
        <v>0</v>
      </c>
      <c r="C1392" s="2" t="b">
        <f>IF(ISBLANK(InfoGard!F1392),FALSE,LOOKUP(InfoGard!F1392,Lookup!$A$6:$B$7))</f>
        <v>0</v>
      </c>
      <c r="D1392" s="2" t="b">
        <f>IF(ISBLANK(InfoGard!G1392),FALSE,InfoGard!G1392)</f>
        <v>0</v>
      </c>
      <c r="E1392" s="2" t="str">
        <f>IF(NOT(ISBLANK(InfoGard!D1392)),IF(OR(ISBLANK(InfoGard!E1392),InfoGard!E1392="N/A"),"no acb code",CONCATENATE(Lookup!F$1,A1392,Lookup!G$1,B1392,Lookup!H$1,H$1,Lookup!I$1)),"no attestation")</f>
        <v>no attestation</v>
      </c>
      <c r="F1392" s="2" t="str">
        <f>IF(AND(NOT(ISBLANK(InfoGard!G1392)),InfoGard!G1392&lt;&gt;"N/A"),IF(C1392="All",CONCATENATE(Lookup!F$2,D1392,Lookup!G$2,B1392,Lookup!H$2,H$1,Lookup!I$2),CONCATENATE(Lookup!F$3,D1392,Lookup!G$3,B1392,Lookup!H$3)),"no url")</f>
        <v>no url</v>
      </c>
    </row>
    <row r="1393" spans="1:6" hidden="1" x14ac:dyDescent="0.25">
      <c r="A1393" s="2" t="b">
        <f>IF(ISBLANK(InfoGard!D1393),FALSE,LOOKUP(InfoGard!D1393,Lookup!$A$2:$B$4))</f>
        <v>0</v>
      </c>
      <c r="B1393" s="2" t="b">
        <f>IF(ISBLANK(InfoGard!E1393),FALSE,RIGHT(TRIM(InfoGard!E1393),15))</f>
        <v>0</v>
      </c>
      <c r="C1393" s="2" t="b">
        <f>IF(ISBLANK(InfoGard!F1393),FALSE,LOOKUP(InfoGard!F1393,Lookup!$A$6:$B$7))</f>
        <v>0</v>
      </c>
      <c r="D1393" s="2" t="b">
        <f>IF(ISBLANK(InfoGard!G1393),FALSE,InfoGard!G1393)</f>
        <v>0</v>
      </c>
      <c r="E1393" s="2" t="str">
        <f>IF(NOT(ISBLANK(InfoGard!D1393)),IF(OR(ISBLANK(InfoGard!E1393),InfoGard!E1393="N/A"),"no acb code",CONCATENATE(Lookup!F$1,A1393,Lookup!G$1,B1393,Lookup!H$1,H$1,Lookup!I$1)),"no attestation")</f>
        <v>no attestation</v>
      </c>
      <c r="F1393" s="2" t="str">
        <f>IF(AND(NOT(ISBLANK(InfoGard!G1393)),InfoGard!G1393&lt;&gt;"N/A"),IF(C1393="All",CONCATENATE(Lookup!F$2,D1393,Lookup!G$2,B1393,Lookup!H$2,H$1,Lookup!I$2),CONCATENATE(Lookup!F$3,D1393,Lookup!G$3,B1393,Lookup!H$3)),"no url")</f>
        <v>no url</v>
      </c>
    </row>
    <row r="1394" spans="1:6" hidden="1" x14ac:dyDescent="0.25">
      <c r="A1394" s="2" t="b">
        <f>IF(ISBLANK(InfoGard!D1394),FALSE,LOOKUP(InfoGard!D1394,Lookup!$A$2:$B$4))</f>
        <v>0</v>
      </c>
      <c r="B1394" s="2" t="b">
        <f>IF(ISBLANK(InfoGard!E1394),FALSE,RIGHT(TRIM(InfoGard!E1394),15))</f>
        <v>0</v>
      </c>
      <c r="C1394" s="2" t="b">
        <f>IF(ISBLANK(InfoGard!F1394),FALSE,LOOKUP(InfoGard!F1394,Lookup!$A$6:$B$7))</f>
        <v>0</v>
      </c>
      <c r="D1394" s="2" t="b">
        <f>IF(ISBLANK(InfoGard!G1394),FALSE,InfoGard!G1394)</f>
        <v>0</v>
      </c>
      <c r="E1394" s="2" t="str">
        <f>IF(NOT(ISBLANK(InfoGard!D1394)),IF(OR(ISBLANK(InfoGard!E1394),InfoGard!E1394="N/A"),"no acb code",CONCATENATE(Lookup!F$1,A1394,Lookup!G$1,B1394,Lookup!H$1,H$1,Lookup!I$1)),"no attestation")</f>
        <v>no attestation</v>
      </c>
      <c r="F1394" s="2" t="str">
        <f>IF(AND(NOT(ISBLANK(InfoGard!G1394)),InfoGard!G1394&lt;&gt;"N/A"),IF(C1394="All",CONCATENATE(Lookup!F$2,D1394,Lookup!G$2,B1394,Lookup!H$2,H$1,Lookup!I$2),CONCATENATE(Lookup!F$3,D1394,Lookup!G$3,B1394,Lookup!H$3)),"no url")</f>
        <v>no url</v>
      </c>
    </row>
    <row r="1395" spans="1:6" hidden="1" x14ac:dyDescent="0.25">
      <c r="A1395" s="2" t="b">
        <f>IF(ISBLANK(InfoGard!D1395),FALSE,LOOKUP(InfoGard!D1395,Lookup!$A$2:$B$4))</f>
        <v>0</v>
      </c>
      <c r="B1395" s="2" t="b">
        <f>IF(ISBLANK(InfoGard!E1395),FALSE,RIGHT(TRIM(InfoGard!E1395),15))</f>
        <v>0</v>
      </c>
      <c r="C1395" s="2" t="b">
        <f>IF(ISBLANK(InfoGard!F1395),FALSE,LOOKUP(InfoGard!F1395,Lookup!$A$6:$B$7))</f>
        <v>0</v>
      </c>
      <c r="D1395" s="2" t="b">
        <f>IF(ISBLANK(InfoGard!G1395),FALSE,InfoGard!G1395)</f>
        <v>0</v>
      </c>
      <c r="E1395" s="2" t="str">
        <f>IF(NOT(ISBLANK(InfoGard!D1395)),IF(OR(ISBLANK(InfoGard!E1395),InfoGard!E1395="N/A"),"no acb code",CONCATENATE(Lookup!F$1,A1395,Lookup!G$1,B1395,Lookup!H$1,H$1,Lookup!I$1)),"no attestation")</f>
        <v>no attestation</v>
      </c>
      <c r="F1395" s="2" t="str">
        <f>IF(AND(NOT(ISBLANK(InfoGard!G1395)),InfoGard!G1395&lt;&gt;"N/A"),IF(C1395="All",CONCATENATE(Lookup!F$2,D1395,Lookup!G$2,B1395,Lookup!H$2,H$1,Lookup!I$2),CONCATENATE(Lookup!F$3,D1395,Lookup!G$3,B1395,Lookup!H$3)),"no url")</f>
        <v>no url</v>
      </c>
    </row>
    <row r="1396" spans="1:6" hidden="1" x14ac:dyDescent="0.25">
      <c r="A1396" s="2" t="b">
        <f>IF(ISBLANK(InfoGard!D1396),FALSE,LOOKUP(InfoGard!D1396,Lookup!$A$2:$B$4))</f>
        <v>0</v>
      </c>
      <c r="B1396" s="2" t="b">
        <f>IF(ISBLANK(InfoGard!E1396),FALSE,RIGHT(TRIM(InfoGard!E1396),15))</f>
        <v>0</v>
      </c>
      <c r="C1396" s="2" t="b">
        <f>IF(ISBLANK(InfoGard!F1396),FALSE,LOOKUP(InfoGard!F1396,Lookup!$A$6:$B$7))</f>
        <v>0</v>
      </c>
      <c r="D1396" s="2" t="b">
        <f>IF(ISBLANK(InfoGard!G1396),FALSE,InfoGard!G1396)</f>
        <v>0</v>
      </c>
      <c r="E1396" s="2" t="str">
        <f>IF(NOT(ISBLANK(InfoGard!D1396)),IF(OR(ISBLANK(InfoGard!E1396),InfoGard!E1396="N/A"),"no acb code",CONCATENATE(Lookup!F$1,A1396,Lookup!G$1,B1396,Lookup!H$1,H$1,Lookup!I$1)),"no attestation")</f>
        <v>no attestation</v>
      </c>
      <c r="F1396" s="2" t="str">
        <f>IF(AND(NOT(ISBLANK(InfoGard!G1396)),InfoGard!G1396&lt;&gt;"N/A"),IF(C1396="All",CONCATENATE(Lookup!F$2,D1396,Lookup!G$2,B1396,Lookup!H$2,H$1,Lookup!I$2),CONCATENATE(Lookup!F$3,D1396,Lookup!G$3,B1396,Lookup!H$3)),"no url")</f>
        <v>no url</v>
      </c>
    </row>
    <row r="1397" spans="1:6" hidden="1" x14ac:dyDescent="0.25">
      <c r="A1397" s="2" t="b">
        <f>IF(ISBLANK(InfoGard!D1397),FALSE,LOOKUP(InfoGard!D1397,Lookup!$A$2:$B$4))</f>
        <v>0</v>
      </c>
      <c r="B1397" s="2" t="b">
        <f>IF(ISBLANK(InfoGard!E1397),FALSE,RIGHT(TRIM(InfoGard!E1397),15))</f>
        <v>0</v>
      </c>
      <c r="C1397" s="2" t="b">
        <f>IF(ISBLANK(InfoGard!F1397),FALSE,LOOKUP(InfoGard!F1397,Lookup!$A$6:$B$7))</f>
        <v>0</v>
      </c>
      <c r="D1397" s="2" t="b">
        <f>IF(ISBLANK(InfoGard!G1397),FALSE,InfoGard!G1397)</f>
        <v>0</v>
      </c>
      <c r="E1397" s="2" t="str">
        <f>IF(NOT(ISBLANK(InfoGard!D1397)),IF(OR(ISBLANK(InfoGard!E1397),InfoGard!E1397="N/A"),"no acb code",CONCATENATE(Lookup!F$1,A1397,Lookup!G$1,B1397,Lookup!H$1,H$1,Lookup!I$1)),"no attestation")</f>
        <v>no attestation</v>
      </c>
      <c r="F1397" s="2" t="str">
        <f>IF(AND(NOT(ISBLANK(InfoGard!G1397)),InfoGard!G1397&lt;&gt;"N/A"),IF(C1397="All",CONCATENATE(Lookup!F$2,D1397,Lookup!G$2,B1397,Lookup!H$2,H$1,Lookup!I$2),CONCATENATE(Lookup!F$3,D1397,Lookup!G$3,B1397,Lookup!H$3)),"no url")</f>
        <v>no url</v>
      </c>
    </row>
    <row r="1398" spans="1:6" x14ac:dyDescent="0.25">
      <c r="A1398" s="2" t="str">
        <f>IF(ISBLANK(InfoGard!D1398),FALSE,LOOKUP(InfoGard!D1398,Lookup!$A$2:$B$4))</f>
        <v>Affirmative</v>
      </c>
      <c r="B1398" s="2" t="str">
        <f>IF(ISBLANK(InfoGard!E1398),FALSE,RIGHT(TRIM(InfoGard!E1398),15))</f>
        <v>IG-2399-15-0007</v>
      </c>
      <c r="C1398" s="2" t="str">
        <f>IF(ISBLANK(InfoGard!F1398),FALSE,LOOKUP(InfoGard!F1398,Lookup!$A$6:$B$7))</f>
        <v>All</v>
      </c>
      <c r="D1398" s="2" t="str">
        <f>IF(ISBLANK(InfoGard!G1398),FALSE,InfoGard!G1398)</f>
        <v>http://www.ultramedsoftware.com/</v>
      </c>
      <c r="E1398" s="2" t="str">
        <f>IF(NOT(ISBLANK(InfoGard!D1398)),IF(OR(ISBLANK(InfoGard!E1398),InfoGard!E1398="N/A"),"no acb code",CONCATENATE(Lookup!F$1,A1398,Lookup!G$1,B1398,Lookup!H$1,H$1,Lookup!I$1)),"no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'IG-2399-15-0007' and cb."name" = 'InfoGard' and cp.product_version_id = pv.product_version_id and pv.product_id = p.product_id and p.vendor_id = vend.vendor_id;</v>
      </c>
      <c r="F1398" s="2" t="str">
        <f>IF(AND(NOT(ISBLANK(InfoGard!G1398)),InfoGard!G1398&lt;&gt;"N/A"),IF(C1398="All",CONCATENATE(Lookup!F$2,D1398,Lookup!G$2,B1398,Lookup!H$2,H$1,Lookup!I$2),CONCATENATE(Lookup!F$3,D1398,Lookup!G$3,B1398,Lookup!H$3)),"no url")</f>
        <v>update openchpl.certified_product as cp set transparency_attestation_url = 'http://www.ultramedsoftware.com/' from (select certified_product_id from (select vend.vendor_code from openchpl.certified_product as cp, openchpl.product_version as pv, openchpl.product as p, openchpl.vendor as vend where cp.acb_certification_id = 'IG-2399-15-0007'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99" spans="1:6" hidden="1" x14ac:dyDescent="0.25">
      <c r="A1399" s="2" t="b">
        <f>IF(ISBLANK(InfoGard!D1399),FALSE,LOOKUP(InfoGard!D1399,Lookup!$A$2:$B$4))</f>
        <v>0</v>
      </c>
      <c r="B1399" s="2" t="b">
        <f>IF(ISBLANK(InfoGard!E1399),FALSE,RIGHT(TRIM(InfoGard!E1399),15))</f>
        <v>0</v>
      </c>
      <c r="C1399" s="2" t="b">
        <f>IF(ISBLANK(InfoGard!F1399),FALSE,LOOKUP(InfoGard!F1399,Lookup!$A$6:$B$7))</f>
        <v>0</v>
      </c>
      <c r="D1399" s="2" t="b">
        <f>IF(ISBLANK(InfoGard!G1399),FALSE,InfoGard!G1399)</f>
        <v>0</v>
      </c>
      <c r="E1399" s="2" t="str">
        <f>IF(NOT(ISBLANK(InfoGard!D1399)),IF(OR(ISBLANK(InfoGard!E1399),InfoGard!E1399="N/A"),"no acb code",CONCATENATE(Lookup!F$1,A1399,Lookup!G$1,B1399,Lookup!H$1,H$1,Lookup!I$1)),"no attestation")</f>
        <v>no attestation</v>
      </c>
      <c r="F1399" s="2" t="str">
        <f>IF(AND(NOT(ISBLANK(InfoGard!G1399)),InfoGard!G1399&lt;&gt;"N/A"),IF(C1399="All",CONCATENATE(Lookup!F$2,D1399,Lookup!G$2,B1399,Lookup!H$2,H$1,Lookup!I$2),CONCATENATE(Lookup!F$3,D1399,Lookup!G$3,B1399,Lookup!H$3)),"no url")</f>
        <v>no url</v>
      </c>
    </row>
    <row r="1400" spans="1:6" hidden="1" x14ac:dyDescent="0.25">
      <c r="A1400" s="2" t="b">
        <f>IF(ISBLANK(InfoGard!D1400),FALSE,LOOKUP(InfoGard!D1400,Lookup!$A$2:$B$4))</f>
        <v>0</v>
      </c>
      <c r="B1400" s="2" t="b">
        <f>IF(ISBLANK(InfoGard!E1400),FALSE,RIGHT(TRIM(InfoGard!E1400),15))</f>
        <v>0</v>
      </c>
      <c r="C1400" s="2" t="b">
        <f>IF(ISBLANK(InfoGard!F1400),FALSE,LOOKUP(InfoGard!F1400,Lookup!$A$6:$B$7))</f>
        <v>0</v>
      </c>
      <c r="D1400" s="2" t="b">
        <f>IF(ISBLANK(InfoGard!G1400),FALSE,InfoGard!G1400)</f>
        <v>0</v>
      </c>
      <c r="E1400" s="2" t="str">
        <f>IF(NOT(ISBLANK(InfoGard!D1400)),IF(OR(ISBLANK(InfoGard!E1400),InfoGard!E1400="N/A"),"no acb code",CONCATENATE(Lookup!F$1,A1400,Lookup!G$1,B1400,Lookup!H$1,H$1,Lookup!I$1)),"no attestation")</f>
        <v>no attestation</v>
      </c>
      <c r="F1400" s="2" t="str">
        <f>IF(AND(NOT(ISBLANK(InfoGard!G1400)),InfoGard!G1400&lt;&gt;"N/A"),IF(C1400="All",CONCATENATE(Lookup!F$2,D1400,Lookup!G$2,B1400,Lookup!H$2,H$1,Lookup!I$2),CONCATENATE(Lookup!F$3,D1400,Lookup!G$3,B1400,Lookup!H$3)),"no url")</f>
        <v>no url</v>
      </c>
    </row>
    <row r="1401" spans="1:6" hidden="1" x14ac:dyDescent="0.25">
      <c r="A1401" s="2" t="b">
        <f>IF(ISBLANK(InfoGard!D1401),FALSE,LOOKUP(InfoGard!D1401,Lookup!$A$2:$B$4))</f>
        <v>0</v>
      </c>
      <c r="B1401" s="2" t="b">
        <f>IF(ISBLANK(InfoGard!E1401),FALSE,RIGHT(TRIM(InfoGard!E1401),15))</f>
        <v>0</v>
      </c>
      <c r="C1401" s="2" t="b">
        <f>IF(ISBLANK(InfoGard!F1401),FALSE,LOOKUP(InfoGard!F1401,Lookup!$A$6:$B$7))</f>
        <v>0</v>
      </c>
      <c r="D1401" s="2" t="b">
        <f>IF(ISBLANK(InfoGard!G1401),FALSE,InfoGard!G1401)</f>
        <v>0</v>
      </c>
      <c r="E1401" s="2" t="str">
        <f>IF(NOT(ISBLANK(InfoGard!D1401)),IF(OR(ISBLANK(InfoGard!E1401),InfoGard!E1401="N/A"),"no acb code",CONCATENATE(Lookup!F$1,A1401,Lookup!G$1,B1401,Lookup!H$1,H$1,Lookup!I$1)),"no attestation")</f>
        <v>no attestation</v>
      </c>
      <c r="F1401" s="2" t="str">
        <f>IF(AND(NOT(ISBLANK(InfoGard!G1401)),InfoGard!G1401&lt;&gt;"N/A"),IF(C1401="All",CONCATENATE(Lookup!F$2,D1401,Lookup!G$2,B1401,Lookup!H$2,H$1,Lookup!I$2),CONCATENATE(Lookup!F$3,D1401,Lookup!G$3,B1401,Lookup!H$3)),"no url")</f>
        <v>no url</v>
      </c>
    </row>
    <row r="1402" spans="1:6" hidden="1" x14ac:dyDescent="0.25">
      <c r="A1402" s="2" t="b">
        <f>IF(ISBLANK(InfoGard!D1402),FALSE,LOOKUP(InfoGard!D1402,Lookup!$A$2:$B$4))</f>
        <v>0</v>
      </c>
      <c r="B1402" s="2" t="b">
        <f>IF(ISBLANK(InfoGard!E1402),FALSE,RIGHT(TRIM(InfoGard!E1402),15))</f>
        <v>0</v>
      </c>
      <c r="C1402" s="2" t="b">
        <f>IF(ISBLANK(InfoGard!F1402),FALSE,LOOKUP(InfoGard!F1402,Lookup!$A$6:$B$7))</f>
        <v>0</v>
      </c>
      <c r="D1402" s="2" t="b">
        <f>IF(ISBLANK(InfoGard!G1402),FALSE,InfoGard!G1402)</f>
        <v>0</v>
      </c>
      <c r="E1402" s="2" t="str">
        <f>IF(NOT(ISBLANK(InfoGard!D1402)),IF(OR(ISBLANK(InfoGard!E1402),InfoGard!E1402="N/A"),"no acb code",CONCATENATE(Lookup!F$1,A1402,Lookup!G$1,B1402,Lookup!H$1,H$1,Lookup!I$1)),"no attestation")</f>
        <v>no attestation</v>
      </c>
      <c r="F1402" s="2" t="str">
        <f>IF(AND(NOT(ISBLANK(InfoGard!G1402)),InfoGard!G1402&lt;&gt;"N/A"),IF(C1402="All",CONCATENATE(Lookup!F$2,D1402,Lookup!G$2,B1402,Lookup!H$2,H$1,Lookup!I$2),CONCATENATE(Lookup!F$3,D1402,Lookup!G$3,B1402,Lookup!H$3)),"no url")</f>
        <v>no url</v>
      </c>
    </row>
    <row r="1403" spans="1:6" hidden="1" x14ac:dyDescent="0.25">
      <c r="A1403" s="2" t="b">
        <f>IF(ISBLANK(InfoGard!D1403),FALSE,LOOKUP(InfoGard!D1403,Lookup!$A$2:$B$4))</f>
        <v>0</v>
      </c>
      <c r="B1403" s="2" t="b">
        <f>IF(ISBLANK(InfoGard!E1403),FALSE,RIGHT(TRIM(InfoGard!E1403),15))</f>
        <v>0</v>
      </c>
      <c r="C1403" s="2" t="b">
        <f>IF(ISBLANK(InfoGard!F1403),FALSE,LOOKUP(InfoGard!F1403,Lookup!$A$6:$B$7))</f>
        <v>0</v>
      </c>
      <c r="D1403" s="2" t="b">
        <f>IF(ISBLANK(InfoGard!G1403),FALSE,InfoGard!G1403)</f>
        <v>0</v>
      </c>
      <c r="E1403" s="2" t="str">
        <f>IF(NOT(ISBLANK(InfoGard!D1403)),IF(OR(ISBLANK(InfoGard!E1403),InfoGard!E1403="N/A"),"no acb code",CONCATENATE(Lookup!F$1,A1403,Lookup!G$1,B1403,Lookup!H$1,H$1,Lookup!I$1)),"no attestation")</f>
        <v>no attestation</v>
      </c>
      <c r="F1403" s="2" t="str">
        <f>IF(AND(NOT(ISBLANK(InfoGard!G1403)),InfoGard!G1403&lt;&gt;"N/A"),IF(C1403="All",CONCATENATE(Lookup!F$2,D1403,Lookup!G$2,B1403,Lookup!H$2,H$1,Lookup!I$2),CONCATENATE(Lookup!F$3,D1403,Lookup!G$3,B1403,Lookup!H$3)),"no url")</f>
        <v>no url</v>
      </c>
    </row>
    <row r="1404" spans="1:6" hidden="1" x14ac:dyDescent="0.25">
      <c r="A1404" s="2" t="b">
        <f>IF(ISBLANK(InfoGard!D1404),FALSE,LOOKUP(InfoGard!D1404,Lookup!$A$2:$B$4))</f>
        <v>0</v>
      </c>
      <c r="B1404" s="2" t="b">
        <f>IF(ISBLANK(InfoGard!E1404),FALSE,RIGHT(TRIM(InfoGard!E1404),15))</f>
        <v>0</v>
      </c>
      <c r="C1404" s="2" t="b">
        <f>IF(ISBLANK(InfoGard!F1404),FALSE,LOOKUP(InfoGard!F1404,Lookup!$A$6:$B$7))</f>
        <v>0</v>
      </c>
      <c r="D1404" s="2" t="b">
        <f>IF(ISBLANK(InfoGard!G1404),FALSE,InfoGard!G1404)</f>
        <v>0</v>
      </c>
      <c r="E1404" s="2" t="str">
        <f>IF(NOT(ISBLANK(InfoGard!D1404)),IF(OR(ISBLANK(InfoGard!E1404),InfoGard!E1404="N/A"),"no acb code",CONCATENATE(Lookup!F$1,A1404,Lookup!G$1,B1404,Lookup!H$1,H$1,Lookup!I$1)),"no attestation")</f>
        <v>no attestation</v>
      </c>
      <c r="F1404" s="2" t="str">
        <f>IF(AND(NOT(ISBLANK(InfoGard!G1404)),InfoGard!G1404&lt;&gt;"N/A"),IF(C1404="All",CONCATENATE(Lookup!F$2,D1404,Lookup!G$2,B1404,Lookup!H$2,H$1,Lookup!I$2),CONCATENATE(Lookup!F$3,D1404,Lookup!G$3,B1404,Lookup!H$3)),"no url")</f>
        <v>no url</v>
      </c>
    </row>
    <row r="1405" spans="1:6" hidden="1" x14ac:dyDescent="0.25">
      <c r="A1405" s="2" t="b">
        <f>IF(ISBLANK(InfoGard!D1405),FALSE,LOOKUP(InfoGard!D1405,Lookup!$A$2:$B$4))</f>
        <v>0</v>
      </c>
      <c r="B1405" s="2" t="b">
        <f>IF(ISBLANK(InfoGard!E1405),FALSE,RIGHT(TRIM(InfoGard!E1405),15))</f>
        <v>0</v>
      </c>
      <c r="C1405" s="2" t="b">
        <f>IF(ISBLANK(InfoGard!F1405),FALSE,LOOKUP(InfoGard!F1405,Lookup!$A$6:$B$7))</f>
        <v>0</v>
      </c>
      <c r="D1405" s="2" t="b">
        <f>IF(ISBLANK(InfoGard!G1405),FALSE,InfoGard!G1405)</f>
        <v>0</v>
      </c>
      <c r="E1405" s="2" t="str">
        <f>IF(NOT(ISBLANK(InfoGard!D1405)),IF(OR(ISBLANK(InfoGard!E1405),InfoGard!E1405="N/A"),"no acb code",CONCATENATE(Lookup!F$1,A1405,Lookup!G$1,B1405,Lookup!H$1,H$1,Lookup!I$1)),"no attestation")</f>
        <v>no attestation</v>
      </c>
      <c r="F1405" s="2" t="str">
        <f>IF(AND(NOT(ISBLANK(InfoGard!G1405)),InfoGard!G1405&lt;&gt;"N/A"),IF(C1405="All",CONCATENATE(Lookup!F$2,D1405,Lookup!G$2,B1405,Lookup!H$2,H$1,Lookup!I$2),CONCATENATE(Lookup!F$3,D1405,Lookup!G$3,B1405,Lookup!H$3)),"no url")</f>
        <v>no url</v>
      </c>
    </row>
    <row r="1406" spans="1:6" hidden="1" x14ac:dyDescent="0.25">
      <c r="A1406" s="2" t="b">
        <f>IF(ISBLANK(InfoGard!D1406),FALSE,LOOKUP(InfoGard!D1406,Lookup!$A$2:$B$4))</f>
        <v>0</v>
      </c>
      <c r="B1406" s="2" t="b">
        <f>IF(ISBLANK(InfoGard!E1406),FALSE,RIGHT(TRIM(InfoGard!E1406),15))</f>
        <v>0</v>
      </c>
      <c r="C1406" s="2" t="b">
        <f>IF(ISBLANK(InfoGard!F1406),FALSE,LOOKUP(InfoGard!F1406,Lookup!$A$6:$B$7))</f>
        <v>0</v>
      </c>
      <c r="D1406" s="2" t="b">
        <f>IF(ISBLANK(InfoGard!G1406),FALSE,InfoGard!G1406)</f>
        <v>0</v>
      </c>
      <c r="E1406" s="2" t="str">
        <f>IF(NOT(ISBLANK(InfoGard!D1406)),IF(OR(ISBLANK(InfoGard!E1406),InfoGard!E1406="N/A"),"no acb code",CONCATENATE(Lookup!F$1,A1406,Lookup!G$1,B1406,Lookup!H$1,H$1,Lookup!I$1)),"no attestation")</f>
        <v>no attestation</v>
      </c>
      <c r="F1406" s="2" t="str">
        <f>IF(AND(NOT(ISBLANK(InfoGard!G1406)),InfoGard!G1406&lt;&gt;"N/A"),IF(C1406="All",CONCATENATE(Lookup!F$2,D1406,Lookup!G$2,B1406,Lookup!H$2,H$1,Lookup!I$2),CONCATENATE(Lookup!F$3,D1406,Lookup!G$3,B1406,Lookup!H$3)),"no url")</f>
        <v>no url</v>
      </c>
    </row>
    <row r="1407" spans="1:6" hidden="1" x14ac:dyDescent="0.25">
      <c r="A1407" s="2" t="b">
        <f>IF(ISBLANK(InfoGard!D1407),FALSE,LOOKUP(InfoGard!D1407,Lookup!$A$2:$B$4))</f>
        <v>0</v>
      </c>
      <c r="B1407" s="2" t="b">
        <f>IF(ISBLANK(InfoGard!E1407),FALSE,RIGHT(TRIM(InfoGard!E1407),15))</f>
        <v>0</v>
      </c>
      <c r="C1407" s="2" t="b">
        <f>IF(ISBLANK(InfoGard!F1407),FALSE,LOOKUP(InfoGard!F1407,Lookup!$A$6:$B$7))</f>
        <v>0</v>
      </c>
      <c r="D1407" s="2" t="b">
        <f>IF(ISBLANK(InfoGard!G1407),FALSE,InfoGard!G1407)</f>
        <v>0</v>
      </c>
      <c r="E1407" s="2" t="str">
        <f>IF(NOT(ISBLANK(InfoGard!D1407)),IF(OR(ISBLANK(InfoGard!E1407),InfoGard!E1407="N/A"),"no acb code",CONCATENATE(Lookup!F$1,A1407,Lookup!G$1,B1407,Lookup!H$1,H$1,Lookup!I$1)),"no attestation")</f>
        <v>no attestation</v>
      </c>
      <c r="F1407" s="2" t="str">
        <f>IF(AND(NOT(ISBLANK(InfoGard!G1407)),InfoGard!G1407&lt;&gt;"N/A"),IF(C1407="All",CONCATENATE(Lookup!F$2,D1407,Lookup!G$2,B1407,Lookup!H$2,H$1,Lookup!I$2),CONCATENATE(Lookup!F$3,D1407,Lookup!G$3,B1407,Lookup!H$3)),"no url")</f>
        <v>no url</v>
      </c>
    </row>
    <row r="1408" spans="1:6" hidden="1" x14ac:dyDescent="0.25">
      <c r="A1408" s="2" t="b">
        <f>IF(ISBLANK(InfoGard!D1408),FALSE,LOOKUP(InfoGard!D1408,Lookup!$A$2:$B$4))</f>
        <v>0</v>
      </c>
      <c r="B1408" s="2" t="b">
        <f>IF(ISBLANK(InfoGard!E1408),FALSE,RIGHT(TRIM(InfoGard!E1408),15))</f>
        <v>0</v>
      </c>
      <c r="C1408" s="2" t="b">
        <f>IF(ISBLANK(InfoGard!F1408),FALSE,LOOKUP(InfoGard!F1408,Lookup!$A$6:$B$7))</f>
        <v>0</v>
      </c>
      <c r="D1408" s="2" t="b">
        <f>IF(ISBLANK(InfoGard!G1408),FALSE,InfoGard!G1408)</f>
        <v>0</v>
      </c>
      <c r="E1408" s="2" t="str">
        <f>IF(NOT(ISBLANK(InfoGard!D1408)),IF(OR(ISBLANK(InfoGard!E1408),InfoGard!E1408="N/A"),"no acb code",CONCATENATE(Lookup!F$1,A1408,Lookup!G$1,B1408,Lookup!H$1,H$1,Lookup!I$1)),"no attestation")</f>
        <v>no attestation</v>
      </c>
      <c r="F1408" s="2" t="str">
        <f>IF(AND(NOT(ISBLANK(InfoGard!G1408)),InfoGard!G1408&lt;&gt;"N/A"),IF(C1408="All",CONCATENATE(Lookup!F$2,D1408,Lookup!G$2,B1408,Lookup!H$2,H$1,Lookup!I$2),CONCATENATE(Lookup!F$3,D1408,Lookup!G$3,B1408,Lookup!H$3)),"no url")</f>
        <v>no url</v>
      </c>
    </row>
    <row r="1409" spans="1:6" hidden="1" x14ac:dyDescent="0.25">
      <c r="A1409" s="2" t="b">
        <f>IF(ISBLANK(InfoGard!D1409),FALSE,LOOKUP(InfoGard!D1409,Lookup!$A$2:$B$4))</f>
        <v>0</v>
      </c>
      <c r="B1409" s="2" t="b">
        <f>IF(ISBLANK(InfoGard!E1409),FALSE,RIGHT(TRIM(InfoGard!E1409),15))</f>
        <v>0</v>
      </c>
      <c r="C1409" s="2" t="b">
        <f>IF(ISBLANK(InfoGard!F1409),FALSE,LOOKUP(InfoGard!F1409,Lookup!$A$6:$B$7))</f>
        <v>0</v>
      </c>
      <c r="D1409" s="2" t="b">
        <f>IF(ISBLANK(InfoGard!G1409),FALSE,InfoGard!G1409)</f>
        <v>0</v>
      </c>
      <c r="E1409" s="2" t="str">
        <f>IF(NOT(ISBLANK(InfoGard!D1409)),IF(OR(ISBLANK(InfoGard!E1409),InfoGard!E1409="N/A"),"no acb code",CONCATENATE(Lookup!F$1,A1409,Lookup!G$1,B1409,Lookup!H$1,H$1,Lookup!I$1)),"no attestation")</f>
        <v>no attestation</v>
      </c>
      <c r="F1409" s="2" t="str">
        <f>IF(AND(NOT(ISBLANK(InfoGard!G1409)),InfoGard!G1409&lt;&gt;"N/A"),IF(C1409="All",CONCATENATE(Lookup!F$2,D1409,Lookup!G$2,B1409,Lookup!H$2,H$1,Lookup!I$2),CONCATENATE(Lookup!F$3,D1409,Lookup!G$3,B1409,Lookup!H$3)),"no url")</f>
        <v>no url</v>
      </c>
    </row>
    <row r="1410" spans="1:6" hidden="1" x14ac:dyDescent="0.25">
      <c r="A1410" s="2" t="b">
        <f>IF(ISBLANK(InfoGard!D1410),FALSE,LOOKUP(InfoGard!D1410,Lookup!$A$2:$B$4))</f>
        <v>0</v>
      </c>
      <c r="B1410" s="2" t="b">
        <f>IF(ISBLANK(InfoGard!E1410),FALSE,RIGHT(TRIM(InfoGard!E1410),15))</f>
        <v>0</v>
      </c>
      <c r="C1410" s="2" t="b">
        <f>IF(ISBLANK(InfoGard!F1410),FALSE,LOOKUP(InfoGard!F1410,Lookup!$A$6:$B$7))</f>
        <v>0</v>
      </c>
      <c r="D1410" s="2" t="b">
        <f>IF(ISBLANK(InfoGard!G1410),FALSE,InfoGard!G1410)</f>
        <v>0</v>
      </c>
      <c r="E1410" s="2" t="str">
        <f>IF(NOT(ISBLANK(InfoGard!D1410)),IF(OR(ISBLANK(InfoGard!E1410),InfoGard!E1410="N/A"),"no acb code",CONCATENATE(Lookup!F$1,A1410,Lookup!G$1,B1410,Lookup!H$1,H$1,Lookup!I$1)),"no attestation")</f>
        <v>no attestation</v>
      </c>
      <c r="F1410" s="2" t="str">
        <f>IF(AND(NOT(ISBLANK(InfoGard!G1410)),InfoGard!G1410&lt;&gt;"N/A"),IF(C1410="All",CONCATENATE(Lookup!F$2,D1410,Lookup!G$2,B1410,Lookup!H$2,H$1,Lookup!I$2),CONCATENATE(Lookup!F$3,D1410,Lookup!G$3,B1410,Lookup!H$3)),"no url")</f>
        <v>no url</v>
      </c>
    </row>
    <row r="1411" spans="1:6" hidden="1" x14ac:dyDescent="0.25">
      <c r="A1411" s="2" t="b">
        <f>IF(ISBLANK(InfoGard!D1411),FALSE,LOOKUP(InfoGard!D1411,Lookup!$A$2:$B$4))</f>
        <v>0</v>
      </c>
      <c r="B1411" s="2" t="b">
        <f>IF(ISBLANK(InfoGard!E1411),FALSE,RIGHT(TRIM(InfoGard!E1411),15))</f>
        <v>0</v>
      </c>
      <c r="C1411" s="2" t="b">
        <f>IF(ISBLANK(InfoGard!F1411),FALSE,LOOKUP(InfoGard!F1411,Lookup!$A$6:$B$7))</f>
        <v>0</v>
      </c>
      <c r="D1411" s="2" t="b">
        <f>IF(ISBLANK(InfoGard!G1411),FALSE,InfoGard!G1411)</f>
        <v>0</v>
      </c>
      <c r="E1411" s="2" t="str">
        <f>IF(NOT(ISBLANK(InfoGard!D1411)),IF(OR(ISBLANK(InfoGard!E1411),InfoGard!E1411="N/A"),"no acb code",CONCATENATE(Lookup!F$1,A1411,Lookup!G$1,B1411,Lookup!H$1,H$1,Lookup!I$1)),"no attestation")</f>
        <v>no attestation</v>
      </c>
      <c r="F1411" s="2" t="str">
        <f>IF(AND(NOT(ISBLANK(InfoGard!G1411)),InfoGard!G1411&lt;&gt;"N/A"),IF(C1411="All",CONCATENATE(Lookup!F$2,D1411,Lookup!G$2,B1411,Lookup!H$2,H$1,Lookup!I$2),CONCATENATE(Lookup!F$3,D1411,Lookup!G$3,B1411,Lookup!H$3)),"no url")</f>
        <v>no url</v>
      </c>
    </row>
    <row r="1412" spans="1:6" hidden="1" x14ac:dyDescent="0.25">
      <c r="A1412" s="2" t="b">
        <f>IF(ISBLANK(InfoGard!D1412),FALSE,LOOKUP(InfoGard!D1412,Lookup!$A$2:$B$4))</f>
        <v>0</v>
      </c>
      <c r="B1412" s="2" t="b">
        <f>IF(ISBLANK(InfoGard!E1412),FALSE,RIGHT(TRIM(InfoGard!E1412),15))</f>
        <v>0</v>
      </c>
      <c r="C1412" s="2" t="b">
        <f>IF(ISBLANK(InfoGard!F1412),FALSE,LOOKUP(InfoGard!F1412,Lookup!$A$6:$B$7))</f>
        <v>0</v>
      </c>
      <c r="D1412" s="2" t="b">
        <f>IF(ISBLANK(InfoGard!G1412),FALSE,InfoGard!G1412)</f>
        <v>0</v>
      </c>
      <c r="E1412" s="2" t="str">
        <f>IF(NOT(ISBLANK(InfoGard!D1412)),IF(OR(ISBLANK(InfoGard!E1412),InfoGard!E1412="N/A"),"no acb code",CONCATENATE(Lookup!F$1,A1412,Lookup!G$1,B1412,Lookup!H$1,H$1,Lookup!I$1)),"no attestation")</f>
        <v>no attestation</v>
      </c>
      <c r="F1412" s="2" t="str">
        <f>IF(AND(NOT(ISBLANK(InfoGard!G1412)),InfoGard!G1412&lt;&gt;"N/A"),IF(C1412="All",CONCATENATE(Lookup!F$2,D1412,Lookup!G$2,B1412,Lookup!H$2,H$1,Lookup!I$2),CONCATENATE(Lookup!F$3,D1412,Lookup!G$3,B1412,Lookup!H$3)),"no url")</f>
        <v>no url</v>
      </c>
    </row>
    <row r="1413" spans="1:6" hidden="1" x14ac:dyDescent="0.25">
      <c r="A1413" s="2" t="b">
        <f>IF(ISBLANK(InfoGard!D1413),FALSE,LOOKUP(InfoGard!D1413,Lookup!$A$2:$B$4))</f>
        <v>0</v>
      </c>
      <c r="B1413" s="2" t="b">
        <f>IF(ISBLANK(InfoGard!E1413),FALSE,RIGHT(TRIM(InfoGard!E1413),15))</f>
        <v>0</v>
      </c>
      <c r="C1413" s="2" t="b">
        <f>IF(ISBLANK(InfoGard!F1413),FALSE,LOOKUP(InfoGard!F1413,Lookup!$A$6:$B$7))</f>
        <v>0</v>
      </c>
      <c r="D1413" s="2" t="b">
        <f>IF(ISBLANK(InfoGard!G1413),FALSE,InfoGard!G1413)</f>
        <v>0</v>
      </c>
      <c r="E1413" s="2" t="str">
        <f>IF(NOT(ISBLANK(InfoGard!D1413)),IF(OR(ISBLANK(InfoGard!E1413),InfoGard!E1413="N/A"),"no acb code",CONCATENATE(Lookup!F$1,A1413,Lookup!G$1,B1413,Lookup!H$1,H$1,Lookup!I$1)),"no attestation")</f>
        <v>no attestation</v>
      </c>
      <c r="F1413" s="2" t="str">
        <f>IF(AND(NOT(ISBLANK(InfoGard!G1413)),InfoGard!G1413&lt;&gt;"N/A"),IF(C1413="All",CONCATENATE(Lookup!F$2,D1413,Lookup!G$2,B1413,Lookup!H$2,H$1,Lookup!I$2),CONCATENATE(Lookup!F$3,D1413,Lookup!G$3,B1413,Lookup!H$3)),"no url")</f>
        <v>no url</v>
      </c>
    </row>
    <row r="1414" spans="1:6" hidden="1" x14ac:dyDescent="0.25">
      <c r="A1414" s="2" t="b">
        <f>IF(ISBLANK(InfoGard!D1414),FALSE,LOOKUP(InfoGard!D1414,Lookup!$A$2:$B$4))</f>
        <v>0</v>
      </c>
      <c r="B1414" s="2" t="b">
        <f>IF(ISBLANK(InfoGard!E1414),FALSE,RIGHT(TRIM(InfoGard!E1414),15))</f>
        <v>0</v>
      </c>
      <c r="C1414" s="2" t="b">
        <f>IF(ISBLANK(InfoGard!F1414),FALSE,LOOKUP(InfoGard!F1414,Lookup!$A$6:$B$7))</f>
        <v>0</v>
      </c>
      <c r="D1414" s="2" t="b">
        <f>IF(ISBLANK(InfoGard!G1414),FALSE,InfoGard!G1414)</f>
        <v>0</v>
      </c>
      <c r="E1414" s="2" t="str">
        <f>IF(NOT(ISBLANK(InfoGard!D1414)),IF(OR(ISBLANK(InfoGard!E1414),InfoGard!E1414="N/A"),"no acb code",CONCATENATE(Lookup!F$1,A1414,Lookup!G$1,B1414,Lookup!H$1,H$1,Lookup!I$1)),"no attestation")</f>
        <v>no attestation</v>
      </c>
      <c r="F1414" s="2" t="str">
        <f>IF(AND(NOT(ISBLANK(InfoGard!G1414)),InfoGard!G1414&lt;&gt;"N/A"),IF(C1414="All",CONCATENATE(Lookup!F$2,D1414,Lookup!G$2,B1414,Lookup!H$2,H$1,Lookup!I$2),CONCATENATE(Lookup!F$3,D1414,Lookup!G$3,B1414,Lookup!H$3)),"no url")</f>
        <v>no url</v>
      </c>
    </row>
    <row r="1415" spans="1:6" hidden="1" x14ac:dyDescent="0.25">
      <c r="A1415" s="2" t="b">
        <f>IF(ISBLANK(InfoGard!D1415),FALSE,LOOKUP(InfoGard!D1415,Lookup!$A$2:$B$4))</f>
        <v>0</v>
      </c>
      <c r="B1415" s="2" t="b">
        <f>IF(ISBLANK(InfoGard!E1415),FALSE,RIGHT(TRIM(InfoGard!E1415),15))</f>
        <v>0</v>
      </c>
      <c r="C1415" s="2" t="b">
        <f>IF(ISBLANK(InfoGard!F1415),FALSE,LOOKUP(InfoGard!F1415,Lookup!$A$6:$B$7))</f>
        <v>0</v>
      </c>
      <c r="D1415" s="2" t="b">
        <f>IF(ISBLANK(InfoGard!G1415),FALSE,InfoGard!G1415)</f>
        <v>0</v>
      </c>
      <c r="E1415" s="2" t="str">
        <f>IF(NOT(ISBLANK(InfoGard!D1415)),IF(OR(ISBLANK(InfoGard!E1415),InfoGard!E1415="N/A"),"no acb code",CONCATENATE(Lookup!F$1,A1415,Lookup!G$1,B1415,Lookup!H$1,H$1,Lookup!I$1)),"no attestation")</f>
        <v>no attestation</v>
      </c>
      <c r="F1415" s="2" t="str">
        <f>IF(AND(NOT(ISBLANK(InfoGard!G1415)),InfoGard!G1415&lt;&gt;"N/A"),IF(C1415="All",CONCATENATE(Lookup!F$2,D1415,Lookup!G$2,B1415,Lookup!H$2,H$1,Lookup!I$2),CONCATENATE(Lookup!F$3,D1415,Lookup!G$3,B1415,Lookup!H$3)),"no url")</f>
        <v>no url</v>
      </c>
    </row>
    <row r="1416" spans="1:6" hidden="1" x14ac:dyDescent="0.25">
      <c r="A1416" s="2" t="b">
        <f>IF(ISBLANK(InfoGard!D1416),FALSE,LOOKUP(InfoGard!D1416,Lookup!$A$2:$B$4))</f>
        <v>0</v>
      </c>
      <c r="B1416" s="2" t="b">
        <f>IF(ISBLANK(InfoGard!E1416),FALSE,RIGHT(TRIM(InfoGard!E1416),15))</f>
        <v>0</v>
      </c>
      <c r="C1416" s="2" t="b">
        <f>IF(ISBLANK(InfoGard!F1416),FALSE,LOOKUP(InfoGard!F1416,Lookup!$A$6:$B$7))</f>
        <v>0</v>
      </c>
      <c r="D1416" s="2" t="b">
        <f>IF(ISBLANK(InfoGard!G1416),FALSE,InfoGard!G1416)</f>
        <v>0</v>
      </c>
      <c r="E1416" s="2" t="str">
        <f>IF(NOT(ISBLANK(InfoGard!D1416)),IF(OR(ISBLANK(InfoGard!E1416),InfoGard!E1416="N/A"),"no acb code",CONCATENATE(Lookup!F$1,A1416,Lookup!G$1,B1416,Lookup!H$1,H$1,Lookup!I$1)),"no attestation")</f>
        <v>no attestation</v>
      </c>
      <c r="F1416" s="2" t="str">
        <f>IF(AND(NOT(ISBLANK(InfoGard!G1416)),InfoGard!G1416&lt;&gt;"N/A"),IF(C1416="All",CONCATENATE(Lookup!F$2,D1416,Lookup!G$2,B1416,Lookup!H$2,H$1,Lookup!I$2),CONCATENATE(Lookup!F$3,D1416,Lookup!G$3,B1416,Lookup!H$3)),"no url")</f>
        <v>no url</v>
      </c>
    </row>
    <row r="1417" spans="1:6" hidden="1" x14ac:dyDescent="0.25">
      <c r="A1417" s="2" t="b">
        <f>IF(ISBLANK(InfoGard!D1417),FALSE,LOOKUP(InfoGard!D1417,Lookup!$A$2:$B$4))</f>
        <v>0</v>
      </c>
      <c r="B1417" s="2" t="b">
        <f>IF(ISBLANK(InfoGard!E1417),FALSE,RIGHT(TRIM(InfoGard!E1417),15))</f>
        <v>0</v>
      </c>
      <c r="C1417" s="2" t="b">
        <f>IF(ISBLANK(InfoGard!F1417),FALSE,LOOKUP(InfoGard!F1417,Lookup!$A$6:$B$7))</f>
        <v>0</v>
      </c>
      <c r="D1417" s="2" t="b">
        <f>IF(ISBLANK(InfoGard!G1417),FALSE,InfoGard!G1417)</f>
        <v>0</v>
      </c>
      <c r="E1417" s="2" t="str">
        <f>IF(NOT(ISBLANK(InfoGard!D1417)),IF(OR(ISBLANK(InfoGard!E1417),InfoGard!E1417="N/A"),"no acb code",CONCATENATE(Lookup!F$1,A1417,Lookup!G$1,B1417,Lookup!H$1,H$1,Lookup!I$1)),"no attestation")</f>
        <v>no attestation</v>
      </c>
      <c r="F1417" s="2" t="str">
        <f>IF(AND(NOT(ISBLANK(InfoGard!G1417)),InfoGard!G1417&lt;&gt;"N/A"),IF(C1417="All",CONCATENATE(Lookup!F$2,D1417,Lookup!G$2,B1417,Lookup!H$2,H$1,Lookup!I$2),CONCATENATE(Lookup!F$3,D1417,Lookup!G$3,B1417,Lookup!H$3)),"no url")</f>
        <v>no url</v>
      </c>
    </row>
    <row r="1418" spans="1:6" hidden="1" x14ac:dyDescent="0.25">
      <c r="A1418" s="2" t="b">
        <f>IF(ISBLANK(InfoGard!D1418),FALSE,LOOKUP(InfoGard!D1418,Lookup!$A$2:$B$4))</f>
        <v>0</v>
      </c>
      <c r="B1418" s="2" t="b">
        <f>IF(ISBLANK(InfoGard!E1418),FALSE,RIGHT(TRIM(InfoGard!E1418),15))</f>
        <v>0</v>
      </c>
      <c r="C1418" s="2" t="b">
        <f>IF(ISBLANK(InfoGard!F1418),FALSE,LOOKUP(InfoGard!F1418,Lookup!$A$6:$B$7))</f>
        <v>0</v>
      </c>
      <c r="D1418" s="2" t="b">
        <f>IF(ISBLANK(InfoGard!G1418),FALSE,InfoGard!G1418)</f>
        <v>0</v>
      </c>
      <c r="E1418" s="2" t="str">
        <f>IF(NOT(ISBLANK(InfoGard!D1418)),IF(OR(ISBLANK(InfoGard!E1418),InfoGard!E1418="N/A"),"no acb code",CONCATENATE(Lookup!F$1,A1418,Lookup!G$1,B1418,Lookup!H$1,H$1,Lookup!I$1)),"no attestation")</f>
        <v>no attestation</v>
      </c>
      <c r="F1418" s="2" t="str">
        <f>IF(AND(NOT(ISBLANK(InfoGard!G1418)),InfoGard!G1418&lt;&gt;"N/A"),IF(C1418="All",CONCATENATE(Lookup!F$2,D1418,Lookup!G$2,B1418,Lookup!H$2,H$1,Lookup!I$2),CONCATENATE(Lookup!F$3,D1418,Lookup!G$3,B1418,Lookup!H$3)),"no url")</f>
        <v>no url</v>
      </c>
    </row>
    <row r="1419" spans="1:6" hidden="1" x14ac:dyDescent="0.25">
      <c r="A1419" s="2" t="b">
        <f>IF(ISBLANK(InfoGard!D1419),FALSE,LOOKUP(InfoGard!D1419,Lookup!$A$2:$B$4))</f>
        <v>0</v>
      </c>
      <c r="B1419" s="2" t="b">
        <f>IF(ISBLANK(InfoGard!E1419),FALSE,RIGHT(TRIM(InfoGard!E1419),15))</f>
        <v>0</v>
      </c>
      <c r="C1419" s="2" t="b">
        <f>IF(ISBLANK(InfoGard!F1419),FALSE,LOOKUP(InfoGard!F1419,Lookup!$A$6:$B$7))</f>
        <v>0</v>
      </c>
      <c r="D1419" s="2" t="b">
        <f>IF(ISBLANK(InfoGard!G1419),FALSE,InfoGard!G1419)</f>
        <v>0</v>
      </c>
      <c r="E1419" s="2" t="str">
        <f>IF(NOT(ISBLANK(InfoGard!D1419)),IF(OR(ISBLANK(InfoGard!E1419),InfoGard!E1419="N/A"),"no acb code",CONCATENATE(Lookup!F$1,A1419,Lookup!G$1,B1419,Lookup!H$1,H$1,Lookup!I$1)),"no attestation")</f>
        <v>no attestation</v>
      </c>
      <c r="F1419" s="2" t="str">
        <f>IF(AND(NOT(ISBLANK(InfoGard!G1419)),InfoGard!G1419&lt;&gt;"N/A"),IF(C1419="All",CONCATENATE(Lookup!F$2,D1419,Lookup!G$2,B1419,Lookup!H$2,H$1,Lookup!I$2),CONCATENATE(Lookup!F$3,D1419,Lookup!G$3,B1419,Lookup!H$3)),"no url")</f>
        <v>no url</v>
      </c>
    </row>
    <row r="1420" spans="1:6" hidden="1" x14ac:dyDescent="0.25">
      <c r="A1420" s="2" t="b">
        <f>IF(ISBLANK(InfoGard!D1420),FALSE,LOOKUP(InfoGard!D1420,Lookup!$A$2:$B$4))</f>
        <v>0</v>
      </c>
      <c r="B1420" s="2" t="b">
        <f>IF(ISBLANK(InfoGard!E1420),FALSE,RIGHT(TRIM(InfoGard!E1420),15))</f>
        <v>0</v>
      </c>
      <c r="C1420" s="2" t="b">
        <f>IF(ISBLANK(InfoGard!F1420),FALSE,LOOKUP(InfoGard!F1420,Lookup!$A$6:$B$7))</f>
        <v>0</v>
      </c>
      <c r="D1420" s="2" t="b">
        <f>IF(ISBLANK(InfoGard!G1420),FALSE,InfoGard!G1420)</f>
        <v>0</v>
      </c>
      <c r="E1420" s="2" t="str">
        <f>IF(NOT(ISBLANK(InfoGard!D1420)),IF(OR(ISBLANK(InfoGard!E1420),InfoGard!E1420="N/A"),"no acb code",CONCATENATE(Lookup!F$1,A1420,Lookup!G$1,B1420,Lookup!H$1,H$1,Lookup!I$1)),"no attestation")</f>
        <v>no attestation</v>
      </c>
      <c r="F1420" s="2" t="str">
        <f>IF(AND(NOT(ISBLANK(InfoGard!G1420)),InfoGard!G1420&lt;&gt;"N/A"),IF(C1420="All",CONCATENATE(Lookup!F$2,D1420,Lookup!G$2,B1420,Lookup!H$2,H$1,Lookup!I$2),CONCATENATE(Lookup!F$3,D1420,Lookup!G$3,B1420,Lookup!H$3)),"no url")</f>
        <v>no url</v>
      </c>
    </row>
    <row r="1421" spans="1:6" hidden="1" x14ac:dyDescent="0.25">
      <c r="A1421" s="2" t="b">
        <f>IF(ISBLANK(InfoGard!D1421),FALSE,LOOKUP(InfoGard!D1421,Lookup!$A$2:$B$4))</f>
        <v>0</v>
      </c>
      <c r="B1421" s="2" t="b">
        <f>IF(ISBLANK(InfoGard!E1421),FALSE,RIGHT(TRIM(InfoGard!E1421),15))</f>
        <v>0</v>
      </c>
      <c r="C1421" s="2" t="b">
        <f>IF(ISBLANK(InfoGard!F1421),FALSE,LOOKUP(InfoGard!F1421,Lookup!$A$6:$B$7))</f>
        <v>0</v>
      </c>
      <c r="D1421" s="2" t="b">
        <f>IF(ISBLANK(InfoGard!G1421),FALSE,InfoGard!G1421)</f>
        <v>0</v>
      </c>
      <c r="E1421" s="2" t="str">
        <f>IF(NOT(ISBLANK(InfoGard!D1421)),IF(OR(ISBLANK(InfoGard!E1421),InfoGard!E1421="N/A"),"no acb code",CONCATENATE(Lookup!F$1,A1421,Lookup!G$1,B1421,Lookup!H$1,H$1,Lookup!I$1)),"no attestation")</f>
        <v>no attestation</v>
      </c>
      <c r="F1421" s="2" t="str">
        <f>IF(AND(NOT(ISBLANK(InfoGard!G1421)),InfoGard!G1421&lt;&gt;"N/A"),IF(C1421="All",CONCATENATE(Lookup!F$2,D1421,Lookup!G$2,B1421,Lookup!H$2,H$1,Lookup!I$2),CONCATENATE(Lookup!F$3,D1421,Lookup!G$3,B1421,Lookup!H$3)),"no url")</f>
        <v>no url</v>
      </c>
    </row>
    <row r="1422" spans="1:6" hidden="1" x14ac:dyDescent="0.25">
      <c r="A1422" s="2" t="b">
        <f>IF(ISBLANK(InfoGard!D1422),FALSE,LOOKUP(InfoGard!D1422,Lookup!$A$2:$B$4))</f>
        <v>0</v>
      </c>
      <c r="B1422" s="2" t="b">
        <f>IF(ISBLANK(InfoGard!E1422),FALSE,RIGHT(TRIM(InfoGard!E1422),15))</f>
        <v>0</v>
      </c>
      <c r="C1422" s="2" t="b">
        <f>IF(ISBLANK(InfoGard!F1422),FALSE,LOOKUP(InfoGard!F1422,Lookup!$A$6:$B$7))</f>
        <v>0</v>
      </c>
      <c r="D1422" s="2" t="b">
        <f>IF(ISBLANK(InfoGard!G1422),FALSE,InfoGard!G1422)</f>
        <v>0</v>
      </c>
      <c r="E1422" s="2" t="str">
        <f>IF(NOT(ISBLANK(InfoGard!D1422)),IF(OR(ISBLANK(InfoGard!E1422),InfoGard!E1422="N/A"),"no acb code",CONCATENATE(Lookup!F$1,A1422,Lookup!G$1,B1422,Lookup!H$1,H$1,Lookup!I$1)),"no attestation")</f>
        <v>no attestation</v>
      </c>
      <c r="F1422" s="2" t="str">
        <f>IF(AND(NOT(ISBLANK(InfoGard!G1422)),InfoGard!G1422&lt;&gt;"N/A"),IF(C1422="All",CONCATENATE(Lookup!F$2,D1422,Lookup!G$2,B1422,Lookup!H$2,H$1,Lookup!I$2),CONCATENATE(Lookup!F$3,D1422,Lookup!G$3,B1422,Lookup!H$3)),"no url")</f>
        <v>no url</v>
      </c>
    </row>
    <row r="1423" spans="1:6" hidden="1" x14ac:dyDescent="0.25">
      <c r="A1423" s="2" t="b">
        <f>IF(ISBLANK(InfoGard!D1423),FALSE,LOOKUP(InfoGard!D1423,Lookup!$A$2:$B$4))</f>
        <v>0</v>
      </c>
      <c r="B1423" s="2" t="b">
        <f>IF(ISBLANK(InfoGard!E1423),FALSE,RIGHT(TRIM(InfoGard!E1423),15))</f>
        <v>0</v>
      </c>
      <c r="C1423" s="2" t="b">
        <f>IF(ISBLANK(InfoGard!F1423),FALSE,LOOKUP(InfoGard!F1423,Lookup!$A$6:$B$7))</f>
        <v>0</v>
      </c>
      <c r="D1423" s="2" t="b">
        <f>IF(ISBLANK(InfoGard!G1423),FALSE,InfoGard!G1423)</f>
        <v>0</v>
      </c>
      <c r="E1423" s="2" t="str">
        <f>IF(NOT(ISBLANK(InfoGard!D1423)),IF(OR(ISBLANK(InfoGard!E1423),InfoGard!E1423="N/A"),"no acb code",CONCATENATE(Lookup!F$1,A1423,Lookup!G$1,B1423,Lookup!H$1,H$1,Lookup!I$1)),"no attestation")</f>
        <v>no attestation</v>
      </c>
      <c r="F1423" s="2" t="str">
        <f>IF(AND(NOT(ISBLANK(InfoGard!G1423)),InfoGard!G1423&lt;&gt;"N/A"),IF(C1423="All",CONCATENATE(Lookup!F$2,D1423,Lookup!G$2,B1423,Lookup!H$2,H$1,Lookup!I$2),CONCATENATE(Lookup!F$3,D1423,Lookup!G$3,B1423,Lookup!H$3)),"no url")</f>
        <v>no url</v>
      </c>
    </row>
    <row r="1424" spans="1:6" x14ac:dyDescent="0.25">
      <c r="A1424" s="2" t="str">
        <f>IF(ISBLANK(InfoGard!D1424),FALSE,LOOKUP(InfoGard!D1424,Lookup!$A$2:$B$4))</f>
        <v>Affirmative</v>
      </c>
      <c r="B1424" s="2" t="str">
        <f>IF(ISBLANK(InfoGard!E1424),FALSE,RIGHT(TRIM(InfoGard!E1424),15))</f>
        <v>IG-2898-14-0030</v>
      </c>
      <c r="C1424" s="2" t="str">
        <f>IF(ISBLANK(InfoGard!F1424),FALSE,LOOKUP(InfoGard!F1424,Lookup!$A$6:$B$7))</f>
        <v>All</v>
      </c>
      <c r="D1424" s="2" t="str">
        <f>IF(ISBLANK(InfoGard!G1424),FALSE,InfoGard!G1424)</f>
        <v>http://www.vecna.com/onc/</v>
      </c>
      <c r="E1424" s="2" t="str">
        <f>IF(NOT(ISBLANK(InfoGard!D1424)),IF(OR(ISBLANK(InfoGard!E1424),InfoGard!E1424="N/A"),"no acb code",CONCATENATE(Lookup!F$1,A1424,Lookup!G$1,B1424,Lookup!H$1,H$1,Lookup!I$1)),"no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'IG-2898-14-0030' and cb."name" = 'InfoGard' and cp.product_version_id = pv.product_version_id and pv.product_id = p.product_id and p.vendor_id = vend.vendor_id;</v>
      </c>
      <c r="F1424" s="2" t="str">
        <f>IF(AND(NOT(ISBLANK(InfoGard!G1424)),InfoGard!G1424&lt;&gt;"N/A"),IF(C1424="All",CONCATENATE(Lookup!F$2,D1424,Lookup!G$2,B1424,Lookup!H$2,H$1,Lookup!I$2),CONCATENATE(Lookup!F$3,D1424,Lookup!G$3,B1424,Lookup!H$3)),"no url")</f>
        <v>update openchpl.certified_product as cp set transparency_attestation_url = 'http://www.vecna.com/onc/' from (select certified_product_id from (select vend.vendor_code from openchpl.certified_product as cp, openchpl.product_version as pv, openchpl.product as p, openchpl.vendor as vend where cp.acb_certification_id = 'IG-2898-14-0030'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25" spans="1:6" hidden="1" x14ac:dyDescent="0.25">
      <c r="A1425" s="2" t="b">
        <f>IF(ISBLANK(InfoGard!D1425),FALSE,LOOKUP(InfoGard!D1425,Lookup!$A$2:$B$4))</f>
        <v>0</v>
      </c>
      <c r="B1425" s="2" t="b">
        <f>IF(ISBLANK(InfoGard!E1425),FALSE,RIGHT(TRIM(InfoGard!E1425),15))</f>
        <v>0</v>
      </c>
      <c r="C1425" s="2" t="b">
        <f>IF(ISBLANK(InfoGard!F1425),FALSE,LOOKUP(InfoGard!F1425,Lookup!$A$6:$B$7))</f>
        <v>0</v>
      </c>
      <c r="D1425" s="2" t="b">
        <f>IF(ISBLANK(InfoGard!G1425),FALSE,InfoGard!G1425)</f>
        <v>0</v>
      </c>
      <c r="E1425" s="2" t="str">
        <f>IF(NOT(ISBLANK(InfoGard!D1425)),IF(OR(ISBLANK(InfoGard!E1425),InfoGard!E1425="N/A"),"no acb code",CONCATENATE(Lookup!F$1,A1425,Lookup!G$1,B1425,Lookup!H$1,H$1,Lookup!I$1)),"no attestation")</f>
        <v>no attestation</v>
      </c>
      <c r="F1425" s="2" t="str">
        <f>IF(AND(NOT(ISBLANK(InfoGard!G1425)),InfoGard!G1425&lt;&gt;"N/A"),IF(C1425="All",CONCATENATE(Lookup!F$2,D1425,Lookup!G$2,B1425,Lookup!H$2,H$1,Lookup!I$2),CONCATENATE(Lookup!F$3,D1425,Lookup!G$3,B1425,Lookup!H$3)),"no url")</f>
        <v>no url</v>
      </c>
    </row>
    <row r="1426" spans="1:6" hidden="1" x14ac:dyDescent="0.25">
      <c r="A1426" s="2" t="b">
        <f>IF(ISBLANK(InfoGard!D1426),FALSE,LOOKUP(InfoGard!D1426,Lookup!$A$2:$B$4))</f>
        <v>0</v>
      </c>
      <c r="B1426" s="2" t="b">
        <f>IF(ISBLANK(InfoGard!E1426),FALSE,RIGHT(TRIM(InfoGard!E1426),15))</f>
        <v>0</v>
      </c>
      <c r="C1426" s="2" t="b">
        <f>IF(ISBLANK(InfoGard!F1426),FALSE,LOOKUP(InfoGard!F1426,Lookup!$A$6:$B$7))</f>
        <v>0</v>
      </c>
      <c r="D1426" s="2" t="b">
        <f>IF(ISBLANK(InfoGard!G1426),FALSE,InfoGard!G1426)</f>
        <v>0</v>
      </c>
      <c r="E1426" s="2" t="str">
        <f>IF(NOT(ISBLANK(InfoGard!D1426)),IF(OR(ISBLANK(InfoGard!E1426),InfoGard!E1426="N/A"),"no acb code",CONCATENATE(Lookup!F$1,A1426,Lookup!G$1,B1426,Lookup!H$1,H$1,Lookup!I$1)),"no attestation")</f>
        <v>no attestation</v>
      </c>
      <c r="F1426" s="2" t="str">
        <f>IF(AND(NOT(ISBLANK(InfoGard!G1426)),InfoGard!G1426&lt;&gt;"N/A"),IF(C1426="All",CONCATENATE(Lookup!F$2,D1426,Lookup!G$2,B1426,Lookup!H$2,H$1,Lookup!I$2),CONCATENATE(Lookup!F$3,D1426,Lookup!G$3,B1426,Lookup!H$3)),"no url")</f>
        <v>no url</v>
      </c>
    </row>
    <row r="1427" spans="1:6" hidden="1" x14ac:dyDescent="0.25">
      <c r="A1427" s="2" t="b">
        <f>IF(ISBLANK(InfoGard!D1427),FALSE,LOOKUP(InfoGard!D1427,Lookup!$A$2:$B$4))</f>
        <v>0</v>
      </c>
      <c r="B1427" s="2" t="b">
        <f>IF(ISBLANK(InfoGard!E1427),FALSE,RIGHT(TRIM(InfoGard!E1427),15))</f>
        <v>0</v>
      </c>
      <c r="C1427" s="2" t="b">
        <f>IF(ISBLANK(InfoGard!F1427),FALSE,LOOKUP(InfoGard!F1427,Lookup!$A$6:$B$7))</f>
        <v>0</v>
      </c>
      <c r="D1427" s="2" t="b">
        <f>IF(ISBLANK(InfoGard!G1427),FALSE,InfoGard!G1427)</f>
        <v>0</v>
      </c>
      <c r="E1427" s="2" t="str">
        <f>IF(NOT(ISBLANK(InfoGard!D1427)),IF(OR(ISBLANK(InfoGard!E1427),InfoGard!E1427="N/A"),"no acb code",CONCATENATE(Lookup!F$1,A1427,Lookup!G$1,B1427,Lookup!H$1,H$1,Lookup!I$1)),"no attestation")</f>
        <v>no attestation</v>
      </c>
      <c r="F1427" s="2" t="str">
        <f>IF(AND(NOT(ISBLANK(InfoGard!G1427)),InfoGard!G1427&lt;&gt;"N/A"),IF(C1427="All",CONCATENATE(Lookup!F$2,D1427,Lookup!G$2,B1427,Lookup!H$2,H$1,Lookup!I$2),CONCATENATE(Lookup!F$3,D1427,Lookup!G$3,B1427,Lookup!H$3)),"no url")</f>
        <v>no url</v>
      </c>
    </row>
    <row r="1428" spans="1:6" hidden="1" x14ac:dyDescent="0.25">
      <c r="A1428" s="2" t="b">
        <f>IF(ISBLANK(InfoGard!D1428),FALSE,LOOKUP(InfoGard!D1428,Lookup!$A$2:$B$4))</f>
        <v>0</v>
      </c>
      <c r="B1428" s="2" t="b">
        <f>IF(ISBLANK(InfoGard!E1428),FALSE,RIGHT(TRIM(InfoGard!E1428),15))</f>
        <v>0</v>
      </c>
      <c r="C1428" s="2" t="b">
        <f>IF(ISBLANK(InfoGard!F1428),FALSE,LOOKUP(InfoGard!F1428,Lookup!$A$6:$B$7))</f>
        <v>0</v>
      </c>
      <c r="D1428" s="2" t="b">
        <f>IF(ISBLANK(InfoGard!G1428),FALSE,InfoGard!G1428)</f>
        <v>0</v>
      </c>
      <c r="E1428" s="2" t="str">
        <f>IF(NOT(ISBLANK(InfoGard!D1428)),IF(OR(ISBLANK(InfoGard!E1428),InfoGard!E1428="N/A"),"no acb code",CONCATENATE(Lookup!F$1,A1428,Lookup!G$1,B1428,Lookup!H$1,H$1,Lookup!I$1)),"no attestation")</f>
        <v>no attestation</v>
      </c>
      <c r="F1428" s="2" t="str">
        <f>IF(AND(NOT(ISBLANK(InfoGard!G1428)),InfoGard!G1428&lt;&gt;"N/A"),IF(C1428="All",CONCATENATE(Lookup!F$2,D1428,Lookup!G$2,B1428,Lookup!H$2,H$1,Lookup!I$2),CONCATENATE(Lookup!F$3,D1428,Lookup!G$3,B1428,Lookup!H$3)),"no url")</f>
        <v>no url</v>
      </c>
    </row>
    <row r="1429" spans="1:6" hidden="1" x14ac:dyDescent="0.25">
      <c r="A1429" s="2" t="b">
        <f>IF(ISBLANK(InfoGard!D1429),FALSE,LOOKUP(InfoGard!D1429,Lookup!$A$2:$B$4))</f>
        <v>0</v>
      </c>
      <c r="B1429" s="2" t="b">
        <f>IF(ISBLANK(InfoGard!E1429),FALSE,RIGHT(TRIM(InfoGard!E1429),15))</f>
        <v>0</v>
      </c>
      <c r="C1429" s="2" t="b">
        <f>IF(ISBLANK(InfoGard!F1429),FALSE,LOOKUP(InfoGard!F1429,Lookup!$A$6:$B$7))</f>
        <v>0</v>
      </c>
      <c r="D1429" s="2" t="b">
        <f>IF(ISBLANK(InfoGard!G1429),FALSE,InfoGard!G1429)</f>
        <v>0</v>
      </c>
      <c r="E1429" s="2" t="str">
        <f>IF(NOT(ISBLANK(InfoGard!D1429)),IF(OR(ISBLANK(InfoGard!E1429),InfoGard!E1429="N/A"),"no acb code",CONCATENATE(Lookup!F$1,A1429,Lookup!G$1,B1429,Lookup!H$1,H$1,Lookup!I$1)),"no attestation")</f>
        <v>no attestation</v>
      </c>
      <c r="F1429" s="2" t="str">
        <f>IF(AND(NOT(ISBLANK(InfoGard!G1429)),InfoGard!G1429&lt;&gt;"N/A"),IF(C1429="All",CONCATENATE(Lookup!F$2,D1429,Lookup!G$2,B1429,Lookup!H$2,H$1,Lookup!I$2),CONCATENATE(Lookup!F$3,D1429,Lookup!G$3,B1429,Lookup!H$3)),"no url")</f>
        <v>no url</v>
      </c>
    </row>
    <row r="1430" spans="1:6" hidden="1" x14ac:dyDescent="0.25">
      <c r="A1430" s="2" t="b">
        <f>IF(ISBLANK(InfoGard!D1430),FALSE,LOOKUP(InfoGard!D1430,Lookup!$A$2:$B$4))</f>
        <v>0</v>
      </c>
      <c r="B1430" s="2" t="b">
        <f>IF(ISBLANK(InfoGard!E1430),FALSE,RIGHT(TRIM(InfoGard!E1430),15))</f>
        <v>0</v>
      </c>
      <c r="C1430" s="2" t="b">
        <f>IF(ISBLANK(InfoGard!F1430),FALSE,LOOKUP(InfoGard!F1430,Lookup!$A$6:$B$7))</f>
        <v>0</v>
      </c>
      <c r="D1430" s="2" t="b">
        <f>IF(ISBLANK(InfoGard!G1430),FALSE,InfoGard!G1430)</f>
        <v>0</v>
      </c>
      <c r="E1430" s="2" t="str">
        <f>IF(NOT(ISBLANK(InfoGard!D1430)),IF(OR(ISBLANK(InfoGard!E1430),InfoGard!E1430="N/A"),"no acb code",CONCATENATE(Lookup!F$1,A1430,Lookup!G$1,B1430,Lookup!H$1,H$1,Lookup!I$1)),"no attestation")</f>
        <v>no attestation</v>
      </c>
      <c r="F1430" s="2" t="str">
        <f>IF(AND(NOT(ISBLANK(InfoGard!G1430)),InfoGard!G1430&lt;&gt;"N/A"),IF(C1430="All",CONCATENATE(Lookup!F$2,D1430,Lookup!G$2,B1430,Lookup!H$2,H$1,Lookup!I$2),CONCATENATE(Lookup!F$3,D1430,Lookup!G$3,B1430,Lookup!H$3)),"no url")</f>
        <v>no url</v>
      </c>
    </row>
    <row r="1431" spans="1:6" hidden="1" x14ac:dyDescent="0.25">
      <c r="A1431" s="2" t="b">
        <f>IF(ISBLANK(InfoGard!D1431),FALSE,LOOKUP(InfoGard!D1431,Lookup!$A$2:$B$4))</f>
        <v>0</v>
      </c>
      <c r="B1431" s="2" t="b">
        <f>IF(ISBLANK(InfoGard!E1431),FALSE,RIGHT(TRIM(InfoGard!E1431),15))</f>
        <v>0</v>
      </c>
      <c r="C1431" s="2" t="b">
        <f>IF(ISBLANK(InfoGard!F1431),FALSE,LOOKUP(InfoGard!F1431,Lookup!$A$6:$B$7))</f>
        <v>0</v>
      </c>
      <c r="D1431" s="2" t="b">
        <f>IF(ISBLANK(InfoGard!G1431),FALSE,InfoGard!G1431)</f>
        <v>0</v>
      </c>
      <c r="E1431" s="2" t="str">
        <f>IF(NOT(ISBLANK(InfoGard!D1431)),IF(OR(ISBLANK(InfoGard!E1431),InfoGard!E1431="N/A"),"no acb code",CONCATENATE(Lookup!F$1,A1431,Lookup!G$1,B1431,Lookup!H$1,H$1,Lookup!I$1)),"no attestation")</f>
        <v>no attestation</v>
      </c>
      <c r="F1431" s="2" t="str">
        <f>IF(AND(NOT(ISBLANK(InfoGard!G1431)),InfoGard!G1431&lt;&gt;"N/A"),IF(C1431="All",CONCATENATE(Lookup!F$2,D1431,Lookup!G$2,B1431,Lookup!H$2,H$1,Lookup!I$2),CONCATENATE(Lookup!F$3,D1431,Lookup!G$3,B1431,Lookup!H$3)),"no url")</f>
        <v>no url</v>
      </c>
    </row>
    <row r="1432" spans="1:6" hidden="1" x14ac:dyDescent="0.25">
      <c r="A1432" s="2" t="b">
        <f>IF(ISBLANK(InfoGard!D1432),FALSE,LOOKUP(InfoGard!D1432,Lookup!$A$2:$B$4))</f>
        <v>0</v>
      </c>
      <c r="B1432" s="2" t="b">
        <f>IF(ISBLANK(InfoGard!E1432),FALSE,RIGHT(TRIM(InfoGard!E1432),15))</f>
        <v>0</v>
      </c>
      <c r="C1432" s="2" t="b">
        <f>IF(ISBLANK(InfoGard!F1432),FALSE,LOOKUP(InfoGard!F1432,Lookup!$A$6:$B$7))</f>
        <v>0</v>
      </c>
      <c r="D1432" s="2" t="b">
        <f>IF(ISBLANK(InfoGard!G1432),FALSE,InfoGard!G1432)</f>
        <v>0</v>
      </c>
      <c r="E1432" s="2" t="str">
        <f>IF(NOT(ISBLANK(InfoGard!D1432)),IF(OR(ISBLANK(InfoGard!E1432),InfoGard!E1432="N/A"),"no acb code",CONCATENATE(Lookup!F$1,A1432,Lookup!G$1,B1432,Lookup!H$1,H$1,Lookup!I$1)),"no attestation")</f>
        <v>no attestation</v>
      </c>
      <c r="F1432" s="2" t="str">
        <f>IF(AND(NOT(ISBLANK(InfoGard!G1432)),InfoGard!G1432&lt;&gt;"N/A"),IF(C1432="All",CONCATENATE(Lookup!F$2,D1432,Lookup!G$2,B1432,Lookup!H$2,H$1,Lookup!I$2),CONCATENATE(Lookup!F$3,D1432,Lookup!G$3,B1432,Lookup!H$3)),"no url")</f>
        <v>no url</v>
      </c>
    </row>
    <row r="1433" spans="1:6" hidden="1" x14ac:dyDescent="0.25">
      <c r="A1433" s="2" t="b">
        <f>IF(ISBLANK(InfoGard!D1433),FALSE,LOOKUP(InfoGard!D1433,Lookup!$A$2:$B$4))</f>
        <v>0</v>
      </c>
      <c r="B1433" s="2" t="b">
        <f>IF(ISBLANK(InfoGard!E1433),FALSE,RIGHT(TRIM(InfoGard!E1433),15))</f>
        <v>0</v>
      </c>
      <c r="C1433" s="2" t="b">
        <f>IF(ISBLANK(InfoGard!F1433),FALSE,LOOKUP(InfoGard!F1433,Lookup!$A$6:$B$7))</f>
        <v>0</v>
      </c>
      <c r="D1433" s="2" t="b">
        <f>IF(ISBLANK(InfoGard!G1433),FALSE,InfoGard!G1433)</f>
        <v>0</v>
      </c>
      <c r="E1433" s="2" t="str">
        <f>IF(NOT(ISBLANK(InfoGard!D1433)),IF(OR(ISBLANK(InfoGard!E1433),InfoGard!E1433="N/A"),"no acb code",CONCATENATE(Lookup!F$1,A1433,Lookup!G$1,B1433,Lookup!H$1,H$1,Lookup!I$1)),"no attestation")</f>
        <v>no attestation</v>
      </c>
      <c r="F1433" s="2" t="str">
        <f>IF(AND(NOT(ISBLANK(InfoGard!G1433)),InfoGard!G1433&lt;&gt;"N/A"),IF(C1433="All",CONCATENATE(Lookup!F$2,D1433,Lookup!G$2,B1433,Lookup!H$2,H$1,Lookup!I$2),CONCATENATE(Lookup!F$3,D1433,Lookup!G$3,B1433,Lookup!H$3)),"no url")</f>
        <v>no url</v>
      </c>
    </row>
    <row r="1434" spans="1:6" hidden="1" x14ac:dyDescent="0.25">
      <c r="A1434" s="2" t="b">
        <f>IF(ISBLANK(InfoGard!D1434),FALSE,LOOKUP(InfoGard!D1434,Lookup!$A$2:$B$4))</f>
        <v>0</v>
      </c>
      <c r="B1434" s="2" t="b">
        <f>IF(ISBLANK(InfoGard!E1434),FALSE,RIGHT(TRIM(InfoGard!E1434),15))</f>
        <v>0</v>
      </c>
      <c r="C1434" s="2" t="b">
        <f>IF(ISBLANK(InfoGard!F1434),FALSE,LOOKUP(InfoGard!F1434,Lookup!$A$6:$B$7))</f>
        <v>0</v>
      </c>
      <c r="D1434" s="2" t="b">
        <f>IF(ISBLANK(InfoGard!G1434),FALSE,InfoGard!G1434)</f>
        <v>0</v>
      </c>
      <c r="E1434" s="2" t="str">
        <f>IF(NOT(ISBLANK(InfoGard!D1434)),IF(OR(ISBLANK(InfoGard!E1434),InfoGard!E1434="N/A"),"no acb code",CONCATENATE(Lookup!F$1,A1434,Lookup!G$1,B1434,Lookup!H$1,H$1,Lookup!I$1)),"no attestation")</f>
        <v>no attestation</v>
      </c>
      <c r="F1434" s="2" t="str">
        <f>IF(AND(NOT(ISBLANK(InfoGard!G1434)),InfoGard!G1434&lt;&gt;"N/A"),IF(C1434="All",CONCATENATE(Lookup!F$2,D1434,Lookup!G$2,B1434,Lookup!H$2,H$1,Lookup!I$2),CONCATENATE(Lookup!F$3,D1434,Lookup!G$3,B1434,Lookup!H$3)),"no url")</f>
        <v>no url</v>
      </c>
    </row>
    <row r="1435" spans="1:6" hidden="1" x14ac:dyDescent="0.25">
      <c r="A1435" s="2" t="b">
        <f>IF(ISBLANK(InfoGard!D1435),FALSE,LOOKUP(InfoGard!D1435,Lookup!$A$2:$B$4))</f>
        <v>0</v>
      </c>
      <c r="B1435" s="2" t="b">
        <f>IF(ISBLANK(InfoGard!E1435),FALSE,RIGHT(TRIM(InfoGard!E1435),15))</f>
        <v>0</v>
      </c>
      <c r="C1435" s="2" t="b">
        <f>IF(ISBLANK(InfoGard!F1435),FALSE,LOOKUP(InfoGard!F1435,Lookup!$A$6:$B$7))</f>
        <v>0</v>
      </c>
      <c r="D1435" s="2" t="b">
        <f>IF(ISBLANK(InfoGard!G1435),FALSE,InfoGard!G1435)</f>
        <v>0</v>
      </c>
      <c r="E1435" s="2" t="str">
        <f>IF(NOT(ISBLANK(InfoGard!D1435)),IF(OR(ISBLANK(InfoGard!E1435),InfoGard!E1435="N/A"),"no acb code",CONCATENATE(Lookup!F$1,A1435,Lookup!G$1,B1435,Lookup!H$1,H$1,Lookup!I$1)),"no attestation")</f>
        <v>no attestation</v>
      </c>
      <c r="F1435" s="2" t="str">
        <f>IF(AND(NOT(ISBLANK(InfoGard!G1435)),InfoGard!G1435&lt;&gt;"N/A"),IF(C1435="All",CONCATENATE(Lookup!F$2,D1435,Lookup!G$2,B1435,Lookup!H$2,H$1,Lookup!I$2),CONCATENATE(Lookup!F$3,D1435,Lookup!G$3,B1435,Lookup!H$3)),"no url")</f>
        <v>no url</v>
      </c>
    </row>
    <row r="1436" spans="1:6" hidden="1" x14ac:dyDescent="0.25">
      <c r="A1436" s="2" t="b">
        <f>IF(ISBLANK(InfoGard!D1436),FALSE,LOOKUP(InfoGard!D1436,Lookup!$A$2:$B$4))</f>
        <v>0</v>
      </c>
      <c r="B1436" s="2" t="b">
        <f>IF(ISBLANK(InfoGard!E1436),FALSE,RIGHT(TRIM(InfoGard!E1436),15))</f>
        <v>0</v>
      </c>
      <c r="C1436" s="2" t="b">
        <f>IF(ISBLANK(InfoGard!F1436),FALSE,LOOKUP(InfoGard!F1436,Lookup!$A$6:$B$7))</f>
        <v>0</v>
      </c>
      <c r="D1436" s="2" t="b">
        <f>IF(ISBLANK(InfoGard!G1436),FALSE,InfoGard!G1436)</f>
        <v>0</v>
      </c>
      <c r="E1436" s="2" t="str">
        <f>IF(NOT(ISBLANK(InfoGard!D1436)),IF(OR(ISBLANK(InfoGard!E1436),InfoGard!E1436="N/A"),"no acb code",CONCATENATE(Lookup!F$1,A1436,Lookup!G$1,B1436,Lookup!H$1,H$1,Lookup!I$1)),"no attestation")</f>
        <v>no attestation</v>
      </c>
      <c r="F1436" s="2" t="str">
        <f>IF(AND(NOT(ISBLANK(InfoGard!G1436)),InfoGard!G1436&lt;&gt;"N/A"),IF(C1436="All",CONCATENATE(Lookup!F$2,D1436,Lookup!G$2,B1436,Lookup!H$2,H$1,Lookup!I$2),CONCATENATE(Lookup!F$3,D1436,Lookup!G$3,B1436,Lookup!H$3)),"no url")</f>
        <v>no url</v>
      </c>
    </row>
    <row r="1437" spans="1:6" hidden="1" x14ac:dyDescent="0.25">
      <c r="A1437" s="2" t="b">
        <f>IF(ISBLANK(InfoGard!D1437),FALSE,LOOKUP(InfoGard!D1437,Lookup!$A$2:$B$4))</f>
        <v>0</v>
      </c>
      <c r="B1437" s="2" t="b">
        <f>IF(ISBLANK(InfoGard!E1437),FALSE,RIGHT(TRIM(InfoGard!E1437),15))</f>
        <v>0</v>
      </c>
      <c r="C1437" s="2" t="b">
        <f>IF(ISBLANK(InfoGard!F1437),FALSE,LOOKUP(InfoGard!F1437,Lookup!$A$6:$B$7))</f>
        <v>0</v>
      </c>
      <c r="D1437" s="2" t="b">
        <f>IF(ISBLANK(InfoGard!G1437),FALSE,InfoGard!G1437)</f>
        <v>0</v>
      </c>
      <c r="E1437" s="2" t="str">
        <f>IF(NOT(ISBLANK(InfoGard!D1437)),IF(OR(ISBLANK(InfoGard!E1437),InfoGard!E1437="N/A"),"no acb code",CONCATENATE(Lookup!F$1,A1437,Lookup!G$1,B1437,Lookup!H$1,H$1,Lookup!I$1)),"no attestation")</f>
        <v>no attestation</v>
      </c>
      <c r="F1437" s="2" t="str">
        <f>IF(AND(NOT(ISBLANK(InfoGard!G1437)),InfoGard!G1437&lt;&gt;"N/A"),IF(C1437="All",CONCATENATE(Lookup!F$2,D1437,Lookup!G$2,B1437,Lookup!H$2,H$1,Lookup!I$2),CONCATENATE(Lookup!F$3,D1437,Lookup!G$3,B1437,Lookup!H$3)),"no url")</f>
        <v>no url</v>
      </c>
    </row>
    <row r="1438" spans="1:6" hidden="1" x14ac:dyDescent="0.25">
      <c r="A1438" s="2" t="b">
        <f>IF(ISBLANK(InfoGard!D1438),FALSE,LOOKUP(InfoGard!D1438,Lookup!$A$2:$B$4))</f>
        <v>0</v>
      </c>
      <c r="B1438" s="2" t="b">
        <f>IF(ISBLANK(InfoGard!E1438),FALSE,RIGHT(TRIM(InfoGard!E1438),15))</f>
        <v>0</v>
      </c>
      <c r="C1438" s="2" t="b">
        <f>IF(ISBLANK(InfoGard!F1438),FALSE,LOOKUP(InfoGard!F1438,Lookup!$A$6:$B$7))</f>
        <v>0</v>
      </c>
      <c r="D1438" s="2" t="b">
        <f>IF(ISBLANK(InfoGard!G1438),FALSE,InfoGard!G1438)</f>
        <v>0</v>
      </c>
      <c r="E1438" s="2" t="str">
        <f>IF(NOT(ISBLANK(InfoGard!D1438)),IF(OR(ISBLANK(InfoGard!E1438),InfoGard!E1438="N/A"),"no acb code",CONCATENATE(Lookup!F$1,A1438,Lookup!G$1,B1438,Lookup!H$1,H$1,Lookup!I$1)),"no attestation")</f>
        <v>no attestation</v>
      </c>
      <c r="F1438" s="2" t="str">
        <f>IF(AND(NOT(ISBLANK(InfoGard!G1438)),InfoGard!G1438&lt;&gt;"N/A"),IF(C1438="All",CONCATENATE(Lookup!F$2,D1438,Lookup!G$2,B1438,Lookup!H$2,H$1,Lookup!I$2),CONCATENATE(Lookup!F$3,D1438,Lookup!G$3,B1438,Lookup!H$3)),"no url")</f>
        <v>no url</v>
      </c>
    </row>
    <row r="1439" spans="1:6" hidden="1" x14ac:dyDescent="0.25">
      <c r="A1439" s="2" t="b">
        <f>IF(ISBLANK(InfoGard!D1439),FALSE,LOOKUP(InfoGard!D1439,Lookup!$A$2:$B$4))</f>
        <v>0</v>
      </c>
      <c r="B1439" s="2" t="b">
        <f>IF(ISBLANK(InfoGard!E1439),FALSE,RIGHT(TRIM(InfoGard!E1439),15))</f>
        <v>0</v>
      </c>
      <c r="C1439" s="2" t="b">
        <f>IF(ISBLANK(InfoGard!F1439),FALSE,LOOKUP(InfoGard!F1439,Lookup!$A$6:$B$7))</f>
        <v>0</v>
      </c>
      <c r="D1439" s="2" t="b">
        <f>IF(ISBLANK(InfoGard!G1439),FALSE,InfoGard!G1439)</f>
        <v>0</v>
      </c>
      <c r="E1439" s="2" t="str">
        <f>IF(NOT(ISBLANK(InfoGard!D1439)),IF(OR(ISBLANK(InfoGard!E1439),InfoGard!E1439="N/A"),"no acb code",CONCATENATE(Lookup!F$1,A1439,Lookup!G$1,B1439,Lookup!H$1,H$1,Lookup!I$1)),"no attestation")</f>
        <v>no attestation</v>
      </c>
      <c r="F1439" s="2" t="str">
        <f>IF(AND(NOT(ISBLANK(InfoGard!G1439)),InfoGard!G1439&lt;&gt;"N/A"),IF(C1439="All",CONCATENATE(Lookup!F$2,D1439,Lookup!G$2,B1439,Lookup!H$2,H$1,Lookup!I$2),CONCATENATE(Lookup!F$3,D1439,Lookup!G$3,B1439,Lookup!H$3)),"no url")</f>
        <v>no url</v>
      </c>
    </row>
    <row r="1440" spans="1:6" hidden="1" x14ac:dyDescent="0.25">
      <c r="A1440" s="2" t="b">
        <f>IF(ISBLANK(InfoGard!D1440),FALSE,LOOKUP(InfoGard!D1440,Lookup!$A$2:$B$4))</f>
        <v>0</v>
      </c>
      <c r="B1440" s="2" t="b">
        <f>IF(ISBLANK(InfoGard!E1440),FALSE,RIGHT(TRIM(InfoGard!E1440),15))</f>
        <v>0</v>
      </c>
      <c r="C1440" s="2" t="b">
        <f>IF(ISBLANK(InfoGard!F1440),FALSE,LOOKUP(InfoGard!F1440,Lookup!$A$6:$B$7))</f>
        <v>0</v>
      </c>
      <c r="D1440" s="2" t="b">
        <f>IF(ISBLANK(InfoGard!G1440),FALSE,InfoGard!G1440)</f>
        <v>0</v>
      </c>
      <c r="E1440" s="2" t="str">
        <f>IF(NOT(ISBLANK(InfoGard!D1440)),IF(OR(ISBLANK(InfoGard!E1440),InfoGard!E1440="N/A"),"no acb code",CONCATENATE(Lookup!F$1,A1440,Lookup!G$1,B1440,Lookup!H$1,H$1,Lookup!I$1)),"no attestation")</f>
        <v>no attestation</v>
      </c>
      <c r="F1440" s="2" t="str">
        <f>IF(AND(NOT(ISBLANK(InfoGard!G1440)),InfoGard!G1440&lt;&gt;"N/A"),IF(C1440="All",CONCATENATE(Lookup!F$2,D1440,Lookup!G$2,B1440,Lookup!H$2,H$1,Lookup!I$2),CONCATENATE(Lookup!F$3,D1440,Lookup!G$3,B1440,Lookup!H$3)),"no url")</f>
        <v>no url</v>
      </c>
    </row>
    <row r="1441" spans="1:6" hidden="1" x14ac:dyDescent="0.25">
      <c r="A1441" s="2" t="b">
        <f>IF(ISBLANK(InfoGard!D1441),FALSE,LOOKUP(InfoGard!D1441,Lookup!$A$2:$B$4))</f>
        <v>0</v>
      </c>
      <c r="B1441" s="2" t="b">
        <f>IF(ISBLANK(InfoGard!E1441),FALSE,RIGHT(TRIM(InfoGard!E1441),15))</f>
        <v>0</v>
      </c>
      <c r="C1441" s="2" t="b">
        <f>IF(ISBLANK(InfoGard!F1441),FALSE,LOOKUP(InfoGard!F1441,Lookup!$A$6:$B$7))</f>
        <v>0</v>
      </c>
      <c r="D1441" s="2" t="b">
        <f>IF(ISBLANK(InfoGard!G1441),FALSE,InfoGard!G1441)</f>
        <v>0</v>
      </c>
      <c r="E1441" s="2" t="str">
        <f>IF(NOT(ISBLANK(InfoGard!D1441)),IF(OR(ISBLANK(InfoGard!E1441),InfoGard!E1441="N/A"),"no acb code",CONCATENATE(Lookup!F$1,A1441,Lookup!G$1,B1441,Lookup!H$1,H$1,Lookup!I$1)),"no attestation")</f>
        <v>no attestation</v>
      </c>
      <c r="F1441" s="2" t="str">
        <f>IF(AND(NOT(ISBLANK(InfoGard!G1441)),InfoGard!G1441&lt;&gt;"N/A"),IF(C1441="All",CONCATENATE(Lookup!F$2,D1441,Lookup!G$2,B1441,Lookup!H$2,H$1,Lookup!I$2),CONCATENATE(Lookup!F$3,D1441,Lookup!G$3,B1441,Lookup!H$3)),"no url")</f>
        <v>no url</v>
      </c>
    </row>
    <row r="1442" spans="1:6" hidden="1" x14ac:dyDescent="0.25">
      <c r="A1442" s="2" t="b">
        <f>IF(ISBLANK(InfoGard!D1442),FALSE,LOOKUP(InfoGard!D1442,Lookup!$A$2:$B$4))</f>
        <v>0</v>
      </c>
      <c r="B1442" s="2" t="b">
        <f>IF(ISBLANK(InfoGard!E1442),FALSE,RIGHT(TRIM(InfoGard!E1442),15))</f>
        <v>0</v>
      </c>
      <c r="C1442" s="2" t="b">
        <f>IF(ISBLANK(InfoGard!F1442),FALSE,LOOKUP(InfoGard!F1442,Lookup!$A$6:$B$7))</f>
        <v>0</v>
      </c>
      <c r="D1442" s="2" t="b">
        <f>IF(ISBLANK(InfoGard!G1442),FALSE,InfoGard!G1442)</f>
        <v>0</v>
      </c>
      <c r="E1442" s="2" t="str">
        <f>IF(NOT(ISBLANK(InfoGard!D1442)),IF(OR(ISBLANK(InfoGard!E1442),InfoGard!E1442="N/A"),"no acb code",CONCATENATE(Lookup!F$1,A1442,Lookup!G$1,B1442,Lookup!H$1,H$1,Lookup!I$1)),"no attestation")</f>
        <v>no attestation</v>
      </c>
      <c r="F1442" s="2" t="str">
        <f>IF(AND(NOT(ISBLANK(InfoGard!G1442)),InfoGard!G1442&lt;&gt;"N/A"),IF(C1442="All",CONCATENATE(Lookup!F$2,D1442,Lookup!G$2,B1442,Lookup!H$2,H$1,Lookup!I$2),CONCATENATE(Lookup!F$3,D1442,Lookup!G$3,B1442,Lookup!H$3)),"no url")</f>
        <v>no url</v>
      </c>
    </row>
    <row r="1443" spans="1:6" hidden="1" x14ac:dyDescent="0.25">
      <c r="A1443" s="2" t="b">
        <f>IF(ISBLANK(InfoGard!D1443),FALSE,LOOKUP(InfoGard!D1443,Lookup!$A$2:$B$4))</f>
        <v>0</v>
      </c>
      <c r="B1443" s="2" t="b">
        <f>IF(ISBLANK(InfoGard!E1443),FALSE,RIGHT(TRIM(InfoGard!E1443),15))</f>
        <v>0</v>
      </c>
      <c r="C1443" s="2" t="b">
        <f>IF(ISBLANK(InfoGard!F1443),FALSE,LOOKUP(InfoGard!F1443,Lookup!$A$6:$B$7))</f>
        <v>0</v>
      </c>
      <c r="D1443" s="2" t="b">
        <f>IF(ISBLANK(InfoGard!G1443),FALSE,InfoGard!G1443)</f>
        <v>0</v>
      </c>
      <c r="E1443" s="2" t="str">
        <f>IF(NOT(ISBLANK(InfoGard!D1443)),IF(OR(ISBLANK(InfoGard!E1443),InfoGard!E1443="N/A"),"no acb code",CONCATENATE(Lookup!F$1,A1443,Lookup!G$1,B1443,Lookup!H$1,H$1,Lookup!I$1)),"no attestation")</f>
        <v>no attestation</v>
      </c>
      <c r="F1443" s="2" t="str">
        <f>IF(AND(NOT(ISBLANK(InfoGard!G1443)),InfoGard!G1443&lt;&gt;"N/A"),IF(C1443="All",CONCATENATE(Lookup!F$2,D1443,Lookup!G$2,B1443,Lookup!H$2,H$1,Lookup!I$2),CONCATENATE(Lookup!F$3,D1443,Lookup!G$3,B1443,Lookup!H$3)),"no url")</f>
        <v>no url</v>
      </c>
    </row>
    <row r="1444" spans="1:6" hidden="1" x14ac:dyDescent="0.25">
      <c r="A1444" s="2" t="b">
        <f>IF(ISBLANK(InfoGard!D1444),FALSE,LOOKUP(InfoGard!D1444,Lookup!$A$2:$B$4))</f>
        <v>0</v>
      </c>
      <c r="B1444" s="2" t="b">
        <f>IF(ISBLANK(InfoGard!E1444),FALSE,RIGHT(TRIM(InfoGard!E1444),15))</f>
        <v>0</v>
      </c>
      <c r="C1444" s="2" t="b">
        <f>IF(ISBLANK(InfoGard!F1444),FALSE,LOOKUP(InfoGard!F1444,Lookup!$A$6:$B$7))</f>
        <v>0</v>
      </c>
      <c r="D1444" s="2" t="b">
        <f>IF(ISBLANK(InfoGard!G1444),FALSE,InfoGard!G1444)</f>
        <v>0</v>
      </c>
      <c r="E1444" s="2" t="str">
        <f>IF(NOT(ISBLANK(InfoGard!D1444)),IF(OR(ISBLANK(InfoGard!E1444),InfoGard!E1444="N/A"),"no acb code",CONCATENATE(Lookup!F$1,A1444,Lookup!G$1,B1444,Lookup!H$1,H$1,Lookup!I$1)),"no attestation")</f>
        <v>no attestation</v>
      </c>
      <c r="F1444" s="2" t="str">
        <f>IF(AND(NOT(ISBLANK(InfoGard!G1444)),InfoGard!G1444&lt;&gt;"N/A"),IF(C1444="All",CONCATENATE(Lookup!F$2,D1444,Lookup!G$2,B1444,Lookup!H$2,H$1,Lookup!I$2),CONCATENATE(Lookup!F$3,D1444,Lookup!G$3,B1444,Lookup!H$3)),"no url")</f>
        <v>no url</v>
      </c>
    </row>
    <row r="1445" spans="1:6" hidden="1" x14ac:dyDescent="0.25">
      <c r="A1445" s="2" t="b">
        <f>IF(ISBLANK(InfoGard!D1445),FALSE,LOOKUP(InfoGard!D1445,Lookup!$A$2:$B$4))</f>
        <v>0</v>
      </c>
      <c r="B1445" s="2" t="b">
        <f>IF(ISBLANK(InfoGard!E1445),FALSE,RIGHT(TRIM(InfoGard!E1445),15))</f>
        <v>0</v>
      </c>
      <c r="C1445" s="2" t="b">
        <f>IF(ISBLANK(InfoGard!F1445),FALSE,LOOKUP(InfoGard!F1445,Lookup!$A$6:$B$7))</f>
        <v>0</v>
      </c>
      <c r="D1445" s="2" t="b">
        <f>IF(ISBLANK(InfoGard!G1445),FALSE,InfoGard!G1445)</f>
        <v>0</v>
      </c>
      <c r="E1445" s="2" t="str">
        <f>IF(NOT(ISBLANK(InfoGard!D1445)),IF(OR(ISBLANK(InfoGard!E1445),InfoGard!E1445="N/A"),"no acb code",CONCATENATE(Lookup!F$1,A1445,Lookup!G$1,B1445,Lookup!H$1,H$1,Lookup!I$1)),"no attestation")</f>
        <v>no attestation</v>
      </c>
      <c r="F1445" s="2" t="str">
        <f>IF(AND(NOT(ISBLANK(InfoGard!G1445)),InfoGard!G1445&lt;&gt;"N/A"),IF(C1445="All",CONCATENATE(Lookup!F$2,D1445,Lookup!G$2,B1445,Lookup!H$2,H$1,Lookup!I$2),CONCATENATE(Lookup!F$3,D1445,Lookup!G$3,B1445,Lookup!H$3)),"no url")</f>
        <v>no url</v>
      </c>
    </row>
    <row r="1446" spans="1:6" hidden="1" x14ac:dyDescent="0.25">
      <c r="A1446" s="2" t="b">
        <f>IF(ISBLANK(InfoGard!D1446),FALSE,LOOKUP(InfoGard!D1446,Lookup!$A$2:$B$4))</f>
        <v>0</v>
      </c>
      <c r="B1446" s="2" t="b">
        <f>IF(ISBLANK(InfoGard!E1446),FALSE,RIGHT(TRIM(InfoGard!E1446),15))</f>
        <v>0</v>
      </c>
      <c r="C1446" s="2" t="b">
        <f>IF(ISBLANK(InfoGard!F1446),FALSE,LOOKUP(InfoGard!F1446,Lookup!$A$6:$B$7))</f>
        <v>0</v>
      </c>
      <c r="D1446" s="2" t="b">
        <f>IF(ISBLANK(InfoGard!G1446),FALSE,InfoGard!G1446)</f>
        <v>0</v>
      </c>
      <c r="E1446" s="2" t="str">
        <f>IF(NOT(ISBLANK(InfoGard!D1446)),IF(OR(ISBLANK(InfoGard!E1446),InfoGard!E1446="N/A"),"no acb code",CONCATENATE(Lookup!F$1,A1446,Lookup!G$1,B1446,Lookup!H$1,H$1,Lookup!I$1)),"no attestation")</f>
        <v>no attestation</v>
      </c>
      <c r="F1446" s="2" t="str">
        <f>IF(AND(NOT(ISBLANK(InfoGard!G1446)),InfoGard!G1446&lt;&gt;"N/A"),IF(C1446="All",CONCATENATE(Lookup!F$2,D1446,Lookup!G$2,B1446,Lookup!H$2,H$1,Lookup!I$2),CONCATENATE(Lookup!F$3,D1446,Lookup!G$3,B1446,Lookup!H$3)),"no url")</f>
        <v>no url</v>
      </c>
    </row>
    <row r="1447" spans="1:6" hidden="1" x14ac:dyDescent="0.25">
      <c r="A1447" s="2" t="b">
        <f>IF(ISBLANK(InfoGard!D1447),FALSE,LOOKUP(InfoGard!D1447,Lookup!$A$2:$B$4))</f>
        <v>0</v>
      </c>
      <c r="B1447" s="2" t="b">
        <f>IF(ISBLANK(InfoGard!E1447),FALSE,RIGHT(TRIM(InfoGard!E1447),15))</f>
        <v>0</v>
      </c>
      <c r="C1447" s="2" t="b">
        <f>IF(ISBLANK(InfoGard!F1447),FALSE,LOOKUP(InfoGard!F1447,Lookup!$A$6:$B$7))</f>
        <v>0</v>
      </c>
      <c r="D1447" s="2" t="b">
        <f>IF(ISBLANK(InfoGard!G1447),FALSE,InfoGard!G1447)</f>
        <v>0</v>
      </c>
      <c r="E1447" s="2" t="str">
        <f>IF(NOT(ISBLANK(InfoGard!D1447)),IF(OR(ISBLANK(InfoGard!E1447),InfoGard!E1447="N/A"),"no acb code",CONCATENATE(Lookup!F$1,A1447,Lookup!G$1,B1447,Lookup!H$1,H$1,Lookup!I$1)),"no attestation")</f>
        <v>no attestation</v>
      </c>
      <c r="F1447" s="2" t="str">
        <f>IF(AND(NOT(ISBLANK(InfoGard!G1447)),InfoGard!G1447&lt;&gt;"N/A"),IF(C1447="All",CONCATENATE(Lookup!F$2,D1447,Lookup!G$2,B1447,Lookup!H$2,H$1,Lookup!I$2),CONCATENATE(Lookup!F$3,D1447,Lookup!G$3,B1447,Lookup!H$3)),"no url")</f>
        <v>no url</v>
      </c>
    </row>
    <row r="1448" spans="1:6" hidden="1" x14ac:dyDescent="0.25">
      <c r="A1448" s="2" t="b">
        <f>IF(ISBLANK(InfoGard!D1448),FALSE,LOOKUP(InfoGard!D1448,Lookup!$A$2:$B$4))</f>
        <v>0</v>
      </c>
      <c r="B1448" s="2" t="b">
        <f>IF(ISBLANK(InfoGard!E1448),FALSE,RIGHT(TRIM(InfoGard!E1448),15))</f>
        <v>0</v>
      </c>
      <c r="C1448" s="2" t="b">
        <f>IF(ISBLANK(InfoGard!F1448),FALSE,LOOKUP(InfoGard!F1448,Lookup!$A$6:$B$7))</f>
        <v>0</v>
      </c>
      <c r="D1448" s="2" t="b">
        <f>IF(ISBLANK(InfoGard!G1448),FALSE,InfoGard!G1448)</f>
        <v>0</v>
      </c>
      <c r="E1448" s="2" t="str">
        <f>IF(NOT(ISBLANK(InfoGard!D1448)),IF(OR(ISBLANK(InfoGard!E1448),InfoGard!E1448="N/A"),"no acb code",CONCATENATE(Lookup!F$1,A1448,Lookup!G$1,B1448,Lookup!H$1,H$1,Lookup!I$1)),"no attestation")</f>
        <v>no attestation</v>
      </c>
      <c r="F1448" s="2" t="str">
        <f>IF(AND(NOT(ISBLANK(InfoGard!G1448)),InfoGard!G1448&lt;&gt;"N/A"),IF(C1448="All",CONCATENATE(Lookup!F$2,D1448,Lookup!G$2,B1448,Lookup!H$2,H$1,Lookup!I$2),CONCATENATE(Lookup!F$3,D1448,Lookup!G$3,B1448,Lookup!H$3)),"no url")</f>
        <v>no url</v>
      </c>
    </row>
    <row r="1449" spans="1:6" x14ac:dyDescent="0.25">
      <c r="A1449" s="2" t="str">
        <f>IF(ISBLANK(InfoGard!D1449),FALSE,LOOKUP(InfoGard!D1449,Lookup!$A$2:$B$4))</f>
        <v>Affirmative</v>
      </c>
      <c r="B1449" s="2" t="str">
        <f>IF(ISBLANK(InfoGard!E1449),FALSE,RIGHT(TRIM(InfoGard!E1449),15))</f>
        <v>IG-3262-15-0044</v>
      </c>
      <c r="C1449" s="2" t="str">
        <f>IF(ISBLANK(InfoGard!F1449),FALSE,LOOKUP(InfoGard!F1449,Lookup!$A$6:$B$7))</f>
        <v>All</v>
      </c>
      <c r="D1449" s="2" t="str">
        <f>IF(ISBLANK(InfoGard!G1449),FALSE,InfoGard!G1449)</f>
        <v>http://new.webedoctor.com/webedoctor-ehr-cert/</v>
      </c>
      <c r="E1449" s="2" t="str">
        <f>IF(NOT(ISBLANK(InfoGard!D1449)),IF(OR(ISBLANK(InfoGard!E1449),InfoGard!E1449="N/A"),"no acb code",CONCATENATE(Lookup!F$1,A1449,Lookup!G$1,B1449,Lookup!H$1,H$1,Lookup!I$1)),"no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'IG-3262-15-0044' and cb."name" = 'InfoGard' and cp.product_version_id = pv.product_version_id and pv.product_id = p.product_id and p.vendor_id = vend.vendor_id;</v>
      </c>
      <c r="F1449" s="2" t="str">
        <f>IF(AND(NOT(ISBLANK(InfoGard!G1449)),InfoGard!G1449&lt;&gt;"N/A"),IF(C1449="All",CONCATENATE(Lookup!F$2,D1449,Lookup!G$2,B1449,Lookup!H$2,H$1,Lookup!I$2),CONCATENATE(Lookup!F$3,D1449,Lookup!G$3,B1449,Lookup!H$3)),"no url")</f>
        <v>update openchpl.certified_product as cp set transparency_attestation_url = 'http://new.webedoctor.com/webedoctor-ehr-cert/' from (select certified_product_id from (select vend.vendor_code from openchpl.certified_product as cp, openchpl.product_version as pv, openchpl.product as p, openchpl.vendor as vend where cp.acb_certification_id = 'IG-3262-15-0044'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0" spans="1:6" x14ac:dyDescent="0.25">
      <c r="A1450" s="2" t="str">
        <f>IF(ISBLANK(InfoGard!D1450),FALSE,LOOKUP(InfoGard!D1450,Lookup!$A$2:$B$4))</f>
        <v>Affirmative</v>
      </c>
      <c r="B1450" s="2" t="str">
        <f>IF(ISBLANK(InfoGard!E1450),FALSE,RIGHT(TRIM(InfoGard!E1450),15))</f>
        <v>IG-3246-14-0065</v>
      </c>
      <c r="C1450" s="2" t="str">
        <f>IF(ISBLANK(InfoGard!F1450),FALSE,LOOKUP(InfoGard!F1450,Lookup!$A$6:$B$7))</f>
        <v>All</v>
      </c>
      <c r="D1450" s="2" t="str">
        <f>IF(ISBLANK(InfoGard!G1450),FALSE,InfoGard!G1450)</f>
        <v>https://www.wrshealth.com/Meaningful-Use-Certified-EHR</v>
      </c>
      <c r="E1450" s="2" t="str">
        <f>IF(NOT(ISBLANK(InfoGard!D1450)),IF(OR(ISBLANK(InfoGard!E1450),InfoGard!E1450="N/A"),"no acb code",CONCATENATE(Lookup!F$1,A1450,Lookup!G$1,B1450,Lookup!H$1,H$1,Lookup!I$1)),"no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'IG-3246-14-0065' and cb."name" = 'InfoGard' and cp.product_version_id = pv.product_version_id and pv.product_id = p.product_id and p.vendor_id = vend.vendor_id;</v>
      </c>
      <c r="F1450" s="2" t="str">
        <f>IF(AND(NOT(ISBLANK(InfoGard!G1450)),InfoGard!G1450&lt;&gt;"N/A"),IF(C1450="All",CONCATENATE(Lookup!F$2,D1450,Lookup!G$2,B1450,Lookup!H$2,H$1,Lookup!I$2),CONCATENATE(Lookup!F$3,D1450,Lookup!G$3,B1450,Lookup!H$3)),"no url")</f>
        <v>update openchpl.certified_product as cp set transparency_attestation_url = 'https://www.wrshealth.com/Meaningful-Use-Certified-EHR' from (select certified_product_id from (select vend.vendor_code from openchpl.certified_product as cp, openchpl.product_version as pv, openchpl.product as p, openchpl.vendor as vend where cp.acb_certification_id = 'IG-3246-14-0065'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1" spans="1:6" hidden="1" x14ac:dyDescent="0.25">
      <c r="A1451" s="2" t="b">
        <f>IF(ISBLANK(InfoGard!D1451),FALSE,LOOKUP(InfoGard!D1451,Lookup!$A$2:$B$4))</f>
        <v>0</v>
      </c>
      <c r="B1451" s="2" t="b">
        <f>IF(ISBLANK(InfoGard!E1451),FALSE,RIGHT(TRIM(InfoGard!E1451),15))</f>
        <v>0</v>
      </c>
      <c r="C1451" s="2" t="b">
        <f>IF(ISBLANK(InfoGard!F1451),FALSE,LOOKUP(InfoGard!F1451,Lookup!$A$6:$B$7))</f>
        <v>0</v>
      </c>
      <c r="D1451" s="2" t="b">
        <f>IF(ISBLANK(InfoGard!G1451),FALSE,InfoGard!G1451)</f>
        <v>0</v>
      </c>
      <c r="E1451" s="2" t="str">
        <f>IF(NOT(ISBLANK(InfoGard!D1451)),IF(OR(ISBLANK(InfoGard!E1451),InfoGard!E1451="N/A"),"no acb code",CONCATENATE(Lookup!F$1,A1451,Lookup!G$1,B1451,Lookup!H$1,H$1,Lookup!I$1)),"no attestation")</f>
        <v>no attestation</v>
      </c>
      <c r="F1451" s="2" t="str">
        <f>IF(AND(NOT(ISBLANK(InfoGard!G1451)),InfoGard!G1451&lt;&gt;"N/A"),IF(C1451="All",CONCATENATE(Lookup!F$2,D1451,Lookup!G$2,B1451,Lookup!H$2,H$1,Lookup!I$2),CONCATENATE(Lookup!F$3,D1451,Lookup!G$3,B1451,Lookup!H$3)),"no url")</f>
        <v>no url</v>
      </c>
    </row>
    <row r="1452" spans="1:6" hidden="1" x14ac:dyDescent="0.25">
      <c r="A1452" s="2" t="b">
        <f>IF(ISBLANK(InfoGard!D1452),FALSE,LOOKUP(InfoGard!D1452,Lookup!$A$2:$B$4))</f>
        <v>0</v>
      </c>
      <c r="B1452" s="2" t="b">
        <f>IF(ISBLANK(InfoGard!E1452),FALSE,RIGHT(TRIM(InfoGard!E1452),15))</f>
        <v>0</v>
      </c>
      <c r="C1452" s="2" t="b">
        <f>IF(ISBLANK(InfoGard!F1452),FALSE,LOOKUP(InfoGard!F1452,Lookup!$A$6:$B$7))</f>
        <v>0</v>
      </c>
      <c r="D1452" s="2" t="b">
        <f>IF(ISBLANK(InfoGard!G1452),FALSE,InfoGard!G1452)</f>
        <v>0</v>
      </c>
      <c r="E1452" s="2" t="str">
        <f>IF(NOT(ISBLANK(InfoGard!D1452)),IF(OR(ISBLANK(InfoGard!E1452),InfoGard!E1452="N/A"),"no acb code",CONCATENATE(Lookup!F$1,A1452,Lookup!G$1,B1452,Lookup!H$1,H$1,Lookup!I$1)),"no attestation")</f>
        <v>no attestation</v>
      </c>
      <c r="F1452" s="2" t="str">
        <f>IF(AND(NOT(ISBLANK(InfoGard!G1452)),InfoGard!G1452&lt;&gt;"N/A"),IF(C1452="All",CONCATENATE(Lookup!F$2,D1452,Lookup!G$2,B1452,Lookup!H$2,H$1,Lookup!I$2),CONCATENATE(Lookup!F$3,D1452,Lookup!G$3,B1452,Lookup!H$3)),"no url")</f>
        <v>no url</v>
      </c>
    </row>
    <row r="1453" spans="1:6" hidden="1" x14ac:dyDescent="0.25">
      <c r="A1453" s="2" t="b">
        <f>IF(ISBLANK(InfoGard!D1453),FALSE,LOOKUP(InfoGard!D1453,Lookup!$A$2:$B$4))</f>
        <v>0</v>
      </c>
      <c r="B1453" s="2" t="b">
        <f>IF(ISBLANK(InfoGard!E1453),FALSE,RIGHT(TRIM(InfoGard!E1453),15))</f>
        <v>0</v>
      </c>
      <c r="C1453" s="2" t="b">
        <f>IF(ISBLANK(InfoGard!F1453),FALSE,LOOKUP(InfoGard!F1453,Lookup!$A$6:$B$7))</f>
        <v>0</v>
      </c>
      <c r="D1453" s="2" t="b">
        <f>IF(ISBLANK(InfoGard!G1453),FALSE,InfoGard!G1453)</f>
        <v>0</v>
      </c>
      <c r="E1453" s="2" t="str">
        <f>IF(NOT(ISBLANK(InfoGard!D1453)),IF(OR(ISBLANK(InfoGard!E1453),InfoGard!E1453="N/A"),"no acb code",CONCATENATE(Lookup!F$1,A1453,Lookup!G$1,B1453,Lookup!H$1,H$1,Lookup!I$1)),"no attestation")</f>
        <v>no attestation</v>
      </c>
      <c r="F1453" s="2" t="str">
        <f>IF(AND(NOT(ISBLANK(InfoGard!G1453)),InfoGard!G1453&lt;&gt;"N/A"),IF(C1453="All",CONCATENATE(Lookup!F$2,D1453,Lookup!G$2,B1453,Lookup!H$2,H$1,Lookup!I$2),CONCATENATE(Lookup!F$3,D1453,Lookup!G$3,B1453,Lookup!H$3)),"no url")</f>
        <v>no url</v>
      </c>
    </row>
    <row r="1454" spans="1:6" hidden="1" x14ac:dyDescent="0.25">
      <c r="A1454" s="2" t="b">
        <f>IF(ISBLANK(InfoGard!D1454),FALSE,LOOKUP(InfoGard!D1454,Lookup!$A$2:$B$4))</f>
        <v>0</v>
      </c>
      <c r="B1454" s="2" t="b">
        <f>IF(ISBLANK(InfoGard!E1454),FALSE,RIGHT(TRIM(InfoGard!E1454),15))</f>
        <v>0</v>
      </c>
      <c r="C1454" s="2" t="b">
        <f>IF(ISBLANK(InfoGard!F1454),FALSE,LOOKUP(InfoGard!F1454,Lookup!$A$6:$B$7))</f>
        <v>0</v>
      </c>
      <c r="D1454" s="2" t="b">
        <f>IF(ISBLANK(InfoGard!G1454),FALSE,InfoGard!G1454)</f>
        <v>0</v>
      </c>
      <c r="E1454" s="2" t="str">
        <f>IF(NOT(ISBLANK(InfoGard!D1454)),IF(OR(ISBLANK(InfoGard!E1454),InfoGard!E1454="N/A"),"no acb code",CONCATENATE(Lookup!F$1,A1454,Lookup!G$1,B1454,Lookup!H$1,H$1,Lookup!I$1)),"no attestation")</f>
        <v>no attestation</v>
      </c>
      <c r="F1454" s="2" t="str">
        <f>IF(AND(NOT(ISBLANK(InfoGard!G1454)),InfoGard!G1454&lt;&gt;"N/A"),IF(C1454="All",CONCATENATE(Lookup!F$2,D1454,Lookup!G$2,B1454,Lookup!H$2,H$1,Lookup!I$2),CONCATENATE(Lookup!F$3,D1454,Lookup!G$3,B1454,Lookup!H$3)),"no url")</f>
        <v>no url</v>
      </c>
    </row>
    <row r="1455" spans="1:6" hidden="1" x14ac:dyDescent="0.25">
      <c r="A1455" s="2" t="b">
        <f>IF(ISBLANK(InfoGard!D1455),FALSE,LOOKUP(InfoGard!D1455,Lookup!$A$2:$B$4))</f>
        <v>0</v>
      </c>
      <c r="B1455" s="2" t="b">
        <f>IF(ISBLANK(InfoGard!E1455),FALSE,RIGHT(TRIM(InfoGard!E1455),15))</f>
        <v>0</v>
      </c>
      <c r="C1455" s="2" t="b">
        <f>IF(ISBLANK(InfoGard!F1455),FALSE,LOOKUP(InfoGard!F1455,Lookup!$A$6:$B$7))</f>
        <v>0</v>
      </c>
      <c r="D1455" s="2" t="b">
        <f>IF(ISBLANK(InfoGard!G1455),FALSE,InfoGard!G1455)</f>
        <v>0</v>
      </c>
      <c r="E1455" s="2" t="str">
        <f>IF(NOT(ISBLANK(InfoGard!D1455)),IF(OR(ISBLANK(InfoGard!E1455),InfoGard!E1455="N/A"),"no acb code",CONCATENATE(Lookup!F$1,A1455,Lookup!G$1,B1455,Lookup!H$1,H$1,Lookup!I$1)),"no attestation")</f>
        <v>no attestation</v>
      </c>
      <c r="F1455" s="2" t="str">
        <f>IF(AND(NOT(ISBLANK(InfoGard!G1455)),InfoGard!G1455&lt;&gt;"N/A"),IF(C1455="All",CONCATENATE(Lookup!F$2,D1455,Lookup!G$2,B1455,Lookup!H$2,H$1,Lookup!I$2),CONCATENATE(Lookup!F$3,D1455,Lookup!G$3,B1455,Lookup!H$3)),"no url")</f>
        <v>no url</v>
      </c>
    </row>
    <row r="1456" spans="1:6" hidden="1" x14ac:dyDescent="0.25">
      <c r="A1456" s="2" t="b">
        <f>IF(ISBLANK(InfoGard!D1456),FALSE,LOOKUP(InfoGard!D1456,Lookup!$A$2:$B$4))</f>
        <v>0</v>
      </c>
      <c r="B1456" s="2" t="b">
        <f>IF(ISBLANK(InfoGard!E1456),FALSE,RIGHT(TRIM(InfoGard!E1456),15))</f>
        <v>0</v>
      </c>
      <c r="C1456" s="2" t="b">
        <f>IF(ISBLANK(InfoGard!F1456),FALSE,LOOKUP(InfoGard!F1456,Lookup!$A$6:$B$7))</f>
        <v>0</v>
      </c>
      <c r="D1456" s="2" t="b">
        <f>IF(ISBLANK(InfoGard!G1456),FALSE,InfoGard!G1456)</f>
        <v>0</v>
      </c>
      <c r="E1456" s="2" t="str">
        <f>IF(NOT(ISBLANK(InfoGard!D1456)),IF(OR(ISBLANK(InfoGard!E1456),InfoGard!E1456="N/A"),"no acb code",CONCATENATE(Lookup!F$1,A1456,Lookup!G$1,B1456,Lookup!H$1,H$1,Lookup!I$1)),"no attestation")</f>
        <v>no attestation</v>
      </c>
      <c r="F1456" s="2" t="str">
        <f>IF(AND(NOT(ISBLANK(InfoGard!G1456)),InfoGard!G1456&lt;&gt;"N/A"),IF(C1456="All",CONCATENATE(Lookup!F$2,D1456,Lookup!G$2,B1456,Lookup!H$2,H$1,Lookup!I$2),CONCATENATE(Lookup!F$3,D1456,Lookup!G$3,B1456,Lookup!H$3)),"no url")</f>
        <v>no url</v>
      </c>
    </row>
    <row r="1457" spans="1:6" hidden="1" x14ac:dyDescent="0.25">
      <c r="A1457" s="2" t="b">
        <f>IF(ISBLANK(InfoGard!D1457),FALSE,LOOKUP(InfoGard!D1457,Lookup!$A$2:$B$4))</f>
        <v>0</v>
      </c>
      <c r="B1457" s="2" t="b">
        <f>IF(ISBLANK(InfoGard!E1457),FALSE,RIGHT(TRIM(InfoGard!E1457),15))</f>
        <v>0</v>
      </c>
      <c r="C1457" s="2" t="b">
        <f>IF(ISBLANK(InfoGard!F1457),FALSE,LOOKUP(InfoGard!F1457,Lookup!$A$6:$B$7))</f>
        <v>0</v>
      </c>
      <c r="D1457" s="2" t="b">
        <f>IF(ISBLANK(InfoGard!G1457),FALSE,InfoGard!G1457)</f>
        <v>0</v>
      </c>
      <c r="E1457" s="2" t="str">
        <f>IF(NOT(ISBLANK(InfoGard!D1457)),IF(OR(ISBLANK(InfoGard!E1457),InfoGard!E1457="N/A"),"no acb code",CONCATENATE(Lookup!F$1,A1457,Lookup!G$1,B1457,Lookup!H$1,H$1,Lookup!I$1)),"no attestation")</f>
        <v>no attestation</v>
      </c>
      <c r="F1457" s="2" t="str">
        <f>IF(AND(NOT(ISBLANK(InfoGard!G1457)),InfoGard!G1457&lt;&gt;"N/A"),IF(C1457="All",CONCATENATE(Lookup!F$2,D1457,Lookup!G$2,B1457,Lookup!H$2,H$1,Lookup!I$2),CONCATENATE(Lookup!F$3,D1457,Lookup!G$3,B1457,Lookup!H$3)),"no url")</f>
        <v>no url</v>
      </c>
    </row>
    <row r="1458" spans="1:6" hidden="1" x14ac:dyDescent="0.25">
      <c r="A1458" s="2" t="b">
        <f>IF(ISBLANK(InfoGard!D1458),FALSE,LOOKUP(InfoGard!D1458,Lookup!$A$2:$B$4))</f>
        <v>0</v>
      </c>
      <c r="B1458" s="2" t="b">
        <f>IF(ISBLANK(InfoGard!E1458),FALSE,RIGHT(TRIM(InfoGard!E1458),15))</f>
        <v>0</v>
      </c>
      <c r="C1458" s="2" t="b">
        <f>IF(ISBLANK(InfoGard!F1458),FALSE,LOOKUP(InfoGard!F1458,Lookup!$A$6:$B$7))</f>
        <v>0</v>
      </c>
      <c r="D1458" s="2" t="b">
        <f>IF(ISBLANK(InfoGard!G1458),FALSE,InfoGard!G1458)</f>
        <v>0</v>
      </c>
      <c r="E1458" s="2" t="str">
        <f>IF(NOT(ISBLANK(InfoGard!D1458)),IF(OR(ISBLANK(InfoGard!E1458),InfoGard!E1458="N/A"),"no acb code",CONCATENATE(Lookup!F$1,A1458,Lookup!G$1,B1458,Lookup!H$1,H$1,Lookup!I$1)),"no attestation")</f>
        <v>no attestation</v>
      </c>
      <c r="F1458" s="2" t="str">
        <f>IF(AND(NOT(ISBLANK(InfoGard!G1458)),InfoGard!G1458&lt;&gt;"N/A"),IF(C1458="All",CONCATENATE(Lookup!F$2,D1458,Lookup!G$2,B1458,Lookup!H$2,H$1,Lookup!I$2),CONCATENATE(Lookup!F$3,D1458,Lookup!G$3,B1458,Lookup!H$3)),"no url")</f>
        <v>no url</v>
      </c>
    </row>
    <row r="1459" spans="1:6" hidden="1" x14ac:dyDescent="0.25">
      <c r="A1459" s="2" t="b">
        <f>IF(ISBLANK(InfoGard!D1459),FALSE,LOOKUP(InfoGard!D1459,Lookup!$A$2:$B$4))</f>
        <v>0</v>
      </c>
      <c r="B1459" s="2" t="b">
        <f>IF(ISBLANK(InfoGard!E1459),FALSE,RIGHT(TRIM(InfoGard!E1459),15))</f>
        <v>0</v>
      </c>
      <c r="C1459" s="2" t="b">
        <f>IF(ISBLANK(InfoGard!F1459),FALSE,LOOKUP(InfoGard!F1459,Lookup!$A$6:$B$7))</f>
        <v>0</v>
      </c>
      <c r="D1459" s="2" t="b">
        <f>IF(ISBLANK(InfoGard!G1459),FALSE,InfoGard!G1459)</f>
        <v>0</v>
      </c>
      <c r="E1459" s="2" t="str">
        <f>IF(NOT(ISBLANK(InfoGard!D1459)),IF(OR(ISBLANK(InfoGard!E1459),InfoGard!E1459="N/A"),"no acb code",CONCATENATE(Lookup!F$1,A1459,Lookup!G$1,B1459,Lookup!H$1,H$1,Lookup!I$1)),"no attestation")</f>
        <v>no attestation</v>
      </c>
      <c r="F1459" s="2" t="str">
        <f>IF(AND(NOT(ISBLANK(InfoGard!G1459)),InfoGard!G1459&lt;&gt;"N/A"),IF(C1459="All",CONCATENATE(Lookup!F$2,D1459,Lookup!G$2,B1459,Lookup!H$2,H$1,Lookup!I$2),CONCATENATE(Lookup!F$3,D1459,Lookup!G$3,B1459,Lookup!H$3)),"no url")</f>
        <v>no url</v>
      </c>
    </row>
    <row r="1460" spans="1:6" hidden="1" x14ac:dyDescent="0.25">
      <c r="A1460" s="2" t="b">
        <f>IF(ISBLANK(InfoGard!D1460),FALSE,LOOKUP(InfoGard!D1460,Lookup!$A$2:$B$4))</f>
        <v>0</v>
      </c>
      <c r="B1460" s="2" t="b">
        <f>IF(ISBLANK(InfoGard!E1460),FALSE,RIGHT(TRIM(InfoGard!E1460),15))</f>
        <v>0</v>
      </c>
      <c r="C1460" s="2" t="b">
        <f>IF(ISBLANK(InfoGard!F1460),FALSE,LOOKUP(InfoGard!F1460,Lookup!$A$6:$B$7))</f>
        <v>0</v>
      </c>
      <c r="D1460" s="2" t="b">
        <f>IF(ISBLANK(InfoGard!G1460),FALSE,InfoGard!G1460)</f>
        <v>0</v>
      </c>
      <c r="E1460" s="2" t="str">
        <f>IF(NOT(ISBLANK(InfoGard!D1460)),IF(OR(ISBLANK(InfoGard!E1460),InfoGard!E1460="N/A"),"no acb code",CONCATENATE(Lookup!F$1,A1460,Lookup!G$1,B1460,Lookup!H$1,H$1,Lookup!I$1)),"no attestation")</f>
        <v>no attestation</v>
      </c>
      <c r="F1460" s="2" t="str">
        <f>IF(AND(NOT(ISBLANK(InfoGard!G1460)),InfoGard!G1460&lt;&gt;"N/A"),IF(C1460="All",CONCATENATE(Lookup!F$2,D1460,Lookup!G$2,B1460,Lookup!H$2,H$1,Lookup!I$2),CONCATENATE(Lookup!F$3,D1460,Lookup!G$3,B1460,Lookup!H$3)),"no url")</f>
        <v>no url</v>
      </c>
    </row>
    <row r="1461" spans="1:6" hidden="1" x14ac:dyDescent="0.25">
      <c r="A1461" s="2" t="b">
        <f>IF(ISBLANK(InfoGard!D1461),FALSE,LOOKUP(InfoGard!D1461,Lookup!$A$2:$B$4))</f>
        <v>0</v>
      </c>
      <c r="B1461" s="2" t="b">
        <f>IF(ISBLANK(InfoGard!E1461),FALSE,RIGHT(TRIM(InfoGard!E1461),15))</f>
        <v>0</v>
      </c>
      <c r="C1461" s="2" t="b">
        <f>IF(ISBLANK(InfoGard!F1461),FALSE,LOOKUP(InfoGard!F1461,Lookup!$A$6:$B$7))</f>
        <v>0</v>
      </c>
      <c r="D1461" s="2" t="b">
        <f>IF(ISBLANK(InfoGard!G1461),FALSE,InfoGard!G1461)</f>
        <v>0</v>
      </c>
      <c r="E1461" s="2" t="str">
        <f>IF(NOT(ISBLANK(InfoGard!D1461)),IF(OR(ISBLANK(InfoGard!E1461),InfoGard!E1461="N/A"),"no acb code",CONCATENATE(Lookup!F$1,A1461,Lookup!G$1,B1461,Lookup!H$1,H$1,Lookup!I$1)),"no attestation")</f>
        <v>no attestation</v>
      </c>
      <c r="F1461" s="2" t="str">
        <f>IF(AND(NOT(ISBLANK(InfoGard!G1461)),InfoGard!G1461&lt;&gt;"N/A"),IF(C1461="All",CONCATENATE(Lookup!F$2,D1461,Lookup!G$2,B1461,Lookup!H$2,H$1,Lookup!I$2),CONCATENATE(Lookup!F$3,D1461,Lookup!G$3,B1461,Lookup!H$3)),"no url")</f>
        <v>no url</v>
      </c>
    </row>
    <row r="1462" spans="1:6" hidden="1" x14ac:dyDescent="0.25">
      <c r="A1462" s="2" t="b">
        <f>IF(ISBLANK(InfoGard!D1462),FALSE,LOOKUP(InfoGard!D1462,Lookup!$A$2:$B$4))</f>
        <v>0</v>
      </c>
      <c r="B1462" s="2" t="b">
        <f>IF(ISBLANK(InfoGard!E1462),FALSE,RIGHT(TRIM(InfoGard!E1462),15))</f>
        <v>0</v>
      </c>
      <c r="C1462" s="2" t="b">
        <f>IF(ISBLANK(InfoGard!F1462),FALSE,LOOKUP(InfoGard!F1462,Lookup!$A$6:$B$7))</f>
        <v>0</v>
      </c>
      <c r="D1462" s="2" t="b">
        <f>IF(ISBLANK(InfoGard!G1462),FALSE,InfoGard!G1462)</f>
        <v>0</v>
      </c>
      <c r="E1462" s="2" t="str">
        <f>IF(NOT(ISBLANK(InfoGard!D1462)),IF(OR(ISBLANK(InfoGard!E1462),InfoGard!E1462="N/A"),"no acb code",CONCATENATE(Lookup!F$1,A1462,Lookup!G$1,B1462,Lookup!H$1,H$1,Lookup!I$1)),"no attestation")</f>
        <v>no attestation</v>
      </c>
      <c r="F1462" s="2" t="str">
        <f>IF(AND(NOT(ISBLANK(InfoGard!G1462)),InfoGard!G1462&lt;&gt;"N/A"),IF(C1462="All",CONCATENATE(Lookup!F$2,D1462,Lookup!G$2,B1462,Lookup!H$2,H$1,Lookup!I$2),CONCATENATE(Lookup!F$3,D1462,Lookup!G$3,B1462,Lookup!H$3)),"no url")</f>
        <v>no url</v>
      </c>
    </row>
    <row r="1463" spans="1:6" hidden="1" x14ac:dyDescent="0.25">
      <c r="A1463" s="2" t="b">
        <f>IF(ISBLANK(InfoGard!D1463),FALSE,LOOKUP(InfoGard!D1463,Lookup!$A$2:$B$4))</f>
        <v>0</v>
      </c>
      <c r="B1463" s="2" t="b">
        <f>IF(ISBLANK(InfoGard!E1463),FALSE,RIGHT(TRIM(InfoGard!E1463),15))</f>
        <v>0</v>
      </c>
      <c r="C1463" s="2" t="b">
        <f>IF(ISBLANK(InfoGard!F1463),FALSE,LOOKUP(InfoGard!F1463,Lookup!$A$6:$B$7))</f>
        <v>0</v>
      </c>
      <c r="D1463" s="2" t="b">
        <f>IF(ISBLANK(InfoGard!G1463),FALSE,InfoGard!G1463)</f>
        <v>0</v>
      </c>
      <c r="E1463" s="2" t="str">
        <f>IF(NOT(ISBLANK(InfoGard!D1463)),IF(OR(ISBLANK(InfoGard!E1463),InfoGard!E1463="N/A"),"no acb code",CONCATENATE(Lookup!F$1,A1463,Lookup!G$1,B1463,Lookup!H$1,H$1,Lookup!I$1)),"no attestation")</f>
        <v>no attestation</v>
      </c>
      <c r="F1463" s="2" t="str">
        <f>IF(AND(NOT(ISBLANK(InfoGard!G1463)),InfoGard!G1463&lt;&gt;"N/A"),IF(C1463="All",CONCATENATE(Lookup!F$2,D1463,Lookup!G$2,B1463,Lookup!H$2,H$1,Lookup!I$2),CONCATENATE(Lookup!F$3,D1463,Lookup!G$3,B1463,Lookup!H$3)),"no url")</f>
        <v>no url</v>
      </c>
    </row>
    <row r="1464" spans="1:6" hidden="1" x14ac:dyDescent="0.25">
      <c r="A1464" s="2" t="b">
        <f>IF(ISBLANK(InfoGard!D1464),FALSE,LOOKUP(InfoGard!D1464,Lookup!$A$2:$B$4))</f>
        <v>0</v>
      </c>
      <c r="B1464" s="2" t="b">
        <f>IF(ISBLANK(InfoGard!E1464),FALSE,RIGHT(TRIM(InfoGard!E1464),15))</f>
        <v>0</v>
      </c>
      <c r="C1464" s="2" t="b">
        <f>IF(ISBLANK(InfoGard!F1464),FALSE,LOOKUP(InfoGard!F1464,Lookup!$A$6:$B$7))</f>
        <v>0</v>
      </c>
      <c r="D1464" s="2" t="b">
        <f>IF(ISBLANK(InfoGard!G1464),FALSE,InfoGard!G1464)</f>
        <v>0</v>
      </c>
      <c r="E1464" s="2" t="str">
        <f>IF(NOT(ISBLANK(InfoGard!D1464)),IF(OR(ISBLANK(InfoGard!E1464),InfoGard!E1464="N/A"),"no acb code",CONCATENATE(Lookup!F$1,A1464,Lookup!G$1,B1464,Lookup!H$1,H$1,Lookup!I$1)),"no attestation")</f>
        <v>no attestation</v>
      </c>
      <c r="F1464" s="2" t="str">
        <f>IF(AND(NOT(ISBLANK(InfoGard!G1464)),InfoGard!G1464&lt;&gt;"N/A"),IF(C1464="All",CONCATENATE(Lookup!F$2,D1464,Lookup!G$2,B1464,Lookup!H$2,H$1,Lookup!I$2),CONCATENATE(Lookup!F$3,D1464,Lookup!G$3,B1464,Lookup!H$3)),"no url")</f>
        <v>no url</v>
      </c>
    </row>
    <row r="1465" spans="1:6" hidden="1" x14ac:dyDescent="0.25">
      <c r="A1465" s="2" t="b">
        <f>IF(ISBLANK(InfoGard!D1465),FALSE,LOOKUP(InfoGard!D1465,Lookup!$A$2:$B$4))</f>
        <v>0</v>
      </c>
      <c r="B1465" s="2" t="b">
        <f>IF(ISBLANK(InfoGard!E1465),FALSE,RIGHT(TRIM(InfoGard!E1465),15))</f>
        <v>0</v>
      </c>
      <c r="C1465" s="2" t="b">
        <f>IF(ISBLANK(InfoGard!F1465),FALSE,LOOKUP(InfoGard!F1465,Lookup!$A$6:$B$7))</f>
        <v>0</v>
      </c>
      <c r="D1465" s="2" t="b">
        <f>IF(ISBLANK(InfoGard!G1465),FALSE,InfoGard!G1465)</f>
        <v>0</v>
      </c>
      <c r="E1465" s="2" t="str">
        <f>IF(NOT(ISBLANK(InfoGard!D1465)),IF(OR(ISBLANK(InfoGard!E1465),InfoGard!E1465="N/A"),"no acb code",CONCATENATE(Lookup!F$1,A1465,Lookup!G$1,B1465,Lookup!H$1,H$1,Lookup!I$1)),"no attestation")</f>
        <v>no attestation</v>
      </c>
      <c r="F1465" s="2" t="str">
        <f>IF(AND(NOT(ISBLANK(InfoGard!G1465)),InfoGard!G1465&lt;&gt;"N/A"),IF(C1465="All",CONCATENATE(Lookup!F$2,D1465,Lookup!G$2,B1465,Lookup!H$2,H$1,Lookup!I$2),CONCATENATE(Lookup!F$3,D1465,Lookup!G$3,B1465,Lookup!H$3)),"no url")</f>
        <v>no url</v>
      </c>
    </row>
    <row r="1466" spans="1:6" hidden="1" x14ac:dyDescent="0.25">
      <c r="A1466" s="2" t="b">
        <f>IF(ISBLANK(InfoGard!D1466),FALSE,LOOKUP(InfoGard!D1466,Lookup!$A$2:$B$4))</f>
        <v>0</v>
      </c>
      <c r="B1466" s="2" t="b">
        <f>IF(ISBLANK(InfoGard!E1466),FALSE,RIGHT(TRIM(InfoGard!E1466),15))</f>
        <v>0</v>
      </c>
      <c r="C1466" s="2" t="b">
        <f>IF(ISBLANK(InfoGard!F1466),FALSE,LOOKUP(InfoGard!F1466,Lookup!$A$6:$B$7))</f>
        <v>0</v>
      </c>
      <c r="D1466" s="2" t="b">
        <f>IF(ISBLANK(InfoGard!G1466),FALSE,InfoGard!G1466)</f>
        <v>0</v>
      </c>
      <c r="E1466" s="2" t="str">
        <f>IF(NOT(ISBLANK(InfoGard!D1466)),IF(OR(ISBLANK(InfoGard!E1466),InfoGard!E1466="N/A"),"no acb code",CONCATENATE(Lookup!F$1,A1466,Lookup!G$1,B1466,Lookup!H$1,H$1,Lookup!I$1)),"no attestation")</f>
        <v>no attestation</v>
      </c>
      <c r="F1466" s="2" t="str">
        <f>IF(AND(NOT(ISBLANK(InfoGard!G1466)),InfoGard!G1466&lt;&gt;"N/A"),IF(C1466="All",CONCATENATE(Lookup!F$2,D1466,Lookup!G$2,B1466,Lookup!H$2,H$1,Lookup!I$2),CONCATENATE(Lookup!F$3,D1466,Lookup!G$3,B1466,Lookup!H$3)),"no url")</f>
        <v>no url</v>
      </c>
    </row>
    <row r="1467" spans="1:6" hidden="1" x14ac:dyDescent="0.25">
      <c r="A1467" s="2" t="b">
        <f>IF(ISBLANK(InfoGard!D1467),FALSE,LOOKUP(InfoGard!D1467,Lookup!$A$2:$B$4))</f>
        <v>0</v>
      </c>
      <c r="B1467" s="2" t="b">
        <f>IF(ISBLANK(InfoGard!E1467),FALSE,RIGHT(TRIM(InfoGard!E1467),15))</f>
        <v>0</v>
      </c>
      <c r="C1467" s="2" t="b">
        <f>IF(ISBLANK(InfoGard!F1467),FALSE,LOOKUP(InfoGard!F1467,Lookup!$A$6:$B$7))</f>
        <v>0</v>
      </c>
      <c r="D1467" s="2" t="b">
        <f>IF(ISBLANK(InfoGard!G1467),FALSE,InfoGard!G1467)</f>
        <v>0</v>
      </c>
      <c r="E1467" s="2" t="str">
        <f>IF(NOT(ISBLANK(InfoGard!D1467)),IF(OR(ISBLANK(InfoGard!E1467),InfoGard!E1467="N/A"),"no acb code",CONCATENATE(Lookup!F$1,A1467,Lookup!G$1,B1467,Lookup!H$1,H$1,Lookup!I$1)),"no attestation")</f>
        <v>no attestation</v>
      </c>
      <c r="F1467" s="2" t="str">
        <f>IF(AND(NOT(ISBLANK(InfoGard!G1467)),InfoGard!G1467&lt;&gt;"N/A"),IF(C1467="All",CONCATENATE(Lookup!F$2,D1467,Lookup!G$2,B1467,Lookup!H$2,H$1,Lookup!I$2),CONCATENATE(Lookup!F$3,D1467,Lookup!G$3,B1467,Lookup!H$3)),"no url")</f>
        <v>no url</v>
      </c>
    </row>
    <row r="1468" spans="1:6" hidden="1" x14ac:dyDescent="0.25">
      <c r="A1468" s="2" t="b">
        <f>IF(ISBLANK(InfoGard!D1468),FALSE,LOOKUP(InfoGard!D1468,Lookup!$A$2:$B$4))</f>
        <v>0</v>
      </c>
      <c r="B1468" s="2" t="b">
        <f>IF(ISBLANK(InfoGard!E1468),FALSE,RIGHT(TRIM(InfoGard!E1468),15))</f>
        <v>0</v>
      </c>
      <c r="C1468" s="2" t="b">
        <f>IF(ISBLANK(InfoGard!F1468),FALSE,LOOKUP(InfoGard!F1468,Lookup!$A$6:$B$7))</f>
        <v>0</v>
      </c>
      <c r="D1468" s="2" t="b">
        <f>IF(ISBLANK(InfoGard!G1468),FALSE,InfoGard!G1468)</f>
        <v>0</v>
      </c>
      <c r="E1468" s="2" t="str">
        <f>IF(NOT(ISBLANK(InfoGard!D1468)),IF(OR(ISBLANK(InfoGard!E1468),InfoGard!E1468="N/A"),"no acb code",CONCATENATE(Lookup!F$1,A1468,Lookup!G$1,B1468,Lookup!H$1,H$1,Lookup!I$1)),"no attestation")</f>
        <v>no attestation</v>
      </c>
      <c r="F1468" s="2" t="str">
        <f>IF(AND(NOT(ISBLANK(InfoGard!G1468)),InfoGard!G1468&lt;&gt;"N/A"),IF(C1468="All",CONCATENATE(Lookup!F$2,D1468,Lookup!G$2,B1468,Lookup!H$2,H$1,Lookup!I$2),CONCATENATE(Lookup!F$3,D1468,Lookup!G$3,B1468,Lookup!H$3)),"no url")</f>
        <v>no url</v>
      </c>
    </row>
    <row r="1469" spans="1:6" hidden="1" x14ac:dyDescent="0.25">
      <c r="A1469" s="2" t="b">
        <f>IF(ISBLANK(InfoGard!D1469),FALSE,LOOKUP(InfoGard!D1469,Lookup!$A$2:$B$4))</f>
        <v>0</v>
      </c>
      <c r="B1469" s="2" t="b">
        <f>IF(ISBLANK(InfoGard!E1469),FALSE,RIGHT(TRIM(InfoGard!E1469),15))</f>
        <v>0</v>
      </c>
      <c r="C1469" s="2" t="b">
        <f>IF(ISBLANK(InfoGard!F1469),FALSE,LOOKUP(InfoGard!F1469,Lookup!$A$6:$B$7))</f>
        <v>0</v>
      </c>
      <c r="D1469" s="2" t="b">
        <f>IF(ISBLANK(InfoGard!G1469),FALSE,InfoGard!G1469)</f>
        <v>0</v>
      </c>
      <c r="E1469" s="2" t="str">
        <f>IF(NOT(ISBLANK(InfoGard!D1469)),IF(OR(ISBLANK(InfoGard!E1469),InfoGard!E1469="N/A"),"no acb code",CONCATENATE(Lookup!F$1,A1469,Lookup!G$1,B1469,Lookup!H$1,H$1,Lookup!I$1)),"no attestation")</f>
        <v>no attestation</v>
      </c>
      <c r="F1469" s="2" t="str">
        <f>IF(AND(NOT(ISBLANK(InfoGard!G1469)),InfoGard!G1469&lt;&gt;"N/A"),IF(C1469="All",CONCATENATE(Lookup!F$2,D1469,Lookup!G$2,B1469,Lookup!H$2,H$1,Lookup!I$2),CONCATENATE(Lookup!F$3,D1469,Lookup!G$3,B1469,Lookup!H$3)),"no url")</f>
        <v>no url</v>
      </c>
    </row>
    <row r="1470" spans="1:6" hidden="1" x14ac:dyDescent="0.25">
      <c r="A1470" s="2" t="b">
        <f>IF(ISBLANK(InfoGard!D1470),FALSE,LOOKUP(InfoGard!D1470,Lookup!$A$2:$B$4))</f>
        <v>0</v>
      </c>
      <c r="B1470" s="2" t="b">
        <f>IF(ISBLANK(InfoGard!E1470),FALSE,RIGHT(TRIM(InfoGard!E1470),15))</f>
        <v>0</v>
      </c>
      <c r="C1470" s="2" t="b">
        <f>IF(ISBLANK(InfoGard!F1470),FALSE,LOOKUP(InfoGard!F1470,Lookup!$A$6:$B$7))</f>
        <v>0</v>
      </c>
      <c r="D1470" s="2" t="b">
        <f>IF(ISBLANK(InfoGard!G1470),FALSE,InfoGard!G1470)</f>
        <v>0</v>
      </c>
      <c r="E1470" s="2" t="str">
        <f>IF(NOT(ISBLANK(InfoGard!D1470)),IF(OR(ISBLANK(InfoGard!E1470),InfoGard!E1470="N/A"),"no acb code",CONCATENATE(Lookup!F$1,A1470,Lookup!G$1,B1470,Lookup!H$1,H$1,Lookup!I$1)),"no attestation")</f>
        <v>no attestation</v>
      </c>
      <c r="F1470" s="2" t="str">
        <f>IF(AND(NOT(ISBLANK(InfoGard!G1470)),InfoGard!G1470&lt;&gt;"N/A"),IF(C1470="All",CONCATENATE(Lookup!F$2,D1470,Lookup!G$2,B1470,Lookup!H$2,H$1,Lookup!I$2),CONCATENATE(Lookup!F$3,D1470,Lookup!G$3,B1470,Lookup!H$3)),"no url")</f>
        <v>no url</v>
      </c>
    </row>
    <row r="1471" spans="1:6" x14ac:dyDescent="0.25">
      <c r="A1471" s="2" t="str">
        <f>IF(ISBLANK(InfoGard!D1471),FALSE,LOOKUP(InfoGard!D1471,Lookup!$A$2:$B$4))</f>
        <v>Affirmative</v>
      </c>
      <c r="B1471" s="2" t="str">
        <f>IF(ISBLANK(InfoGard!E1471),FALSE,RIGHT(TRIM(InfoGard!E1471),15))</f>
        <v>IG-3330-16-0007</v>
      </c>
      <c r="C1471" s="2" t="str">
        <f>IF(ISBLANK(InfoGard!F1471),FALSE,LOOKUP(InfoGard!F1471,Lookup!$A$6:$B$7))</f>
        <v>All</v>
      </c>
      <c r="D1471" s="2" t="str">
        <f>IF(ISBLANK(InfoGard!G1471),FALSE,InfoGard!G1471)</f>
        <v>physiciancompass.org/pricing/</v>
      </c>
      <c r="E1471" s="2" t="str">
        <f>IF(NOT(ISBLANK(InfoGard!D1471)),IF(OR(ISBLANK(InfoGard!E1471),InfoGard!E1471="N/A"),"no acb code",CONCATENATE(Lookup!F$1,A1471,Lookup!G$1,B1471,Lookup!H$1,H$1,Lookup!I$1)),"no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'IG-3330-16-0007' and cb."name" = 'InfoGard' and cp.product_version_id = pv.product_version_id and pv.product_id = p.product_id and p.vendor_id = vend.vendor_id;</v>
      </c>
      <c r="F1471" s="2" t="str">
        <f>IF(AND(NOT(ISBLANK(InfoGard!G1471)),InfoGard!G1471&lt;&gt;"N/A"),IF(C1471="All",CONCATENATE(Lookup!F$2,D1471,Lookup!G$2,B1471,Lookup!H$2,H$1,Lookup!I$2),CONCATENATE(Lookup!F$3,D1471,Lookup!G$3,B1471,Lookup!H$3)),"no url")</f>
        <v>update openchpl.certified_product as cp set transparency_attestation_url = 'physiciancompass.org/pricing/' from (select certified_product_id from (select vend.vendor_code from openchpl.certified_product as cp, openchpl.product_version as pv, openchpl.product as p, openchpl.vendor as vend where cp.acb_certification_id = 'IG-3330-16-0007'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72" spans="1:6" hidden="1" x14ac:dyDescent="0.25">
      <c r="A1472" s="2" t="b">
        <f>IF(ISBLANK(InfoGard!D1472),FALSE,LOOKUP(InfoGard!D1472,Lookup!$A$2:$B$4))</f>
        <v>0</v>
      </c>
      <c r="B1472" s="2" t="b">
        <f>IF(ISBLANK(InfoGard!E1472),FALSE,RIGHT(TRIM(InfoGard!E1472),15))</f>
        <v>0</v>
      </c>
      <c r="C1472" s="2" t="b">
        <f>IF(ISBLANK(InfoGard!F1472),FALSE,LOOKUP(InfoGard!F1472,Lookup!$A$6:$B$7))</f>
        <v>0</v>
      </c>
      <c r="D1472" s="2" t="b">
        <f>IF(ISBLANK(InfoGard!G1472),FALSE,InfoGard!G1472)</f>
        <v>0</v>
      </c>
      <c r="E1472" s="2" t="str">
        <f>IF(NOT(ISBLANK(InfoGard!D1472)),IF(OR(ISBLANK(InfoGard!E1472),InfoGard!E1472="N/A"),"no acb code",CONCATENATE(Lookup!F$1,A1472,Lookup!G$1,B1472,Lookup!H$1,H$1,Lookup!I$1)),"no attestation")</f>
        <v>no attestation</v>
      </c>
      <c r="F1472" s="2" t="str">
        <f>IF(AND(NOT(ISBLANK(InfoGard!G1472)),InfoGard!G1472&lt;&gt;"N/A"),IF(C1472="All",CONCATENATE(Lookup!F$2,D1472,Lookup!G$2,B1472,Lookup!H$2,H$1,Lookup!I$2),CONCATENATE(Lookup!F$3,D1472,Lookup!G$3,B1472,Lookup!H$3)),"no url")</f>
        <v>no url</v>
      </c>
    </row>
    <row r="1473" spans="1:6" hidden="1" x14ac:dyDescent="0.25">
      <c r="A1473" s="2" t="b">
        <f>IF(ISBLANK(InfoGard!D1473),FALSE,LOOKUP(InfoGard!D1473,Lookup!$A$2:$B$4))</f>
        <v>0</v>
      </c>
      <c r="B1473" s="2" t="b">
        <f>IF(ISBLANK(InfoGard!E1473),FALSE,RIGHT(TRIM(InfoGard!E1473),15))</f>
        <v>0</v>
      </c>
      <c r="C1473" s="2" t="b">
        <f>IF(ISBLANK(InfoGard!F1473),FALSE,LOOKUP(InfoGard!F1473,Lookup!$A$6:$B$7))</f>
        <v>0</v>
      </c>
      <c r="D1473" s="2" t="b">
        <f>IF(ISBLANK(InfoGard!G1473),FALSE,InfoGard!G1473)</f>
        <v>0</v>
      </c>
      <c r="E1473" s="2" t="str">
        <f>IF(NOT(ISBLANK(InfoGard!D1473)),IF(OR(ISBLANK(InfoGard!E1473),InfoGard!E1473="N/A"),"no acb code",CONCATENATE(Lookup!F$1,A1473,Lookup!G$1,B1473,Lookup!H$1,H$1,Lookup!I$1)),"no attestation")</f>
        <v>no attestation</v>
      </c>
      <c r="F1473" s="2" t="str">
        <f>IF(AND(NOT(ISBLANK(InfoGard!G1473)),InfoGard!G1473&lt;&gt;"N/A"),IF(C1473="All",CONCATENATE(Lookup!F$2,D1473,Lookup!G$2,B1473,Lookup!H$2,H$1,Lookup!I$2),CONCATENATE(Lookup!F$3,D1473,Lookup!G$3,B1473,Lookup!H$3)),"no url")</f>
        <v>no url</v>
      </c>
    </row>
    <row r="1474" spans="1:6" hidden="1" x14ac:dyDescent="0.25">
      <c r="A1474" s="2" t="b">
        <f>IF(ISBLANK(InfoGard!D1474),FALSE,LOOKUP(InfoGard!D1474,Lookup!$A$2:$B$4))</f>
        <v>0</v>
      </c>
      <c r="B1474" s="2" t="b">
        <f>IF(ISBLANK(InfoGard!E1474),FALSE,RIGHT(TRIM(InfoGard!E1474),15))</f>
        <v>0</v>
      </c>
      <c r="C1474" s="2" t="b">
        <f>IF(ISBLANK(InfoGard!F1474),FALSE,LOOKUP(InfoGard!F1474,Lookup!$A$6:$B$7))</f>
        <v>0</v>
      </c>
      <c r="D1474" s="2" t="b">
        <f>IF(ISBLANK(InfoGard!G1474),FALSE,InfoGard!G1474)</f>
        <v>0</v>
      </c>
      <c r="E1474" s="2" t="str">
        <f>IF(NOT(ISBLANK(InfoGard!D1474)),IF(OR(ISBLANK(InfoGard!E1474),InfoGard!E1474="N/A"),"no acb code",CONCATENATE(Lookup!F$1,A1474,Lookup!G$1,B1474,Lookup!H$1,H$1,Lookup!I$1)),"no attestation")</f>
        <v>no attestation</v>
      </c>
      <c r="F1474" s="2" t="str">
        <f>IF(AND(NOT(ISBLANK(InfoGard!G1474)),InfoGard!G1474&lt;&gt;"N/A"),IF(C1474="All",CONCATENATE(Lookup!F$2,D1474,Lookup!G$2,B1474,Lookup!H$2,H$1,Lookup!I$2),CONCATENATE(Lookup!F$3,D1474,Lookup!G$3,B1474,Lookup!H$3)),"no url")</f>
        <v>no url</v>
      </c>
    </row>
    <row r="1475" spans="1:6" hidden="1" x14ac:dyDescent="0.25">
      <c r="A1475" s="2" t="b">
        <f>IF(ISBLANK(InfoGard!D1475),FALSE,LOOKUP(InfoGard!D1475,Lookup!$A$2:$B$4))</f>
        <v>0</v>
      </c>
      <c r="B1475" s="2" t="b">
        <f>IF(ISBLANK(InfoGard!E1475),FALSE,RIGHT(TRIM(InfoGard!E1475),15))</f>
        <v>0</v>
      </c>
      <c r="C1475" s="2" t="b">
        <f>IF(ISBLANK(InfoGard!F1475),FALSE,LOOKUP(InfoGard!F1475,Lookup!$A$6:$B$7))</f>
        <v>0</v>
      </c>
      <c r="D1475" s="2" t="b">
        <f>IF(ISBLANK(InfoGard!G1475),FALSE,InfoGard!G1475)</f>
        <v>0</v>
      </c>
      <c r="E1475" s="2" t="str">
        <f>IF(NOT(ISBLANK(InfoGard!D1475)),IF(OR(ISBLANK(InfoGard!E1475),InfoGard!E1475="N/A"),"no acb code",CONCATENATE(Lookup!F$1,A1475,Lookup!G$1,B1475,Lookup!H$1,H$1,Lookup!I$1)),"no attestation")</f>
        <v>no attestation</v>
      </c>
      <c r="F1475" s="2" t="str">
        <f>IF(AND(NOT(ISBLANK(InfoGard!G1475)),InfoGard!G1475&lt;&gt;"N/A"),IF(C1475="All",CONCATENATE(Lookup!F$2,D1475,Lookup!G$2,B1475,Lookup!H$2,H$1,Lookup!I$2),CONCATENATE(Lookup!F$3,D1475,Lookup!G$3,B1475,Lookup!H$3)),"no url")</f>
        <v>no url</v>
      </c>
    </row>
    <row r="1476" spans="1:6" hidden="1" x14ac:dyDescent="0.25">
      <c r="A1476" s="2" t="b">
        <f>IF(ISBLANK(InfoGard!D1476),FALSE,LOOKUP(InfoGard!D1476,Lookup!$A$2:$B$4))</f>
        <v>0</v>
      </c>
      <c r="B1476" s="2" t="b">
        <f>IF(ISBLANK(InfoGard!E1476),FALSE,RIGHT(TRIM(InfoGard!E1476),15))</f>
        <v>0</v>
      </c>
      <c r="C1476" s="2" t="b">
        <f>IF(ISBLANK(InfoGard!F1476),FALSE,LOOKUP(InfoGard!F1476,Lookup!$A$6:$B$7))</f>
        <v>0</v>
      </c>
      <c r="D1476" s="2" t="b">
        <f>IF(ISBLANK(InfoGard!G1476),FALSE,InfoGard!G1476)</f>
        <v>0</v>
      </c>
      <c r="E1476" s="2" t="str">
        <f>IF(NOT(ISBLANK(InfoGard!D1476)),IF(OR(ISBLANK(InfoGard!E1476),InfoGard!E1476="N/A"),"no acb code",CONCATENATE(Lookup!F$1,A1476,Lookup!G$1,B1476,Lookup!H$1,H$1,Lookup!I$1)),"no attestation")</f>
        <v>no attestation</v>
      </c>
      <c r="F1476" s="2" t="str">
        <f>IF(AND(NOT(ISBLANK(InfoGard!G1476)),InfoGard!G1476&lt;&gt;"N/A"),IF(C1476="All",CONCATENATE(Lookup!F$2,D1476,Lookup!G$2,B1476,Lookup!H$2,H$1,Lookup!I$2),CONCATENATE(Lookup!F$3,D1476,Lookup!G$3,B1476,Lookup!H$3)),"no url")</f>
        <v>no url</v>
      </c>
    </row>
    <row r="1477" spans="1:6" hidden="1" x14ac:dyDescent="0.25">
      <c r="A1477" s="2" t="b">
        <f>IF(ISBLANK(InfoGard!D1477),FALSE,LOOKUP(InfoGard!D1477,Lookup!$A$2:$B$4))</f>
        <v>0</v>
      </c>
      <c r="B1477" s="2" t="b">
        <f>IF(ISBLANK(InfoGard!E1477),FALSE,RIGHT(TRIM(InfoGard!E1477),15))</f>
        <v>0</v>
      </c>
      <c r="C1477" s="2" t="b">
        <f>IF(ISBLANK(InfoGard!F1477),FALSE,LOOKUP(InfoGard!F1477,Lookup!$A$6:$B$7))</f>
        <v>0</v>
      </c>
      <c r="D1477" s="2" t="b">
        <f>IF(ISBLANK(InfoGard!G1477),FALSE,InfoGard!G1477)</f>
        <v>0</v>
      </c>
      <c r="E1477" s="2" t="str">
        <f>IF(NOT(ISBLANK(InfoGard!D1477)),IF(OR(ISBLANK(InfoGard!E1477),InfoGard!E1477="N/A"),"no acb code",CONCATENATE(Lookup!F$1,A1477,Lookup!G$1,B1477,Lookup!H$1,H$1,Lookup!I$1)),"no attestation")</f>
        <v>no attestation</v>
      </c>
      <c r="F1477" s="2" t="str">
        <f>IF(AND(NOT(ISBLANK(InfoGard!G1477)),InfoGard!G1477&lt;&gt;"N/A"),IF(C1477="All",CONCATENATE(Lookup!F$2,D1477,Lookup!G$2,B1477,Lookup!H$2,H$1,Lookup!I$2),CONCATENATE(Lookup!F$3,D1477,Lookup!G$3,B1477,Lookup!H$3)),"no url")</f>
        <v>no url</v>
      </c>
    </row>
    <row r="1478" spans="1:6" hidden="1" x14ac:dyDescent="0.25">
      <c r="A1478" s="2" t="b">
        <f>IF(ISBLANK(InfoGard!D1478),FALSE,LOOKUP(InfoGard!D1478,Lookup!$A$2:$B$4))</f>
        <v>0</v>
      </c>
      <c r="B1478" s="2" t="b">
        <f>IF(ISBLANK(InfoGard!E1478),FALSE,RIGHT(TRIM(InfoGard!E1478),15))</f>
        <v>0</v>
      </c>
      <c r="C1478" s="2" t="b">
        <f>IF(ISBLANK(InfoGard!F1478),FALSE,LOOKUP(InfoGard!F1478,Lookup!$A$6:$B$7))</f>
        <v>0</v>
      </c>
      <c r="D1478" s="2" t="b">
        <f>IF(ISBLANK(InfoGard!G1478),FALSE,InfoGard!G1478)</f>
        <v>0</v>
      </c>
      <c r="E1478" s="2" t="str">
        <f>IF(NOT(ISBLANK(InfoGard!D1478)),IF(OR(ISBLANK(InfoGard!E1478),InfoGard!E1478="N/A"),"no acb code",CONCATENATE(Lookup!F$1,A1478,Lookup!G$1,B1478,Lookup!H$1,H$1,Lookup!I$1)),"no attestation")</f>
        <v>no attestation</v>
      </c>
      <c r="F1478" s="2" t="str">
        <f>IF(AND(NOT(ISBLANK(InfoGard!G1478)),InfoGard!G1478&lt;&gt;"N/A"),IF(C1478="All",CONCATENATE(Lookup!F$2,D1478,Lookup!G$2,B1478,Lookup!H$2,H$1,Lookup!I$2),CONCATENATE(Lookup!F$3,D1478,Lookup!G$3,B1478,Lookup!H$3)),"no url")</f>
        <v>no url</v>
      </c>
    </row>
    <row r="1479" spans="1:6" hidden="1" x14ac:dyDescent="0.25">
      <c r="A1479" s="2" t="b">
        <f>IF(ISBLANK(InfoGard!D1479),FALSE,LOOKUP(InfoGard!D1479,Lookup!$A$2:$B$4))</f>
        <v>0</v>
      </c>
      <c r="B1479" s="2" t="b">
        <f>IF(ISBLANK(InfoGard!E1479),FALSE,RIGHT(TRIM(InfoGard!E1479),15))</f>
        <v>0</v>
      </c>
      <c r="C1479" s="2" t="b">
        <f>IF(ISBLANK(InfoGard!F1479),FALSE,LOOKUP(InfoGard!F1479,Lookup!$A$6:$B$7))</f>
        <v>0</v>
      </c>
      <c r="D1479" s="2" t="b">
        <f>IF(ISBLANK(InfoGard!G1479),FALSE,InfoGard!G1479)</f>
        <v>0</v>
      </c>
      <c r="E1479" s="2" t="str">
        <f>IF(NOT(ISBLANK(InfoGard!D1479)),IF(OR(ISBLANK(InfoGard!E1479),InfoGard!E1479="N/A"),"no acb code",CONCATENATE(Lookup!F$1,A1479,Lookup!G$1,B1479,Lookup!H$1,H$1,Lookup!I$1)),"no attestation")</f>
        <v>no attestation</v>
      </c>
      <c r="F1479" s="2" t="str">
        <f>IF(AND(NOT(ISBLANK(InfoGard!G1479)),InfoGard!G1479&lt;&gt;"N/A"),IF(C1479="All",CONCATENATE(Lookup!F$2,D1479,Lookup!G$2,B1479,Lookup!H$2,H$1,Lookup!I$2),CONCATENATE(Lookup!F$3,D1479,Lookup!G$3,B1479,Lookup!H$3)),"no url")</f>
        <v>no url</v>
      </c>
    </row>
    <row r="1480" spans="1:6" hidden="1" x14ac:dyDescent="0.25">
      <c r="A1480" s="2" t="b">
        <f>IF(ISBLANK(InfoGard!D1480),FALSE,LOOKUP(InfoGard!D1480,Lookup!$A$2:$B$4))</f>
        <v>0</v>
      </c>
      <c r="B1480" s="2" t="b">
        <f>IF(ISBLANK(InfoGard!E1480),FALSE,RIGHT(TRIM(InfoGard!E1480),15))</f>
        <v>0</v>
      </c>
      <c r="C1480" s="2" t="b">
        <f>IF(ISBLANK(InfoGard!F1480),FALSE,LOOKUP(InfoGard!F1480,Lookup!$A$6:$B$7))</f>
        <v>0</v>
      </c>
      <c r="D1480" s="2" t="b">
        <f>IF(ISBLANK(InfoGard!G1480),FALSE,InfoGard!G1480)</f>
        <v>0</v>
      </c>
      <c r="E1480" s="2" t="str">
        <f>IF(NOT(ISBLANK(InfoGard!D1480)),IF(OR(ISBLANK(InfoGard!E1480),InfoGard!E1480="N/A"),"no acb code",CONCATENATE(Lookup!F$1,A1480,Lookup!G$1,B1480,Lookup!H$1,H$1,Lookup!I$1)),"no attestation")</f>
        <v>no attestation</v>
      </c>
      <c r="F1480" s="2" t="str">
        <f>IF(AND(NOT(ISBLANK(InfoGard!G1480)),InfoGard!G1480&lt;&gt;"N/A"),IF(C1480="All",CONCATENATE(Lookup!F$2,D1480,Lookup!G$2,B1480,Lookup!H$2,H$1,Lookup!I$2),CONCATENATE(Lookup!F$3,D1480,Lookup!G$3,B1480,Lookup!H$3)),"no url")</f>
        <v>no url</v>
      </c>
    </row>
    <row r="1481" spans="1:6" hidden="1" x14ac:dyDescent="0.25">
      <c r="A1481" s="2" t="b">
        <f>IF(ISBLANK(InfoGard!D1481),FALSE,LOOKUP(InfoGard!D1481,Lookup!$A$2:$B$4))</f>
        <v>0</v>
      </c>
      <c r="B1481" s="2" t="b">
        <f>IF(ISBLANK(InfoGard!E1481),FALSE,RIGHT(TRIM(InfoGard!E1481),15))</f>
        <v>0</v>
      </c>
      <c r="C1481" s="2" t="b">
        <f>IF(ISBLANK(InfoGard!F1481),FALSE,LOOKUP(InfoGard!F1481,Lookup!$A$6:$B$7))</f>
        <v>0</v>
      </c>
      <c r="D1481" s="2" t="b">
        <f>IF(ISBLANK(InfoGard!G1481),FALSE,InfoGard!G1481)</f>
        <v>0</v>
      </c>
      <c r="E1481" s="2" t="str">
        <f>IF(NOT(ISBLANK(InfoGard!D1481)),IF(OR(ISBLANK(InfoGard!E1481),InfoGard!E1481="N/A"),"no acb code",CONCATENATE(Lookup!F$1,A1481,Lookup!G$1,B1481,Lookup!H$1,H$1,Lookup!I$1)),"no attestation")</f>
        <v>no attestation</v>
      </c>
      <c r="F1481" s="2" t="str">
        <f>IF(AND(NOT(ISBLANK(InfoGard!G1481)),InfoGard!G1481&lt;&gt;"N/A"),IF(C1481="All",CONCATENATE(Lookup!F$2,D1481,Lookup!G$2,B1481,Lookup!H$2,H$1,Lookup!I$2),CONCATENATE(Lookup!F$3,D1481,Lookup!G$3,B1481,Lookup!H$3)),"no url")</f>
        <v>no url</v>
      </c>
    </row>
    <row r="1482" spans="1:6" hidden="1" x14ac:dyDescent="0.25">
      <c r="A1482" s="2" t="b">
        <f>IF(ISBLANK(InfoGard!D1482),FALSE,LOOKUP(InfoGard!D1482,Lookup!$A$2:$B$4))</f>
        <v>0</v>
      </c>
      <c r="B1482" s="2" t="b">
        <f>IF(ISBLANK(InfoGard!E1482),FALSE,RIGHT(TRIM(InfoGard!E1482),15))</f>
        <v>0</v>
      </c>
      <c r="C1482" s="2" t="b">
        <f>IF(ISBLANK(InfoGard!F1482),FALSE,LOOKUP(InfoGard!F1482,Lookup!$A$6:$B$7))</f>
        <v>0</v>
      </c>
      <c r="D1482" s="2" t="b">
        <f>IF(ISBLANK(InfoGard!G1482),FALSE,InfoGard!G1482)</f>
        <v>0</v>
      </c>
      <c r="E1482" s="2" t="str">
        <f>IF(NOT(ISBLANK(InfoGard!D1482)),IF(OR(ISBLANK(InfoGard!E1482),InfoGard!E1482="N/A"),"no acb code",CONCATENATE(Lookup!F$1,A1482,Lookup!G$1,B1482,Lookup!H$1,H$1,Lookup!I$1)),"no attestation")</f>
        <v>no attestation</v>
      </c>
      <c r="F1482" s="2" t="str">
        <f>IF(AND(NOT(ISBLANK(InfoGard!G1482)),InfoGard!G1482&lt;&gt;"N/A"),IF(C1482="All",CONCATENATE(Lookup!F$2,D1482,Lookup!G$2,B1482,Lookup!H$2,H$1,Lookup!I$2),CONCATENATE(Lookup!F$3,D1482,Lookup!G$3,B1482,Lookup!H$3)),"no url")</f>
        <v>no url</v>
      </c>
    </row>
    <row r="1483" spans="1:6" hidden="1" x14ac:dyDescent="0.25">
      <c r="A1483" s="2" t="b">
        <f>IF(ISBLANK(InfoGard!D1483),FALSE,LOOKUP(InfoGard!D1483,Lookup!$A$2:$B$4))</f>
        <v>0</v>
      </c>
      <c r="B1483" s="2" t="b">
        <f>IF(ISBLANK(InfoGard!E1483),FALSE,RIGHT(TRIM(InfoGard!E1483),15))</f>
        <v>0</v>
      </c>
      <c r="C1483" s="2" t="b">
        <f>IF(ISBLANK(InfoGard!F1483),FALSE,LOOKUP(InfoGard!F1483,Lookup!$A$6:$B$7))</f>
        <v>0</v>
      </c>
      <c r="D1483" s="2" t="b">
        <f>IF(ISBLANK(InfoGard!G1483),FALSE,InfoGard!G1483)</f>
        <v>0</v>
      </c>
      <c r="E1483" s="2" t="str">
        <f>IF(NOT(ISBLANK(InfoGard!D1483)),IF(OR(ISBLANK(InfoGard!E1483),InfoGard!E1483="N/A"),"no acb code",CONCATENATE(Lookup!F$1,A1483,Lookup!G$1,B1483,Lookup!H$1,H$1,Lookup!I$1)),"no attestation")</f>
        <v>no attestation</v>
      </c>
      <c r="F1483" s="2" t="str">
        <f>IF(AND(NOT(ISBLANK(InfoGard!G1483)),InfoGard!G1483&lt;&gt;"N/A"),IF(C1483="All",CONCATENATE(Lookup!F$2,D1483,Lookup!G$2,B1483,Lookup!H$2,H$1,Lookup!I$2),CONCATENATE(Lookup!F$3,D1483,Lookup!G$3,B1483,Lookup!H$3)),"no url")</f>
        <v>no url</v>
      </c>
    </row>
    <row r="1484" spans="1:6" hidden="1" x14ac:dyDescent="0.25">
      <c r="A1484" s="2" t="b">
        <f>IF(ISBLANK(InfoGard!D1484),FALSE,LOOKUP(InfoGard!D1484,Lookup!$A$2:$B$4))</f>
        <v>0</v>
      </c>
      <c r="B1484" s="2" t="b">
        <f>IF(ISBLANK(InfoGard!E1484),FALSE,RIGHT(TRIM(InfoGard!E1484),15))</f>
        <v>0</v>
      </c>
      <c r="C1484" s="2" t="b">
        <f>IF(ISBLANK(InfoGard!F1484),FALSE,LOOKUP(InfoGard!F1484,Lookup!$A$6:$B$7))</f>
        <v>0</v>
      </c>
      <c r="D1484" s="2" t="b">
        <f>IF(ISBLANK(InfoGard!G1484),FALSE,InfoGard!G1484)</f>
        <v>0</v>
      </c>
      <c r="E1484" s="2" t="str">
        <f>IF(NOT(ISBLANK(InfoGard!D1484)),IF(OR(ISBLANK(InfoGard!E1484),InfoGard!E1484="N/A"),"no acb code",CONCATENATE(Lookup!F$1,A1484,Lookup!G$1,B1484,Lookup!H$1,H$1,Lookup!I$1)),"no attestation")</f>
        <v>no attestation</v>
      </c>
      <c r="F1484" s="2" t="str">
        <f>IF(AND(NOT(ISBLANK(InfoGard!G1484)),InfoGard!G1484&lt;&gt;"N/A"),IF(C1484="All",CONCATENATE(Lookup!F$2,D1484,Lookup!G$2,B1484,Lookup!H$2,H$1,Lookup!I$2),CONCATENATE(Lookup!F$3,D1484,Lookup!G$3,B1484,Lookup!H$3)),"no url")</f>
        <v>no url</v>
      </c>
    </row>
    <row r="1485" spans="1:6" hidden="1" x14ac:dyDescent="0.25">
      <c r="A1485" s="2" t="b">
        <f>IF(ISBLANK(InfoGard!D1485),FALSE,LOOKUP(InfoGard!D1485,Lookup!$A$2:$B$4))</f>
        <v>0</v>
      </c>
      <c r="B1485" s="2" t="b">
        <f>IF(ISBLANK(InfoGard!E1485),FALSE,RIGHT(TRIM(InfoGard!E1485),15))</f>
        <v>0</v>
      </c>
      <c r="C1485" s="2" t="b">
        <f>IF(ISBLANK(InfoGard!F1485),FALSE,LOOKUP(InfoGard!F1485,Lookup!$A$6:$B$7))</f>
        <v>0</v>
      </c>
      <c r="D1485" s="2" t="b">
        <f>IF(ISBLANK(InfoGard!G1485),FALSE,InfoGard!G1485)</f>
        <v>0</v>
      </c>
      <c r="E1485" s="2" t="str">
        <f>IF(NOT(ISBLANK(InfoGard!D1485)),IF(OR(ISBLANK(InfoGard!E1485),InfoGard!E1485="N/A"),"no acb code",CONCATENATE(Lookup!F$1,A1485,Lookup!G$1,B1485,Lookup!H$1,H$1,Lookup!I$1)),"no attestation")</f>
        <v>no attestation</v>
      </c>
      <c r="F1485" s="2" t="str">
        <f>IF(AND(NOT(ISBLANK(InfoGard!G1485)),InfoGard!G1485&lt;&gt;"N/A"),IF(C1485="All",CONCATENATE(Lookup!F$2,D1485,Lookup!G$2,B1485,Lookup!H$2,H$1,Lookup!I$2),CONCATENATE(Lookup!F$3,D1485,Lookup!G$3,B1485,Lookup!H$3)),"no url")</f>
        <v>no url</v>
      </c>
    </row>
    <row r="1486" spans="1:6" hidden="1" x14ac:dyDescent="0.25">
      <c r="A1486" s="2" t="b">
        <f>IF(ISBLANK(InfoGard!D1486),FALSE,LOOKUP(InfoGard!D1486,Lookup!$A$2:$B$4))</f>
        <v>0</v>
      </c>
      <c r="B1486" s="2" t="b">
        <f>IF(ISBLANK(InfoGard!E1486),FALSE,RIGHT(TRIM(InfoGard!E1486),15))</f>
        <v>0</v>
      </c>
      <c r="C1486" s="2" t="b">
        <f>IF(ISBLANK(InfoGard!F1486),FALSE,LOOKUP(InfoGard!F1486,Lookup!$A$6:$B$7))</f>
        <v>0</v>
      </c>
      <c r="D1486" s="2" t="b">
        <f>IF(ISBLANK(InfoGard!G1486),FALSE,InfoGard!G1486)</f>
        <v>0</v>
      </c>
      <c r="E1486" s="2" t="str">
        <f>IF(NOT(ISBLANK(InfoGard!D1486)),IF(OR(ISBLANK(InfoGard!E1486),InfoGard!E1486="N/A"),"no acb code",CONCATENATE(Lookup!F$1,A1486,Lookup!G$1,B1486,Lookup!H$1,H$1,Lookup!I$1)),"no attestation")</f>
        <v>no attestation</v>
      </c>
      <c r="F1486" s="2" t="str">
        <f>IF(AND(NOT(ISBLANK(InfoGard!G1486)),InfoGard!G1486&lt;&gt;"N/A"),IF(C1486="All",CONCATENATE(Lookup!F$2,D1486,Lookup!G$2,B1486,Lookup!H$2,H$1,Lookup!I$2),CONCATENATE(Lookup!F$3,D1486,Lookup!G$3,B1486,Lookup!H$3)),"no url")</f>
        <v>no url</v>
      </c>
    </row>
    <row r="1487" spans="1:6" hidden="1" x14ac:dyDescent="0.25">
      <c r="A1487" s="2" t="b">
        <f>IF(ISBLANK(InfoGard!D1487),FALSE,LOOKUP(InfoGard!D1487,Lookup!$A$2:$B$4))</f>
        <v>0</v>
      </c>
      <c r="B1487" s="2" t="b">
        <f>IF(ISBLANK(InfoGard!E1487),FALSE,RIGHT(TRIM(InfoGard!E1487),15))</f>
        <v>0</v>
      </c>
      <c r="C1487" s="2" t="b">
        <f>IF(ISBLANK(InfoGard!F1487),FALSE,LOOKUP(InfoGard!F1487,Lookup!$A$6:$B$7))</f>
        <v>0</v>
      </c>
      <c r="D1487" s="2" t="b">
        <f>IF(ISBLANK(InfoGard!G1487),FALSE,InfoGard!G1487)</f>
        <v>0</v>
      </c>
      <c r="E1487" s="2" t="str">
        <f>IF(NOT(ISBLANK(InfoGard!D1487)),IF(OR(ISBLANK(InfoGard!E1487),InfoGard!E1487="N/A"),"no acb code",CONCATENATE(Lookup!F$1,A1487,Lookup!G$1,B1487,Lookup!H$1,H$1,Lookup!I$1)),"no attestation")</f>
        <v>no attestation</v>
      </c>
      <c r="F1487" s="2" t="str">
        <f>IF(AND(NOT(ISBLANK(InfoGard!G1487)),InfoGard!G1487&lt;&gt;"N/A"),IF(C1487="All",CONCATENATE(Lookup!F$2,D1487,Lookup!G$2,B1487,Lookup!H$2,H$1,Lookup!I$2),CONCATENATE(Lookup!F$3,D1487,Lookup!G$3,B1487,Lookup!H$3)),"no url")</f>
        <v>no url</v>
      </c>
    </row>
    <row r="1488" spans="1:6" hidden="1" x14ac:dyDescent="0.25">
      <c r="A1488" s="2" t="b">
        <f>IF(ISBLANK(InfoGard!D1488),FALSE,LOOKUP(InfoGard!D1488,Lookup!$A$2:$B$4))</f>
        <v>0</v>
      </c>
      <c r="B1488" s="2" t="b">
        <f>IF(ISBLANK(InfoGard!E1488),FALSE,RIGHT(TRIM(InfoGard!E1488),15))</f>
        <v>0</v>
      </c>
      <c r="C1488" s="2" t="b">
        <f>IF(ISBLANK(InfoGard!F1488),FALSE,LOOKUP(InfoGard!F1488,Lookup!$A$6:$B$7))</f>
        <v>0</v>
      </c>
      <c r="D1488" s="2" t="b">
        <f>IF(ISBLANK(InfoGard!G1488),FALSE,InfoGard!G1488)</f>
        <v>0</v>
      </c>
      <c r="E1488" s="2" t="str">
        <f>IF(NOT(ISBLANK(InfoGard!D1488)),IF(OR(ISBLANK(InfoGard!E1488),InfoGard!E1488="N/A"),"no acb code",CONCATENATE(Lookup!F$1,A1488,Lookup!G$1,B1488,Lookup!H$1,H$1,Lookup!I$1)),"no attestation")</f>
        <v>no attestation</v>
      </c>
      <c r="F1488" s="2" t="str">
        <f>IF(AND(NOT(ISBLANK(InfoGard!G1488)),InfoGard!G1488&lt;&gt;"N/A"),IF(C1488="All",CONCATENATE(Lookup!F$2,D1488,Lookup!G$2,B1488,Lookup!H$2,H$1,Lookup!I$2),CONCATENATE(Lookup!F$3,D1488,Lookup!G$3,B1488,Lookup!H$3)),"no url")</f>
        <v>no url</v>
      </c>
    </row>
    <row r="1489" spans="1:6" hidden="1" x14ac:dyDescent="0.25">
      <c r="A1489" s="2" t="b">
        <f>IF(ISBLANK(InfoGard!D1489),FALSE,LOOKUP(InfoGard!D1489,Lookup!$A$2:$B$4))</f>
        <v>0</v>
      </c>
      <c r="B1489" s="2" t="b">
        <f>IF(ISBLANK(InfoGard!E1489),FALSE,RIGHT(TRIM(InfoGard!E1489),15))</f>
        <v>0</v>
      </c>
      <c r="C1489" s="2" t="b">
        <f>IF(ISBLANK(InfoGard!F1489),FALSE,LOOKUP(InfoGard!F1489,Lookup!$A$6:$B$7))</f>
        <v>0</v>
      </c>
      <c r="D1489" s="2" t="b">
        <f>IF(ISBLANK(InfoGard!G1489),FALSE,InfoGard!G1489)</f>
        <v>0</v>
      </c>
      <c r="E1489" s="2" t="str">
        <f>IF(NOT(ISBLANK(InfoGard!D1489)),IF(OR(ISBLANK(InfoGard!E1489),InfoGard!E1489="N/A"),"no acb code",CONCATENATE(Lookup!F$1,A1489,Lookup!G$1,B1489,Lookup!H$1,H$1,Lookup!I$1)),"no attestation")</f>
        <v>no attestation</v>
      </c>
      <c r="F1489" s="2" t="str">
        <f>IF(AND(NOT(ISBLANK(InfoGard!G1489)),InfoGard!G1489&lt;&gt;"N/A"),IF(C1489="All",CONCATENATE(Lookup!F$2,D1489,Lookup!G$2,B1489,Lookup!H$2,H$1,Lookup!I$2),CONCATENATE(Lookup!F$3,D1489,Lookup!G$3,B1489,Lookup!H$3)),"no url")</f>
        <v>no url</v>
      </c>
    </row>
    <row r="1490" spans="1:6" hidden="1" x14ac:dyDescent="0.25">
      <c r="A1490" s="2" t="b">
        <f>IF(ISBLANK(InfoGard!D1490),FALSE,LOOKUP(InfoGard!D1490,Lookup!$A$2:$B$4))</f>
        <v>0</v>
      </c>
      <c r="B1490" s="2" t="b">
        <f>IF(ISBLANK(InfoGard!E1490),FALSE,RIGHT(TRIM(InfoGard!E1490),15))</f>
        <v>0</v>
      </c>
      <c r="C1490" s="2" t="b">
        <f>IF(ISBLANK(InfoGard!F1490),FALSE,LOOKUP(InfoGard!F1490,Lookup!$A$6:$B$7))</f>
        <v>0</v>
      </c>
      <c r="D1490" s="2" t="b">
        <f>IF(ISBLANK(InfoGard!G1490),FALSE,InfoGard!G1490)</f>
        <v>0</v>
      </c>
      <c r="E1490" s="2" t="str">
        <f>IF(NOT(ISBLANK(InfoGard!D1490)),IF(OR(ISBLANK(InfoGard!E1490),InfoGard!E1490="N/A"),"no acb code",CONCATENATE(Lookup!F$1,A1490,Lookup!G$1,B1490,Lookup!H$1,H$1,Lookup!I$1)),"no attestation")</f>
        <v>no attestation</v>
      </c>
      <c r="F1490" s="2" t="str">
        <f>IF(AND(NOT(ISBLANK(InfoGard!G1490)),InfoGard!G1490&lt;&gt;"N/A"),IF(C1490="All",CONCATENATE(Lookup!F$2,D1490,Lookup!G$2,B1490,Lookup!H$2,H$1,Lookup!I$2),CONCATENATE(Lookup!F$3,D1490,Lookup!G$3,B1490,Lookup!H$3)),"no url")</f>
        <v>no url</v>
      </c>
    </row>
    <row r="1491" spans="1:6" hidden="1" x14ac:dyDescent="0.25">
      <c r="A1491" s="2" t="b">
        <f>IF(ISBLANK(InfoGard!D1491),FALSE,LOOKUP(InfoGard!D1491,Lookup!$A$2:$B$4))</f>
        <v>0</v>
      </c>
      <c r="B1491" s="2" t="b">
        <f>IF(ISBLANK(InfoGard!E1491),FALSE,RIGHT(TRIM(InfoGard!E1491),15))</f>
        <v>0</v>
      </c>
      <c r="C1491" s="2" t="b">
        <f>IF(ISBLANK(InfoGard!F1491),FALSE,LOOKUP(InfoGard!F1491,Lookup!$A$6:$B$7))</f>
        <v>0</v>
      </c>
      <c r="D1491" s="2" t="b">
        <f>IF(ISBLANK(InfoGard!G1491),FALSE,InfoGard!G1491)</f>
        <v>0</v>
      </c>
      <c r="E1491" s="2" t="str">
        <f>IF(NOT(ISBLANK(InfoGard!D1491)),IF(OR(ISBLANK(InfoGard!E1491),InfoGard!E1491="N/A"),"no acb code",CONCATENATE(Lookup!F$1,A1491,Lookup!G$1,B1491,Lookup!H$1,H$1,Lookup!I$1)),"no attestation")</f>
        <v>no attestation</v>
      </c>
      <c r="F1491" s="2" t="str">
        <f>IF(AND(NOT(ISBLANK(InfoGard!G1491)),InfoGard!G1491&lt;&gt;"N/A"),IF(C1491="All",CONCATENATE(Lookup!F$2,D1491,Lookup!G$2,B1491,Lookup!H$2,H$1,Lookup!I$2),CONCATENATE(Lookup!F$3,D1491,Lookup!G$3,B1491,Lookup!H$3)),"no url")</f>
        <v>no url</v>
      </c>
    </row>
    <row r="1492" spans="1:6" hidden="1" x14ac:dyDescent="0.25">
      <c r="A1492" s="2" t="b">
        <f>IF(ISBLANK(InfoGard!D1492),FALSE,LOOKUP(InfoGard!D1492,Lookup!$A$2:$B$4))</f>
        <v>0</v>
      </c>
      <c r="B1492" s="2" t="b">
        <f>IF(ISBLANK(InfoGard!E1492),FALSE,RIGHT(TRIM(InfoGard!E1492),15))</f>
        <v>0</v>
      </c>
      <c r="C1492" s="2" t="b">
        <f>IF(ISBLANK(InfoGard!F1492),FALSE,LOOKUP(InfoGard!F1492,Lookup!$A$6:$B$7))</f>
        <v>0</v>
      </c>
      <c r="D1492" s="2" t="b">
        <f>IF(ISBLANK(InfoGard!G1492),FALSE,InfoGard!G1492)</f>
        <v>0</v>
      </c>
      <c r="E1492" s="2" t="str">
        <f>IF(NOT(ISBLANK(InfoGard!D1492)),IF(OR(ISBLANK(InfoGard!E1492),InfoGard!E1492="N/A"),"no acb code",CONCATENATE(Lookup!F$1,A1492,Lookup!G$1,B1492,Lookup!H$1,H$1,Lookup!I$1)),"no attestation")</f>
        <v>no attestation</v>
      </c>
      <c r="F1492" s="2" t="str">
        <f>IF(AND(NOT(ISBLANK(InfoGard!G1492)),InfoGard!G1492&lt;&gt;"N/A"),IF(C1492="All",CONCATENATE(Lookup!F$2,D1492,Lookup!G$2,B1492,Lookup!H$2,H$1,Lookup!I$2),CONCATENATE(Lookup!F$3,D1492,Lookup!G$3,B1492,Lookup!H$3)),"no url")</f>
        <v>no url</v>
      </c>
    </row>
    <row r="1493" spans="1:6" hidden="1" x14ac:dyDescent="0.25">
      <c r="A1493" s="2" t="b">
        <f>IF(ISBLANK(InfoGard!D1493),FALSE,LOOKUP(InfoGard!D1493,Lookup!$A$2:$B$4))</f>
        <v>0</v>
      </c>
      <c r="B1493" s="2" t="b">
        <f>IF(ISBLANK(InfoGard!E1493),FALSE,RIGHT(TRIM(InfoGard!E1493),15))</f>
        <v>0</v>
      </c>
      <c r="C1493" s="2" t="b">
        <f>IF(ISBLANK(InfoGard!F1493),FALSE,LOOKUP(InfoGard!F1493,Lookup!$A$6:$B$7))</f>
        <v>0</v>
      </c>
      <c r="D1493" s="2" t="b">
        <f>IF(ISBLANK(InfoGard!G1493),FALSE,InfoGard!G1493)</f>
        <v>0</v>
      </c>
      <c r="E1493" s="2" t="str">
        <f>IF(NOT(ISBLANK(InfoGard!D1493)),IF(OR(ISBLANK(InfoGard!E1493),InfoGard!E1493="N/A"),"no acb code",CONCATENATE(Lookup!F$1,A1493,Lookup!G$1,B1493,Lookup!H$1,H$1,Lookup!I$1)),"no attestation")</f>
        <v>no attestation</v>
      </c>
      <c r="F1493" s="2" t="str">
        <f>IF(AND(NOT(ISBLANK(InfoGard!G1493)),InfoGard!G1493&lt;&gt;"N/A"),IF(C1493="All",CONCATENATE(Lookup!F$2,D1493,Lookup!G$2,B1493,Lookup!H$2,H$1,Lookup!I$2),CONCATENATE(Lookup!F$3,D1493,Lookup!G$3,B1493,Lookup!H$3)),"no url")</f>
        <v>no url</v>
      </c>
    </row>
    <row r="1494" spans="1:6" hidden="1" x14ac:dyDescent="0.25">
      <c r="A1494" s="2" t="b">
        <f>IF(ISBLANK(InfoGard!D1494),FALSE,LOOKUP(InfoGard!D1494,Lookup!$A$2:$B$4))</f>
        <v>0</v>
      </c>
      <c r="B1494" s="2" t="b">
        <f>IF(ISBLANK(InfoGard!E1494),FALSE,RIGHT(TRIM(InfoGard!E1494),15))</f>
        <v>0</v>
      </c>
      <c r="C1494" s="2" t="b">
        <f>IF(ISBLANK(InfoGard!F1494),FALSE,LOOKUP(InfoGard!F1494,Lookup!$A$6:$B$7))</f>
        <v>0</v>
      </c>
      <c r="D1494" s="2" t="b">
        <f>IF(ISBLANK(InfoGard!G1494),FALSE,InfoGard!G1494)</f>
        <v>0</v>
      </c>
      <c r="E1494" s="2" t="str">
        <f>IF(NOT(ISBLANK(InfoGard!D1494)),IF(OR(ISBLANK(InfoGard!E1494),InfoGard!E1494="N/A"),"no acb code",CONCATENATE(Lookup!F$1,A1494,Lookup!G$1,B1494,Lookup!H$1,H$1,Lookup!I$1)),"no attestation")</f>
        <v>no attestation</v>
      </c>
      <c r="F1494" s="2" t="str">
        <f>IF(AND(NOT(ISBLANK(InfoGard!G1494)),InfoGard!G1494&lt;&gt;"N/A"),IF(C1494="All",CONCATENATE(Lookup!F$2,D1494,Lookup!G$2,B1494,Lookup!H$2,H$1,Lookup!I$2),CONCATENATE(Lookup!F$3,D1494,Lookup!G$3,B1494,Lookup!H$3)),"no url")</f>
        <v>no url</v>
      </c>
    </row>
    <row r="1495" spans="1:6" hidden="1" x14ac:dyDescent="0.25">
      <c r="A1495" s="2" t="b">
        <f>IF(ISBLANK(InfoGard!D1495),FALSE,LOOKUP(InfoGard!D1495,Lookup!$A$2:$B$4))</f>
        <v>0</v>
      </c>
      <c r="B1495" s="2" t="b">
        <f>IF(ISBLANK(InfoGard!E1495),FALSE,RIGHT(TRIM(InfoGard!E1495),15))</f>
        <v>0</v>
      </c>
      <c r="C1495" s="2" t="b">
        <f>IF(ISBLANK(InfoGard!F1495),FALSE,LOOKUP(InfoGard!F1495,Lookup!$A$6:$B$7))</f>
        <v>0</v>
      </c>
      <c r="D1495" s="2" t="b">
        <f>IF(ISBLANK(InfoGard!G1495),FALSE,InfoGard!G1495)</f>
        <v>0</v>
      </c>
      <c r="E1495" s="2" t="str">
        <f>IF(NOT(ISBLANK(InfoGard!D1495)),IF(OR(ISBLANK(InfoGard!E1495),InfoGard!E1495="N/A"),"no acb code",CONCATENATE(Lookup!F$1,A1495,Lookup!G$1,B1495,Lookup!H$1,H$1,Lookup!I$1)),"no attestation")</f>
        <v>no attestation</v>
      </c>
      <c r="F1495" s="2" t="str">
        <f>IF(AND(NOT(ISBLANK(InfoGard!G1495)),InfoGard!G1495&lt;&gt;"N/A"),IF(C1495="All",CONCATENATE(Lookup!F$2,D1495,Lookup!G$2,B1495,Lookup!H$2,H$1,Lookup!I$2),CONCATENATE(Lookup!F$3,D1495,Lookup!G$3,B1495,Lookup!H$3)),"no url")</f>
        <v>no url</v>
      </c>
    </row>
    <row r="1496" spans="1:6" hidden="1" x14ac:dyDescent="0.25">
      <c r="A1496" s="2" t="b">
        <f>IF(ISBLANK(InfoGard!D1496),FALSE,LOOKUP(InfoGard!D1496,Lookup!$A$2:$B$4))</f>
        <v>0</v>
      </c>
      <c r="B1496" s="2" t="b">
        <f>IF(ISBLANK(InfoGard!E1496),FALSE,RIGHT(TRIM(InfoGard!E1496),15))</f>
        <v>0</v>
      </c>
      <c r="C1496" s="2" t="b">
        <f>IF(ISBLANK(InfoGard!F1496),FALSE,LOOKUP(InfoGard!F1496,Lookup!$A$6:$B$7))</f>
        <v>0</v>
      </c>
      <c r="D1496" s="2" t="b">
        <f>IF(ISBLANK(InfoGard!G1496),FALSE,InfoGard!G1496)</f>
        <v>0</v>
      </c>
      <c r="E1496" s="2" t="str">
        <f>IF(NOT(ISBLANK(InfoGard!D1496)),IF(OR(ISBLANK(InfoGard!E1496),InfoGard!E1496="N/A"),"no acb code",CONCATENATE(Lookup!F$1,A1496,Lookup!G$1,B1496,Lookup!H$1,H$1,Lookup!I$1)),"no attestation")</f>
        <v>no attestation</v>
      </c>
      <c r="F1496" s="2" t="str">
        <f>IF(AND(NOT(ISBLANK(InfoGard!G1496)),InfoGard!G1496&lt;&gt;"N/A"),IF(C1496="All",CONCATENATE(Lookup!F$2,D1496,Lookup!G$2,B1496,Lookup!H$2,H$1,Lookup!I$2),CONCATENATE(Lookup!F$3,D1496,Lookup!G$3,B1496,Lookup!H$3)),"no url")</f>
        <v>no url</v>
      </c>
    </row>
    <row r="1497" spans="1:6" hidden="1" x14ac:dyDescent="0.25">
      <c r="A1497" s="2" t="b">
        <f>IF(ISBLANK(InfoGard!D1497),FALSE,LOOKUP(InfoGard!D1497,Lookup!$A$2:$B$4))</f>
        <v>0</v>
      </c>
      <c r="B1497" s="2" t="b">
        <f>IF(ISBLANK(InfoGard!E1497),FALSE,RIGHT(TRIM(InfoGard!E1497),15))</f>
        <v>0</v>
      </c>
      <c r="C1497" s="2" t="b">
        <f>IF(ISBLANK(InfoGard!F1497),FALSE,LOOKUP(InfoGard!F1497,Lookup!$A$6:$B$7))</f>
        <v>0</v>
      </c>
      <c r="D1497" s="2" t="b">
        <f>IF(ISBLANK(InfoGard!G1497),FALSE,InfoGard!G1497)</f>
        <v>0</v>
      </c>
      <c r="E1497" s="2" t="str">
        <f>IF(NOT(ISBLANK(InfoGard!D1497)),IF(OR(ISBLANK(InfoGard!E1497),InfoGard!E1497="N/A"),"no acb code",CONCATENATE(Lookup!F$1,A1497,Lookup!G$1,B1497,Lookup!H$1,H$1,Lookup!I$1)),"no attestation")</f>
        <v>no attestation</v>
      </c>
      <c r="F1497" s="2" t="str">
        <f>IF(AND(NOT(ISBLANK(InfoGard!G1497)),InfoGard!G1497&lt;&gt;"N/A"),IF(C1497="All",CONCATENATE(Lookup!F$2,D1497,Lookup!G$2,B1497,Lookup!H$2,H$1,Lookup!I$2),CONCATENATE(Lookup!F$3,D1497,Lookup!G$3,B1497,Lookup!H$3)),"no url")</f>
        <v>no url</v>
      </c>
    </row>
    <row r="1498" spans="1:6" hidden="1" x14ac:dyDescent="0.25">
      <c r="A1498" s="2" t="b">
        <f>IF(ISBLANK(InfoGard!D1498),FALSE,LOOKUP(InfoGard!D1498,Lookup!$A$2:$B$4))</f>
        <v>0</v>
      </c>
      <c r="B1498" s="2" t="b">
        <f>IF(ISBLANK(InfoGard!E1498),FALSE,RIGHT(TRIM(InfoGard!E1498),15))</f>
        <v>0</v>
      </c>
      <c r="C1498" s="2" t="b">
        <f>IF(ISBLANK(InfoGard!F1498),FALSE,LOOKUP(InfoGard!F1498,Lookup!$A$6:$B$7))</f>
        <v>0</v>
      </c>
      <c r="D1498" s="2" t="b">
        <f>IF(ISBLANK(InfoGard!G1498),FALSE,InfoGard!G1498)</f>
        <v>0</v>
      </c>
      <c r="E1498" s="2" t="str">
        <f>IF(NOT(ISBLANK(InfoGard!D1498)),IF(OR(ISBLANK(InfoGard!E1498),InfoGard!E1498="N/A"),"no acb code",CONCATENATE(Lookup!F$1,A1498,Lookup!G$1,B1498,Lookup!H$1,H$1,Lookup!I$1)),"no attestation")</f>
        <v>no attestation</v>
      </c>
      <c r="F1498" s="2" t="str">
        <f>IF(AND(NOT(ISBLANK(InfoGard!G1498)),InfoGard!G1498&lt;&gt;"N/A"),IF(C1498="All",CONCATENATE(Lookup!F$2,D1498,Lookup!G$2,B1498,Lookup!H$2,H$1,Lookup!I$2),CONCATENATE(Lookup!F$3,D1498,Lookup!G$3,B1498,Lookup!H$3)),"no url")</f>
        <v>no url</v>
      </c>
    </row>
    <row r="1499" spans="1:6" hidden="1" x14ac:dyDescent="0.25">
      <c r="A1499" s="2" t="b">
        <f>IF(ISBLANK(InfoGard!D1499),FALSE,LOOKUP(InfoGard!D1499,Lookup!$A$2:$B$4))</f>
        <v>0</v>
      </c>
      <c r="B1499" s="2" t="b">
        <f>IF(ISBLANK(InfoGard!E1499),FALSE,RIGHT(TRIM(InfoGard!E1499),15))</f>
        <v>0</v>
      </c>
      <c r="C1499" s="2" t="b">
        <f>IF(ISBLANK(InfoGard!F1499),FALSE,LOOKUP(InfoGard!F1499,Lookup!$A$6:$B$7))</f>
        <v>0</v>
      </c>
      <c r="D1499" s="2" t="b">
        <f>IF(ISBLANK(InfoGard!G1499),FALSE,InfoGard!G1499)</f>
        <v>0</v>
      </c>
      <c r="E1499" s="2" t="str">
        <f>IF(NOT(ISBLANK(InfoGard!D1499)),IF(OR(ISBLANK(InfoGard!E1499),InfoGard!E1499="N/A"),"no acb code",CONCATENATE(Lookup!F$1,A1499,Lookup!G$1,B1499,Lookup!H$1,H$1,Lookup!I$1)),"no attestation")</f>
        <v>no attestation</v>
      </c>
      <c r="F1499" s="2" t="str">
        <f>IF(AND(NOT(ISBLANK(InfoGard!G1499)),InfoGard!G1499&lt;&gt;"N/A"),IF(C1499="All",CONCATENATE(Lookup!F$2,D1499,Lookup!G$2,B1499,Lookup!H$2,H$1,Lookup!I$2),CONCATENATE(Lookup!F$3,D1499,Lookup!G$3,B1499,Lookup!H$3)),"no url")</f>
        <v>no url</v>
      </c>
    </row>
    <row r="1500" spans="1:6" hidden="1" x14ac:dyDescent="0.25">
      <c r="A1500" s="2" t="b">
        <f>IF(ISBLANK(InfoGard!D1500),FALSE,LOOKUP(InfoGard!D1500,Lookup!$A$2:$B$4))</f>
        <v>0</v>
      </c>
      <c r="B1500" s="2" t="b">
        <f>IF(ISBLANK(InfoGard!E1500),FALSE,RIGHT(TRIM(InfoGard!E1500),15))</f>
        <v>0</v>
      </c>
      <c r="C1500" s="2" t="b">
        <f>IF(ISBLANK(InfoGard!F1500),FALSE,LOOKUP(InfoGard!F1500,Lookup!$A$6:$B$7))</f>
        <v>0</v>
      </c>
      <c r="D1500" s="2" t="b">
        <f>IF(ISBLANK(InfoGard!G1500),FALSE,InfoGard!G1500)</f>
        <v>0</v>
      </c>
      <c r="E1500" s="2" t="str">
        <f>IF(NOT(ISBLANK(InfoGard!D1500)),IF(OR(ISBLANK(InfoGard!E1500),InfoGard!E1500="N/A"),"no acb code",CONCATENATE(Lookup!F$1,A1500,Lookup!G$1,B1500,Lookup!H$1,H$1,Lookup!I$1)),"no attestation")</f>
        <v>no attestation</v>
      </c>
      <c r="F1500" s="2" t="str">
        <f>IF(AND(NOT(ISBLANK(InfoGard!G1500)),InfoGard!G1500&lt;&gt;"N/A"),IF(C1500="All",CONCATENATE(Lookup!F$2,D1500,Lookup!G$2,B1500,Lookup!H$2,H$1,Lookup!I$2),CONCATENATE(Lookup!F$3,D1500,Lookup!G$3,B1500,Lookup!H$3)),"no url")</f>
        <v>no url</v>
      </c>
    </row>
    <row r="1501" spans="1:6" hidden="1" x14ac:dyDescent="0.25">
      <c r="A1501" s="2" t="b">
        <f>IF(ISBLANK(InfoGard!D1501),FALSE,LOOKUP(InfoGard!D1501,Lookup!$A$2:$B$4))</f>
        <v>0</v>
      </c>
      <c r="B1501" s="2" t="b">
        <f>IF(ISBLANK(InfoGard!E1501),FALSE,RIGHT(TRIM(InfoGard!E1501),15))</f>
        <v>0</v>
      </c>
      <c r="C1501" s="2" t="b">
        <f>IF(ISBLANK(InfoGard!F1501),FALSE,LOOKUP(InfoGard!F1501,Lookup!$A$6:$B$7))</f>
        <v>0</v>
      </c>
      <c r="D1501" s="2" t="b">
        <f>IF(ISBLANK(InfoGard!G1501),FALSE,InfoGard!G1501)</f>
        <v>0</v>
      </c>
      <c r="E1501" s="2" t="str">
        <f>IF(NOT(ISBLANK(InfoGard!D1501)),IF(OR(ISBLANK(InfoGard!E1501),InfoGard!E1501="N/A"),"no acb code",CONCATENATE(Lookup!F$1,A1501,Lookup!G$1,B1501,Lookup!H$1,H$1,Lookup!I$1)),"no attestation")</f>
        <v>no attestation</v>
      </c>
      <c r="F1501" s="2" t="str">
        <f>IF(AND(NOT(ISBLANK(InfoGard!G1501)),InfoGard!G1501&lt;&gt;"N/A"),IF(C1501="All",CONCATENATE(Lookup!F$2,D1501,Lookup!G$2,B1501,Lookup!H$2,H$1,Lookup!I$2),CONCATENATE(Lookup!F$3,D1501,Lookup!G$3,B1501,Lookup!H$3)),"no url")</f>
        <v>no url</v>
      </c>
    </row>
    <row r="1502" spans="1:6" x14ac:dyDescent="0.25">
      <c r="A1502" s="2" t="str">
        <f>IF(ISBLANK(InfoGard!D1502),FALSE,LOOKUP(InfoGard!D1502,Lookup!$A$2:$B$4))</f>
        <v>Affirmative</v>
      </c>
      <c r="B1502" s="2" t="str">
        <f>IF(ISBLANK(InfoGard!E1502),FALSE,RIGHT(TRIM(InfoGard!E1502),15))</f>
        <v>IG-2492-14-0047</v>
      </c>
      <c r="C1502" s="2" t="str">
        <f>IF(ISBLANK(InfoGard!F1502),FALSE,LOOKUP(InfoGard!F1502,Lookup!$A$6:$B$7))</f>
        <v>All</v>
      </c>
      <c r="D1502" s="2" t="str">
        <f>IF(ISBLANK(InfoGard!G1502),FALSE,InfoGard!G1502)</f>
        <v>https://www.drchrono.com/meaningful-use-ehr/</v>
      </c>
      <c r="E1502" s="2" t="str">
        <f>IF(NOT(ISBLANK(InfoGard!D1502)),IF(OR(ISBLANK(InfoGard!E1502),InfoGard!E1502="N/A"),"no acb code",CONCATENATE(Lookup!F$1,A1502,Lookup!G$1,B1502,Lookup!H$1,H$1,Lookup!I$1)),"no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'IG-2492-14-0047' and cb."name" = 'InfoGard' and cp.product_version_id = pv.product_version_id and pv.product_id = p.product_id and p.vendor_id = vend.vendor_id;</v>
      </c>
      <c r="F1502" s="2" t="str">
        <f>IF(AND(NOT(ISBLANK(InfoGard!G1502)),InfoGard!G1502&lt;&gt;"N/A"),IF(C1502="All",CONCATENATE(Lookup!F$2,D1502,Lookup!G$2,B1502,Lookup!H$2,H$1,Lookup!I$2),CONCATENATE(Lookup!F$3,D1502,Lookup!G$3,B1502,Lookup!H$3)),"no url")</f>
        <v>update openchpl.certified_product as cp set transparency_attestation_url = 'https://www.drchrono.com/meaningful-use-ehr/' from (select certified_product_id from (select vend.vendor_code from openchpl.certified_product as cp, openchpl.product_version as pv, openchpl.product as p, openchpl.vendor as vend where cp.acb_certification_id = 'IG-2492-14-0047'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03" spans="1:6" hidden="1" x14ac:dyDescent="0.25">
      <c r="A1503" s="2" t="b">
        <f>IF(ISBLANK(InfoGard!D1503),FALSE,LOOKUP(InfoGard!D1503,Lookup!$A$2:$B$4))</f>
        <v>0</v>
      </c>
      <c r="B1503" s="2" t="b">
        <f>IF(ISBLANK(InfoGard!E1503),FALSE,RIGHT(TRIM(InfoGard!E1503),15))</f>
        <v>0</v>
      </c>
      <c r="C1503" s="2" t="b">
        <f>IF(ISBLANK(InfoGard!F1503),FALSE,LOOKUP(InfoGard!F1503,Lookup!$A$6:$B$7))</f>
        <v>0</v>
      </c>
      <c r="D1503" s="2" t="b">
        <f>IF(ISBLANK(InfoGard!G1503),FALSE,InfoGard!G1503)</f>
        <v>0</v>
      </c>
      <c r="E1503" s="2" t="str">
        <f>IF(NOT(ISBLANK(InfoGard!D1503)),IF(OR(ISBLANK(InfoGard!E1503),InfoGard!E1503="N/A"),"no acb code",CONCATENATE(Lookup!F$1,A1503,Lookup!G$1,B1503,Lookup!H$1,H$1,Lookup!I$1)),"no attestation")</f>
        <v>no attestation</v>
      </c>
      <c r="F1503" s="2" t="str">
        <f>IF(AND(NOT(ISBLANK(InfoGard!G1503)),InfoGard!G1503&lt;&gt;"N/A"),IF(C1503="All",CONCATENATE(Lookup!F$2,D1503,Lookup!G$2,B1503,Lookup!H$2,H$1,Lookup!I$2),CONCATENATE(Lookup!F$3,D1503,Lookup!G$3,B1503,Lookup!H$3)),"no url")</f>
        <v>no url</v>
      </c>
    </row>
    <row r="1504" spans="1:6" hidden="1" x14ac:dyDescent="0.25">
      <c r="A1504" s="2" t="b">
        <f>IF(ISBLANK(InfoGard!D1504),FALSE,LOOKUP(InfoGard!D1504,Lookup!$A$2:$B$4))</f>
        <v>0</v>
      </c>
      <c r="B1504" s="2" t="b">
        <f>IF(ISBLANK(InfoGard!E1504),FALSE,RIGHT(TRIM(InfoGard!E1504),15))</f>
        <v>0</v>
      </c>
      <c r="C1504" s="2" t="b">
        <f>IF(ISBLANK(InfoGard!F1504),FALSE,LOOKUP(InfoGard!F1504,Lookup!$A$6:$B$7))</f>
        <v>0</v>
      </c>
      <c r="D1504" s="2" t="b">
        <f>IF(ISBLANK(InfoGard!G1504),FALSE,InfoGard!G1504)</f>
        <v>0</v>
      </c>
      <c r="E1504" s="2" t="str">
        <f>IF(NOT(ISBLANK(InfoGard!D1504)),IF(OR(ISBLANK(InfoGard!E1504),InfoGard!E1504="N/A"),"no acb code",CONCATENATE(Lookup!F$1,A1504,Lookup!G$1,B1504,Lookup!H$1,H$1,Lookup!I$1)),"no attestation")</f>
        <v>no attestation</v>
      </c>
      <c r="F1504" s="2" t="str">
        <f>IF(AND(NOT(ISBLANK(InfoGard!G1504)),InfoGard!G1504&lt;&gt;"N/A"),IF(C1504="All",CONCATENATE(Lookup!F$2,D1504,Lookup!G$2,B1504,Lookup!H$2,H$1,Lookup!I$2),CONCATENATE(Lookup!F$3,D1504,Lookup!G$3,B1504,Lookup!H$3)),"no url")</f>
        <v>no url</v>
      </c>
    </row>
    <row r="1505" spans="1:6" hidden="1" x14ac:dyDescent="0.25">
      <c r="A1505" s="2" t="b">
        <f>IF(ISBLANK(InfoGard!D1505),FALSE,LOOKUP(InfoGard!D1505,Lookup!$A$2:$B$4))</f>
        <v>0</v>
      </c>
      <c r="B1505" s="2" t="b">
        <f>IF(ISBLANK(InfoGard!E1505),FALSE,RIGHT(TRIM(InfoGard!E1505),15))</f>
        <v>0</v>
      </c>
      <c r="C1505" s="2" t="b">
        <f>IF(ISBLANK(InfoGard!F1505),FALSE,LOOKUP(InfoGard!F1505,Lookup!$A$6:$B$7))</f>
        <v>0</v>
      </c>
      <c r="D1505" s="2" t="b">
        <f>IF(ISBLANK(InfoGard!G1505),FALSE,InfoGard!G1505)</f>
        <v>0</v>
      </c>
      <c r="E1505" s="2" t="str">
        <f>IF(NOT(ISBLANK(InfoGard!D1505)),IF(OR(ISBLANK(InfoGard!E1505),InfoGard!E1505="N/A"),"no acb code",CONCATENATE(Lookup!F$1,A1505,Lookup!G$1,B1505,Lookup!H$1,H$1,Lookup!I$1)),"no attestation")</f>
        <v>no attestation</v>
      </c>
      <c r="F1505" s="2" t="str">
        <f>IF(AND(NOT(ISBLANK(InfoGard!G1505)),InfoGard!G1505&lt;&gt;"N/A"),IF(C1505="All",CONCATENATE(Lookup!F$2,D1505,Lookup!G$2,B1505,Lookup!H$2,H$1,Lookup!I$2),CONCATENATE(Lookup!F$3,D1505,Lookup!G$3,B1505,Lookup!H$3)),"no url")</f>
        <v>no url</v>
      </c>
    </row>
    <row r="1506" spans="1:6" hidden="1" x14ac:dyDescent="0.25">
      <c r="A1506" s="2" t="b">
        <f>IF(ISBLANK(InfoGard!D1506),FALSE,LOOKUP(InfoGard!D1506,Lookup!$A$2:$B$4))</f>
        <v>0</v>
      </c>
      <c r="B1506" s="2" t="b">
        <f>IF(ISBLANK(InfoGard!E1506),FALSE,RIGHT(TRIM(InfoGard!E1506),15))</f>
        <v>0</v>
      </c>
      <c r="C1506" s="2" t="b">
        <f>IF(ISBLANK(InfoGard!F1506),FALSE,LOOKUP(InfoGard!F1506,Lookup!$A$6:$B$7))</f>
        <v>0</v>
      </c>
      <c r="D1506" s="2" t="b">
        <f>IF(ISBLANK(InfoGard!G1506),FALSE,InfoGard!G1506)</f>
        <v>0</v>
      </c>
      <c r="E1506" s="2" t="str">
        <f>IF(NOT(ISBLANK(InfoGard!D1506)),IF(OR(ISBLANK(InfoGard!E1506),InfoGard!E1506="N/A"),"no acb code",CONCATENATE(Lookup!F$1,A1506,Lookup!G$1,B1506,Lookup!H$1,H$1,Lookup!I$1)),"no attestation")</f>
        <v>no attestation</v>
      </c>
      <c r="F1506" s="2" t="str">
        <f>IF(AND(NOT(ISBLANK(InfoGard!G1506)),InfoGard!G1506&lt;&gt;"N/A"),IF(C1506="All",CONCATENATE(Lookup!F$2,D1506,Lookup!G$2,B1506,Lookup!H$2,H$1,Lookup!I$2),CONCATENATE(Lookup!F$3,D1506,Lookup!G$3,B1506,Lookup!H$3)),"no url")</f>
        <v>no url</v>
      </c>
    </row>
    <row r="1507" spans="1:6" hidden="1" x14ac:dyDescent="0.25">
      <c r="A1507" s="2" t="b">
        <f>IF(ISBLANK(InfoGard!D1507),FALSE,LOOKUP(InfoGard!D1507,Lookup!$A$2:$B$4))</f>
        <v>0</v>
      </c>
      <c r="B1507" s="2" t="b">
        <f>IF(ISBLANK(InfoGard!E1507),FALSE,RIGHT(TRIM(InfoGard!E1507),15))</f>
        <v>0</v>
      </c>
      <c r="C1507" s="2" t="b">
        <f>IF(ISBLANK(InfoGard!F1507),FALSE,LOOKUP(InfoGard!F1507,Lookup!$A$6:$B$7))</f>
        <v>0</v>
      </c>
      <c r="D1507" s="2" t="b">
        <f>IF(ISBLANK(InfoGard!G1507),FALSE,InfoGard!G1507)</f>
        <v>0</v>
      </c>
      <c r="E1507" s="2" t="str">
        <f>IF(NOT(ISBLANK(InfoGard!D1507)),IF(OR(ISBLANK(InfoGard!E1507),InfoGard!E1507="N/A"),"no acb code",CONCATENATE(Lookup!F$1,A1507,Lookup!G$1,B1507,Lookup!H$1,H$1,Lookup!I$1)),"no attestation")</f>
        <v>no attestation</v>
      </c>
      <c r="F1507" s="2" t="str">
        <f>IF(AND(NOT(ISBLANK(InfoGard!G1507)),InfoGard!G1507&lt;&gt;"N/A"),IF(C1507="All",CONCATENATE(Lookup!F$2,D1507,Lookup!G$2,B1507,Lookup!H$2,H$1,Lookup!I$2),CONCATENATE(Lookup!F$3,D1507,Lookup!G$3,B1507,Lookup!H$3)),"no url")</f>
        <v>no url</v>
      </c>
    </row>
    <row r="1508" spans="1:6" hidden="1" x14ac:dyDescent="0.25">
      <c r="A1508" s="2" t="b">
        <f>IF(ISBLANK(InfoGard!D1508),FALSE,LOOKUP(InfoGard!D1508,Lookup!$A$2:$B$4))</f>
        <v>0</v>
      </c>
      <c r="B1508" s="2" t="b">
        <f>IF(ISBLANK(InfoGard!E1508),FALSE,RIGHT(TRIM(InfoGard!E1508),15))</f>
        <v>0</v>
      </c>
      <c r="C1508" s="2" t="b">
        <f>IF(ISBLANK(InfoGard!F1508),FALSE,LOOKUP(InfoGard!F1508,Lookup!$A$6:$B$7))</f>
        <v>0</v>
      </c>
      <c r="D1508" s="2" t="b">
        <f>IF(ISBLANK(InfoGard!G1508),FALSE,InfoGard!G1508)</f>
        <v>0</v>
      </c>
      <c r="E1508" s="2" t="str">
        <f>IF(NOT(ISBLANK(InfoGard!D1508)),IF(OR(ISBLANK(InfoGard!E1508),InfoGard!E1508="N/A"),"no acb code",CONCATENATE(Lookup!F$1,A1508,Lookup!G$1,B1508,Lookup!H$1,H$1,Lookup!I$1)),"no attestation")</f>
        <v>no attestation</v>
      </c>
      <c r="F1508" s="2" t="str">
        <f>IF(AND(NOT(ISBLANK(InfoGard!G1508)),InfoGard!G1508&lt;&gt;"N/A"),IF(C1508="All",CONCATENATE(Lookup!F$2,D1508,Lookup!G$2,B1508,Lookup!H$2,H$1,Lookup!I$2),CONCATENATE(Lookup!F$3,D1508,Lookup!G$3,B1508,Lookup!H$3)),"no url")</f>
        <v>no url</v>
      </c>
    </row>
    <row r="1509" spans="1:6" hidden="1" x14ac:dyDescent="0.25">
      <c r="A1509" s="2" t="b">
        <f>IF(ISBLANK(InfoGard!D1509),FALSE,LOOKUP(InfoGard!D1509,Lookup!$A$2:$B$4))</f>
        <v>0</v>
      </c>
      <c r="B1509" s="2" t="b">
        <f>IF(ISBLANK(InfoGard!E1509),FALSE,RIGHT(TRIM(InfoGard!E1509),15))</f>
        <v>0</v>
      </c>
      <c r="C1509" s="2" t="b">
        <f>IF(ISBLANK(InfoGard!F1509),FALSE,LOOKUP(InfoGard!F1509,Lookup!$A$6:$B$7))</f>
        <v>0</v>
      </c>
      <c r="D1509" s="2" t="b">
        <f>IF(ISBLANK(InfoGard!G1509),FALSE,InfoGard!G1509)</f>
        <v>0</v>
      </c>
      <c r="E1509" s="2" t="str">
        <f>IF(NOT(ISBLANK(InfoGard!D1509)),IF(OR(ISBLANK(InfoGard!E1509),InfoGard!E1509="N/A"),"no acb code",CONCATENATE(Lookup!F$1,A1509,Lookup!G$1,B1509,Lookup!H$1,H$1,Lookup!I$1)),"no attestation")</f>
        <v>no attestation</v>
      </c>
      <c r="F1509" s="2" t="str">
        <f>IF(AND(NOT(ISBLANK(InfoGard!G1509)),InfoGard!G1509&lt;&gt;"N/A"),IF(C1509="All",CONCATENATE(Lookup!F$2,D1509,Lookup!G$2,B1509,Lookup!H$2,H$1,Lookup!I$2),CONCATENATE(Lookup!F$3,D1509,Lookup!G$3,B1509,Lookup!H$3)),"no url")</f>
        <v>no url</v>
      </c>
    </row>
    <row r="1510" spans="1:6" hidden="1" x14ac:dyDescent="0.25">
      <c r="A1510" s="2" t="b">
        <f>IF(ISBLANK(InfoGard!D1510),FALSE,LOOKUP(InfoGard!D1510,Lookup!$A$2:$B$4))</f>
        <v>0</v>
      </c>
      <c r="B1510" s="2" t="b">
        <f>IF(ISBLANK(InfoGard!E1510),FALSE,RIGHT(TRIM(InfoGard!E1510),15))</f>
        <v>0</v>
      </c>
      <c r="C1510" s="2" t="b">
        <f>IF(ISBLANK(InfoGard!F1510),FALSE,LOOKUP(InfoGard!F1510,Lookup!$A$6:$B$7))</f>
        <v>0</v>
      </c>
      <c r="D1510" s="2" t="b">
        <f>IF(ISBLANK(InfoGard!G1510),FALSE,InfoGard!G1510)</f>
        <v>0</v>
      </c>
      <c r="E1510" s="2" t="str">
        <f>IF(NOT(ISBLANK(InfoGard!D1510)),IF(OR(ISBLANK(InfoGard!E1510),InfoGard!E1510="N/A"),"no acb code",CONCATENATE(Lookup!F$1,A1510,Lookup!G$1,B1510,Lookup!H$1,H$1,Lookup!I$1)),"no attestation")</f>
        <v>no attestation</v>
      </c>
      <c r="F1510" s="2" t="str">
        <f>IF(AND(NOT(ISBLANK(InfoGard!G1510)),InfoGard!G1510&lt;&gt;"N/A"),IF(C1510="All",CONCATENATE(Lookup!F$2,D1510,Lookup!G$2,B1510,Lookup!H$2,H$1,Lookup!I$2),CONCATENATE(Lookup!F$3,D1510,Lookup!G$3,B1510,Lookup!H$3)),"no url")</f>
        <v>no url</v>
      </c>
    </row>
    <row r="1511" spans="1:6" hidden="1" x14ac:dyDescent="0.25">
      <c r="A1511" s="2" t="b">
        <f>IF(ISBLANK(InfoGard!D1511),FALSE,LOOKUP(InfoGard!D1511,Lookup!$A$2:$B$4))</f>
        <v>0</v>
      </c>
      <c r="B1511" s="2" t="b">
        <f>IF(ISBLANK(InfoGard!E1511),FALSE,RIGHT(TRIM(InfoGard!E1511),15))</f>
        <v>0</v>
      </c>
      <c r="C1511" s="2" t="b">
        <f>IF(ISBLANK(InfoGard!F1511),FALSE,LOOKUP(InfoGard!F1511,Lookup!$A$6:$B$7))</f>
        <v>0</v>
      </c>
      <c r="D1511" s="2" t="b">
        <f>IF(ISBLANK(InfoGard!G1511),FALSE,InfoGard!G1511)</f>
        <v>0</v>
      </c>
      <c r="E1511" s="2" t="str">
        <f>IF(NOT(ISBLANK(InfoGard!D1511)),IF(OR(ISBLANK(InfoGard!E1511),InfoGard!E1511="N/A"),"no acb code",CONCATENATE(Lookup!F$1,A1511,Lookup!G$1,B1511,Lookup!H$1,H$1,Lookup!I$1)),"no attestation")</f>
        <v>no attestation</v>
      </c>
      <c r="F1511" s="2" t="str">
        <f>IF(AND(NOT(ISBLANK(InfoGard!G1511)),InfoGard!G1511&lt;&gt;"N/A"),IF(C1511="All",CONCATENATE(Lookup!F$2,D1511,Lookup!G$2,B1511,Lookup!H$2,H$1,Lookup!I$2),CONCATENATE(Lookup!F$3,D1511,Lookup!G$3,B1511,Lookup!H$3)),"no url")</f>
        <v>no url</v>
      </c>
    </row>
    <row r="1512" spans="1:6" hidden="1" x14ac:dyDescent="0.25">
      <c r="A1512" s="2" t="b">
        <f>IF(ISBLANK(InfoGard!D1512),FALSE,LOOKUP(InfoGard!D1512,Lookup!$A$2:$B$4))</f>
        <v>0</v>
      </c>
      <c r="B1512" s="2" t="b">
        <f>IF(ISBLANK(InfoGard!E1512),FALSE,RIGHT(TRIM(InfoGard!E1512),15))</f>
        <v>0</v>
      </c>
      <c r="C1512" s="2" t="b">
        <f>IF(ISBLANK(InfoGard!F1512),FALSE,LOOKUP(InfoGard!F1512,Lookup!$A$6:$B$7))</f>
        <v>0</v>
      </c>
      <c r="D1512" s="2" t="b">
        <f>IF(ISBLANK(InfoGard!G1512),FALSE,InfoGard!G1512)</f>
        <v>0</v>
      </c>
      <c r="E1512" s="2" t="str">
        <f>IF(NOT(ISBLANK(InfoGard!D1512)),IF(OR(ISBLANK(InfoGard!E1512),InfoGard!E1512="N/A"),"no acb code",CONCATENATE(Lookup!F$1,A1512,Lookup!G$1,B1512,Lookup!H$1,H$1,Lookup!I$1)),"no attestation")</f>
        <v>no attestation</v>
      </c>
      <c r="F1512" s="2" t="str">
        <f>IF(AND(NOT(ISBLANK(InfoGard!G1512)),InfoGard!G1512&lt;&gt;"N/A"),IF(C1512="All",CONCATENATE(Lookup!F$2,D1512,Lookup!G$2,B1512,Lookup!H$2,H$1,Lookup!I$2),CONCATENATE(Lookup!F$3,D1512,Lookup!G$3,B1512,Lookup!H$3)),"no url")</f>
        <v>no url</v>
      </c>
    </row>
    <row r="1513" spans="1:6" hidden="1" x14ac:dyDescent="0.25">
      <c r="A1513" s="2" t="b">
        <f>IF(ISBLANK(InfoGard!D1513),FALSE,LOOKUP(InfoGard!D1513,Lookup!$A$2:$B$4))</f>
        <v>0</v>
      </c>
      <c r="B1513" s="2" t="b">
        <f>IF(ISBLANK(InfoGard!E1513),FALSE,RIGHT(TRIM(InfoGard!E1513),15))</f>
        <v>0</v>
      </c>
      <c r="C1513" s="2" t="b">
        <f>IF(ISBLANK(InfoGard!F1513),FALSE,LOOKUP(InfoGard!F1513,Lookup!$A$6:$B$7))</f>
        <v>0</v>
      </c>
      <c r="D1513" s="2" t="b">
        <f>IF(ISBLANK(InfoGard!G1513),FALSE,InfoGard!G1513)</f>
        <v>0</v>
      </c>
      <c r="E1513" s="2" t="str">
        <f>IF(NOT(ISBLANK(InfoGard!D1513)),IF(OR(ISBLANK(InfoGard!E1513),InfoGard!E1513="N/A"),"no acb code",CONCATENATE(Lookup!F$1,A1513,Lookup!G$1,B1513,Lookup!H$1,H$1,Lookup!I$1)),"no attestation")</f>
        <v>no attestation</v>
      </c>
      <c r="F1513" s="2" t="str">
        <f>IF(AND(NOT(ISBLANK(InfoGard!G1513)),InfoGard!G1513&lt;&gt;"N/A"),IF(C1513="All",CONCATENATE(Lookup!F$2,D1513,Lookup!G$2,B1513,Lookup!H$2,H$1,Lookup!I$2),CONCATENATE(Lookup!F$3,D1513,Lookup!G$3,B1513,Lookup!H$3)),"no url")</f>
        <v>no url</v>
      </c>
    </row>
    <row r="1514" spans="1:6" hidden="1" x14ac:dyDescent="0.25">
      <c r="A1514" s="2" t="b">
        <f>IF(ISBLANK(InfoGard!D1514),FALSE,LOOKUP(InfoGard!D1514,Lookup!$A$2:$B$4))</f>
        <v>0</v>
      </c>
      <c r="B1514" s="2" t="b">
        <f>IF(ISBLANK(InfoGard!E1514),FALSE,RIGHT(TRIM(InfoGard!E1514),15))</f>
        <v>0</v>
      </c>
      <c r="C1514" s="2" t="b">
        <f>IF(ISBLANK(InfoGard!F1514),FALSE,LOOKUP(InfoGard!F1514,Lookup!$A$6:$B$7))</f>
        <v>0</v>
      </c>
      <c r="D1514" s="2" t="b">
        <f>IF(ISBLANK(InfoGard!G1514),FALSE,InfoGard!G1514)</f>
        <v>0</v>
      </c>
      <c r="E1514" s="2" t="str">
        <f>IF(NOT(ISBLANK(InfoGard!D1514)),IF(OR(ISBLANK(InfoGard!E1514),InfoGard!E1514="N/A"),"no acb code",CONCATENATE(Lookup!F$1,A1514,Lookup!G$1,B1514,Lookup!H$1,H$1,Lookup!I$1)),"no attestation")</f>
        <v>no attestation</v>
      </c>
      <c r="F1514" s="2" t="str">
        <f>IF(AND(NOT(ISBLANK(InfoGard!G1514)),InfoGard!G1514&lt;&gt;"N/A"),IF(C1514="All",CONCATENATE(Lookup!F$2,D1514,Lookup!G$2,B1514,Lookup!H$2,H$1,Lookup!I$2),CONCATENATE(Lookup!F$3,D1514,Lookup!G$3,B1514,Lookup!H$3)),"no url")</f>
        <v>no url</v>
      </c>
    </row>
    <row r="1515" spans="1:6" hidden="1" x14ac:dyDescent="0.25">
      <c r="A1515" s="2" t="b">
        <f>IF(ISBLANK(InfoGard!D1515),FALSE,LOOKUP(InfoGard!D1515,Lookup!$A$2:$B$4))</f>
        <v>0</v>
      </c>
      <c r="B1515" s="2" t="b">
        <f>IF(ISBLANK(InfoGard!E1515),FALSE,RIGHT(TRIM(InfoGard!E1515),15))</f>
        <v>0</v>
      </c>
      <c r="C1515" s="2" t="b">
        <f>IF(ISBLANK(InfoGard!F1515),FALSE,LOOKUP(InfoGard!F1515,Lookup!$A$6:$B$7))</f>
        <v>0</v>
      </c>
      <c r="D1515" s="2" t="b">
        <f>IF(ISBLANK(InfoGard!G1515),FALSE,InfoGard!G1515)</f>
        <v>0</v>
      </c>
      <c r="E1515" s="2" t="str">
        <f>IF(NOT(ISBLANK(InfoGard!D1515)),IF(OR(ISBLANK(InfoGard!E1515),InfoGard!E1515="N/A"),"no acb code",CONCATENATE(Lookup!F$1,A1515,Lookup!G$1,B1515,Lookup!H$1,H$1,Lookup!I$1)),"no attestation")</f>
        <v>no attestation</v>
      </c>
      <c r="F1515" s="2" t="str">
        <f>IF(AND(NOT(ISBLANK(InfoGard!G1515)),InfoGard!G1515&lt;&gt;"N/A"),IF(C1515="All",CONCATENATE(Lookup!F$2,D1515,Lookup!G$2,B1515,Lookup!H$2,H$1,Lookup!I$2),CONCATENATE(Lookup!F$3,D1515,Lookup!G$3,B1515,Lookup!H$3)),"no url")</f>
        <v>no url</v>
      </c>
    </row>
    <row r="1516" spans="1:6" hidden="1" x14ac:dyDescent="0.25">
      <c r="A1516" s="2" t="b">
        <f>IF(ISBLANK(InfoGard!D1516),FALSE,LOOKUP(InfoGard!D1516,Lookup!$A$2:$B$4))</f>
        <v>0</v>
      </c>
      <c r="B1516" s="2" t="b">
        <f>IF(ISBLANK(InfoGard!E1516),FALSE,RIGHT(TRIM(InfoGard!E1516),15))</f>
        <v>0</v>
      </c>
      <c r="C1516" s="2" t="b">
        <f>IF(ISBLANK(InfoGard!F1516),FALSE,LOOKUP(InfoGard!F1516,Lookup!$A$6:$B$7))</f>
        <v>0</v>
      </c>
      <c r="D1516" s="2" t="b">
        <f>IF(ISBLANK(InfoGard!G1516),FALSE,InfoGard!G1516)</f>
        <v>0</v>
      </c>
      <c r="E1516" s="2" t="str">
        <f>IF(NOT(ISBLANK(InfoGard!D1516)),IF(OR(ISBLANK(InfoGard!E1516),InfoGard!E1516="N/A"),"no acb code",CONCATENATE(Lookup!F$1,A1516,Lookup!G$1,B1516,Lookup!H$1,H$1,Lookup!I$1)),"no attestation")</f>
        <v>no attestation</v>
      </c>
      <c r="F1516" s="2" t="str">
        <f>IF(AND(NOT(ISBLANK(InfoGard!G1516)),InfoGard!G1516&lt;&gt;"N/A"),IF(C1516="All",CONCATENATE(Lookup!F$2,D1516,Lookup!G$2,B1516,Lookup!H$2,H$1,Lookup!I$2),CONCATENATE(Lookup!F$3,D1516,Lookup!G$3,B1516,Lookup!H$3)),"no url")</f>
        <v>no url</v>
      </c>
    </row>
    <row r="1517" spans="1:6" hidden="1" x14ac:dyDescent="0.25">
      <c r="A1517" s="2" t="b">
        <f>IF(ISBLANK(InfoGard!D1517),FALSE,LOOKUP(InfoGard!D1517,Lookup!$A$2:$B$4))</f>
        <v>0</v>
      </c>
      <c r="B1517" s="2" t="b">
        <f>IF(ISBLANK(InfoGard!E1517),FALSE,RIGHT(TRIM(InfoGard!E1517),15))</f>
        <v>0</v>
      </c>
      <c r="C1517" s="2" t="b">
        <f>IF(ISBLANK(InfoGard!F1517),FALSE,LOOKUP(InfoGard!F1517,Lookup!$A$6:$B$7))</f>
        <v>0</v>
      </c>
      <c r="D1517" s="2" t="b">
        <f>IF(ISBLANK(InfoGard!G1517),FALSE,InfoGard!G1517)</f>
        <v>0</v>
      </c>
      <c r="E1517" s="2" t="str">
        <f>IF(NOT(ISBLANK(InfoGard!D1517)),IF(OR(ISBLANK(InfoGard!E1517),InfoGard!E1517="N/A"),"no acb code",CONCATENATE(Lookup!F$1,A1517,Lookup!G$1,B1517,Lookup!H$1,H$1,Lookup!I$1)),"no attestation")</f>
        <v>no attestation</v>
      </c>
      <c r="F1517" s="2" t="str">
        <f>IF(AND(NOT(ISBLANK(InfoGard!G1517)),InfoGard!G1517&lt;&gt;"N/A"),IF(C1517="All",CONCATENATE(Lookup!F$2,D1517,Lookup!G$2,B1517,Lookup!H$2,H$1,Lookup!I$2),CONCATENATE(Lookup!F$3,D1517,Lookup!G$3,B1517,Lookup!H$3)),"no url")</f>
        <v>no url</v>
      </c>
    </row>
    <row r="1518" spans="1:6" hidden="1" x14ac:dyDescent="0.25">
      <c r="A1518" s="2" t="b">
        <f>IF(ISBLANK(InfoGard!D1518),FALSE,LOOKUP(InfoGard!D1518,Lookup!$A$2:$B$4))</f>
        <v>0</v>
      </c>
      <c r="B1518" s="2" t="b">
        <f>IF(ISBLANK(InfoGard!E1518),FALSE,RIGHT(TRIM(InfoGard!E1518),15))</f>
        <v>0</v>
      </c>
      <c r="C1518" s="2" t="b">
        <f>IF(ISBLANK(InfoGard!F1518),FALSE,LOOKUP(InfoGard!F1518,Lookup!$A$6:$B$7))</f>
        <v>0</v>
      </c>
      <c r="D1518" s="2" t="b">
        <f>IF(ISBLANK(InfoGard!G1518),FALSE,InfoGard!G1518)</f>
        <v>0</v>
      </c>
      <c r="E1518" s="2" t="str">
        <f>IF(NOT(ISBLANK(InfoGard!D1518)),IF(OR(ISBLANK(InfoGard!E1518),InfoGard!E1518="N/A"),"no acb code",CONCATENATE(Lookup!F$1,A1518,Lookup!G$1,B1518,Lookup!H$1,H$1,Lookup!I$1)),"no attestation")</f>
        <v>no attestation</v>
      </c>
      <c r="F1518" s="2" t="str">
        <f>IF(AND(NOT(ISBLANK(InfoGard!G1518)),InfoGard!G1518&lt;&gt;"N/A"),IF(C1518="All",CONCATENATE(Lookup!F$2,D1518,Lookup!G$2,B1518,Lookup!H$2,H$1,Lookup!I$2),CONCATENATE(Lookup!F$3,D1518,Lookup!G$3,B1518,Lookup!H$3)),"no url")</f>
        <v>no url</v>
      </c>
    </row>
    <row r="1519" spans="1:6" x14ac:dyDescent="0.25">
      <c r="A1519" s="2" t="str">
        <f>IF(ISBLANK(InfoGard!D1519),FALSE,LOOKUP(InfoGard!D1519,Lookup!$A$2:$B$4))</f>
        <v>Affirmative</v>
      </c>
      <c r="B1519" s="2" t="str">
        <f>IF(ISBLANK(InfoGard!E1519),FALSE,RIGHT(TRIM(InfoGard!E1519),15))</f>
        <v>IG-2636-14-0016</v>
      </c>
      <c r="C1519" s="2" t="str">
        <f>IF(ISBLANK(InfoGard!F1519),FALSE,LOOKUP(InfoGard!F1519,Lookup!$A$6:$B$7))</f>
        <v>All</v>
      </c>
      <c r="D1519" s="2" t="str">
        <f>IF(ISBLANK(InfoGard!G1519),FALSE,InfoGard!G1519)</f>
        <v>http://www.emedpractice.com/EHR.html; http://www.emedpractice.com/pricing.html</v>
      </c>
      <c r="E1519" s="2" t="str">
        <f>IF(NOT(ISBLANK(InfoGard!D1519)),IF(OR(ISBLANK(InfoGard!E1519),InfoGard!E1519="N/A"),"no acb code",CONCATENATE(Lookup!F$1,A1519,Lookup!G$1,B1519,Lookup!H$1,H$1,Lookup!I$1)),"no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'IG-2636-14-0016' and cb."name" = 'InfoGard' and cp.product_version_id = pv.product_version_id and pv.product_id = p.product_id and p.vendor_id = vend.vendor_id;</v>
      </c>
      <c r="F1519" s="2" t="str">
        <f>IF(AND(NOT(ISBLANK(InfoGard!G1519)),InfoGard!G1519&lt;&gt;"N/A"),IF(C1519="All",CONCATENATE(Lookup!F$2,D1519,Lookup!G$2,B1519,Lookup!H$2,H$1,Lookup!I$2),CONCATENATE(Lookup!F$3,D1519,Lookup!G$3,B1519,Lookup!H$3)),"no url")</f>
        <v>update openchpl.certified_product as cp set transparency_attestation_url = 'http://www.emedpractice.com/EHR.html; http://www.emedpractice.com/pricing.html' from (select certified_product_id from (select vend.vendor_code from openchpl.certified_product as cp, openchpl.product_version as pv, openchpl.product as p, openchpl.vendor as vend where cp.acb_certification_id = 'IG-2636-14-0016'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20" spans="1:6" hidden="1" x14ac:dyDescent="0.25">
      <c r="A1520" s="2" t="b">
        <f>IF(ISBLANK(InfoGard!D1520),FALSE,LOOKUP(InfoGard!D1520,Lookup!$A$2:$B$4))</f>
        <v>0</v>
      </c>
      <c r="B1520" s="2" t="b">
        <f>IF(ISBLANK(InfoGard!E1520),FALSE,RIGHT(TRIM(InfoGard!E1520),15))</f>
        <v>0</v>
      </c>
      <c r="C1520" s="2" t="b">
        <f>IF(ISBLANK(InfoGard!F1520),FALSE,LOOKUP(InfoGard!F1520,Lookup!$A$6:$B$7))</f>
        <v>0</v>
      </c>
      <c r="D1520" s="2" t="b">
        <f>IF(ISBLANK(InfoGard!G1520),FALSE,InfoGard!G1520)</f>
        <v>0</v>
      </c>
      <c r="E1520" s="2" t="str">
        <f>IF(NOT(ISBLANK(InfoGard!D1520)),IF(OR(ISBLANK(InfoGard!E1520),InfoGard!E1520="N/A"),"no acb code",CONCATENATE(Lookup!F$1,A1520,Lookup!G$1,B1520,Lookup!H$1,H$1,Lookup!I$1)),"no attestation")</f>
        <v>no attestation</v>
      </c>
      <c r="F1520" s="2" t="str">
        <f>IF(AND(NOT(ISBLANK(InfoGard!G1520)),InfoGard!G1520&lt;&gt;"N/A"),IF(C1520="All",CONCATENATE(Lookup!F$2,D1520,Lookup!G$2,B1520,Lookup!H$2,H$1,Lookup!I$2),CONCATENATE(Lookup!F$3,D1520,Lookup!G$3,B1520,Lookup!H$3)),"no url")</f>
        <v>no url</v>
      </c>
    </row>
    <row r="1521" spans="1:6" hidden="1" x14ac:dyDescent="0.25">
      <c r="A1521" s="2" t="b">
        <f>IF(ISBLANK(InfoGard!D1521),FALSE,LOOKUP(InfoGard!D1521,Lookup!$A$2:$B$4))</f>
        <v>0</v>
      </c>
      <c r="B1521" s="2" t="b">
        <f>IF(ISBLANK(InfoGard!E1521),FALSE,RIGHT(TRIM(InfoGard!E1521),15))</f>
        <v>0</v>
      </c>
      <c r="C1521" s="2" t="b">
        <f>IF(ISBLANK(InfoGard!F1521),FALSE,LOOKUP(InfoGard!F1521,Lookup!$A$6:$B$7))</f>
        <v>0</v>
      </c>
      <c r="D1521" s="2" t="b">
        <f>IF(ISBLANK(InfoGard!G1521),FALSE,InfoGard!G1521)</f>
        <v>0</v>
      </c>
      <c r="E1521" s="2" t="str">
        <f>IF(NOT(ISBLANK(InfoGard!D1521)),IF(OR(ISBLANK(InfoGard!E1521),InfoGard!E1521="N/A"),"no acb code",CONCATENATE(Lookup!F$1,A1521,Lookup!G$1,B1521,Lookup!H$1,H$1,Lookup!I$1)),"no attestation")</f>
        <v>no attestation</v>
      </c>
      <c r="F1521" s="2" t="str">
        <f>IF(AND(NOT(ISBLANK(InfoGard!G1521)),InfoGard!G1521&lt;&gt;"N/A"),IF(C1521="All",CONCATENATE(Lookup!F$2,D1521,Lookup!G$2,B1521,Lookup!H$2,H$1,Lookup!I$2),CONCATENATE(Lookup!F$3,D1521,Lookup!G$3,B1521,Lookup!H$3)),"no url")</f>
        <v>no url</v>
      </c>
    </row>
    <row r="1522" spans="1:6" hidden="1" x14ac:dyDescent="0.25">
      <c r="A1522" s="2" t="b">
        <f>IF(ISBLANK(InfoGard!D1522),FALSE,LOOKUP(InfoGard!D1522,Lookup!$A$2:$B$4))</f>
        <v>0</v>
      </c>
      <c r="B1522" s="2" t="b">
        <f>IF(ISBLANK(InfoGard!E1522),FALSE,RIGHT(TRIM(InfoGard!E1522),15))</f>
        <v>0</v>
      </c>
      <c r="C1522" s="2" t="b">
        <f>IF(ISBLANK(InfoGard!F1522),FALSE,LOOKUP(InfoGard!F1522,Lookup!$A$6:$B$7))</f>
        <v>0</v>
      </c>
      <c r="D1522" s="2" t="b">
        <f>IF(ISBLANK(InfoGard!G1522),FALSE,InfoGard!G1522)</f>
        <v>0</v>
      </c>
      <c r="E1522" s="2" t="str">
        <f>IF(NOT(ISBLANK(InfoGard!D1522)),IF(OR(ISBLANK(InfoGard!E1522),InfoGard!E1522="N/A"),"no acb code",CONCATENATE(Lookup!F$1,A1522,Lookup!G$1,B1522,Lookup!H$1,H$1,Lookup!I$1)),"no attestation")</f>
        <v>no attestation</v>
      </c>
      <c r="F1522" s="2" t="str">
        <f>IF(AND(NOT(ISBLANK(InfoGard!G1522)),InfoGard!G1522&lt;&gt;"N/A"),IF(C1522="All",CONCATENATE(Lookup!F$2,D1522,Lookup!G$2,B1522,Lookup!H$2,H$1,Lookup!I$2),CONCATENATE(Lookup!F$3,D1522,Lookup!G$3,B1522,Lookup!H$3)),"no url")</f>
        <v>no url</v>
      </c>
    </row>
    <row r="1523" spans="1:6" hidden="1" x14ac:dyDescent="0.25">
      <c r="A1523" s="2" t="b">
        <f>IF(ISBLANK(InfoGard!D1523),FALSE,LOOKUP(InfoGard!D1523,Lookup!$A$2:$B$4))</f>
        <v>0</v>
      </c>
      <c r="B1523" s="2" t="b">
        <f>IF(ISBLANK(InfoGard!E1523),FALSE,RIGHT(TRIM(InfoGard!E1523),15))</f>
        <v>0</v>
      </c>
      <c r="C1523" s="2" t="b">
        <f>IF(ISBLANK(InfoGard!F1523),FALSE,LOOKUP(InfoGard!F1523,Lookup!$A$6:$B$7))</f>
        <v>0</v>
      </c>
      <c r="D1523" s="2" t="b">
        <f>IF(ISBLANK(InfoGard!G1523),FALSE,InfoGard!G1523)</f>
        <v>0</v>
      </c>
      <c r="E1523" s="2" t="str">
        <f>IF(NOT(ISBLANK(InfoGard!D1523)),IF(OR(ISBLANK(InfoGard!E1523),InfoGard!E1523="N/A"),"no acb code",CONCATENATE(Lookup!F$1,A1523,Lookup!G$1,B1523,Lookup!H$1,H$1,Lookup!I$1)),"no attestation")</f>
        <v>no attestation</v>
      </c>
      <c r="F1523" s="2" t="str">
        <f>IF(AND(NOT(ISBLANK(InfoGard!G1523)),InfoGard!G1523&lt;&gt;"N/A"),IF(C1523="All",CONCATENATE(Lookup!F$2,D1523,Lookup!G$2,B1523,Lookup!H$2,H$1,Lookup!I$2),CONCATENATE(Lookup!F$3,D1523,Lookup!G$3,B1523,Lookup!H$3)),"no url")</f>
        <v>no url</v>
      </c>
    </row>
    <row r="1524" spans="1:6" hidden="1" x14ac:dyDescent="0.25">
      <c r="A1524" s="2" t="b">
        <f>IF(ISBLANK(InfoGard!D1524),FALSE,LOOKUP(InfoGard!D1524,Lookup!$A$2:$B$4))</f>
        <v>0</v>
      </c>
      <c r="B1524" s="2" t="b">
        <f>IF(ISBLANK(InfoGard!E1524),FALSE,RIGHT(TRIM(InfoGard!E1524),15))</f>
        <v>0</v>
      </c>
      <c r="C1524" s="2" t="b">
        <f>IF(ISBLANK(InfoGard!F1524),FALSE,LOOKUP(InfoGard!F1524,Lookup!$A$6:$B$7))</f>
        <v>0</v>
      </c>
      <c r="D1524" s="2" t="b">
        <f>IF(ISBLANK(InfoGard!G1524),FALSE,InfoGard!G1524)</f>
        <v>0</v>
      </c>
      <c r="E1524" s="2" t="str">
        <f>IF(NOT(ISBLANK(InfoGard!D1524)),IF(OR(ISBLANK(InfoGard!E1524),InfoGard!E1524="N/A"),"no acb code",CONCATENATE(Lookup!F$1,A1524,Lookup!G$1,B1524,Lookup!H$1,H$1,Lookup!I$1)),"no attestation")</f>
        <v>no attestation</v>
      </c>
      <c r="F1524" s="2" t="str">
        <f>IF(AND(NOT(ISBLANK(InfoGard!G1524)),InfoGard!G1524&lt;&gt;"N/A"),IF(C1524="All",CONCATENATE(Lookup!F$2,D1524,Lookup!G$2,B1524,Lookup!H$2,H$1,Lookup!I$2),CONCATENATE(Lookup!F$3,D1524,Lookup!G$3,B1524,Lookup!H$3)),"no url")</f>
        <v>no url</v>
      </c>
    </row>
    <row r="1525" spans="1:6" hidden="1" x14ac:dyDescent="0.25">
      <c r="A1525" s="2" t="b">
        <f>IF(ISBLANK(InfoGard!D1525),FALSE,LOOKUP(InfoGard!D1525,Lookup!$A$2:$B$4))</f>
        <v>0</v>
      </c>
      <c r="B1525" s="2" t="b">
        <f>IF(ISBLANK(InfoGard!E1525),FALSE,RIGHT(TRIM(InfoGard!E1525),15))</f>
        <v>0</v>
      </c>
      <c r="C1525" s="2" t="b">
        <f>IF(ISBLANK(InfoGard!F1525),FALSE,LOOKUP(InfoGard!F1525,Lookup!$A$6:$B$7))</f>
        <v>0</v>
      </c>
      <c r="D1525" s="2" t="b">
        <f>IF(ISBLANK(InfoGard!G1525),FALSE,InfoGard!G1525)</f>
        <v>0</v>
      </c>
      <c r="E1525" s="2" t="str">
        <f>IF(NOT(ISBLANK(InfoGard!D1525)),IF(OR(ISBLANK(InfoGard!E1525),InfoGard!E1525="N/A"),"no acb code",CONCATENATE(Lookup!F$1,A1525,Lookup!G$1,B1525,Lookup!H$1,H$1,Lookup!I$1)),"no attestation")</f>
        <v>no attestation</v>
      </c>
      <c r="F1525" s="2" t="str">
        <f>IF(AND(NOT(ISBLANK(InfoGard!G1525)),InfoGard!G1525&lt;&gt;"N/A"),IF(C1525="All",CONCATENATE(Lookup!F$2,D1525,Lookup!G$2,B1525,Lookup!H$2,H$1,Lookup!I$2),CONCATENATE(Lookup!F$3,D1525,Lookup!G$3,B1525,Lookup!H$3)),"no url")</f>
        <v>no url</v>
      </c>
    </row>
    <row r="1526" spans="1:6" hidden="1" x14ac:dyDescent="0.25">
      <c r="A1526" s="2" t="b">
        <f>IF(ISBLANK(InfoGard!D1526),FALSE,LOOKUP(InfoGard!D1526,Lookup!$A$2:$B$4))</f>
        <v>0</v>
      </c>
      <c r="B1526" s="2" t="b">
        <f>IF(ISBLANK(InfoGard!E1526),FALSE,RIGHT(TRIM(InfoGard!E1526),15))</f>
        <v>0</v>
      </c>
      <c r="C1526" s="2" t="b">
        <f>IF(ISBLANK(InfoGard!F1526),FALSE,LOOKUP(InfoGard!F1526,Lookup!$A$6:$B$7))</f>
        <v>0</v>
      </c>
      <c r="D1526" s="2" t="b">
        <f>IF(ISBLANK(InfoGard!G1526),FALSE,InfoGard!G1526)</f>
        <v>0</v>
      </c>
      <c r="E1526" s="2" t="str">
        <f>IF(NOT(ISBLANK(InfoGard!D1526)),IF(OR(ISBLANK(InfoGard!E1526),InfoGard!E1526="N/A"),"no acb code",CONCATENATE(Lookup!F$1,A1526,Lookup!G$1,B1526,Lookup!H$1,H$1,Lookup!I$1)),"no attestation")</f>
        <v>no attestation</v>
      </c>
      <c r="F1526" s="2" t="str">
        <f>IF(AND(NOT(ISBLANK(InfoGard!G1526)),InfoGard!G1526&lt;&gt;"N/A"),IF(C1526="All",CONCATENATE(Lookup!F$2,D1526,Lookup!G$2,B1526,Lookup!H$2,H$1,Lookup!I$2),CONCATENATE(Lookup!F$3,D1526,Lookup!G$3,B1526,Lookup!H$3)),"no url")</f>
        <v>no url</v>
      </c>
    </row>
    <row r="1527" spans="1:6" hidden="1" x14ac:dyDescent="0.25">
      <c r="A1527" s="2" t="b">
        <f>IF(ISBLANK(InfoGard!D1527),FALSE,LOOKUP(InfoGard!D1527,Lookup!$A$2:$B$4))</f>
        <v>0</v>
      </c>
      <c r="B1527" s="2" t="b">
        <f>IF(ISBLANK(InfoGard!E1527),FALSE,RIGHT(TRIM(InfoGard!E1527),15))</f>
        <v>0</v>
      </c>
      <c r="C1527" s="2" t="b">
        <f>IF(ISBLANK(InfoGard!F1527),FALSE,LOOKUP(InfoGard!F1527,Lookup!$A$6:$B$7))</f>
        <v>0</v>
      </c>
      <c r="D1527" s="2" t="b">
        <f>IF(ISBLANK(InfoGard!G1527),FALSE,InfoGard!G1527)</f>
        <v>0</v>
      </c>
      <c r="E1527" s="2" t="str">
        <f>IF(NOT(ISBLANK(InfoGard!D1527)),IF(OR(ISBLANK(InfoGard!E1527),InfoGard!E1527="N/A"),"no acb code",CONCATENATE(Lookup!F$1,A1527,Lookup!G$1,B1527,Lookup!H$1,H$1,Lookup!I$1)),"no attestation")</f>
        <v>no attestation</v>
      </c>
      <c r="F1527" s="2" t="str">
        <f>IF(AND(NOT(ISBLANK(InfoGard!G1527)),InfoGard!G1527&lt;&gt;"N/A"),IF(C1527="All",CONCATENATE(Lookup!F$2,D1527,Lookup!G$2,B1527,Lookup!H$2,H$1,Lookup!I$2),CONCATENATE(Lookup!F$3,D1527,Lookup!G$3,B1527,Lookup!H$3)),"no url")</f>
        <v>no url</v>
      </c>
    </row>
    <row r="1528" spans="1:6" x14ac:dyDescent="0.25">
      <c r="A1528" s="2" t="str">
        <f>IF(ISBLANK(InfoGard!D1528),FALSE,LOOKUP(InfoGard!D1528,Lookup!$A$2:$B$4))</f>
        <v>Affirmative</v>
      </c>
      <c r="B1528" s="2" t="str">
        <f>IF(ISBLANK(InfoGard!E1528),FALSE,RIGHT(TRIM(InfoGard!E1528),15))</f>
        <v>IG-2469-14-0004</v>
      </c>
      <c r="C1528" s="2" t="str">
        <f>IF(ISBLANK(InfoGard!F1528),FALSE,LOOKUP(InfoGard!F1528,Lookup!$A$6:$B$7))</f>
        <v>All</v>
      </c>
      <c r="D1528" s="2" t="str">
        <f>IF(ISBLANK(InfoGard!G1528),FALSE,InfoGard!G1528)</f>
        <v>http://www.ezemrx.com/inner.php?mmid=64; http://www.ezemrx.com/inner.php?mmid=67</v>
      </c>
      <c r="E1528" s="2" t="str">
        <f>IF(NOT(ISBLANK(InfoGard!D1528)),IF(OR(ISBLANK(InfoGard!E1528),InfoGard!E1528="N/A"),"no acb code",CONCATENATE(Lookup!F$1,A1528,Lookup!G$1,B1528,Lookup!H$1,H$1,Lookup!I$1)),"no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'IG-2469-14-0004' and cb."name" = 'InfoGard' and cp.product_version_id = pv.product_version_id and pv.product_id = p.product_id and p.vendor_id = vend.vendor_id;</v>
      </c>
      <c r="F1528" s="2" t="str">
        <f>IF(AND(NOT(ISBLANK(InfoGard!G1528)),InfoGard!G1528&lt;&gt;"N/A"),IF(C1528="All",CONCATENATE(Lookup!F$2,D1528,Lookup!G$2,B1528,Lookup!H$2,H$1,Lookup!I$2),CONCATENATE(Lookup!F$3,D1528,Lookup!G$3,B1528,Lookup!H$3)),"no url")</f>
        <v>update openchpl.certified_product as cp set transparency_attestation_url = 'http://www.ezemrx.com/inner.php?mmid=64; http://www.ezemrx.com/inner.php?mmid=67' from (select certified_product_id from (select vend.vendor_code from openchpl.certified_product as cp, openchpl.product_version as pv, openchpl.product as p, openchpl.vendor as vend where cp.acb_certification_id = 'IG-2469-14-0004'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29" spans="1:6" hidden="1" x14ac:dyDescent="0.25">
      <c r="A1529" s="2" t="b">
        <f>IF(ISBLANK(InfoGard!D1529),FALSE,LOOKUP(InfoGard!D1529,Lookup!$A$2:$B$4))</f>
        <v>0</v>
      </c>
      <c r="B1529" s="2" t="b">
        <f>IF(ISBLANK(InfoGard!E1529),FALSE,RIGHT(TRIM(InfoGard!E1529),15))</f>
        <v>0</v>
      </c>
      <c r="C1529" s="2" t="b">
        <f>IF(ISBLANK(InfoGard!F1529),FALSE,LOOKUP(InfoGard!F1529,Lookup!$A$6:$B$7))</f>
        <v>0</v>
      </c>
      <c r="D1529" s="2" t="b">
        <f>IF(ISBLANK(InfoGard!G1529),FALSE,InfoGard!G1529)</f>
        <v>0</v>
      </c>
      <c r="E1529" s="2" t="str">
        <f>IF(NOT(ISBLANK(InfoGard!D1529)),IF(OR(ISBLANK(InfoGard!E1529),InfoGard!E1529="N/A"),"no acb code",CONCATENATE(Lookup!F$1,A1529,Lookup!G$1,B1529,Lookup!H$1,H$1,Lookup!I$1)),"no attestation")</f>
        <v>no attestation</v>
      </c>
      <c r="F1529" s="2" t="str">
        <f>IF(AND(NOT(ISBLANK(InfoGard!G1529)),InfoGard!G1529&lt;&gt;"N/A"),IF(C1529="All",CONCATENATE(Lookup!F$2,D1529,Lookup!G$2,B1529,Lookup!H$2,H$1,Lookup!I$2),CONCATENATE(Lookup!F$3,D1529,Lookup!G$3,B1529,Lookup!H$3)),"no url")</f>
        <v>no url</v>
      </c>
    </row>
    <row r="1530" spans="1:6" hidden="1" x14ac:dyDescent="0.25">
      <c r="A1530" s="2" t="b">
        <f>IF(ISBLANK(InfoGard!D1530),FALSE,LOOKUP(InfoGard!D1530,Lookup!$A$2:$B$4))</f>
        <v>0</v>
      </c>
      <c r="B1530" s="2" t="b">
        <f>IF(ISBLANK(InfoGard!E1530),FALSE,RIGHT(TRIM(InfoGard!E1530),15))</f>
        <v>0</v>
      </c>
      <c r="C1530" s="2" t="b">
        <f>IF(ISBLANK(InfoGard!F1530),FALSE,LOOKUP(InfoGard!F1530,Lookup!$A$6:$B$7))</f>
        <v>0</v>
      </c>
      <c r="D1530" s="2" t="b">
        <f>IF(ISBLANK(InfoGard!G1530),FALSE,InfoGard!G1530)</f>
        <v>0</v>
      </c>
      <c r="E1530" s="2" t="str">
        <f>IF(NOT(ISBLANK(InfoGard!D1530)),IF(OR(ISBLANK(InfoGard!E1530),InfoGard!E1530="N/A"),"no acb code",CONCATENATE(Lookup!F$1,A1530,Lookup!G$1,B1530,Lookup!H$1,H$1,Lookup!I$1)),"no attestation")</f>
        <v>no attestation</v>
      </c>
      <c r="F1530" s="2" t="str">
        <f>IF(AND(NOT(ISBLANK(InfoGard!G1530)),InfoGard!G1530&lt;&gt;"N/A"),IF(C1530="All",CONCATENATE(Lookup!F$2,D1530,Lookup!G$2,B1530,Lookup!H$2,H$1,Lookup!I$2),CONCATENATE(Lookup!F$3,D1530,Lookup!G$3,B1530,Lookup!H$3)),"no url")</f>
        <v>no url</v>
      </c>
    </row>
    <row r="1531" spans="1:6" hidden="1" x14ac:dyDescent="0.25">
      <c r="A1531" s="2" t="b">
        <f>IF(ISBLANK(InfoGard!D1531),FALSE,LOOKUP(InfoGard!D1531,Lookup!$A$2:$B$4))</f>
        <v>0</v>
      </c>
      <c r="B1531" s="2" t="b">
        <f>IF(ISBLANK(InfoGard!E1531),FALSE,RIGHT(TRIM(InfoGard!E1531),15))</f>
        <v>0</v>
      </c>
      <c r="C1531" s="2" t="b">
        <f>IF(ISBLANK(InfoGard!F1531),FALSE,LOOKUP(InfoGard!F1531,Lookup!$A$6:$B$7))</f>
        <v>0</v>
      </c>
      <c r="D1531" s="2" t="b">
        <f>IF(ISBLANK(InfoGard!G1531),FALSE,InfoGard!G1531)</f>
        <v>0</v>
      </c>
      <c r="E1531" s="2" t="str">
        <f>IF(NOT(ISBLANK(InfoGard!D1531)),IF(OR(ISBLANK(InfoGard!E1531),InfoGard!E1531="N/A"),"no acb code",CONCATENATE(Lookup!F$1,A1531,Lookup!G$1,B1531,Lookup!H$1,H$1,Lookup!I$1)),"no attestation")</f>
        <v>no attestation</v>
      </c>
      <c r="F1531" s="2" t="str">
        <f>IF(AND(NOT(ISBLANK(InfoGard!G1531)),InfoGard!G1531&lt;&gt;"N/A"),IF(C1531="All",CONCATENATE(Lookup!F$2,D1531,Lookup!G$2,B1531,Lookup!H$2,H$1,Lookup!I$2),CONCATENATE(Lookup!F$3,D1531,Lookup!G$3,B1531,Lookup!H$3)),"no url")</f>
        <v>no url</v>
      </c>
    </row>
    <row r="1532" spans="1:6" hidden="1" x14ac:dyDescent="0.25">
      <c r="A1532" s="2" t="b">
        <f>IF(ISBLANK(InfoGard!D1532),FALSE,LOOKUP(InfoGard!D1532,Lookup!$A$2:$B$4))</f>
        <v>0</v>
      </c>
      <c r="B1532" s="2" t="b">
        <f>IF(ISBLANK(InfoGard!E1532),FALSE,RIGHT(TRIM(InfoGard!E1532),15))</f>
        <v>0</v>
      </c>
      <c r="C1532" s="2" t="b">
        <f>IF(ISBLANK(InfoGard!F1532),FALSE,LOOKUP(InfoGard!F1532,Lookup!$A$6:$B$7))</f>
        <v>0</v>
      </c>
      <c r="D1532" s="2" t="b">
        <f>IF(ISBLANK(InfoGard!G1532),FALSE,InfoGard!G1532)</f>
        <v>0</v>
      </c>
      <c r="E1532" s="2" t="str">
        <f>IF(NOT(ISBLANK(InfoGard!D1532)),IF(OR(ISBLANK(InfoGard!E1532),InfoGard!E1532="N/A"),"no acb code",CONCATENATE(Lookup!F$1,A1532,Lookup!G$1,B1532,Lookup!H$1,H$1,Lookup!I$1)),"no attestation")</f>
        <v>no attestation</v>
      </c>
      <c r="F1532" s="2" t="str">
        <f>IF(AND(NOT(ISBLANK(InfoGard!G1532)),InfoGard!G1532&lt;&gt;"N/A"),IF(C1532="All",CONCATENATE(Lookup!F$2,D1532,Lookup!G$2,B1532,Lookup!H$2,H$1,Lookup!I$2),CONCATENATE(Lookup!F$3,D1532,Lookup!G$3,B1532,Lookup!H$3)),"no url")</f>
        <v>no url</v>
      </c>
    </row>
    <row r="1533" spans="1:6" x14ac:dyDescent="0.25">
      <c r="A1533" s="2" t="str">
        <f>IF(ISBLANK(InfoGard!D1533),FALSE,LOOKUP(InfoGard!D1533,Lookup!$A$2:$B$4))</f>
        <v>Affirmative</v>
      </c>
      <c r="B1533" s="2" t="str">
        <f>IF(ISBLANK(InfoGard!E1533),FALSE,RIGHT(TRIM(InfoGard!E1533),15))</f>
        <v>IG-2556-14-0002</v>
      </c>
      <c r="C1533" s="2" t="str">
        <f>IF(ISBLANK(InfoGard!F1533),FALSE,LOOKUP(InfoGard!F1533,Lookup!$A$6:$B$7))</f>
        <v>All</v>
      </c>
      <c r="D1533" s="2" t="str">
        <f>IF(ISBLANK(InfoGard!G1533),FALSE,InfoGard!G1533)</f>
        <v>http://www.i2isys.com/quality-measure/meaningful-use</v>
      </c>
      <c r="E1533" s="2" t="str">
        <f>IF(NOT(ISBLANK(InfoGard!D1533)),IF(OR(ISBLANK(InfoGard!E1533),InfoGard!E1533="N/A"),"no acb code",CONCATENATE(Lookup!F$1,A1533,Lookup!G$1,B1533,Lookup!H$1,H$1,Lookup!I$1)),"no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'IG-2556-14-0002' and cb."name" = 'InfoGard' and cp.product_version_id = pv.product_version_id and pv.product_id = p.product_id and p.vendor_id = vend.vendor_id;</v>
      </c>
      <c r="F1533" s="2" t="str">
        <f>IF(AND(NOT(ISBLANK(InfoGard!G1533)),InfoGard!G1533&lt;&gt;"N/A"),IF(C1533="All",CONCATENATE(Lookup!F$2,D1533,Lookup!G$2,B1533,Lookup!H$2,H$1,Lookup!I$2),CONCATENATE(Lookup!F$3,D1533,Lookup!G$3,B1533,Lookup!H$3)),"no url")</f>
        <v>update openchpl.certified_product as cp set transparency_attestation_url = 'http://www.i2isys.com/quality-measure/meaningful-use' from (select certified_product_id from (select vend.vendor_code from openchpl.certified_product as cp, openchpl.product_version as pv, openchpl.product as p, openchpl.vendor as vend where cp.acb_certification_id = 'IG-2556-14-0002'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'InfoGard'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34" spans="1:6" hidden="1" x14ac:dyDescent="0.25">
      <c r="A1534" s="2" t="b">
        <f>IF(ISBLANK(InfoGard!D1534),FALSE,LOOKUP(InfoGard!D1534,Lookup!$A$2:$B$4))</f>
        <v>0</v>
      </c>
      <c r="B1534" s="2" t="b">
        <f>IF(ISBLANK(InfoGard!E1534),FALSE,RIGHT(TRIM(InfoGard!E1534),15))</f>
        <v>0</v>
      </c>
      <c r="C1534" s="2" t="b">
        <f>IF(ISBLANK(InfoGard!F1534),FALSE,LOOKUP(InfoGard!F1534,Lookup!$A$6:$B$7))</f>
        <v>0</v>
      </c>
      <c r="D1534" s="2" t="b">
        <f>IF(ISBLANK(InfoGard!G1534),FALSE,InfoGard!G1534)</f>
        <v>0</v>
      </c>
      <c r="E1534" s="2" t="str">
        <f>IF(NOT(ISBLANK(InfoGard!D1534)),IF(OR(ISBLANK(InfoGard!E1534),InfoGard!E1534="N/A"),"no acb code",CONCATENATE(Lookup!F$1,A1534,Lookup!G$1,B1534,Lookup!H$1,H$1,Lookup!I$1)),"no attestation")</f>
        <v>no attestation</v>
      </c>
      <c r="F1534" s="2" t="str">
        <f>IF(AND(NOT(ISBLANK(InfoGard!G1534)),InfoGard!G1534&lt;&gt;"N/A"),IF(C1534="All",CONCATENATE(Lookup!F$2,D1534,Lookup!G$2,B1534,Lookup!H$2,H$1,Lookup!I$2),CONCATENATE(Lookup!F$3,D1534,Lookup!G$3,B1534,Lookup!H$3)),"no url")</f>
        <v>no url</v>
      </c>
    </row>
    <row r="1535" spans="1:6" hidden="1" x14ac:dyDescent="0.25">
      <c r="A1535" s="2" t="b">
        <f>IF(ISBLANK(InfoGard!D1535),FALSE,LOOKUP(InfoGard!D1535,Lookup!$A$2:$B$4))</f>
        <v>0</v>
      </c>
      <c r="B1535" s="2" t="b">
        <f>IF(ISBLANK(InfoGard!E1535),FALSE,RIGHT(TRIM(InfoGard!E1535),15))</f>
        <v>0</v>
      </c>
      <c r="C1535" s="2" t="b">
        <f>IF(ISBLANK(InfoGard!F1535),FALSE,LOOKUP(InfoGard!F1535,Lookup!$A$6:$B$7))</f>
        <v>0</v>
      </c>
      <c r="D1535" s="2" t="b">
        <f>IF(ISBLANK(InfoGard!G1535),FALSE,InfoGard!G1535)</f>
        <v>0</v>
      </c>
      <c r="E1535" s="2" t="str">
        <f>IF(NOT(ISBLANK(InfoGard!D1535)),IF(OR(ISBLANK(InfoGard!E1535),InfoGard!E1535="N/A"),"no acb code",CONCATENATE(Lookup!F$1,A1535,Lookup!G$1,B1535,Lookup!H$1,H$1,Lookup!I$1)),"no attestation")</f>
        <v>no attestation</v>
      </c>
      <c r="F1535" s="2" t="str">
        <f>IF(AND(NOT(ISBLANK(InfoGard!G1535)),InfoGard!G1535&lt;&gt;"N/A"),IF(C1535="All",CONCATENATE(Lookup!F$2,D1535,Lookup!G$2,B1535,Lookup!H$2,H$1,Lookup!I$2),CONCATENATE(Lookup!F$3,D1535,Lookup!G$3,B1535,Lookup!H$3)),"no url")</f>
        <v>no url</v>
      </c>
    </row>
    <row r="1536" spans="1:6" hidden="1" x14ac:dyDescent="0.25">
      <c r="A1536" s="2" t="b">
        <f>IF(ISBLANK(InfoGard!D1536),FALSE,LOOKUP(InfoGard!D1536,Lookup!$A$2:$B$4))</f>
        <v>0</v>
      </c>
      <c r="B1536" s="2" t="b">
        <f>IF(ISBLANK(InfoGard!E1536),FALSE,RIGHT(TRIM(InfoGard!E1536),15))</f>
        <v>0</v>
      </c>
      <c r="C1536" s="2" t="b">
        <f>IF(ISBLANK(InfoGard!F1536),FALSE,LOOKUP(InfoGard!F1536,Lookup!$A$6:$B$7))</f>
        <v>0</v>
      </c>
      <c r="D1536" s="2" t="b">
        <f>IF(ISBLANK(InfoGard!G1536),FALSE,InfoGard!G1536)</f>
        <v>0</v>
      </c>
      <c r="E1536" s="2" t="str">
        <f>IF(NOT(ISBLANK(InfoGard!D1536)),IF(OR(ISBLANK(InfoGard!E1536),InfoGard!E1536="N/A"),"no acb code",CONCATENATE(Lookup!F$1,A1536,Lookup!G$1,B1536,Lookup!H$1,H$1,Lookup!I$1)),"no attestation")</f>
        <v>no attestation</v>
      </c>
      <c r="F1536" s="2" t="str">
        <f>IF(AND(NOT(ISBLANK(InfoGard!G1536)),InfoGard!G1536&lt;&gt;"N/A"),IF(C1536="All",CONCATENATE(Lookup!F$2,D1536,Lookup!G$2,B1536,Lookup!H$2,H$1,Lookup!I$2),CONCATENATE(Lookup!F$3,D1536,Lookup!G$3,B1536,Lookup!H$3)),"no url")</f>
        <v>no url</v>
      </c>
    </row>
    <row r="1537" spans="1:6" hidden="1" x14ac:dyDescent="0.25">
      <c r="A1537" s="2" t="b">
        <f>IF(ISBLANK(InfoGard!D1537),FALSE,LOOKUP(InfoGard!D1537,Lookup!$A$2:$B$4))</f>
        <v>0</v>
      </c>
      <c r="B1537" s="2" t="b">
        <f>IF(ISBLANK(InfoGard!E1537),FALSE,RIGHT(TRIM(InfoGard!E1537),15))</f>
        <v>0</v>
      </c>
      <c r="C1537" s="2" t="b">
        <f>IF(ISBLANK(InfoGard!F1537),FALSE,LOOKUP(InfoGard!F1537,Lookup!$A$6:$B$7))</f>
        <v>0</v>
      </c>
      <c r="D1537" s="2" t="b">
        <f>IF(ISBLANK(InfoGard!G1537),FALSE,InfoGard!G1537)</f>
        <v>0</v>
      </c>
      <c r="E1537" s="2" t="str">
        <f>IF(NOT(ISBLANK(InfoGard!D1537)),IF(OR(ISBLANK(InfoGard!E1537),InfoGard!E1537="N/A"),"no acb code",CONCATENATE(Lookup!F$1,A1537,Lookup!G$1,B1537,Lookup!H$1,H$1,Lookup!I$1)),"no attestation")</f>
        <v>no attestation</v>
      </c>
      <c r="F1537" s="2" t="str">
        <f>IF(AND(NOT(ISBLANK(InfoGard!G1537)),InfoGard!G1537&lt;&gt;"N/A"),IF(C1537="All",CONCATENATE(Lookup!F$2,D1537,Lookup!G$2,B1537,Lookup!H$2,H$1,Lookup!I$2),CONCATENATE(Lookup!F$3,D1537,Lookup!G$3,B1537,Lookup!H$3)),"no url")</f>
        <v>no url</v>
      </c>
    </row>
    <row r="1538" spans="1:6" hidden="1" x14ac:dyDescent="0.25">
      <c r="A1538" s="2" t="b">
        <f>IF(ISBLANK(InfoGard!D1538),FALSE,LOOKUP(InfoGard!D1538,Lookup!$A$2:$B$4))</f>
        <v>0</v>
      </c>
      <c r="B1538" s="2" t="b">
        <f>IF(ISBLANK(InfoGard!E1538),FALSE,RIGHT(TRIM(InfoGard!E1538),15))</f>
        <v>0</v>
      </c>
      <c r="C1538" s="2" t="b">
        <f>IF(ISBLANK(InfoGard!F1538),FALSE,LOOKUP(InfoGard!F1538,Lookup!$A$6:$B$7))</f>
        <v>0</v>
      </c>
      <c r="D1538" s="2" t="b">
        <f>IF(ISBLANK(InfoGard!G1538),FALSE,InfoGard!G1538)</f>
        <v>0</v>
      </c>
      <c r="E1538" s="2" t="str">
        <f>IF(NOT(ISBLANK(InfoGard!D1538)),IF(OR(ISBLANK(InfoGard!E1538),InfoGard!E1538="N/A"),"no acb code",CONCATENATE(Lookup!F$1,A1538,Lookup!G$1,B1538,Lookup!H$1,H$1,Lookup!I$1)),"no attestation")</f>
        <v>no attestation</v>
      </c>
      <c r="F1538" s="2" t="str">
        <f>IF(AND(NOT(ISBLANK(InfoGard!G1538)),InfoGard!G1538&lt;&gt;"N/A"),IF(C1538="All",CONCATENATE(Lookup!F$2,D1538,Lookup!G$2,B1538,Lookup!H$2,H$1,Lookup!I$2),CONCATENATE(Lookup!F$3,D1538,Lookup!G$3,B1538,Lookup!H$3)),"no url")</f>
        <v>no url</v>
      </c>
    </row>
    <row r="1539" spans="1:6" hidden="1" x14ac:dyDescent="0.25">
      <c r="A1539" s="2" t="b">
        <f>IF(ISBLANK(InfoGard!D1539),FALSE,LOOKUP(InfoGard!D1539,Lookup!$A$2:$B$4))</f>
        <v>0</v>
      </c>
      <c r="B1539" s="2" t="b">
        <f>IF(ISBLANK(InfoGard!E1539),FALSE,RIGHT(TRIM(InfoGard!E1539),15))</f>
        <v>0</v>
      </c>
      <c r="C1539" s="2" t="b">
        <f>IF(ISBLANK(InfoGard!F1539),FALSE,LOOKUP(InfoGard!F1539,Lookup!$A$6:$B$7))</f>
        <v>0</v>
      </c>
      <c r="D1539" s="2" t="b">
        <f>IF(ISBLANK(InfoGard!G1539),FALSE,InfoGard!G1539)</f>
        <v>0</v>
      </c>
      <c r="E1539" s="2" t="str">
        <f>IF(NOT(ISBLANK(InfoGard!D1539)),IF(OR(ISBLANK(InfoGard!E1539),InfoGard!E1539="N/A"),"no acb code",CONCATENATE(Lookup!F$1,A1539,Lookup!G$1,B1539,Lookup!H$1,H$1,Lookup!I$1)),"no attestation")</f>
        <v>no attestation</v>
      </c>
      <c r="F1539" s="2" t="str">
        <f>IF(AND(NOT(ISBLANK(InfoGard!G1539)),InfoGard!G1539&lt;&gt;"N/A"),IF(C1539="All",CONCATENATE(Lookup!F$2,D1539,Lookup!G$2,B1539,Lookup!H$2,H$1,Lookup!I$2),CONCATENATE(Lookup!F$3,D1539,Lookup!G$3,B1539,Lookup!H$3)),"no url")</f>
        <v>no url</v>
      </c>
    </row>
    <row r="1540" spans="1:6" hidden="1" x14ac:dyDescent="0.25">
      <c r="A1540" s="2" t="b">
        <f>IF(ISBLANK(InfoGard!D1540),FALSE,LOOKUP(InfoGard!D1540,Lookup!$A$2:$B$4))</f>
        <v>0</v>
      </c>
      <c r="B1540" s="2" t="b">
        <f>IF(ISBLANK(InfoGard!E1540),FALSE,RIGHT(TRIM(InfoGard!E1540),15))</f>
        <v>0</v>
      </c>
      <c r="C1540" s="2" t="b">
        <f>IF(ISBLANK(InfoGard!F1540),FALSE,LOOKUP(InfoGard!F1540,Lookup!$A$6:$B$7))</f>
        <v>0</v>
      </c>
      <c r="D1540" s="2" t="b">
        <f>IF(ISBLANK(InfoGard!G1540),FALSE,InfoGard!G1540)</f>
        <v>0</v>
      </c>
      <c r="E1540" s="2" t="str">
        <f>IF(NOT(ISBLANK(InfoGard!D1540)),IF(OR(ISBLANK(InfoGard!E1540),InfoGard!E1540="N/A"),"no acb code",CONCATENATE(Lookup!F$1,A1540,Lookup!G$1,B1540,Lookup!H$1,H$1,Lookup!I$1)),"no attestation")</f>
        <v>no attestation</v>
      </c>
      <c r="F1540" s="2" t="str">
        <f>IF(AND(NOT(ISBLANK(InfoGard!G1540)),InfoGard!G1540&lt;&gt;"N/A"),IF(C1540="All",CONCATENATE(Lookup!F$2,D1540,Lookup!G$2,B1540,Lookup!H$2,H$1,Lookup!I$2),CONCATENATE(Lookup!F$3,D1540,Lookup!G$3,B1540,Lookup!H$3)),"no url")</f>
        <v>no url</v>
      </c>
    </row>
    <row r="1541" spans="1:6" hidden="1" x14ac:dyDescent="0.25">
      <c r="A1541" s="2" t="b">
        <f>IF(ISBLANK(InfoGard!D1541),FALSE,LOOKUP(InfoGard!D1541,Lookup!$A$2:$B$4))</f>
        <v>0</v>
      </c>
      <c r="B1541" s="2" t="b">
        <f>IF(ISBLANK(InfoGard!E1541),FALSE,RIGHT(TRIM(InfoGard!E1541),15))</f>
        <v>0</v>
      </c>
      <c r="C1541" s="2" t="b">
        <f>IF(ISBLANK(InfoGard!F1541),FALSE,LOOKUP(InfoGard!F1541,Lookup!$A$6:$B$7))</f>
        <v>0</v>
      </c>
      <c r="D1541" s="2" t="b">
        <f>IF(ISBLANK(InfoGard!G1541),FALSE,InfoGard!G1541)</f>
        <v>0</v>
      </c>
      <c r="E1541" s="2" t="str">
        <f>IF(NOT(ISBLANK(InfoGard!D1541)),IF(OR(ISBLANK(InfoGard!E1541),InfoGard!E1541="N/A"),"no acb code",CONCATENATE(Lookup!F$1,A1541,Lookup!G$1,B1541,Lookup!H$1,H$1,Lookup!I$1)),"no attestation")</f>
        <v>no attestation</v>
      </c>
      <c r="F1541" s="2" t="str">
        <f>IF(AND(NOT(ISBLANK(InfoGard!G1541)),InfoGard!G1541&lt;&gt;"N/A"),IF(C1541="All",CONCATENATE(Lookup!F$2,D1541,Lookup!G$2,B1541,Lookup!H$2,H$1,Lookup!I$2),CONCATENATE(Lookup!F$3,D1541,Lookup!G$3,B1541,Lookup!H$3)),"no url")</f>
        <v>no url</v>
      </c>
    </row>
    <row r="1542" spans="1:6" hidden="1" x14ac:dyDescent="0.25">
      <c r="A1542" s="2" t="b">
        <f>IF(ISBLANK(InfoGard!D1542),FALSE,LOOKUP(InfoGard!D1542,Lookup!$A$2:$B$4))</f>
        <v>0</v>
      </c>
      <c r="B1542" s="2" t="b">
        <f>IF(ISBLANK(InfoGard!E1542),FALSE,RIGHT(TRIM(InfoGard!E1542),15))</f>
        <v>0</v>
      </c>
      <c r="C1542" s="2" t="b">
        <f>IF(ISBLANK(InfoGard!F1542),FALSE,LOOKUP(InfoGard!F1542,Lookup!$A$6:$B$7))</f>
        <v>0</v>
      </c>
      <c r="D1542" s="2" t="b">
        <f>IF(ISBLANK(InfoGard!G1542),FALSE,InfoGard!G1542)</f>
        <v>0</v>
      </c>
      <c r="E1542" s="2" t="str">
        <f>IF(NOT(ISBLANK(InfoGard!D1542)),IF(OR(ISBLANK(InfoGard!E1542),InfoGard!E1542="N/A"),"no acb code",CONCATENATE(Lookup!F$1,A1542,Lookup!G$1,B1542,Lookup!H$1,H$1,Lookup!I$1)),"no attestation")</f>
        <v>no attestation</v>
      </c>
      <c r="F1542" s="2" t="str">
        <f>IF(AND(NOT(ISBLANK(InfoGard!G1542)),InfoGard!G1542&lt;&gt;"N/A"),IF(C1542="All",CONCATENATE(Lookup!F$2,D1542,Lookup!G$2,B1542,Lookup!H$2,H$1,Lookup!I$2),CONCATENATE(Lookup!F$3,D1542,Lookup!G$3,B1542,Lookup!H$3)),"no url")</f>
        <v>no url</v>
      </c>
    </row>
    <row r="1543" spans="1:6" hidden="1" x14ac:dyDescent="0.25">
      <c r="A1543" s="2" t="b">
        <f>IF(ISBLANK(InfoGard!D1543),FALSE,LOOKUP(InfoGard!D1543,Lookup!$A$2:$B$4))</f>
        <v>0</v>
      </c>
      <c r="B1543" s="2" t="b">
        <f>IF(ISBLANK(InfoGard!E1543),FALSE,RIGHT(TRIM(InfoGard!E1543),15))</f>
        <v>0</v>
      </c>
      <c r="C1543" s="2" t="b">
        <f>IF(ISBLANK(InfoGard!F1543),FALSE,LOOKUP(InfoGard!F1543,Lookup!$A$6:$B$7))</f>
        <v>0</v>
      </c>
      <c r="D1543" s="2" t="b">
        <f>IF(ISBLANK(InfoGard!G1543),FALSE,InfoGard!G1543)</f>
        <v>0</v>
      </c>
      <c r="E1543" s="2" t="str">
        <f>IF(NOT(ISBLANK(InfoGard!D1543)),IF(OR(ISBLANK(InfoGard!E1543),InfoGard!E1543="N/A"),"no acb code",CONCATENATE(Lookup!F$1,A1543,Lookup!G$1,B1543,Lookup!H$1,H$1,Lookup!I$1)),"no attestation")</f>
        <v>no attestation</v>
      </c>
      <c r="F1543" s="2" t="str">
        <f>IF(AND(NOT(ISBLANK(InfoGard!G1543)),InfoGard!G1543&lt;&gt;"N/A"),IF(C1543="All",CONCATENATE(Lookup!F$2,D1543,Lookup!G$2,B1543,Lookup!H$2,H$1,Lookup!I$2),CONCATENATE(Lookup!F$3,D1543,Lookup!G$3,B1543,Lookup!H$3)),"no url")</f>
        <v>no url</v>
      </c>
    </row>
    <row r="1544" spans="1:6" hidden="1" x14ac:dyDescent="0.25">
      <c r="A1544" s="2" t="b">
        <f>IF(ISBLANK(InfoGard!D1544),FALSE,LOOKUP(InfoGard!D1544,Lookup!$A$2:$B$4))</f>
        <v>0</v>
      </c>
      <c r="B1544" s="2" t="b">
        <f>IF(ISBLANK(InfoGard!E1544),FALSE,RIGHT(TRIM(InfoGard!E1544),15))</f>
        <v>0</v>
      </c>
      <c r="C1544" s="2" t="b">
        <f>IF(ISBLANK(InfoGard!F1544),FALSE,LOOKUP(InfoGard!F1544,Lookup!$A$6:$B$7))</f>
        <v>0</v>
      </c>
      <c r="D1544" s="2" t="b">
        <f>IF(ISBLANK(InfoGard!G1544),FALSE,InfoGard!G1544)</f>
        <v>0</v>
      </c>
      <c r="E1544" s="2" t="str">
        <f>IF(NOT(ISBLANK(InfoGard!D1544)),IF(OR(ISBLANK(InfoGard!E1544),InfoGard!E1544="N/A"),"no acb code",CONCATENATE(Lookup!F$1,A1544,Lookup!G$1,B1544,Lookup!H$1,H$1,Lookup!I$1)),"no attestation")</f>
        <v>no attestation</v>
      </c>
      <c r="F1544" s="2" t="str">
        <f>IF(AND(NOT(ISBLANK(InfoGard!G1544)),InfoGard!G1544&lt;&gt;"N/A"),IF(C1544="All",CONCATENATE(Lookup!F$2,D1544,Lookup!G$2,B1544,Lookup!H$2,H$1,Lookup!I$2),CONCATENATE(Lookup!F$3,D1544,Lookup!G$3,B1544,Lookup!H$3)),"no url")</f>
        <v>no url</v>
      </c>
    </row>
    <row r="1545" spans="1:6" hidden="1" x14ac:dyDescent="0.25">
      <c r="A1545" s="2" t="b">
        <f>IF(ISBLANK(InfoGard!D1545),FALSE,LOOKUP(InfoGard!D1545,Lookup!$A$2:$B$4))</f>
        <v>0</v>
      </c>
      <c r="B1545" s="2" t="b">
        <f>IF(ISBLANK(InfoGard!E1545),FALSE,RIGHT(TRIM(InfoGard!E1545),15))</f>
        <v>0</v>
      </c>
      <c r="C1545" s="2" t="b">
        <f>IF(ISBLANK(InfoGard!F1545),FALSE,LOOKUP(InfoGard!F1545,Lookup!$A$6:$B$7))</f>
        <v>0</v>
      </c>
      <c r="D1545" s="2" t="b">
        <f>IF(ISBLANK(InfoGard!G1545),FALSE,InfoGard!G1545)</f>
        <v>0</v>
      </c>
      <c r="E1545" s="2" t="str">
        <f>IF(NOT(ISBLANK(InfoGard!D1545)),IF(OR(ISBLANK(InfoGard!E1545),InfoGard!E1545="N/A"),"no acb code",CONCATENATE(Lookup!F$1,A1545,Lookup!G$1,B1545,Lookup!H$1,H$1,Lookup!I$1)),"no attestation")</f>
        <v>no attestation</v>
      </c>
      <c r="F1545" s="2" t="str">
        <f>IF(AND(NOT(ISBLANK(InfoGard!G1545)),InfoGard!G1545&lt;&gt;"N/A"),IF(C1545="All",CONCATENATE(Lookup!F$2,D1545,Lookup!G$2,B1545,Lookup!H$2,H$1,Lookup!I$2),CONCATENATE(Lookup!F$3,D1545,Lookup!G$3,B1545,Lookup!H$3)),"no url")</f>
        <v>no url</v>
      </c>
    </row>
    <row r="1546" spans="1:6" hidden="1" x14ac:dyDescent="0.25">
      <c r="A1546" s="2" t="b">
        <f>IF(ISBLANK(InfoGard!D1546),FALSE,LOOKUP(InfoGard!D1546,Lookup!$A$2:$B$4))</f>
        <v>0</v>
      </c>
      <c r="B1546" s="2" t="b">
        <f>IF(ISBLANK(InfoGard!E1546),FALSE,RIGHT(TRIM(InfoGard!E1546),15))</f>
        <v>0</v>
      </c>
      <c r="C1546" s="2" t="b">
        <f>IF(ISBLANK(InfoGard!F1546),FALSE,LOOKUP(InfoGard!F1546,Lookup!$A$6:$B$7))</f>
        <v>0</v>
      </c>
      <c r="D1546" s="2" t="b">
        <f>IF(ISBLANK(InfoGard!G1546),FALSE,InfoGard!G1546)</f>
        <v>0</v>
      </c>
      <c r="E1546" s="2" t="str">
        <f>IF(NOT(ISBLANK(InfoGard!D1546)),IF(OR(ISBLANK(InfoGard!E1546),InfoGard!E1546="N/A"),"no acb code",CONCATENATE(Lookup!F$1,A1546,Lookup!G$1,B1546,Lookup!H$1,H$1,Lookup!I$1)),"no attestation")</f>
        <v>no attestation</v>
      </c>
      <c r="F1546" s="2" t="str">
        <f>IF(AND(NOT(ISBLANK(InfoGard!G1546)),InfoGard!G1546&lt;&gt;"N/A"),IF(C1546="All",CONCATENATE(Lookup!F$2,D1546,Lookup!G$2,B1546,Lookup!H$2,H$1,Lookup!I$2),CONCATENATE(Lookup!F$3,D1546,Lookup!G$3,B1546,Lookup!H$3)),"no url")</f>
        <v>no url</v>
      </c>
    </row>
    <row r="1547" spans="1:6" hidden="1" x14ac:dyDescent="0.25">
      <c r="A1547" s="2" t="b">
        <f>IF(ISBLANK(InfoGard!D1547),FALSE,LOOKUP(InfoGard!D1547,Lookup!$A$2:$B$4))</f>
        <v>0</v>
      </c>
      <c r="B1547" s="2" t="b">
        <f>IF(ISBLANK(InfoGard!E1547),FALSE,RIGHT(TRIM(InfoGard!E1547),15))</f>
        <v>0</v>
      </c>
      <c r="C1547" s="2" t="b">
        <f>IF(ISBLANK(InfoGard!F1547),FALSE,LOOKUP(InfoGard!F1547,Lookup!$A$6:$B$7))</f>
        <v>0</v>
      </c>
      <c r="D1547" s="2" t="b">
        <f>IF(ISBLANK(InfoGard!G1547),FALSE,InfoGard!G1547)</f>
        <v>0</v>
      </c>
      <c r="E1547" s="2" t="str">
        <f>IF(NOT(ISBLANK(InfoGard!D1547)),IF(OR(ISBLANK(InfoGard!E1547),InfoGard!E1547="N/A"),"no acb code",CONCATENATE(Lookup!F$1,A1547,Lookup!G$1,B1547,Lookup!H$1,H$1,Lookup!I$1)),"no attestation")</f>
        <v>no attestation</v>
      </c>
      <c r="F1547" s="2" t="str">
        <f>IF(AND(NOT(ISBLANK(InfoGard!G1547)),InfoGard!G1547&lt;&gt;"N/A"),IF(C1547="All",CONCATENATE(Lookup!F$2,D1547,Lookup!G$2,B1547,Lookup!H$2,H$1,Lookup!I$2),CONCATENATE(Lookup!F$3,D1547,Lookup!G$3,B1547,Lookup!H$3)),"no url")</f>
        <v>no url</v>
      </c>
    </row>
    <row r="1548" spans="1:6" hidden="1" x14ac:dyDescent="0.25">
      <c r="A1548" s="2" t="b">
        <f>IF(ISBLANK(InfoGard!D1548),FALSE,LOOKUP(InfoGard!D1548,Lookup!$A$2:$B$4))</f>
        <v>0</v>
      </c>
      <c r="B1548" s="2" t="b">
        <f>IF(ISBLANK(InfoGard!E1548),FALSE,RIGHT(TRIM(InfoGard!E1548),15))</f>
        <v>0</v>
      </c>
      <c r="C1548" s="2" t="b">
        <f>IF(ISBLANK(InfoGard!F1548),FALSE,LOOKUP(InfoGard!F1548,Lookup!$A$6:$B$7))</f>
        <v>0</v>
      </c>
      <c r="D1548" s="2" t="b">
        <f>IF(ISBLANK(InfoGard!G1548),FALSE,InfoGard!G1548)</f>
        <v>0</v>
      </c>
      <c r="E1548" s="2" t="str">
        <f>IF(NOT(ISBLANK(InfoGard!D1548)),IF(OR(ISBLANK(InfoGard!E1548),InfoGard!E1548="N/A"),"no acb code",CONCATENATE(Lookup!F$1,A1548,Lookup!G$1,B1548,Lookup!H$1,H$1,Lookup!I$1)),"no attestation")</f>
        <v>no attestation</v>
      </c>
      <c r="F1548" s="2" t="str">
        <f>IF(AND(NOT(ISBLANK(InfoGard!G1548)),InfoGard!G1548&lt;&gt;"N/A"),IF(C1548="All",CONCATENATE(Lookup!F$2,D1548,Lookup!G$2,B1548,Lookup!H$2,H$1,Lookup!I$2),CONCATENATE(Lookup!F$3,D1548,Lookup!G$3,B1548,Lookup!H$3)),"no url")</f>
        <v>no url</v>
      </c>
    </row>
    <row r="1549" spans="1:6" hidden="1" x14ac:dyDescent="0.25">
      <c r="A1549" s="2" t="b">
        <f>IF(ISBLANK(InfoGard!D1549),FALSE,LOOKUP(InfoGard!D1549,Lookup!$A$2:$B$4))</f>
        <v>0</v>
      </c>
      <c r="B1549" s="2" t="b">
        <f>IF(ISBLANK(InfoGard!E1549),FALSE,RIGHT(TRIM(InfoGard!E1549),15))</f>
        <v>0</v>
      </c>
      <c r="C1549" s="2" t="b">
        <f>IF(ISBLANK(InfoGard!F1549),FALSE,LOOKUP(InfoGard!F1549,Lookup!$A$6:$B$7))</f>
        <v>0</v>
      </c>
      <c r="D1549" s="2" t="b">
        <f>IF(ISBLANK(InfoGard!G1549),FALSE,InfoGard!G1549)</f>
        <v>0</v>
      </c>
      <c r="E1549" s="2" t="str">
        <f>IF(NOT(ISBLANK(InfoGard!D1549)),IF(OR(ISBLANK(InfoGard!E1549),InfoGard!E1549="N/A"),"no acb code",CONCATENATE(Lookup!F$1,A1549,Lookup!G$1,B1549,Lookup!H$1,H$1,Lookup!I$1)),"no attestation")</f>
        <v>no attestation</v>
      </c>
      <c r="F1549" s="2" t="str">
        <f>IF(AND(NOT(ISBLANK(InfoGard!G1549)),InfoGard!G1549&lt;&gt;"N/A"),IF(C1549="All",CONCATENATE(Lookup!F$2,D1549,Lookup!G$2,B1549,Lookup!H$2,H$1,Lookup!I$2),CONCATENATE(Lookup!F$3,D1549,Lookup!G$3,B1549,Lookup!H$3)),"no url")</f>
        <v>no url</v>
      </c>
    </row>
    <row r="1550" spans="1:6" hidden="1" x14ac:dyDescent="0.25">
      <c r="A1550" s="2" t="b">
        <f>IF(ISBLANK(InfoGard!D1550),FALSE,LOOKUP(InfoGard!D1550,Lookup!$A$2:$B$4))</f>
        <v>0</v>
      </c>
      <c r="B1550" s="2" t="b">
        <f>IF(ISBLANK(InfoGard!E1550),FALSE,RIGHT(TRIM(InfoGard!E1550),15))</f>
        <v>0</v>
      </c>
      <c r="C1550" s="2" t="b">
        <f>IF(ISBLANK(InfoGard!F1550),FALSE,LOOKUP(InfoGard!F1550,Lookup!$A$6:$B$7))</f>
        <v>0</v>
      </c>
      <c r="D1550" s="2" t="b">
        <f>IF(ISBLANK(InfoGard!G1550),FALSE,InfoGard!G1550)</f>
        <v>0</v>
      </c>
      <c r="E1550" s="2" t="str">
        <f>IF(NOT(ISBLANK(InfoGard!D1550)),IF(OR(ISBLANK(InfoGard!E1550),InfoGard!E1550="N/A"),"no acb code",CONCATENATE(Lookup!F$1,A1550,Lookup!G$1,B1550,Lookup!H$1,H$1,Lookup!I$1)),"no attestation")</f>
        <v>no attestation</v>
      </c>
      <c r="F1550" s="2" t="str">
        <f>IF(AND(NOT(ISBLANK(InfoGard!G1550)),InfoGard!G1550&lt;&gt;"N/A"),IF(C1550="All",CONCATENATE(Lookup!F$2,D1550,Lookup!G$2,B1550,Lookup!H$2,H$1,Lookup!I$2),CONCATENATE(Lookup!F$3,D1550,Lookup!G$3,B1550,Lookup!H$3)),"no url")</f>
        <v>no url</v>
      </c>
    </row>
    <row r="1551" spans="1:6" hidden="1" x14ac:dyDescent="0.25">
      <c r="A1551" s="2" t="b">
        <f>IF(ISBLANK(InfoGard!D1551),FALSE,LOOKUP(InfoGard!D1551,Lookup!$A$2:$B$4))</f>
        <v>0</v>
      </c>
      <c r="B1551" s="2" t="b">
        <f>IF(ISBLANK(InfoGard!E1551),FALSE,RIGHT(TRIM(InfoGard!E1551),15))</f>
        <v>0</v>
      </c>
      <c r="C1551" s="2" t="b">
        <f>IF(ISBLANK(InfoGard!F1551),FALSE,LOOKUP(InfoGard!F1551,Lookup!$A$6:$B$7))</f>
        <v>0</v>
      </c>
      <c r="D1551" s="2" t="b">
        <f>IF(ISBLANK(InfoGard!G1551),FALSE,InfoGard!G1551)</f>
        <v>0</v>
      </c>
      <c r="E1551" s="2" t="str">
        <f>IF(NOT(ISBLANK(InfoGard!D1551)),IF(OR(ISBLANK(InfoGard!E1551),InfoGard!E1551="N/A"),"no acb code",CONCATENATE(Lookup!F$1,A1551,Lookup!G$1,B1551,Lookup!H$1,H$1,Lookup!I$1)),"no attestation")</f>
        <v>no attestation</v>
      </c>
      <c r="F1551" s="2" t="str">
        <f>IF(AND(NOT(ISBLANK(InfoGard!G1551)),InfoGard!G1551&lt;&gt;"N/A"),IF(C1551="All",CONCATENATE(Lookup!F$2,D1551,Lookup!G$2,B1551,Lookup!H$2,H$1,Lookup!I$2),CONCATENATE(Lookup!F$3,D1551,Lookup!G$3,B1551,Lookup!H$3)),"no url")</f>
        <v>no url</v>
      </c>
    </row>
    <row r="1552" spans="1:6" hidden="1" x14ac:dyDescent="0.25">
      <c r="A1552" s="2" t="b">
        <f>IF(ISBLANK(InfoGard!D1552),FALSE,LOOKUP(InfoGard!D1552,Lookup!$A$2:$B$4))</f>
        <v>0</v>
      </c>
      <c r="B1552" s="2" t="b">
        <f>IF(ISBLANK(InfoGard!E1552),FALSE,RIGHT(TRIM(InfoGard!E1552),15))</f>
        <v>0</v>
      </c>
      <c r="C1552" s="2" t="b">
        <f>IF(ISBLANK(InfoGard!F1552),FALSE,LOOKUP(InfoGard!F1552,Lookup!$A$6:$B$7))</f>
        <v>0</v>
      </c>
      <c r="D1552" s="2" t="b">
        <f>IF(ISBLANK(InfoGard!G1552),FALSE,InfoGard!G1552)</f>
        <v>0</v>
      </c>
      <c r="E1552" s="2" t="str">
        <f>IF(NOT(ISBLANK(InfoGard!D1552)),IF(OR(ISBLANK(InfoGard!E1552),InfoGard!E1552="N/A"),"no acb code",CONCATENATE(Lookup!F$1,A1552,Lookup!G$1,B1552,Lookup!H$1,H$1,Lookup!I$1)),"no attestation")</f>
        <v>no attestation</v>
      </c>
      <c r="F1552" s="2" t="str">
        <f>IF(AND(NOT(ISBLANK(InfoGard!G1552)),InfoGard!G1552&lt;&gt;"N/A"),IF(C1552="All",CONCATENATE(Lookup!F$2,D1552,Lookup!G$2,B1552,Lookup!H$2,H$1,Lookup!I$2),CONCATENATE(Lookup!F$3,D1552,Lookup!G$3,B1552,Lookup!H$3)),"no url")</f>
        <v>no url</v>
      </c>
    </row>
    <row r="1553" spans="1:6" hidden="1" x14ac:dyDescent="0.25">
      <c r="A1553" s="2" t="b">
        <f>IF(ISBLANK(InfoGard!D1553),FALSE,LOOKUP(InfoGard!D1553,Lookup!$A$2:$B$4))</f>
        <v>0</v>
      </c>
      <c r="B1553" s="2" t="b">
        <f>IF(ISBLANK(InfoGard!E1553),FALSE,RIGHT(TRIM(InfoGard!E1553),15))</f>
        <v>0</v>
      </c>
      <c r="C1553" s="2" t="b">
        <f>IF(ISBLANK(InfoGard!F1553),FALSE,LOOKUP(InfoGard!F1553,Lookup!$A$6:$B$7))</f>
        <v>0</v>
      </c>
      <c r="D1553" s="2" t="b">
        <f>IF(ISBLANK(InfoGard!G1553),FALSE,InfoGard!G1553)</f>
        <v>0</v>
      </c>
      <c r="E1553" s="2" t="str">
        <f>IF(NOT(ISBLANK(InfoGard!D1553)),IF(OR(ISBLANK(InfoGard!E1553),InfoGard!E1553="N/A"),"no acb code",CONCATENATE(Lookup!F$1,A1553,Lookup!G$1,B1553,Lookup!H$1,H$1,Lookup!I$1)),"no attestation")</f>
        <v>no attestation</v>
      </c>
      <c r="F1553" s="2" t="str">
        <f>IF(AND(NOT(ISBLANK(InfoGard!G1553)),InfoGard!G1553&lt;&gt;"N/A"),IF(C1553="All",CONCATENATE(Lookup!F$2,D1553,Lookup!G$2,B1553,Lookup!H$2,H$1,Lookup!I$2),CONCATENATE(Lookup!F$3,D1553,Lookup!G$3,B1553,Lookup!H$3)),"no url")</f>
        <v>no url</v>
      </c>
    </row>
    <row r="1554" spans="1:6" hidden="1" x14ac:dyDescent="0.25">
      <c r="A1554" s="2" t="b">
        <f>IF(ISBLANK(InfoGard!D1554),FALSE,LOOKUP(InfoGard!D1554,Lookup!$A$2:$B$4))</f>
        <v>0</v>
      </c>
      <c r="B1554" s="2" t="b">
        <f>IF(ISBLANK(InfoGard!E1554),FALSE,RIGHT(TRIM(InfoGard!E1554),15))</f>
        <v>0</v>
      </c>
      <c r="C1554" s="2" t="b">
        <f>IF(ISBLANK(InfoGard!F1554),FALSE,LOOKUP(InfoGard!F1554,Lookup!$A$6:$B$7))</f>
        <v>0</v>
      </c>
      <c r="D1554" s="2" t="b">
        <f>IF(ISBLANK(InfoGard!G1554),FALSE,InfoGard!G1554)</f>
        <v>0</v>
      </c>
      <c r="E1554" s="2" t="str">
        <f>IF(NOT(ISBLANK(InfoGard!D1554)),IF(OR(ISBLANK(InfoGard!E1554),InfoGard!E1554="N/A"),"no acb code",CONCATENATE(Lookup!F$1,A1554,Lookup!G$1,B1554,Lookup!H$1,H$1,Lookup!I$1)),"no attestation")</f>
        <v>no attestation</v>
      </c>
      <c r="F1554" s="2" t="str">
        <f>IF(AND(NOT(ISBLANK(InfoGard!G1554)),InfoGard!G1554&lt;&gt;"N/A"),IF(C1554="All",CONCATENATE(Lookup!F$2,D1554,Lookup!G$2,B1554,Lookup!H$2,H$1,Lookup!I$2),CONCATENATE(Lookup!F$3,D1554,Lookup!G$3,B1554,Lookup!H$3)),"no url")</f>
        <v>no url</v>
      </c>
    </row>
    <row r="1555" spans="1:6" hidden="1" x14ac:dyDescent="0.25">
      <c r="A1555" s="2" t="b">
        <f>IF(ISBLANK(InfoGard!D1555),FALSE,LOOKUP(InfoGard!D1555,Lookup!$A$2:$B$4))</f>
        <v>0</v>
      </c>
      <c r="B1555" s="2" t="b">
        <f>IF(ISBLANK(InfoGard!E1555),FALSE,RIGHT(TRIM(InfoGard!E1555),15))</f>
        <v>0</v>
      </c>
      <c r="C1555" s="2" t="b">
        <f>IF(ISBLANK(InfoGard!F1555),FALSE,LOOKUP(InfoGard!F1555,Lookup!$A$6:$B$7))</f>
        <v>0</v>
      </c>
      <c r="D1555" s="2" t="b">
        <f>IF(ISBLANK(InfoGard!G1555),FALSE,InfoGard!G1555)</f>
        <v>0</v>
      </c>
      <c r="E1555" s="2" t="str">
        <f>IF(NOT(ISBLANK(InfoGard!D1555)),IF(OR(ISBLANK(InfoGard!E1555),InfoGard!E1555="N/A"),"no acb code",CONCATENATE(Lookup!F$1,A1555,Lookup!G$1,B1555,Lookup!H$1,H$1,Lookup!I$1)),"no attestation")</f>
        <v>no attestation</v>
      </c>
      <c r="F1555" s="2" t="str">
        <f>IF(AND(NOT(ISBLANK(InfoGard!G1555)),InfoGard!G1555&lt;&gt;"N/A"),IF(C1555="All",CONCATENATE(Lookup!F$2,D1555,Lookup!G$2,B1555,Lookup!H$2,H$1,Lookup!I$2),CONCATENATE(Lookup!F$3,D1555,Lookup!G$3,B1555,Lookup!H$3)),"no url")</f>
        <v>no url</v>
      </c>
    </row>
    <row r="1556" spans="1:6" hidden="1" x14ac:dyDescent="0.25">
      <c r="A1556" s="2" t="b">
        <f>IF(ISBLANK(InfoGard!D1556),FALSE,LOOKUP(InfoGard!D1556,Lookup!$A$2:$B$4))</f>
        <v>0</v>
      </c>
      <c r="B1556" s="2" t="b">
        <f>IF(ISBLANK(InfoGard!E1556),FALSE,RIGHT(TRIM(InfoGard!E1556),15))</f>
        <v>0</v>
      </c>
      <c r="C1556" s="2" t="b">
        <f>IF(ISBLANK(InfoGard!F1556),FALSE,LOOKUP(InfoGard!F1556,Lookup!$A$6:$B$7))</f>
        <v>0</v>
      </c>
      <c r="D1556" s="2" t="b">
        <f>IF(ISBLANK(InfoGard!G1556),FALSE,InfoGard!G1556)</f>
        <v>0</v>
      </c>
      <c r="E1556" s="2" t="str">
        <f>IF(NOT(ISBLANK(InfoGard!D1556)),IF(OR(ISBLANK(InfoGard!E1556),InfoGard!E1556="N/A"),"no acb code",CONCATENATE(Lookup!F$1,A1556,Lookup!G$1,B1556,Lookup!H$1,H$1,Lookup!I$1)),"no attestation")</f>
        <v>no attestation</v>
      </c>
      <c r="F1556" s="2" t="str">
        <f>IF(AND(NOT(ISBLANK(InfoGard!G1556)),InfoGard!G1556&lt;&gt;"N/A"),IF(C1556="All",CONCATENATE(Lookup!F$2,D1556,Lookup!G$2,B1556,Lookup!H$2,H$1,Lookup!I$2),CONCATENATE(Lookup!F$3,D1556,Lookup!G$3,B1556,Lookup!H$3)),"no url")</f>
        <v>no url</v>
      </c>
    </row>
    <row r="1557" spans="1:6" hidden="1" x14ac:dyDescent="0.25">
      <c r="A1557" s="2" t="b">
        <f>IF(ISBLANK(InfoGard!D1557),FALSE,LOOKUP(InfoGard!D1557,Lookup!$A$2:$B$4))</f>
        <v>0</v>
      </c>
      <c r="B1557" s="2" t="b">
        <f>IF(ISBLANK(InfoGard!E1557),FALSE,RIGHT(TRIM(InfoGard!E1557),15))</f>
        <v>0</v>
      </c>
      <c r="C1557" s="2" t="b">
        <f>IF(ISBLANK(InfoGard!F1557),FALSE,LOOKUP(InfoGard!F1557,Lookup!$A$6:$B$7))</f>
        <v>0</v>
      </c>
      <c r="D1557" s="2" t="b">
        <f>IF(ISBLANK(InfoGard!G1557),FALSE,InfoGard!G1557)</f>
        <v>0</v>
      </c>
      <c r="E1557" s="2" t="str">
        <f>IF(NOT(ISBLANK(InfoGard!D1557)),IF(OR(ISBLANK(InfoGard!E1557),InfoGard!E1557="N/A"),"no acb code",CONCATENATE(Lookup!F$1,A1557,Lookup!G$1,B1557,Lookup!H$1,H$1,Lookup!I$1)),"no attestation")</f>
        <v>no attestation</v>
      </c>
      <c r="F1557" s="2" t="str">
        <f>IF(AND(NOT(ISBLANK(InfoGard!G1557)),InfoGard!G1557&lt;&gt;"N/A"),IF(C1557="All",CONCATENATE(Lookup!F$2,D1557,Lookup!G$2,B1557,Lookup!H$2,H$1,Lookup!I$2),CONCATENATE(Lookup!F$3,D1557,Lookup!G$3,B1557,Lookup!H$3)),"no url")</f>
        <v>no url</v>
      </c>
    </row>
    <row r="1558" spans="1:6" hidden="1" x14ac:dyDescent="0.25">
      <c r="A1558" s="2" t="b">
        <f>IF(ISBLANK(InfoGard!D1558),FALSE,LOOKUP(InfoGard!D1558,Lookup!$A$2:$B$4))</f>
        <v>0</v>
      </c>
      <c r="B1558" s="2" t="b">
        <f>IF(ISBLANK(InfoGard!E1558),FALSE,RIGHT(TRIM(InfoGard!E1558),15))</f>
        <v>0</v>
      </c>
      <c r="C1558" s="2" t="b">
        <f>IF(ISBLANK(InfoGard!F1558),FALSE,LOOKUP(InfoGard!F1558,Lookup!$A$6:$B$7))</f>
        <v>0</v>
      </c>
      <c r="D1558" s="2" t="b">
        <f>IF(ISBLANK(InfoGard!G1558),FALSE,InfoGard!G1558)</f>
        <v>0</v>
      </c>
      <c r="E1558" s="2" t="str">
        <f>IF(NOT(ISBLANK(InfoGard!D1558)),IF(OR(ISBLANK(InfoGard!E1558),InfoGard!E1558="N/A"),"no acb code",CONCATENATE(Lookup!F$1,A1558,Lookup!G$1,B1558,Lookup!H$1,H$1,Lookup!I$1)),"no attestation")</f>
        <v>no attestation</v>
      </c>
      <c r="F1558" s="2" t="str">
        <f>IF(AND(NOT(ISBLANK(InfoGard!G1558)),InfoGard!G1558&lt;&gt;"N/A"),IF(C1558="All",CONCATENATE(Lookup!F$2,D1558,Lookup!G$2,B1558,Lookup!H$2,H$1,Lookup!I$2),CONCATENATE(Lookup!F$3,D1558,Lookup!G$3,B1558,Lookup!H$3)),"no url")</f>
        <v>no url</v>
      </c>
    </row>
    <row r="1559" spans="1:6" hidden="1" x14ac:dyDescent="0.25">
      <c r="A1559" s="2" t="b">
        <f>IF(ISBLANK(InfoGard!D1559),FALSE,LOOKUP(InfoGard!D1559,Lookup!$A$2:$B$4))</f>
        <v>0</v>
      </c>
      <c r="B1559" s="2" t="b">
        <f>IF(ISBLANK(InfoGard!E1559),FALSE,RIGHT(TRIM(InfoGard!E1559),15))</f>
        <v>0</v>
      </c>
      <c r="C1559" s="2" t="b">
        <f>IF(ISBLANK(InfoGard!F1559),FALSE,LOOKUP(InfoGard!F1559,Lookup!$A$6:$B$7))</f>
        <v>0</v>
      </c>
      <c r="D1559" s="2" t="b">
        <f>IF(ISBLANK(InfoGard!G1559),FALSE,InfoGard!G1559)</f>
        <v>0</v>
      </c>
      <c r="E1559" s="2" t="str">
        <f>IF(NOT(ISBLANK(InfoGard!D1559)),IF(OR(ISBLANK(InfoGard!E1559),InfoGard!E1559="N/A"),"no acb code",CONCATENATE(Lookup!F$1,A1559,Lookup!G$1,B1559,Lookup!H$1,H$1,Lookup!I$1)),"no attestation")</f>
        <v>no attestation</v>
      </c>
      <c r="F1559" s="2" t="str">
        <f>IF(AND(NOT(ISBLANK(InfoGard!G1559)),InfoGard!G1559&lt;&gt;"N/A"),IF(C1559="All",CONCATENATE(Lookup!F$2,D1559,Lookup!G$2,B1559,Lookup!H$2,H$1,Lookup!I$2),CONCATENATE(Lookup!F$3,D1559,Lookup!G$3,B1559,Lookup!H$3)),"no url")</f>
        <v>no url</v>
      </c>
    </row>
    <row r="1560" spans="1:6" hidden="1" x14ac:dyDescent="0.25">
      <c r="A1560" s="2" t="b">
        <f>IF(ISBLANK(InfoGard!D1560),FALSE,LOOKUP(InfoGard!D1560,Lookup!$A$2:$B$4))</f>
        <v>0</v>
      </c>
      <c r="B1560" s="2" t="b">
        <f>IF(ISBLANK(InfoGard!E1560),FALSE,RIGHT(TRIM(InfoGard!E1560),15))</f>
        <v>0</v>
      </c>
      <c r="C1560" s="2" t="b">
        <f>IF(ISBLANK(InfoGard!F1560),FALSE,LOOKUP(InfoGard!F1560,Lookup!$A$6:$B$7))</f>
        <v>0</v>
      </c>
      <c r="D1560" s="2" t="b">
        <f>IF(ISBLANK(InfoGard!G1560),FALSE,InfoGard!G1560)</f>
        <v>0</v>
      </c>
      <c r="E1560" s="2" t="str">
        <f>IF(NOT(ISBLANK(InfoGard!D1560)),IF(OR(ISBLANK(InfoGard!E1560),InfoGard!E1560="N/A"),"no acb code",CONCATENATE(Lookup!F$1,A1560,Lookup!G$1,B1560,Lookup!H$1,H$1,Lookup!I$1)),"no attestation")</f>
        <v>no attestation</v>
      </c>
      <c r="F1560" s="2" t="str">
        <f>IF(AND(NOT(ISBLANK(InfoGard!G1560)),InfoGard!G1560&lt;&gt;"N/A"),IF(C1560="All",CONCATENATE(Lookup!F$2,D1560,Lookup!G$2,B1560,Lookup!H$2,H$1,Lookup!I$2),CONCATENATE(Lookup!F$3,D1560,Lookup!G$3,B1560,Lookup!H$3)),"no url")</f>
        <v>no url</v>
      </c>
    </row>
    <row r="1561" spans="1:6" hidden="1" x14ac:dyDescent="0.25">
      <c r="A1561" s="2" t="b">
        <f>IF(ISBLANK(InfoGard!D1561),FALSE,LOOKUP(InfoGard!D1561,Lookup!$A$2:$B$4))</f>
        <v>0</v>
      </c>
      <c r="B1561" s="2" t="b">
        <f>IF(ISBLANK(InfoGard!E1561),FALSE,RIGHT(TRIM(InfoGard!E1561),15))</f>
        <v>0</v>
      </c>
      <c r="C1561" s="2" t="b">
        <f>IF(ISBLANK(InfoGard!F1561),FALSE,LOOKUP(InfoGard!F1561,Lookup!$A$6:$B$7))</f>
        <v>0</v>
      </c>
      <c r="D1561" s="2" t="b">
        <f>IF(ISBLANK(InfoGard!G1561),FALSE,InfoGard!G1561)</f>
        <v>0</v>
      </c>
      <c r="E1561" s="2" t="str">
        <f>IF(NOT(ISBLANK(InfoGard!D1561)),IF(OR(ISBLANK(InfoGard!E1561),InfoGard!E1561="N/A"),"no acb code",CONCATENATE(Lookup!F$1,A1561,Lookup!G$1,B1561,Lookup!H$1,H$1,Lookup!I$1)),"no attestation")</f>
        <v>no attestation</v>
      </c>
      <c r="F1561" s="2" t="str">
        <f>IF(AND(NOT(ISBLANK(InfoGard!G1561)),InfoGard!G1561&lt;&gt;"N/A"),IF(C1561="All",CONCATENATE(Lookup!F$2,D1561,Lookup!G$2,B1561,Lookup!H$2,H$1,Lookup!I$2),CONCATENATE(Lookup!F$3,D1561,Lookup!G$3,B1561,Lookup!H$3)),"no url")</f>
        <v>no url</v>
      </c>
    </row>
    <row r="1562" spans="1:6" hidden="1" x14ac:dyDescent="0.25">
      <c r="A1562" s="2" t="b">
        <f>IF(ISBLANK(InfoGard!D1562),FALSE,LOOKUP(InfoGard!D1562,Lookup!$A$2:$B$4))</f>
        <v>0</v>
      </c>
      <c r="B1562" s="2" t="b">
        <f>IF(ISBLANK(InfoGard!E1562),FALSE,RIGHT(TRIM(InfoGard!E1562),15))</f>
        <v>0</v>
      </c>
      <c r="C1562" s="2" t="b">
        <f>IF(ISBLANK(InfoGard!F1562),FALSE,LOOKUP(InfoGard!F1562,Lookup!$A$6:$B$7))</f>
        <v>0</v>
      </c>
      <c r="D1562" s="2" t="b">
        <f>IF(ISBLANK(InfoGard!G1562),FALSE,InfoGard!G1562)</f>
        <v>0</v>
      </c>
      <c r="E1562" s="2" t="str">
        <f>IF(NOT(ISBLANK(InfoGard!D1562)),IF(OR(ISBLANK(InfoGard!E1562),InfoGard!E1562="N/A"),"no acb code",CONCATENATE(Lookup!F$1,A1562,Lookup!G$1,B1562,Lookup!H$1,H$1,Lookup!I$1)),"no attestation")</f>
        <v>no attestation</v>
      </c>
      <c r="F1562" s="2" t="str">
        <f>IF(AND(NOT(ISBLANK(InfoGard!G1562)),InfoGard!G1562&lt;&gt;"N/A"),IF(C1562="All",CONCATENATE(Lookup!F$2,D1562,Lookup!G$2,B1562,Lookup!H$2,H$1,Lookup!I$2),CONCATENATE(Lookup!F$3,D1562,Lookup!G$3,B1562,Lookup!H$3)),"no url")</f>
        <v>no url</v>
      </c>
    </row>
    <row r="1563" spans="1:6" hidden="1" x14ac:dyDescent="0.25">
      <c r="A1563" s="2" t="b">
        <f>IF(ISBLANK(InfoGard!D1563),FALSE,LOOKUP(InfoGard!D1563,Lookup!$A$2:$B$4))</f>
        <v>0</v>
      </c>
      <c r="B1563" s="2" t="b">
        <f>IF(ISBLANK(InfoGard!E1563),FALSE,RIGHT(TRIM(InfoGard!E1563),15))</f>
        <v>0</v>
      </c>
      <c r="C1563" s="2" t="b">
        <f>IF(ISBLANK(InfoGard!F1563),FALSE,LOOKUP(InfoGard!F1563,Lookup!$A$6:$B$7))</f>
        <v>0</v>
      </c>
      <c r="D1563" s="2" t="b">
        <f>IF(ISBLANK(InfoGard!G1563),FALSE,InfoGard!G1563)</f>
        <v>0</v>
      </c>
      <c r="E1563" s="2" t="str">
        <f>IF(NOT(ISBLANK(InfoGard!D1563)),IF(OR(ISBLANK(InfoGard!E1563),InfoGard!E1563="N/A"),"no acb code",CONCATENATE(Lookup!F$1,A1563,Lookup!G$1,B1563,Lookup!H$1,H$1,Lookup!I$1)),"no attestation")</f>
        <v>no attestation</v>
      </c>
      <c r="F1563" s="2" t="str">
        <f>IF(AND(NOT(ISBLANK(InfoGard!G1563)),InfoGard!G1563&lt;&gt;"N/A"),IF(C1563="All",CONCATENATE(Lookup!F$2,D1563,Lookup!G$2,B1563,Lookup!H$2,H$1,Lookup!I$2),CONCATENATE(Lookup!F$3,D1563,Lookup!G$3,B1563,Lookup!H$3)),"no url")</f>
        <v>no url</v>
      </c>
    </row>
    <row r="1564" spans="1:6" hidden="1" x14ac:dyDescent="0.25">
      <c r="A1564" s="2" t="b">
        <f>IF(ISBLANK(InfoGard!D1564),FALSE,LOOKUP(InfoGard!D1564,Lookup!$A$2:$B$4))</f>
        <v>0</v>
      </c>
      <c r="B1564" s="2" t="b">
        <f>IF(ISBLANK(InfoGard!E1564),FALSE,RIGHT(TRIM(InfoGard!E1564),15))</f>
        <v>0</v>
      </c>
      <c r="C1564" s="2" t="b">
        <f>IF(ISBLANK(InfoGard!F1564),FALSE,LOOKUP(InfoGard!F1564,Lookup!$A$6:$B$7))</f>
        <v>0</v>
      </c>
      <c r="D1564" s="2" t="b">
        <f>IF(ISBLANK(InfoGard!G1564),FALSE,InfoGard!G1564)</f>
        <v>0</v>
      </c>
      <c r="E1564" s="2" t="str">
        <f>IF(NOT(ISBLANK(InfoGard!D1564)),IF(OR(ISBLANK(InfoGard!E1564),InfoGard!E1564="N/A"),"no acb code",CONCATENATE(Lookup!F$1,A1564,Lookup!G$1,B1564,Lookup!H$1,H$1,Lookup!I$1)),"no attestation")</f>
        <v>no attestation</v>
      </c>
      <c r="F1564" s="2" t="str">
        <f>IF(AND(NOT(ISBLANK(InfoGard!G1564)),InfoGard!G1564&lt;&gt;"N/A"),IF(C1564="All",CONCATENATE(Lookup!F$2,D1564,Lookup!G$2,B1564,Lookup!H$2,H$1,Lookup!I$2),CONCATENATE(Lookup!F$3,D1564,Lookup!G$3,B1564,Lookup!H$3)),"no url")</f>
        <v>no url</v>
      </c>
    </row>
    <row r="1565" spans="1:6" hidden="1" x14ac:dyDescent="0.25">
      <c r="A1565" s="2" t="b">
        <f>IF(ISBLANK(InfoGard!D1565),FALSE,LOOKUP(InfoGard!D1565,Lookup!$A$2:$B$4))</f>
        <v>0</v>
      </c>
      <c r="B1565" s="2" t="b">
        <f>IF(ISBLANK(InfoGard!E1565),FALSE,RIGHT(TRIM(InfoGard!E1565),15))</f>
        <v>0</v>
      </c>
      <c r="C1565" s="2" t="b">
        <f>IF(ISBLANK(InfoGard!F1565),FALSE,LOOKUP(InfoGard!F1565,Lookup!$A$6:$B$7))</f>
        <v>0</v>
      </c>
      <c r="D1565" s="2" t="b">
        <f>IF(ISBLANK(InfoGard!G1565),FALSE,InfoGard!G1565)</f>
        <v>0</v>
      </c>
      <c r="E1565" s="2" t="str">
        <f>IF(NOT(ISBLANK(InfoGard!D1565)),IF(OR(ISBLANK(InfoGard!E1565),InfoGard!E1565="N/A"),"no acb code",CONCATENATE(Lookup!F$1,A1565,Lookup!G$1,B1565,Lookup!H$1,H$1,Lookup!I$1)),"no attestation")</f>
        <v>no attestation</v>
      </c>
      <c r="F1565" s="2" t="str">
        <f>IF(AND(NOT(ISBLANK(InfoGard!G1565)),InfoGard!G1565&lt;&gt;"N/A"),IF(C1565="All",CONCATENATE(Lookup!F$2,D1565,Lookup!G$2,B1565,Lookup!H$2,H$1,Lookup!I$2),CONCATENATE(Lookup!F$3,D1565,Lookup!G$3,B1565,Lookup!H$3)),"no url")</f>
        <v>no url</v>
      </c>
    </row>
    <row r="1566" spans="1:6" hidden="1" x14ac:dyDescent="0.25">
      <c r="A1566" s="2" t="b">
        <f>IF(ISBLANK(InfoGard!D1566),FALSE,LOOKUP(InfoGard!D1566,Lookup!$A$2:$B$4))</f>
        <v>0</v>
      </c>
      <c r="B1566" s="2" t="b">
        <f>IF(ISBLANK(InfoGard!E1566),FALSE,RIGHT(TRIM(InfoGard!E1566),15))</f>
        <v>0</v>
      </c>
      <c r="C1566" s="2" t="b">
        <f>IF(ISBLANK(InfoGard!F1566),FALSE,LOOKUP(InfoGard!F1566,Lookup!$A$6:$B$7))</f>
        <v>0</v>
      </c>
      <c r="D1566" s="2" t="b">
        <f>IF(ISBLANK(InfoGard!G1566),FALSE,InfoGard!G1566)</f>
        <v>0</v>
      </c>
      <c r="E1566" s="2" t="str">
        <f>IF(NOT(ISBLANK(InfoGard!D1566)),IF(OR(ISBLANK(InfoGard!E1566),InfoGard!E1566="N/A"),"no acb code",CONCATENATE(Lookup!F$1,A1566,Lookup!G$1,B1566,Lookup!H$1,H$1,Lookup!I$1)),"no attestation")</f>
        <v>no attestation</v>
      </c>
      <c r="F1566" s="2" t="str">
        <f>IF(AND(NOT(ISBLANK(InfoGard!G1566)),InfoGard!G1566&lt;&gt;"N/A"),IF(C1566="All",CONCATENATE(Lookup!F$2,D1566,Lookup!G$2,B1566,Lookup!H$2,H$1,Lookup!I$2),CONCATENATE(Lookup!F$3,D1566,Lookup!G$3,B1566,Lookup!H$3)),"no url")</f>
        <v>no url</v>
      </c>
    </row>
    <row r="1567" spans="1:6" hidden="1" x14ac:dyDescent="0.25">
      <c r="A1567" s="2" t="b">
        <f>IF(ISBLANK(InfoGard!D1567),FALSE,LOOKUP(InfoGard!D1567,Lookup!$A$2:$B$4))</f>
        <v>0</v>
      </c>
      <c r="B1567" s="2" t="b">
        <f>IF(ISBLANK(InfoGard!E1567),FALSE,RIGHT(TRIM(InfoGard!E1567),15))</f>
        <v>0</v>
      </c>
      <c r="C1567" s="2" t="b">
        <f>IF(ISBLANK(InfoGard!F1567),FALSE,LOOKUP(InfoGard!F1567,Lookup!$A$6:$B$7))</f>
        <v>0</v>
      </c>
      <c r="D1567" s="2" t="b">
        <f>IF(ISBLANK(InfoGard!G1567),FALSE,InfoGard!G1567)</f>
        <v>0</v>
      </c>
      <c r="E1567" s="2" t="str">
        <f>IF(NOT(ISBLANK(InfoGard!D1567)),IF(OR(ISBLANK(InfoGard!E1567),InfoGard!E1567="N/A"),"no acb code",CONCATENATE(Lookup!F$1,A1567,Lookup!G$1,B1567,Lookup!H$1,H$1,Lookup!I$1)),"no attestation")</f>
        <v>no attestation</v>
      </c>
      <c r="F1567" s="2" t="str">
        <f>IF(AND(NOT(ISBLANK(InfoGard!G1567)),InfoGard!G1567&lt;&gt;"N/A"),IF(C1567="All",CONCATENATE(Lookup!F$2,D1567,Lookup!G$2,B1567,Lookup!H$2,H$1,Lookup!I$2),CONCATENATE(Lookup!F$3,D1567,Lookup!G$3,B1567,Lookup!H$3)),"no url")</f>
        <v>no url</v>
      </c>
    </row>
    <row r="1568" spans="1:6" hidden="1" x14ac:dyDescent="0.25">
      <c r="A1568" s="2" t="b">
        <f>IF(ISBLANK(InfoGard!D1568),FALSE,LOOKUP(InfoGard!D1568,Lookup!$A$2:$B$4))</f>
        <v>0</v>
      </c>
      <c r="B1568" s="2" t="b">
        <f>IF(ISBLANK(InfoGard!E1568),FALSE,RIGHT(TRIM(InfoGard!E1568),15))</f>
        <v>0</v>
      </c>
      <c r="C1568" s="2" t="b">
        <f>IF(ISBLANK(InfoGard!F1568),FALSE,LOOKUP(InfoGard!F1568,Lookup!$A$6:$B$7))</f>
        <v>0</v>
      </c>
      <c r="D1568" s="2" t="b">
        <f>IF(ISBLANK(InfoGard!G1568),FALSE,InfoGard!G1568)</f>
        <v>0</v>
      </c>
      <c r="E1568" s="2" t="str">
        <f>IF(NOT(ISBLANK(InfoGard!D1568)),IF(OR(ISBLANK(InfoGard!E1568),InfoGard!E1568="N/A"),"no acb code",CONCATENATE(Lookup!F$1,A1568,Lookup!G$1,B1568,Lookup!H$1,H$1,Lookup!I$1)),"no attestation")</f>
        <v>no attestation</v>
      </c>
      <c r="F1568" s="2" t="str">
        <f>IF(AND(NOT(ISBLANK(InfoGard!G1568)),InfoGard!G1568&lt;&gt;"N/A"),IF(C1568="All",CONCATENATE(Lookup!F$2,D1568,Lookup!G$2,B1568,Lookup!H$2,H$1,Lookup!I$2),CONCATENATE(Lookup!F$3,D1568,Lookup!G$3,B1568,Lookup!H$3)),"no url")</f>
        <v>no url</v>
      </c>
    </row>
    <row r="1569" spans="1:6" hidden="1" x14ac:dyDescent="0.25">
      <c r="A1569" s="2" t="b">
        <f>IF(ISBLANK(InfoGard!D1569),FALSE,LOOKUP(InfoGard!D1569,Lookup!$A$2:$B$4))</f>
        <v>0</v>
      </c>
      <c r="B1569" s="2" t="b">
        <f>IF(ISBLANK(InfoGard!E1569),FALSE,RIGHT(TRIM(InfoGard!E1569),15))</f>
        <v>0</v>
      </c>
      <c r="C1569" s="2" t="b">
        <f>IF(ISBLANK(InfoGard!F1569),FALSE,LOOKUP(InfoGard!F1569,Lookup!$A$6:$B$7))</f>
        <v>0</v>
      </c>
      <c r="D1569" s="2" t="b">
        <f>IF(ISBLANK(InfoGard!G1569),FALSE,InfoGard!G1569)</f>
        <v>0</v>
      </c>
      <c r="E1569" s="2" t="str">
        <f>IF(NOT(ISBLANK(InfoGard!D1569)),IF(OR(ISBLANK(InfoGard!E1569),InfoGard!E1569="N/A"),"no acb code",CONCATENATE(Lookup!F$1,A1569,Lookup!G$1,B1569,Lookup!H$1,H$1,Lookup!I$1)),"no attestation")</f>
        <v>no attestation</v>
      </c>
      <c r="F1569" s="2" t="str">
        <f>IF(AND(NOT(ISBLANK(InfoGard!G1569)),InfoGard!G1569&lt;&gt;"N/A"),IF(C1569="All",CONCATENATE(Lookup!F$2,D1569,Lookup!G$2,B1569,Lookup!H$2,H$1,Lookup!I$2),CONCATENATE(Lookup!F$3,D1569,Lookup!G$3,B1569,Lookup!H$3)),"no url")</f>
        <v>no url</v>
      </c>
    </row>
    <row r="1570" spans="1:6" hidden="1" x14ac:dyDescent="0.25">
      <c r="A1570" s="2" t="b">
        <f>IF(ISBLANK(InfoGard!D1570),FALSE,LOOKUP(InfoGard!D1570,Lookup!$A$2:$B$4))</f>
        <v>0</v>
      </c>
      <c r="B1570" s="2" t="b">
        <f>IF(ISBLANK(InfoGard!E1570),FALSE,RIGHT(TRIM(InfoGard!E1570),15))</f>
        <v>0</v>
      </c>
      <c r="C1570" s="2" t="b">
        <f>IF(ISBLANK(InfoGard!F1570),FALSE,LOOKUP(InfoGard!F1570,Lookup!$A$6:$B$7))</f>
        <v>0</v>
      </c>
      <c r="D1570" s="2" t="b">
        <f>IF(ISBLANK(InfoGard!G1570),FALSE,InfoGard!G1570)</f>
        <v>0</v>
      </c>
      <c r="E1570" s="2" t="str">
        <f>IF(NOT(ISBLANK(InfoGard!D1570)),IF(OR(ISBLANK(InfoGard!E1570),InfoGard!E1570="N/A"),"no acb code",CONCATENATE(Lookup!F$1,A1570,Lookup!G$1,B1570,Lookup!H$1,H$1,Lookup!I$1)),"no attestation")</f>
        <v>no attestation</v>
      </c>
      <c r="F1570" s="2" t="str">
        <f>IF(AND(NOT(ISBLANK(InfoGard!G1570)),InfoGard!G1570&lt;&gt;"N/A"),IF(C1570="All",CONCATENATE(Lookup!F$2,D1570,Lookup!G$2,B1570,Lookup!H$2,H$1,Lookup!I$2),CONCATENATE(Lookup!F$3,D1570,Lookup!G$3,B1570,Lookup!H$3)),"no url")</f>
        <v>no url</v>
      </c>
    </row>
    <row r="1571" spans="1:6" hidden="1" x14ac:dyDescent="0.25">
      <c r="A1571" s="2" t="b">
        <f>IF(ISBLANK(InfoGard!D1571),FALSE,LOOKUP(InfoGard!D1571,Lookup!$A$2:$B$4))</f>
        <v>0</v>
      </c>
      <c r="B1571" s="2" t="b">
        <f>IF(ISBLANK(InfoGard!E1571),FALSE,RIGHT(TRIM(InfoGard!E1571),15))</f>
        <v>0</v>
      </c>
      <c r="C1571" s="2" t="b">
        <f>IF(ISBLANK(InfoGard!F1571),FALSE,LOOKUP(InfoGard!F1571,Lookup!$A$6:$B$7))</f>
        <v>0</v>
      </c>
      <c r="D1571" s="2" t="b">
        <f>IF(ISBLANK(InfoGard!G1571),FALSE,InfoGard!G1571)</f>
        <v>0</v>
      </c>
      <c r="E1571" s="2" t="str">
        <f>IF(NOT(ISBLANK(InfoGard!D1571)),IF(OR(ISBLANK(InfoGard!E1571),InfoGard!E1571="N/A"),"no acb code",CONCATENATE(Lookup!F$1,A1571,Lookup!G$1,B1571,Lookup!H$1,H$1,Lookup!I$1)),"no attestation")</f>
        <v>no attestation</v>
      </c>
      <c r="F1571" s="2" t="str">
        <f>IF(AND(NOT(ISBLANK(InfoGard!G1571)),InfoGard!G1571&lt;&gt;"N/A"),IF(C1571="All",CONCATENATE(Lookup!F$2,D1571,Lookup!G$2,B1571,Lookup!H$2,H$1,Lookup!I$2),CONCATENATE(Lookup!F$3,D1571,Lookup!G$3,B1571,Lookup!H$3)),"no url")</f>
        <v>no url</v>
      </c>
    </row>
    <row r="1572" spans="1:6" hidden="1" x14ac:dyDescent="0.25">
      <c r="A1572" s="2" t="b">
        <f>IF(ISBLANK(InfoGard!D1572),FALSE,LOOKUP(InfoGard!D1572,Lookup!$A$2:$B$4))</f>
        <v>0</v>
      </c>
      <c r="B1572" s="2" t="b">
        <f>IF(ISBLANK(InfoGard!E1572),FALSE,RIGHT(TRIM(InfoGard!E1572),15))</f>
        <v>0</v>
      </c>
      <c r="C1572" s="2" t="b">
        <f>IF(ISBLANK(InfoGard!F1572),FALSE,LOOKUP(InfoGard!F1572,Lookup!$A$6:$B$7))</f>
        <v>0</v>
      </c>
      <c r="D1572" s="2" t="b">
        <f>IF(ISBLANK(InfoGard!G1572),FALSE,InfoGard!G1572)</f>
        <v>0</v>
      </c>
      <c r="E1572" s="2" t="str">
        <f>IF(NOT(ISBLANK(InfoGard!D1572)),IF(OR(ISBLANK(InfoGard!E1572),InfoGard!E1572="N/A"),"no acb code",CONCATENATE(Lookup!F$1,A1572,Lookup!G$1,B1572,Lookup!H$1,H$1,Lookup!I$1)),"no attestation")</f>
        <v>no attestation</v>
      </c>
      <c r="F1572" s="2" t="str">
        <f>IF(AND(NOT(ISBLANK(InfoGard!G1572)),InfoGard!G1572&lt;&gt;"N/A"),IF(C1572="All",CONCATENATE(Lookup!F$2,D1572,Lookup!G$2,B1572,Lookup!H$2,H$1,Lookup!I$2),CONCATENATE(Lookup!F$3,D1572,Lookup!G$3,B1572,Lookup!H$3)),"no url")</f>
        <v>no url</v>
      </c>
    </row>
    <row r="1573" spans="1:6" hidden="1" x14ac:dyDescent="0.25">
      <c r="A1573" s="2" t="b">
        <f>IF(ISBLANK(InfoGard!D1573),FALSE,LOOKUP(InfoGard!D1573,Lookup!$A$2:$B$4))</f>
        <v>0</v>
      </c>
      <c r="B1573" s="2" t="b">
        <f>IF(ISBLANK(InfoGard!E1573),FALSE,RIGHT(TRIM(InfoGard!E1573),15))</f>
        <v>0</v>
      </c>
      <c r="C1573" s="2" t="b">
        <f>IF(ISBLANK(InfoGard!F1573),FALSE,LOOKUP(InfoGard!F1573,Lookup!$A$6:$B$7))</f>
        <v>0</v>
      </c>
      <c r="D1573" s="2" t="b">
        <f>IF(ISBLANK(InfoGard!G1573),FALSE,InfoGard!G1573)</f>
        <v>0</v>
      </c>
      <c r="E1573" s="2" t="str">
        <f>IF(NOT(ISBLANK(InfoGard!D1573)),IF(OR(ISBLANK(InfoGard!E1573),InfoGard!E1573="N/A"),"no acb code",CONCATENATE(Lookup!F$1,A1573,Lookup!G$1,B1573,Lookup!H$1,H$1,Lookup!I$1)),"no attestation")</f>
        <v>no attestation</v>
      </c>
      <c r="F1573" s="2" t="str">
        <f>IF(AND(NOT(ISBLANK(InfoGard!G1573)),InfoGard!G1573&lt;&gt;"N/A"),IF(C1573="All",CONCATENATE(Lookup!F$2,D1573,Lookup!G$2,B1573,Lookup!H$2,H$1,Lookup!I$2),CONCATENATE(Lookup!F$3,D1573,Lookup!G$3,B1573,Lookup!H$3)),"no url")</f>
        <v>no url</v>
      </c>
    </row>
    <row r="1574" spans="1:6" hidden="1" x14ac:dyDescent="0.25">
      <c r="A1574" s="2" t="b">
        <f>IF(ISBLANK(InfoGard!D1574),FALSE,LOOKUP(InfoGard!D1574,Lookup!$A$2:$B$4))</f>
        <v>0</v>
      </c>
      <c r="B1574" s="2" t="b">
        <f>IF(ISBLANK(InfoGard!E1574),FALSE,RIGHT(TRIM(InfoGard!E1574),15))</f>
        <v>0</v>
      </c>
      <c r="C1574" s="2" t="b">
        <f>IF(ISBLANK(InfoGard!F1574),FALSE,LOOKUP(InfoGard!F1574,Lookup!$A$6:$B$7))</f>
        <v>0</v>
      </c>
      <c r="D1574" s="2" t="b">
        <f>IF(ISBLANK(InfoGard!G1574),FALSE,InfoGard!G1574)</f>
        <v>0</v>
      </c>
      <c r="E1574" s="2" t="str">
        <f>IF(NOT(ISBLANK(InfoGard!D1574)),IF(OR(ISBLANK(InfoGard!E1574),InfoGard!E1574="N/A"),"no acb code",CONCATENATE(Lookup!F$1,A1574,Lookup!G$1,B1574,Lookup!H$1,H$1,Lookup!I$1)),"no attestation")</f>
        <v>no attestation</v>
      </c>
      <c r="F1574" s="2" t="str">
        <f>IF(AND(NOT(ISBLANK(InfoGard!G1574)),InfoGard!G1574&lt;&gt;"N/A"),IF(C1574="All",CONCATENATE(Lookup!F$2,D1574,Lookup!G$2,B1574,Lookup!H$2,H$1,Lookup!I$2),CONCATENATE(Lookup!F$3,D1574,Lookup!G$3,B1574,Lookup!H$3)),"no url")</f>
        <v>no url</v>
      </c>
    </row>
    <row r="1575" spans="1:6" hidden="1" x14ac:dyDescent="0.25">
      <c r="A1575" s="2" t="b">
        <f>IF(ISBLANK(InfoGard!D1575),FALSE,LOOKUP(InfoGard!D1575,Lookup!$A$2:$B$4))</f>
        <v>0</v>
      </c>
      <c r="B1575" s="2" t="b">
        <f>IF(ISBLANK(InfoGard!E1575),FALSE,RIGHT(TRIM(InfoGard!E1575),15))</f>
        <v>0</v>
      </c>
      <c r="C1575" s="2" t="b">
        <f>IF(ISBLANK(InfoGard!F1575),FALSE,LOOKUP(InfoGard!F1575,Lookup!$A$6:$B$7))</f>
        <v>0</v>
      </c>
      <c r="D1575" s="2" t="b">
        <f>IF(ISBLANK(InfoGard!G1575),FALSE,InfoGard!G1575)</f>
        <v>0</v>
      </c>
      <c r="E1575" s="2" t="str">
        <f>IF(NOT(ISBLANK(InfoGard!D1575)),IF(OR(ISBLANK(InfoGard!E1575),InfoGard!E1575="N/A"),"no acb code",CONCATENATE(Lookup!F$1,A1575,Lookup!G$1,B1575,Lookup!H$1,H$1,Lookup!I$1)),"no attestation")</f>
        <v>no attestation</v>
      </c>
      <c r="F1575" s="2" t="str">
        <f>IF(AND(NOT(ISBLANK(InfoGard!G1575)),InfoGard!G1575&lt;&gt;"N/A"),IF(C1575="All",CONCATENATE(Lookup!F$2,D1575,Lookup!G$2,B1575,Lookup!H$2,H$1,Lookup!I$2),CONCATENATE(Lookup!F$3,D1575,Lookup!G$3,B1575,Lookup!H$3)),"no url")</f>
        <v>no url</v>
      </c>
    </row>
    <row r="1576" spans="1:6" hidden="1" x14ac:dyDescent="0.25">
      <c r="A1576" s="2" t="b">
        <f>IF(ISBLANK(InfoGard!D1576),FALSE,LOOKUP(InfoGard!D1576,Lookup!$A$2:$B$4))</f>
        <v>0</v>
      </c>
      <c r="B1576" s="2" t="b">
        <f>IF(ISBLANK(InfoGard!E1576),FALSE,RIGHT(TRIM(InfoGard!E1576),15))</f>
        <v>0</v>
      </c>
      <c r="C1576" s="2" t="b">
        <f>IF(ISBLANK(InfoGard!F1576),FALSE,LOOKUP(InfoGard!F1576,Lookup!$A$6:$B$7))</f>
        <v>0</v>
      </c>
      <c r="D1576" s="2" t="b">
        <f>IF(ISBLANK(InfoGard!G1576),FALSE,InfoGard!G1576)</f>
        <v>0</v>
      </c>
      <c r="E1576" s="2" t="str">
        <f>IF(NOT(ISBLANK(InfoGard!D1576)),IF(OR(ISBLANK(InfoGard!E1576),InfoGard!E1576="N/A"),"no acb code",CONCATENATE(Lookup!F$1,A1576,Lookup!G$1,B1576,Lookup!H$1,H$1,Lookup!I$1)),"no attestation")</f>
        <v>no attestation</v>
      </c>
      <c r="F1576" s="2" t="str">
        <f>IF(AND(NOT(ISBLANK(InfoGard!G1576)),InfoGard!G1576&lt;&gt;"N/A"),IF(C1576="All",CONCATENATE(Lookup!F$2,D1576,Lookup!G$2,B1576,Lookup!H$2,H$1,Lookup!I$2),CONCATENATE(Lookup!F$3,D1576,Lookup!G$3,B1576,Lookup!H$3)),"no url")</f>
        <v>no url</v>
      </c>
    </row>
    <row r="1577" spans="1:6" hidden="1" x14ac:dyDescent="0.25">
      <c r="A1577" s="2" t="b">
        <f>IF(ISBLANK(InfoGard!D1577),FALSE,LOOKUP(InfoGard!D1577,Lookup!$A$2:$B$4))</f>
        <v>0</v>
      </c>
      <c r="B1577" s="2" t="b">
        <f>IF(ISBLANK(InfoGard!E1577),FALSE,RIGHT(TRIM(InfoGard!E1577),15))</f>
        <v>0</v>
      </c>
      <c r="C1577" s="2" t="b">
        <f>IF(ISBLANK(InfoGard!F1577),FALSE,LOOKUP(InfoGard!F1577,Lookup!$A$6:$B$7))</f>
        <v>0</v>
      </c>
      <c r="D1577" s="2" t="b">
        <f>IF(ISBLANK(InfoGard!G1577),FALSE,InfoGard!G1577)</f>
        <v>0</v>
      </c>
      <c r="E1577" s="2" t="str">
        <f>IF(NOT(ISBLANK(InfoGard!D1577)),IF(OR(ISBLANK(InfoGard!E1577),InfoGard!E1577="N/A"),"no acb code",CONCATENATE(Lookup!F$1,A1577,Lookup!G$1,B1577,Lookup!H$1,H$1,Lookup!I$1)),"no attestation")</f>
        <v>no attestation</v>
      </c>
      <c r="F1577" s="2" t="str">
        <f>IF(AND(NOT(ISBLANK(InfoGard!G1577)),InfoGard!G1577&lt;&gt;"N/A"),IF(C1577="All",CONCATENATE(Lookup!F$2,D1577,Lookup!G$2,B1577,Lookup!H$2,H$1,Lookup!I$2),CONCATENATE(Lookup!F$3,D1577,Lookup!G$3,B1577,Lookup!H$3)),"no url")</f>
        <v>no url</v>
      </c>
    </row>
    <row r="1578" spans="1:6" hidden="1" x14ac:dyDescent="0.25">
      <c r="A1578" s="2" t="b">
        <f>IF(ISBLANK(InfoGard!D1578),FALSE,LOOKUP(InfoGard!D1578,Lookup!$A$2:$B$4))</f>
        <v>0</v>
      </c>
      <c r="B1578" s="2" t="b">
        <f>IF(ISBLANK(InfoGard!E1578),FALSE,RIGHT(TRIM(InfoGard!E1578),15))</f>
        <v>0</v>
      </c>
      <c r="C1578" s="2" t="b">
        <f>IF(ISBLANK(InfoGard!F1578),FALSE,LOOKUP(InfoGard!F1578,Lookup!$A$6:$B$7))</f>
        <v>0</v>
      </c>
      <c r="D1578" s="2" t="b">
        <f>IF(ISBLANK(InfoGard!G1578),FALSE,InfoGard!G1578)</f>
        <v>0</v>
      </c>
      <c r="E1578" s="2" t="str">
        <f>IF(NOT(ISBLANK(InfoGard!D1578)),IF(OR(ISBLANK(InfoGard!E1578),InfoGard!E1578="N/A"),"no acb code",CONCATENATE(Lookup!F$1,A1578,Lookup!G$1,B1578,Lookup!H$1,H$1,Lookup!I$1)),"no attestation")</f>
        <v>no attestation</v>
      </c>
      <c r="F1578" s="2" t="str">
        <f>IF(AND(NOT(ISBLANK(InfoGard!G1578)),InfoGard!G1578&lt;&gt;"N/A"),IF(C1578="All",CONCATENATE(Lookup!F$2,D1578,Lookup!G$2,B1578,Lookup!H$2,H$1,Lookup!I$2),CONCATENATE(Lookup!F$3,D1578,Lookup!G$3,B1578,Lookup!H$3)),"no url")</f>
        <v>no url</v>
      </c>
    </row>
    <row r="1579" spans="1:6" hidden="1" x14ac:dyDescent="0.25">
      <c r="A1579" s="2" t="b">
        <f>IF(ISBLANK(InfoGard!D1579),FALSE,LOOKUP(InfoGard!D1579,Lookup!$A$2:$B$4))</f>
        <v>0</v>
      </c>
      <c r="B1579" s="2" t="b">
        <f>IF(ISBLANK(InfoGard!E1579),FALSE,RIGHT(TRIM(InfoGard!E1579),15))</f>
        <v>0</v>
      </c>
      <c r="C1579" s="2" t="b">
        <f>IF(ISBLANK(InfoGard!F1579),FALSE,LOOKUP(InfoGard!F1579,Lookup!$A$6:$B$7))</f>
        <v>0</v>
      </c>
      <c r="D1579" s="2" t="b">
        <f>IF(ISBLANK(InfoGard!G1579),FALSE,InfoGard!G1579)</f>
        <v>0</v>
      </c>
      <c r="E1579" s="2" t="str">
        <f>IF(NOT(ISBLANK(InfoGard!D1579)),IF(OR(ISBLANK(InfoGard!E1579),InfoGard!E1579="N/A"),"no acb code",CONCATENATE(Lookup!F$1,A1579,Lookup!G$1,B1579,Lookup!H$1,H$1,Lookup!I$1)),"no attestation")</f>
        <v>no attestation</v>
      </c>
      <c r="F1579" s="2" t="str">
        <f>IF(AND(NOT(ISBLANK(InfoGard!G1579)),InfoGard!G1579&lt;&gt;"N/A"),IF(C1579="All",CONCATENATE(Lookup!F$2,D1579,Lookup!G$2,B1579,Lookup!H$2,H$1,Lookup!I$2),CONCATENATE(Lookup!F$3,D1579,Lookup!G$3,B1579,Lookup!H$3)),"no url")</f>
        <v>no url</v>
      </c>
    </row>
    <row r="1580" spans="1:6" hidden="1" x14ac:dyDescent="0.25">
      <c r="A1580" s="2" t="b">
        <f>IF(ISBLANK(InfoGard!D1580),FALSE,LOOKUP(InfoGard!D1580,Lookup!$A$2:$B$4))</f>
        <v>0</v>
      </c>
      <c r="B1580" s="2" t="b">
        <f>IF(ISBLANK(InfoGard!E1580),FALSE,RIGHT(TRIM(InfoGard!E1580),15))</f>
        <v>0</v>
      </c>
      <c r="C1580" s="2" t="b">
        <f>IF(ISBLANK(InfoGard!F1580),FALSE,LOOKUP(InfoGard!F1580,Lookup!$A$6:$B$7))</f>
        <v>0</v>
      </c>
      <c r="D1580" s="2" t="b">
        <f>IF(ISBLANK(InfoGard!G1580),FALSE,InfoGard!G1580)</f>
        <v>0</v>
      </c>
      <c r="E1580" s="2" t="str">
        <f>IF(NOT(ISBLANK(InfoGard!D1580)),IF(OR(ISBLANK(InfoGard!E1580),InfoGard!E1580="N/A"),"no acb code",CONCATENATE(Lookup!F$1,A1580,Lookup!G$1,B1580,Lookup!H$1,H$1,Lookup!I$1)),"no attestation")</f>
        <v>no attestation</v>
      </c>
      <c r="F1580" s="2" t="str">
        <f>IF(AND(NOT(ISBLANK(InfoGard!G1580)),InfoGard!G1580&lt;&gt;"N/A"),IF(C1580="All",CONCATENATE(Lookup!F$2,D1580,Lookup!G$2,B1580,Lookup!H$2,H$1,Lookup!I$2),CONCATENATE(Lookup!F$3,D1580,Lookup!G$3,B1580,Lookup!H$3)),"no url")</f>
        <v>no url</v>
      </c>
    </row>
    <row r="1581" spans="1:6" hidden="1" x14ac:dyDescent="0.25">
      <c r="A1581" s="2" t="b">
        <f>IF(ISBLANK(InfoGard!D1581),FALSE,LOOKUP(InfoGard!D1581,Lookup!$A$2:$B$4))</f>
        <v>0</v>
      </c>
      <c r="B1581" s="2" t="b">
        <f>IF(ISBLANK(InfoGard!E1581),FALSE,RIGHT(TRIM(InfoGard!E1581),15))</f>
        <v>0</v>
      </c>
      <c r="C1581" s="2" t="b">
        <f>IF(ISBLANK(InfoGard!F1581),FALSE,LOOKUP(InfoGard!F1581,Lookup!$A$6:$B$7))</f>
        <v>0</v>
      </c>
      <c r="D1581" s="2" t="b">
        <f>IF(ISBLANK(InfoGard!G1581),FALSE,InfoGard!G1581)</f>
        <v>0</v>
      </c>
      <c r="E1581" s="2" t="str">
        <f>IF(NOT(ISBLANK(InfoGard!D1581)),IF(OR(ISBLANK(InfoGard!E1581),InfoGard!E1581="N/A"),"no acb code",CONCATENATE(Lookup!F$1,A1581,Lookup!G$1,B1581,Lookup!H$1,H$1,Lookup!I$1)),"no attestation")</f>
        <v>no attestation</v>
      </c>
      <c r="F1581" s="2" t="str">
        <f>IF(AND(NOT(ISBLANK(InfoGard!G1581)),InfoGard!G1581&lt;&gt;"N/A"),IF(C1581="All",CONCATENATE(Lookup!F$2,D1581,Lookup!G$2,B1581,Lookup!H$2,H$1,Lookup!I$2),CONCATENATE(Lookup!F$3,D1581,Lookup!G$3,B1581,Lookup!H$3)),"no url")</f>
        <v>no url</v>
      </c>
    </row>
    <row r="1582" spans="1:6" hidden="1" x14ac:dyDescent="0.25">
      <c r="A1582" s="2" t="b">
        <f>IF(ISBLANK(InfoGard!D1582),FALSE,LOOKUP(InfoGard!D1582,Lookup!$A$2:$B$4))</f>
        <v>0</v>
      </c>
      <c r="B1582" s="2" t="b">
        <f>IF(ISBLANK(InfoGard!E1582),FALSE,RIGHT(TRIM(InfoGard!E1582),15))</f>
        <v>0</v>
      </c>
      <c r="C1582" s="2" t="b">
        <f>IF(ISBLANK(InfoGard!F1582),FALSE,LOOKUP(InfoGard!F1582,Lookup!$A$6:$B$7))</f>
        <v>0</v>
      </c>
      <c r="D1582" s="2" t="b">
        <f>IF(ISBLANK(InfoGard!G1582),FALSE,InfoGard!G1582)</f>
        <v>0</v>
      </c>
      <c r="E1582" s="2" t="str">
        <f>IF(NOT(ISBLANK(InfoGard!D1582)),IF(OR(ISBLANK(InfoGard!E1582),InfoGard!E1582="N/A"),"no acb code",CONCATENATE(Lookup!F$1,A1582,Lookup!G$1,B1582,Lookup!H$1,H$1,Lookup!I$1)),"no attestation")</f>
        <v>no attestation</v>
      </c>
      <c r="F1582" s="2" t="str">
        <f>IF(AND(NOT(ISBLANK(InfoGard!G1582)),InfoGard!G1582&lt;&gt;"N/A"),IF(C1582="All",CONCATENATE(Lookup!F$2,D1582,Lookup!G$2,B1582,Lookup!H$2,H$1,Lookup!I$2),CONCATENATE(Lookup!F$3,D1582,Lookup!G$3,B1582,Lookup!H$3)),"no url")</f>
        <v>no url</v>
      </c>
    </row>
    <row r="1583" spans="1:6" hidden="1" x14ac:dyDescent="0.25">
      <c r="A1583" s="2" t="b">
        <f>IF(ISBLANK(InfoGard!D1583),FALSE,LOOKUP(InfoGard!D1583,Lookup!$A$2:$B$4))</f>
        <v>0</v>
      </c>
      <c r="B1583" s="2" t="b">
        <f>IF(ISBLANK(InfoGard!E1583),FALSE,RIGHT(TRIM(InfoGard!E1583),15))</f>
        <v>0</v>
      </c>
      <c r="C1583" s="2" t="b">
        <f>IF(ISBLANK(InfoGard!F1583),FALSE,LOOKUP(InfoGard!F1583,Lookup!$A$6:$B$7))</f>
        <v>0</v>
      </c>
      <c r="D1583" s="2" t="b">
        <f>IF(ISBLANK(InfoGard!G1583),FALSE,InfoGard!G1583)</f>
        <v>0</v>
      </c>
      <c r="E1583" s="2" t="str">
        <f>IF(NOT(ISBLANK(InfoGard!D1583)),IF(OR(ISBLANK(InfoGard!E1583),InfoGard!E1583="N/A"),"no acb code",CONCATENATE(Lookup!F$1,A1583,Lookup!G$1,B1583,Lookup!H$1,H$1,Lookup!I$1)),"no attestation")</f>
        <v>no attestation</v>
      </c>
      <c r="F1583" s="2" t="str">
        <f>IF(AND(NOT(ISBLANK(InfoGard!G1583)),InfoGard!G1583&lt;&gt;"N/A"),IF(C1583="All",CONCATENATE(Lookup!F$2,D1583,Lookup!G$2,B1583,Lookup!H$2,H$1,Lookup!I$2),CONCATENATE(Lookup!F$3,D1583,Lookup!G$3,B1583,Lookup!H$3)),"no url")</f>
        <v>no url</v>
      </c>
    </row>
    <row r="1584" spans="1:6" hidden="1" x14ac:dyDescent="0.25">
      <c r="A1584" s="2" t="b">
        <f>IF(ISBLANK(InfoGard!D1584),FALSE,LOOKUP(InfoGard!D1584,Lookup!$A$2:$B$4))</f>
        <v>0</v>
      </c>
      <c r="B1584" s="2" t="b">
        <f>IF(ISBLANK(InfoGard!E1584),FALSE,RIGHT(TRIM(InfoGard!E1584),15))</f>
        <v>0</v>
      </c>
      <c r="C1584" s="2" t="b">
        <f>IF(ISBLANK(InfoGard!F1584),FALSE,LOOKUP(InfoGard!F1584,Lookup!$A$6:$B$7))</f>
        <v>0</v>
      </c>
      <c r="D1584" s="2" t="b">
        <f>IF(ISBLANK(InfoGard!G1584),FALSE,InfoGard!G1584)</f>
        <v>0</v>
      </c>
      <c r="E1584" s="2" t="str">
        <f>IF(NOT(ISBLANK(InfoGard!D1584)),IF(OR(ISBLANK(InfoGard!E1584),InfoGard!E1584="N/A"),"no acb code",CONCATENATE(Lookup!F$1,A1584,Lookup!G$1,B1584,Lookup!H$1,H$1,Lookup!I$1)),"no attestation")</f>
        <v>no attestation</v>
      </c>
      <c r="F1584" s="2" t="str">
        <f>IF(AND(NOT(ISBLANK(InfoGard!G1584)),InfoGard!G1584&lt;&gt;"N/A"),IF(C1584="All",CONCATENATE(Lookup!F$2,D1584,Lookup!G$2,B1584,Lookup!H$2,H$1,Lookup!I$2),CONCATENATE(Lookup!F$3,D1584,Lookup!G$3,B1584,Lookup!H$3)),"no url")</f>
        <v>no url</v>
      </c>
    </row>
    <row r="1585" spans="1:6" hidden="1" x14ac:dyDescent="0.25">
      <c r="A1585" s="2" t="b">
        <f>IF(ISBLANK(InfoGard!D1585),FALSE,LOOKUP(InfoGard!D1585,Lookup!$A$2:$B$4))</f>
        <v>0</v>
      </c>
      <c r="B1585" s="2" t="b">
        <f>IF(ISBLANK(InfoGard!E1585),FALSE,RIGHT(TRIM(InfoGard!E1585),15))</f>
        <v>0</v>
      </c>
      <c r="C1585" s="2" t="b">
        <f>IF(ISBLANK(InfoGard!F1585),FALSE,LOOKUP(InfoGard!F1585,Lookup!$A$6:$B$7))</f>
        <v>0</v>
      </c>
      <c r="D1585" s="2" t="b">
        <f>IF(ISBLANK(InfoGard!G1585),FALSE,InfoGard!G1585)</f>
        <v>0</v>
      </c>
      <c r="E1585" s="2" t="str">
        <f>IF(NOT(ISBLANK(InfoGard!D1585)),IF(OR(ISBLANK(InfoGard!E1585),InfoGard!E1585="N/A"),"no acb code",CONCATENATE(Lookup!F$1,A1585,Lookup!G$1,B1585,Lookup!H$1,H$1,Lookup!I$1)),"no attestation")</f>
        <v>no attestation</v>
      </c>
      <c r="F1585" s="2" t="str">
        <f>IF(AND(NOT(ISBLANK(InfoGard!G1585)),InfoGard!G1585&lt;&gt;"N/A"),IF(C1585="All",CONCATENATE(Lookup!F$2,D1585,Lookup!G$2,B1585,Lookup!H$2,H$1,Lookup!I$2),CONCATENATE(Lookup!F$3,D1585,Lookup!G$3,B1585,Lookup!H$3)),"no url")</f>
        <v>no url</v>
      </c>
    </row>
    <row r="1586" spans="1:6" hidden="1" x14ac:dyDescent="0.25">
      <c r="A1586" s="2" t="b">
        <f>IF(ISBLANK(InfoGard!D1586),FALSE,LOOKUP(InfoGard!D1586,Lookup!$A$2:$B$4))</f>
        <v>0</v>
      </c>
      <c r="B1586" s="2" t="b">
        <f>IF(ISBLANK(InfoGard!E1586),FALSE,RIGHT(TRIM(InfoGard!E1586),15))</f>
        <v>0</v>
      </c>
      <c r="C1586" s="2" t="b">
        <f>IF(ISBLANK(InfoGard!F1586),FALSE,LOOKUP(InfoGard!F1586,Lookup!$A$6:$B$7))</f>
        <v>0</v>
      </c>
      <c r="D1586" s="2" t="b">
        <f>IF(ISBLANK(InfoGard!G1586),FALSE,InfoGard!G1586)</f>
        <v>0</v>
      </c>
      <c r="E1586" s="2" t="str">
        <f>IF(NOT(ISBLANK(InfoGard!D1586)),IF(OR(ISBLANK(InfoGard!E1586),InfoGard!E1586="N/A"),"no acb code",CONCATENATE(Lookup!F$1,A1586,Lookup!G$1,B1586,Lookup!H$1,H$1,Lookup!I$1)),"no attestation")</f>
        <v>no attestation</v>
      </c>
      <c r="F1586" s="2" t="str">
        <f>IF(AND(NOT(ISBLANK(InfoGard!G1586)),InfoGard!G1586&lt;&gt;"N/A"),IF(C1586="All",CONCATENATE(Lookup!F$2,D1586,Lookup!G$2,B1586,Lookup!H$2,H$1,Lookup!I$2),CONCATENATE(Lookup!F$3,D1586,Lookup!G$3,B1586,Lookup!H$3)),"no url")</f>
        <v>no url</v>
      </c>
    </row>
    <row r="1587" spans="1:6" hidden="1" x14ac:dyDescent="0.25">
      <c r="A1587" s="2" t="b">
        <f>IF(ISBLANK(InfoGard!D1587),FALSE,LOOKUP(InfoGard!D1587,Lookup!$A$2:$B$4))</f>
        <v>0</v>
      </c>
      <c r="B1587" s="2" t="b">
        <f>IF(ISBLANK(InfoGard!E1587),FALSE,RIGHT(TRIM(InfoGard!E1587),15))</f>
        <v>0</v>
      </c>
      <c r="C1587" s="2" t="b">
        <f>IF(ISBLANK(InfoGard!F1587),FALSE,LOOKUP(InfoGard!F1587,Lookup!$A$6:$B$7))</f>
        <v>0</v>
      </c>
      <c r="D1587" s="2" t="b">
        <f>IF(ISBLANK(InfoGard!G1587),FALSE,InfoGard!G1587)</f>
        <v>0</v>
      </c>
      <c r="E1587" s="2" t="str">
        <f>IF(NOT(ISBLANK(InfoGard!D1587)),IF(OR(ISBLANK(InfoGard!E1587),InfoGard!E1587="N/A"),"no acb code",CONCATENATE(Lookup!F$1,A1587,Lookup!G$1,B1587,Lookup!H$1,H$1,Lookup!I$1)),"no attestation")</f>
        <v>no attestation</v>
      </c>
      <c r="F1587" s="2" t="str">
        <f>IF(AND(NOT(ISBLANK(InfoGard!G1587)),InfoGard!G1587&lt;&gt;"N/A"),IF(C1587="All",CONCATENATE(Lookup!F$2,D1587,Lookup!G$2,B1587,Lookup!H$2,H$1,Lookup!I$2),CONCATENATE(Lookup!F$3,D1587,Lookup!G$3,B1587,Lookup!H$3)),"no url")</f>
        <v>no url</v>
      </c>
    </row>
    <row r="1588" spans="1:6" hidden="1" x14ac:dyDescent="0.25">
      <c r="A1588" s="2" t="b">
        <f>IF(ISBLANK(InfoGard!D1588),FALSE,LOOKUP(InfoGard!D1588,Lookup!$A$2:$B$4))</f>
        <v>0</v>
      </c>
      <c r="B1588" s="2" t="b">
        <f>IF(ISBLANK(InfoGard!E1588),FALSE,RIGHT(TRIM(InfoGard!E1588),15))</f>
        <v>0</v>
      </c>
      <c r="C1588" s="2" t="b">
        <f>IF(ISBLANK(InfoGard!F1588),FALSE,LOOKUP(InfoGard!F1588,Lookup!$A$6:$B$7))</f>
        <v>0</v>
      </c>
      <c r="D1588" s="2" t="b">
        <f>IF(ISBLANK(InfoGard!G1588),FALSE,InfoGard!G1588)</f>
        <v>0</v>
      </c>
      <c r="E1588" s="2" t="str">
        <f>IF(NOT(ISBLANK(InfoGard!D1588)),IF(OR(ISBLANK(InfoGard!E1588),InfoGard!E1588="N/A"),"no acb code",CONCATENATE(Lookup!F$1,A1588,Lookup!G$1,B1588,Lookup!H$1,H$1,Lookup!I$1)),"no attestation")</f>
        <v>no attestation</v>
      </c>
      <c r="F1588" s="2" t="str">
        <f>IF(AND(NOT(ISBLANK(InfoGard!G1588)),InfoGard!G1588&lt;&gt;"N/A"),IF(C1588="All",CONCATENATE(Lookup!F$2,D1588,Lookup!G$2,B1588,Lookup!H$2,H$1,Lookup!I$2),CONCATENATE(Lookup!F$3,D1588,Lookup!G$3,B1588,Lookup!H$3)),"no url")</f>
        <v>no url</v>
      </c>
    </row>
    <row r="1589" spans="1:6" hidden="1" x14ac:dyDescent="0.25">
      <c r="A1589" s="2" t="b">
        <f>IF(ISBLANK(InfoGard!D1589),FALSE,LOOKUP(InfoGard!D1589,Lookup!$A$2:$B$4))</f>
        <v>0</v>
      </c>
      <c r="B1589" s="2" t="b">
        <f>IF(ISBLANK(InfoGard!E1589),FALSE,RIGHT(TRIM(InfoGard!E1589),15))</f>
        <v>0</v>
      </c>
      <c r="C1589" s="2" t="b">
        <f>IF(ISBLANK(InfoGard!F1589),FALSE,LOOKUP(InfoGard!F1589,Lookup!$A$6:$B$7))</f>
        <v>0</v>
      </c>
      <c r="D1589" s="2" t="b">
        <f>IF(ISBLANK(InfoGard!G1589),FALSE,InfoGard!G1589)</f>
        <v>0</v>
      </c>
      <c r="E1589" s="2" t="str">
        <f>IF(NOT(ISBLANK(InfoGard!D1589)),IF(OR(ISBLANK(InfoGard!E1589),InfoGard!E1589="N/A"),"no acb code",CONCATENATE(Lookup!F$1,A1589,Lookup!G$1,B1589,Lookup!H$1,H$1,Lookup!I$1)),"no attestation")</f>
        <v>no attestation</v>
      </c>
      <c r="F1589" s="2" t="str">
        <f>IF(AND(NOT(ISBLANK(InfoGard!G1589)),InfoGard!G1589&lt;&gt;"N/A"),IF(C1589="All",CONCATENATE(Lookup!F$2,D1589,Lookup!G$2,B1589,Lookup!H$2,H$1,Lookup!I$2),CONCATENATE(Lookup!F$3,D1589,Lookup!G$3,B1589,Lookup!H$3)),"no url")</f>
        <v>no url</v>
      </c>
    </row>
    <row r="1590" spans="1:6" hidden="1" x14ac:dyDescent="0.25">
      <c r="A1590" s="2" t="b">
        <f>IF(ISBLANK(InfoGard!D1590),FALSE,LOOKUP(InfoGard!D1590,Lookup!$A$2:$B$4))</f>
        <v>0</v>
      </c>
      <c r="B1590" s="2" t="b">
        <f>IF(ISBLANK(InfoGard!E1590),FALSE,RIGHT(TRIM(InfoGard!E1590),15))</f>
        <v>0</v>
      </c>
      <c r="C1590" s="2" t="b">
        <f>IF(ISBLANK(InfoGard!F1590),FALSE,LOOKUP(InfoGard!F1590,Lookup!$A$6:$B$7))</f>
        <v>0</v>
      </c>
      <c r="D1590" s="2" t="b">
        <f>IF(ISBLANK(InfoGard!G1590),FALSE,InfoGard!G1590)</f>
        <v>0</v>
      </c>
      <c r="E1590" s="2" t="str">
        <f>IF(NOT(ISBLANK(InfoGard!D1590)),IF(OR(ISBLANK(InfoGard!E1590),InfoGard!E1590="N/A"),"no acb code",CONCATENATE(Lookup!F$1,A1590,Lookup!G$1,B1590,Lookup!H$1,H$1,Lookup!I$1)),"no attestation")</f>
        <v>no attestation</v>
      </c>
      <c r="F1590" s="2" t="str">
        <f>IF(AND(NOT(ISBLANK(InfoGard!G1590)),InfoGard!G1590&lt;&gt;"N/A"),IF(C1590="All",CONCATENATE(Lookup!F$2,D1590,Lookup!G$2,B1590,Lookup!H$2,H$1,Lookup!I$2),CONCATENATE(Lookup!F$3,D1590,Lookup!G$3,B1590,Lookup!H$3)),"no url")</f>
        <v>no url</v>
      </c>
    </row>
    <row r="1591" spans="1:6" hidden="1" x14ac:dyDescent="0.25">
      <c r="A1591" s="2" t="b">
        <f>IF(ISBLANK(InfoGard!D1591),FALSE,LOOKUP(InfoGard!D1591,Lookup!$A$2:$B$4))</f>
        <v>0</v>
      </c>
      <c r="B1591" s="2" t="b">
        <f>IF(ISBLANK(InfoGard!E1591),FALSE,RIGHT(TRIM(InfoGard!E1591),15))</f>
        <v>0</v>
      </c>
      <c r="C1591" s="2" t="b">
        <f>IF(ISBLANK(InfoGard!F1591),FALSE,LOOKUP(InfoGard!F1591,Lookup!$A$6:$B$7))</f>
        <v>0</v>
      </c>
      <c r="D1591" s="2" t="b">
        <f>IF(ISBLANK(InfoGard!G1591),FALSE,InfoGard!G1591)</f>
        <v>0</v>
      </c>
      <c r="E1591" s="2" t="str">
        <f>IF(NOT(ISBLANK(InfoGard!D1591)),IF(OR(ISBLANK(InfoGard!E1591),InfoGard!E1591="N/A"),"no acb code",CONCATENATE(Lookup!F$1,A1591,Lookup!G$1,B1591,Lookup!H$1,H$1,Lookup!I$1)),"no attestation")</f>
        <v>no attestation</v>
      </c>
      <c r="F1591" s="2" t="str">
        <f>IF(AND(NOT(ISBLANK(InfoGard!G1591)),InfoGard!G1591&lt;&gt;"N/A"),IF(C1591="All",CONCATENATE(Lookup!F$2,D1591,Lookup!G$2,B1591,Lookup!H$2,H$1,Lookup!I$2),CONCATENATE(Lookup!F$3,D1591,Lookup!G$3,B1591,Lookup!H$3)),"no url")</f>
        <v>no url</v>
      </c>
    </row>
    <row r="1592" spans="1:6" hidden="1" x14ac:dyDescent="0.25">
      <c r="A1592" s="2" t="b">
        <f>IF(ISBLANK(InfoGard!D1592),FALSE,LOOKUP(InfoGard!D1592,Lookup!$A$2:$B$4))</f>
        <v>0</v>
      </c>
      <c r="B1592" s="2" t="b">
        <f>IF(ISBLANK(InfoGard!E1592),FALSE,RIGHT(TRIM(InfoGard!E1592),15))</f>
        <v>0</v>
      </c>
      <c r="C1592" s="2" t="b">
        <f>IF(ISBLANK(InfoGard!F1592),FALSE,LOOKUP(InfoGard!F1592,Lookup!$A$6:$B$7))</f>
        <v>0</v>
      </c>
      <c r="D1592" s="2" t="b">
        <f>IF(ISBLANK(InfoGard!G1592),FALSE,InfoGard!G1592)</f>
        <v>0</v>
      </c>
      <c r="E1592" s="2" t="str">
        <f>IF(NOT(ISBLANK(InfoGard!D1592)),IF(OR(ISBLANK(InfoGard!E1592),InfoGard!E1592="N/A"),"no acb code",CONCATENATE(Lookup!F$1,A1592,Lookup!G$1,B1592,Lookup!H$1,H$1,Lookup!I$1)),"no attestation")</f>
        <v>no attestation</v>
      </c>
      <c r="F1592" s="2" t="str">
        <f>IF(AND(NOT(ISBLANK(InfoGard!G1592)),InfoGard!G1592&lt;&gt;"N/A"),IF(C1592="All",CONCATENATE(Lookup!F$2,D1592,Lookup!G$2,B1592,Lookup!H$2,H$1,Lookup!I$2),CONCATENATE(Lookup!F$3,D1592,Lookup!G$3,B1592,Lookup!H$3)),"no url")</f>
        <v>no url</v>
      </c>
    </row>
    <row r="1593" spans="1:6" hidden="1" x14ac:dyDescent="0.25">
      <c r="A1593" s="2" t="b">
        <f>IF(ISBLANK(InfoGard!D1593),FALSE,LOOKUP(InfoGard!D1593,Lookup!$A$2:$B$4))</f>
        <v>0</v>
      </c>
      <c r="B1593" s="2" t="b">
        <f>IF(ISBLANK(InfoGard!E1593),FALSE,RIGHT(TRIM(InfoGard!E1593),15))</f>
        <v>0</v>
      </c>
      <c r="C1593" s="2" t="b">
        <f>IF(ISBLANK(InfoGard!F1593),FALSE,LOOKUP(InfoGard!F1593,Lookup!$A$6:$B$7))</f>
        <v>0</v>
      </c>
      <c r="D1593" s="2" t="b">
        <f>IF(ISBLANK(InfoGard!G1593),FALSE,InfoGard!G1593)</f>
        <v>0</v>
      </c>
      <c r="E1593" s="2" t="str">
        <f>IF(NOT(ISBLANK(InfoGard!D1593)),IF(OR(ISBLANK(InfoGard!E1593),InfoGard!E1593="N/A"),"no acb code",CONCATENATE(Lookup!F$1,A1593,Lookup!G$1,B1593,Lookup!H$1,H$1,Lookup!I$1)),"no attestation")</f>
        <v>no attestation</v>
      </c>
      <c r="F1593" s="2" t="str">
        <f>IF(AND(NOT(ISBLANK(InfoGard!G1593)),InfoGard!G1593&lt;&gt;"N/A"),IF(C1593="All",CONCATENATE(Lookup!F$2,D1593,Lookup!G$2,B1593,Lookup!H$2,H$1,Lookup!I$2),CONCATENATE(Lookup!F$3,D1593,Lookup!G$3,B1593,Lookup!H$3)),"no url")</f>
        <v>no url</v>
      </c>
    </row>
    <row r="1594" spans="1:6" hidden="1" x14ac:dyDescent="0.25">
      <c r="A1594" s="2" t="b">
        <f>IF(ISBLANK(InfoGard!D1594),FALSE,LOOKUP(InfoGard!D1594,Lookup!$A$2:$B$4))</f>
        <v>0</v>
      </c>
      <c r="B1594" s="2" t="b">
        <f>IF(ISBLANK(InfoGard!E1594),FALSE,RIGHT(TRIM(InfoGard!E1594),15))</f>
        <v>0</v>
      </c>
      <c r="C1594" s="2" t="b">
        <f>IF(ISBLANK(InfoGard!F1594),FALSE,LOOKUP(InfoGard!F1594,Lookup!$A$6:$B$7))</f>
        <v>0</v>
      </c>
      <c r="D1594" s="2" t="b">
        <f>IF(ISBLANK(InfoGard!G1594),FALSE,InfoGard!G1594)</f>
        <v>0</v>
      </c>
      <c r="E1594" s="2" t="str">
        <f>IF(NOT(ISBLANK(InfoGard!D1594)),IF(OR(ISBLANK(InfoGard!E1594),InfoGard!E1594="N/A"),"no acb code",CONCATENATE(Lookup!F$1,A1594,Lookup!G$1,B1594,Lookup!H$1,H$1,Lookup!I$1)),"no attestation")</f>
        <v>no attestation</v>
      </c>
      <c r="F1594" s="2" t="str">
        <f>IF(AND(NOT(ISBLANK(InfoGard!G1594)),InfoGard!G1594&lt;&gt;"N/A"),IF(C1594="All",CONCATENATE(Lookup!F$2,D1594,Lookup!G$2,B1594,Lookup!H$2,H$1,Lookup!I$2),CONCATENATE(Lookup!F$3,D1594,Lookup!G$3,B1594,Lookup!H$3)),"no url")</f>
        <v>no url</v>
      </c>
    </row>
    <row r="1595" spans="1:6" hidden="1" x14ac:dyDescent="0.25">
      <c r="A1595" s="2" t="b">
        <f>IF(ISBLANK(InfoGard!D1595),FALSE,LOOKUP(InfoGard!D1595,Lookup!$A$2:$B$4))</f>
        <v>0</v>
      </c>
      <c r="B1595" s="2" t="b">
        <f>IF(ISBLANK(InfoGard!E1595),FALSE,RIGHT(TRIM(InfoGard!E1595),15))</f>
        <v>0</v>
      </c>
      <c r="C1595" s="2" t="b">
        <f>IF(ISBLANK(InfoGard!F1595),FALSE,LOOKUP(InfoGard!F1595,Lookup!$A$6:$B$7))</f>
        <v>0</v>
      </c>
      <c r="D1595" s="2" t="b">
        <f>IF(ISBLANK(InfoGard!G1595),FALSE,InfoGard!G1595)</f>
        <v>0</v>
      </c>
      <c r="E1595" s="2" t="str">
        <f>IF(NOT(ISBLANK(InfoGard!D1595)),IF(OR(ISBLANK(InfoGard!E1595),InfoGard!E1595="N/A"),"no acb code",CONCATENATE(Lookup!F$1,A1595,Lookup!G$1,B1595,Lookup!H$1,H$1,Lookup!I$1)),"no attestation")</f>
        <v>no attestation</v>
      </c>
      <c r="F1595" s="2" t="str">
        <f>IF(AND(NOT(ISBLANK(InfoGard!G1595)),InfoGard!G1595&lt;&gt;"N/A"),IF(C1595="All",CONCATENATE(Lookup!F$2,D1595,Lookup!G$2,B1595,Lookup!H$2,H$1,Lookup!I$2),CONCATENATE(Lookup!F$3,D1595,Lookup!G$3,B1595,Lookup!H$3)),"no url")</f>
        <v>no url</v>
      </c>
    </row>
    <row r="1596" spans="1:6" hidden="1" x14ac:dyDescent="0.25">
      <c r="A1596" s="2" t="b">
        <f>IF(ISBLANK(InfoGard!D1596),FALSE,LOOKUP(InfoGard!D1596,Lookup!$A$2:$B$4))</f>
        <v>0</v>
      </c>
      <c r="B1596" s="2" t="b">
        <f>IF(ISBLANK(InfoGard!E1596),FALSE,RIGHT(TRIM(InfoGard!E1596),15))</f>
        <v>0</v>
      </c>
      <c r="C1596" s="2" t="b">
        <f>IF(ISBLANK(InfoGard!F1596),FALSE,LOOKUP(InfoGard!F1596,Lookup!$A$6:$B$7))</f>
        <v>0</v>
      </c>
      <c r="D1596" s="2" t="b">
        <f>IF(ISBLANK(InfoGard!G1596),FALSE,InfoGard!G1596)</f>
        <v>0</v>
      </c>
      <c r="E1596" s="2" t="str">
        <f>IF(NOT(ISBLANK(InfoGard!D1596)),IF(OR(ISBLANK(InfoGard!E1596),InfoGard!E1596="N/A"),"no acb code",CONCATENATE(Lookup!F$1,A1596,Lookup!G$1,B1596,Lookup!H$1,H$1,Lookup!I$1)),"no attestation")</f>
        <v>no attestation</v>
      </c>
      <c r="F1596" s="2" t="str">
        <f>IF(AND(NOT(ISBLANK(InfoGard!G1596)),InfoGard!G1596&lt;&gt;"N/A"),IF(C1596="All",CONCATENATE(Lookup!F$2,D1596,Lookup!G$2,B1596,Lookup!H$2,H$1,Lookup!I$2),CONCATENATE(Lookup!F$3,D1596,Lookup!G$3,B1596,Lookup!H$3)),"no url")</f>
        <v>no url</v>
      </c>
    </row>
    <row r="1597" spans="1:6" hidden="1" x14ac:dyDescent="0.25">
      <c r="A1597" s="2" t="b">
        <f>IF(ISBLANK(InfoGard!D1597),FALSE,LOOKUP(InfoGard!D1597,Lookup!$A$2:$B$4))</f>
        <v>0</v>
      </c>
      <c r="B1597" s="2" t="b">
        <f>IF(ISBLANK(InfoGard!E1597),FALSE,RIGHT(TRIM(InfoGard!E1597),15))</f>
        <v>0</v>
      </c>
      <c r="C1597" s="2" t="b">
        <f>IF(ISBLANK(InfoGard!F1597),FALSE,LOOKUP(InfoGard!F1597,Lookup!$A$6:$B$7))</f>
        <v>0</v>
      </c>
      <c r="D1597" s="2" t="b">
        <f>IF(ISBLANK(InfoGard!G1597),FALSE,InfoGard!G1597)</f>
        <v>0</v>
      </c>
      <c r="E1597" s="2" t="str">
        <f>IF(NOT(ISBLANK(InfoGard!D1597)),IF(OR(ISBLANK(InfoGard!E1597),InfoGard!E1597="N/A"),"no acb code",CONCATENATE(Lookup!F$1,A1597,Lookup!G$1,B1597,Lookup!H$1,H$1,Lookup!I$1)),"no attestation")</f>
        <v>no attestation</v>
      </c>
      <c r="F1597" s="2" t="str">
        <f>IF(AND(NOT(ISBLANK(InfoGard!G1597)),InfoGard!G1597&lt;&gt;"N/A"),IF(C1597="All",CONCATENATE(Lookup!F$2,D1597,Lookup!G$2,B1597,Lookup!H$2,H$1,Lookup!I$2),CONCATENATE(Lookup!F$3,D1597,Lookup!G$3,B1597,Lookup!H$3)),"no url")</f>
        <v>no url</v>
      </c>
    </row>
    <row r="1598" spans="1:6" hidden="1" x14ac:dyDescent="0.25">
      <c r="A1598" s="2" t="b">
        <f>IF(ISBLANK(InfoGard!D1598),FALSE,LOOKUP(InfoGard!D1598,Lookup!$A$2:$B$4))</f>
        <v>0</v>
      </c>
      <c r="B1598" s="2" t="b">
        <f>IF(ISBLANK(InfoGard!E1598),FALSE,RIGHT(TRIM(InfoGard!E1598),15))</f>
        <v>0</v>
      </c>
      <c r="C1598" s="2" t="b">
        <f>IF(ISBLANK(InfoGard!F1598),FALSE,LOOKUP(InfoGard!F1598,Lookup!$A$6:$B$7))</f>
        <v>0</v>
      </c>
      <c r="D1598" s="2" t="b">
        <f>IF(ISBLANK(InfoGard!G1598),FALSE,InfoGard!G1598)</f>
        <v>0</v>
      </c>
      <c r="E1598" s="2" t="str">
        <f>IF(NOT(ISBLANK(InfoGard!D1598)),IF(OR(ISBLANK(InfoGard!E1598),InfoGard!E1598="N/A"),"no acb code",CONCATENATE(Lookup!F$1,A1598,Lookup!G$1,B1598,Lookup!H$1,H$1,Lookup!I$1)),"no attestation")</f>
        <v>no attestation</v>
      </c>
      <c r="F1598" s="2" t="str">
        <f>IF(AND(NOT(ISBLANK(InfoGard!G1598)),InfoGard!G1598&lt;&gt;"N/A"),IF(C1598="All",CONCATENATE(Lookup!F$2,D1598,Lookup!G$2,B1598,Lookup!H$2,H$1,Lookup!I$2),CONCATENATE(Lookup!F$3,D1598,Lookup!G$3,B1598,Lookup!H$3)),"no url")</f>
        <v>no url</v>
      </c>
    </row>
    <row r="1599" spans="1:6" hidden="1" x14ac:dyDescent="0.25">
      <c r="A1599" s="2" t="b">
        <f>IF(ISBLANK(InfoGard!D1599),FALSE,LOOKUP(InfoGard!D1599,Lookup!$A$2:$B$4))</f>
        <v>0</v>
      </c>
      <c r="B1599" s="2" t="b">
        <f>IF(ISBLANK(InfoGard!E1599),FALSE,RIGHT(TRIM(InfoGard!E1599),15))</f>
        <v>0</v>
      </c>
      <c r="C1599" s="2" t="b">
        <f>IF(ISBLANK(InfoGard!F1599),FALSE,LOOKUP(InfoGard!F1599,Lookup!$A$6:$B$7))</f>
        <v>0</v>
      </c>
      <c r="D1599" s="2" t="b">
        <f>IF(ISBLANK(InfoGard!G1599),FALSE,InfoGard!G1599)</f>
        <v>0</v>
      </c>
      <c r="E1599" s="2" t="str">
        <f>IF(NOT(ISBLANK(InfoGard!D1599)),IF(OR(ISBLANK(InfoGard!E1599),InfoGard!E1599="N/A"),"no acb code",CONCATENATE(Lookup!F$1,A1599,Lookup!G$1,B1599,Lookup!H$1,H$1,Lookup!I$1)),"no attestation")</f>
        <v>no attestation</v>
      </c>
      <c r="F1599" s="2" t="str">
        <f>IF(AND(NOT(ISBLANK(InfoGard!G1599)),InfoGard!G1599&lt;&gt;"N/A"),IF(C1599="All",CONCATENATE(Lookup!F$2,D1599,Lookup!G$2,B1599,Lookup!H$2,H$1,Lookup!I$2),CONCATENATE(Lookup!F$3,D1599,Lookup!G$3,B1599,Lookup!H$3)),"no url")</f>
        <v>no url</v>
      </c>
    </row>
    <row r="1600" spans="1:6" hidden="1" x14ac:dyDescent="0.25">
      <c r="A1600" s="2" t="b">
        <f>IF(ISBLANK(InfoGard!D1600),FALSE,LOOKUP(InfoGard!D1600,Lookup!$A$2:$B$4))</f>
        <v>0</v>
      </c>
      <c r="B1600" s="2" t="b">
        <f>IF(ISBLANK(InfoGard!E1600),FALSE,RIGHT(TRIM(InfoGard!E1600),15))</f>
        <v>0</v>
      </c>
      <c r="C1600" s="2" t="b">
        <f>IF(ISBLANK(InfoGard!F1600),FALSE,LOOKUP(InfoGard!F1600,Lookup!$A$6:$B$7))</f>
        <v>0</v>
      </c>
      <c r="D1600" s="2" t="b">
        <f>IF(ISBLANK(InfoGard!G1600),FALSE,InfoGard!G1600)</f>
        <v>0</v>
      </c>
      <c r="E1600" s="2" t="str">
        <f>IF(NOT(ISBLANK(InfoGard!D1600)),IF(OR(ISBLANK(InfoGard!E1600),InfoGard!E1600="N/A"),"no acb code",CONCATENATE(Lookup!F$1,A1600,Lookup!G$1,B1600,Lookup!H$1,H$1,Lookup!I$1)),"no attestation")</f>
        <v>no attestation</v>
      </c>
      <c r="F1600" s="2" t="str">
        <f>IF(AND(NOT(ISBLANK(InfoGard!G1600)),InfoGard!G1600&lt;&gt;"N/A"),IF(C1600="All",CONCATENATE(Lookup!F$2,D1600,Lookup!G$2,B1600,Lookup!H$2,H$1,Lookup!I$2),CONCATENATE(Lookup!F$3,D1600,Lookup!G$3,B1600,Lookup!H$3)),"no url")</f>
        <v>no url</v>
      </c>
    </row>
    <row r="1601" spans="1:6" hidden="1" x14ac:dyDescent="0.25">
      <c r="A1601" s="2" t="b">
        <f>IF(ISBLANK(InfoGard!D1601),FALSE,LOOKUP(InfoGard!D1601,Lookup!$A$2:$B$4))</f>
        <v>0</v>
      </c>
      <c r="B1601" s="2" t="b">
        <f>IF(ISBLANK(InfoGard!E1601),FALSE,RIGHT(TRIM(InfoGard!E1601),15))</f>
        <v>0</v>
      </c>
      <c r="C1601" s="2" t="b">
        <f>IF(ISBLANK(InfoGard!F1601),FALSE,LOOKUP(InfoGard!F1601,Lookup!$A$6:$B$7))</f>
        <v>0</v>
      </c>
      <c r="D1601" s="2" t="b">
        <f>IF(ISBLANK(InfoGard!G1601),FALSE,InfoGard!G1601)</f>
        <v>0</v>
      </c>
      <c r="E1601" s="2" t="str">
        <f>IF(NOT(ISBLANK(InfoGard!D1601)),IF(OR(ISBLANK(InfoGard!E1601),InfoGard!E1601="N/A"),"no acb code",CONCATENATE(Lookup!F$1,A1601,Lookup!G$1,B1601,Lookup!H$1,H$1,Lookup!I$1)),"no attestation")</f>
        <v>no attestation</v>
      </c>
      <c r="F1601" s="2" t="str">
        <f>IF(AND(NOT(ISBLANK(InfoGard!G1601)),InfoGard!G1601&lt;&gt;"N/A"),IF(C1601="All",CONCATENATE(Lookup!F$2,D1601,Lookup!G$2,B1601,Lookup!H$2,H$1,Lookup!I$2),CONCATENATE(Lookup!F$3,D1601,Lookup!G$3,B1601,Lookup!H$3)),"no url")</f>
        <v>no url</v>
      </c>
    </row>
  </sheetData>
  <autoFilter ref="A1:H1601">
    <filterColumn colId="0">
      <filters>
        <filter val="Affirmative"/>
        <filter val="N/A"/>
        <filter val="Negative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" sqref="E1:I3"/>
    </sheetView>
  </sheetViews>
  <sheetFormatPr defaultRowHeight="15" x14ac:dyDescent="0.25"/>
  <sheetData>
    <row r="1" spans="1:9" x14ac:dyDescent="0.25">
      <c r="A1" t="s">
        <v>1873</v>
      </c>
      <c r="B1" t="s">
        <v>1874</v>
      </c>
      <c r="E1" s="5" t="s">
        <v>1773</v>
      </c>
      <c r="F1" s="5" t="s">
        <v>1760</v>
      </c>
      <c r="G1" s="6" t="s">
        <v>1772</v>
      </c>
      <c r="H1" s="6" t="s">
        <v>1770</v>
      </c>
      <c r="I1" s="5" t="s">
        <v>1771</v>
      </c>
    </row>
    <row r="2" spans="1:9" x14ac:dyDescent="0.25">
      <c r="A2">
        <v>0</v>
      </c>
      <c r="B2" t="s">
        <v>1762</v>
      </c>
      <c r="E2" s="5" t="s">
        <v>1774</v>
      </c>
      <c r="F2" s="5" t="s">
        <v>1763</v>
      </c>
      <c r="G2" s="6" t="s">
        <v>1871</v>
      </c>
      <c r="H2" s="6" t="s">
        <v>1881</v>
      </c>
      <c r="I2" s="6" t="s">
        <v>1880</v>
      </c>
    </row>
    <row r="3" spans="1:9" x14ac:dyDescent="0.25">
      <c r="A3">
        <v>1</v>
      </c>
      <c r="B3" t="s">
        <v>1761</v>
      </c>
      <c r="E3" s="5" t="s">
        <v>1775</v>
      </c>
      <c r="F3" s="5" t="s">
        <v>1763</v>
      </c>
      <c r="G3" s="6" t="s">
        <v>1764</v>
      </c>
      <c r="H3" s="6" t="s">
        <v>1765</v>
      </c>
      <c r="I3" s="6"/>
    </row>
    <row r="4" spans="1:9" x14ac:dyDescent="0.25">
      <c r="A4">
        <v>2</v>
      </c>
      <c r="B4" t="s">
        <v>467</v>
      </c>
    </row>
    <row r="6" spans="1:9" x14ac:dyDescent="0.25">
      <c r="A6">
        <v>0</v>
      </c>
      <c r="B6" t="s">
        <v>1876</v>
      </c>
    </row>
    <row r="7" spans="1:9" x14ac:dyDescent="0.25">
      <c r="A7">
        <v>1</v>
      </c>
      <c r="B7" t="s">
        <v>1877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Drummond</vt:lpstr>
      <vt:lpstr>DrummondSQL</vt:lpstr>
      <vt:lpstr>InfoGard</vt:lpstr>
      <vt:lpstr>InfoGardSQL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Palmer</dc:creator>
  <cp:lastModifiedBy>Andrew Larned</cp:lastModifiedBy>
  <dcterms:created xsi:type="dcterms:W3CDTF">2016-03-10T22:38:17Z</dcterms:created>
  <dcterms:modified xsi:type="dcterms:W3CDTF">2016-03-23T15:55:35Z</dcterms:modified>
</cp:coreProperties>
</file>