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1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5" i="3"/>
  <c r="K10" i="3"/>
  <c r="C2" i="1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G36" i="3"/>
  <c r="H36" i="3"/>
  <c r="G37" i="3"/>
  <c r="H37" i="3"/>
  <c r="C2" i="2"/>
  <c r="D2" i="2"/>
  <c r="C3" i="2"/>
  <c r="D3" i="2"/>
  <c r="C4" i="2"/>
  <c r="D4" i="2"/>
  <c r="C5" i="2"/>
  <c r="D5" i="2"/>
  <c r="C6" i="2"/>
  <c r="D6" i="2"/>
  <c r="E37" i="3"/>
  <c r="F37" i="3" s="1"/>
  <c r="E36" i="3"/>
  <c r="F36" i="3" s="1"/>
  <c r="E34" i="3"/>
  <c r="F34" i="3" s="1"/>
  <c r="E33" i="3"/>
  <c r="F33" i="3" s="1"/>
  <c r="E32" i="3"/>
  <c r="F32" i="3" s="1"/>
  <c r="E30" i="3"/>
  <c r="F30" i="3" s="1"/>
  <c r="E29" i="3"/>
  <c r="F29" i="3" s="1"/>
  <c r="E28" i="3"/>
  <c r="F28" i="3" s="1"/>
  <c r="E26" i="3"/>
  <c r="F26" i="3" s="1"/>
  <c r="E25" i="3"/>
  <c r="F25" i="3" s="1"/>
  <c r="E24" i="3"/>
  <c r="F24" i="3" s="1"/>
  <c r="E22" i="3"/>
  <c r="F22" i="3" s="1"/>
  <c r="E21" i="3"/>
  <c r="F21" i="3" s="1"/>
  <c r="E20" i="3"/>
  <c r="F20" i="3" s="1"/>
  <c r="E18" i="3"/>
  <c r="F18" i="3" s="1"/>
  <c r="E17" i="3"/>
  <c r="F17" i="3" s="1"/>
  <c r="E16" i="3"/>
  <c r="F16" i="3" s="1"/>
  <c r="E14" i="3"/>
  <c r="F14" i="3" s="1"/>
  <c r="E13" i="3"/>
  <c r="F13" i="3" s="1"/>
  <c r="E12" i="3"/>
  <c r="F12" i="3" s="1"/>
  <c r="E10" i="3"/>
  <c r="F10" i="3" s="1"/>
  <c r="B5" i="3"/>
  <c r="E11" i="3" s="1"/>
  <c r="F11" i="3" s="1"/>
  <c r="K11" i="3" l="1"/>
  <c r="J10" i="3"/>
  <c r="E15" i="3"/>
  <c r="F15" i="3" s="1"/>
  <c r="E19" i="3"/>
  <c r="F19" i="3" s="1"/>
  <c r="E23" i="3"/>
  <c r="F23" i="3" s="1"/>
  <c r="E27" i="3"/>
  <c r="F27" i="3" s="1"/>
  <c r="E31" i="3"/>
  <c r="F31" i="3" s="1"/>
  <c r="E35" i="3"/>
  <c r="F35" i="3" s="1"/>
  <c r="B9" i="1"/>
  <c r="B24" i="1"/>
  <c r="M3" i="1" l="1"/>
  <c r="M4" i="1"/>
  <c r="M5" i="1"/>
  <c r="M6" i="1"/>
  <c r="M2" i="1"/>
  <c r="B20" i="1"/>
  <c r="B15" i="1" l="1"/>
  <c r="R2" i="1" l="1"/>
  <c r="N3" i="1"/>
  <c r="O3" i="1" s="1"/>
  <c r="P3" i="1" s="1"/>
  <c r="T3" i="1" s="1"/>
  <c r="U3" i="1" l="1"/>
  <c r="N2" i="1" l="1"/>
  <c r="O2" i="1" s="1"/>
  <c r="P2" i="1" s="1"/>
  <c r="U2" i="1" l="1"/>
  <c r="T2" i="1"/>
  <c r="Q2" i="1" s="1"/>
  <c r="Q3" i="1"/>
  <c r="N4" i="1"/>
  <c r="O4" i="1" s="1"/>
  <c r="P4" i="1" s="1"/>
  <c r="T4" i="1" s="1"/>
  <c r="U4" i="1" l="1"/>
  <c r="Q4" i="1"/>
  <c r="N5" i="1"/>
  <c r="O5" i="1" s="1"/>
  <c r="P5" i="1" s="1"/>
  <c r="T5" i="1" s="1"/>
  <c r="U5" i="1" l="1"/>
  <c r="Q5" i="1"/>
  <c r="N6" i="1"/>
  <c r="O6" i="1" s="1"/>
  <c r="P6" i="1" s="1"/>
  <c r="T6" i="1" s="1"/>
  <c r="U6" i="1" l="1"/>
  <c r="Q6" i="1"/>
  <c r="P7" i="1"/>
  <c r="T7" i="1" s="1"/>
  <c r="U7" i="1" l="1"/>
  <c r="Q7" i="1"/>
  <c r="P8" i="1"/>
  <c r="T8" i="1" s="1"/>
  <c r="U8" i="1" l="1"/>
  <c r="Q8" i="1"/>
  <c r="P9" i="1"/>
  <c r="T9" i="1" s="1"/>
  <c r="U9" i="1" l="1"/>
  <c r="Q9" i="1"/>
  <c r="P10" i="1"/>
  <c r="T10" i="1" s="1"/>
  <c r="U10" i="1" l="1"/>
  <c r="Q10" i="1"/>
  <c r="P11" i="1"/>
  <c r="T11" i="1" s="1"/>
  <c r="Q11" i="1" l="1"/>
  <c r="U11" i="1"/>
  <c r="P12" i="1"/>
  <c r="T12" i="1" s="1"/>
  <c r="U12" i="1" l="1"/>
  <c r="Q12" i="1"/>
  <c r="P13" i="1"/>
  <c r="T13" i="1" s="1"/>
  <c r="U13" i="1" l="1"/>
  <c r="Q13" i="1"/>
  <c r="P14" i="1"/>
  <c r="T14" i="1" s="1"/>
  <c r="U14" i="1" l="1"/>
  <c r="Q14" i="1"/>
  <c r="P15" i="1"/>
  <c r="T15" i="1" s="1"/>
  <c r="U15" i="1" l="1"/>
  <c r="Q15" i="1"/>
  <c r="P16" i="1"/>
  <c r="T16" i="1" s="1"/>
  <c r="U16" i="1" l="1"/>
  <c r="Q16" i="1"/>
  <c r="P17" i="1"/>
  <c r="T17" i="1" s="1"/>
  <c r="U17" i="1" l="1"/>
  <c r="Q17" i="1"/>
  <c r="P18" i="1"/>
  <c r="T18" i="1" s="1"/>
  <c r="Q18" i="1" l="1"/>
  <c r="U18" i="1"/>
  <c r="P19" i="1"/>
  <c r="T19" i="1" s="1"/>
  <c r="Q19" i="1" l="1"/>
  <c r="U19" i="1"/>
  <c r="P20" i="1"/>
  <c r="T20" i="1" s="1"/>
  <c r="U20" i="1" l="1"/>
  <c r="Q20" i="1"/>
  <c r="P21" i="1"/>
  <c r="T21" i="1" s="1"/>
  <c r="U21" i="1" l="1"/>
  <c r="Q21" i="1"/>
  <c r="P22" i="1"/>
  <c r="T22" i="1" s="1"/>
  <c r="U22" i="1" l="1"/>
  <c r="Q22" i="1"/>
  <c r="P23" i="1"/>
  <c r="T23" i="1" s="1"/>
  <c r="U23" i="1" l="1"/>
  <c r="Q23" i="1"/>
  <c r="P24" i="1"/>
  <c r="T24" i="1" s="1"/>
  <c r="U24" i="1" l="1"/>
  <c r="Q24" i="1"/>
  <c r="P25" i="1"/>
  <c r="T25" i="1" s="1"/>
  <c r="U25" i="1" l="1"/>
  <c r="Q25" i="1"/>
  <c r="P26" i="1"/>
  <c r="T26" i="1" s="1"/>
  <c r="U26" i="1" l="1"/>
  <c r="Q26" i="1"/>
  <c r="P27" i="1"/>
  <c r="T27" i="1" s="1"/>
  <c r="U27" i="1" l="1"/>
  <c r="Q27" i="1"/>
  <c r="P28" i="1"/>
  <c r="T28" i="1" s="1"/>
  <c r="U28" i="1" l="1"/>
  <c r="Q28" i="1"/>
  <c r="P29" i="1"/>
  <c r="T29" i="1" s="1"/>
  <c r="U29" i="1" l="1"/>
  <c r="Q29" i="1"/>
</calcChain>
</file>

<file path=xl/sharedStrings.xml><?xml version="1.0" encoding="utf-8"?>
<sst xmlns="http://schemas.openxmlformats.org/spreadsheetml/2006/main" count="60" uniqueCount="56">
  <si>
    <t>File  Name</t>
  </si>
  <si>
    <t>Reactor Length</t>
  </si>
  <si>
    <t>Slug Length</t>
  </si>
  <si>
    <t>Slug Volume</t>
  </si>
  <si>
    <t>Channel area</t>
  </si>
  <si>
    <t>plug area</t>
  </si>
  <si>
    <t>plug hydraulic diameter</t>
  </si>
  <si>
    <t>Date</t>
  </si>
  <si>
    <t>Solvent</t>
  </si>
  <si>
    <t>microns/pixels</t>
  </si>
  <si>
    <t>frame</t>
  </si>
  <si>
    <t>slug length</t>
  </si>
  <si>
    <t>average</t>
  </si>
  <si>
    <t>difference</t>
  </si>
  <si>
    <t>Plug Number</t>
  </si>
  <si>
    <t>Plug Length (pix)</t>
  </si>
  <si>
    <t>Plug Length (microns)</t>
  </si>
  <si>
    <t>Plug Volume (cubic microns)</t>
  </si>
  <si>
    <t>Plug Volume (m^3)</t>
  </si>
  <si>
    <t>Frame #</t>
  </si>
  <si>
    <t>Position (microns)</t>
  </si>
  <si>
    <t>Fraction of reactor</t>
  </si>
  <si>
    <t>PSIG</t>
  </si>
  <si>
    <t>atm</t>
  </si>
  <si>
    <t>Absorbed Concentration (M)</t>
  </si>
  <si>
    <t>Plug velocitymicrons/s</t>
  </si>
  <si>
    <t>Time (s)</t>
  </si>
  <si>
    <t>Absorbed moles</t>
  </si>
  <si>
    <t>physical solubility M</t>
  </si>
  <si>
    <t>0.5MEA</t>
  </si>
  <si>
    <t>Pressure (psig)</t>
  </si>
  <si>
    <t>Temperature (F)</t>
  </si>
  <si>
    <t>Temperature (K)</t>
  </si>
  <si>
    <t>channel diameter</t>
  </si>
  <si>
    <t>Flow Rate (microL/min)</t>
  </si>
  <si>
    <t xml:space="preserve">Henrys constant </t>
  </si>
  <si>
    <t>Position of endpoint (pixels)</t>
  </si>
  <si>
    <t>initial plug length</t>
  </si>
  <si>
    <t>initial plug volume</t>
  </si>
  <si>
    <t>0.5M MEA</t>
  </si>
  <si>
    <t>video - 7</t>
  </si>
  <si>
    <t>12.5 microL/min</t>
  </si>
  <si>
    <t>70 F &amp; 10.7 psi</t>
  </si>
  <si>
    <t>frame - 14</t>
  </si>
  <si>
    <t>1pix</t>
  </si>
  <si>
    <t xml:space="preserve">area </t>
  </si>
  <si>
    <t>hydrolic diameter</t>
  </si>
  <si>
    <t>area (pix^2)</t>
  </si>
  <si>
    <t>X</t>
  </si>
  <si>
    <t>Y</t>
  </si>
  <si>
    <t xml:space="preserve"> area (mic^2)</t>
  </si>
  <si>
    <t>length w/o ends</t>
  </si>
  <si>
    <t>volume (mic^3)</t>
  </si>
  <si>
    <t>volume(m^3)</t>
  </si>
  <si>
    <t>calculated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</si>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</sst>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rgb="FF333333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46260317371393"/>
                  <c:y val="4.7295494313210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Sheet1!$M$2:$M$6</c:f>
              <c:numCache>
                <c:formatCode>General</c:formatCode>
                <c:ptCount val="5"/>
                <c:pt idx="0">
                  <c:v>1197.9212539986625</c:v>
                </c:pt>
                <c:pt idx="1">
                  <c:v>3143.7736229211978</c:v>
                </c:pt>
                <c:pt idx="2">
                  <c:v>4827.1460196511653</c:v>
                </c:pt>
                <c:pt idx="3">
                  <c:v>6292.8616882082551</c:v>
                </c:pt>
                <c:pt idx="4">
                  <c:v>7536.016069074899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1785.9362224438937</c:v>
                </c:pt>
                <c:pt idx="1">
                  <c:v>1463.0477795103952</c:v>
                </c:pt>
                <c:pt idx="2">
                  <c:v>1303.8774203178255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66040"/>
        <c:axId val="482766432"/>
      </c:scatterChart>
      <c:valAx>
        <c:axId val="4827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66432"/>
        <c:crosses val="autoZero"/>
        <c:crossBetween val="midCat"/>
      </c:valAx>
      <c:valAx>
        <c:axId val="4827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6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Sheet1!$Q$2:$Q$29</c:f>
              <c:numCache>
                <c:formatCode>General</c:formatCode>
                <c:ptCount val="28"/>
                <c:pt idx="0">
                  <c:v>3.1873635333966477E-2</c:v>
                </c:pt>
                <c:pt idx="1">
                  <c:v>8.9700981167559438E-2</c:v>
                </c:pt>
                <c:pt idx="2">
                  <c:v>0.11811069256724886</c:v>
                </c:pt>
                <c:pt idx="3">
                  <c:v>0.13916213253138304</c:v>
                </c:pt>
                <c:pt idx="4">
                  <c:v>0.18865047543434957</c:v>
                </c:pt>
                <c:pt idx="5">
                  <c:v>0.20571910128136975</c:v>
                </c:pt>
                <c:pt idx="6">
                  <c:v>0.2227901113309754</c:v>
                </c:pt>
                <c:pt idx="7">
                  <c:v>0.23173206897600701</c:v>
                </c:pt>
                <c:pt idx="8">
                  <c:v>0.23579659517829407</c:v>
                </c:pt>
                <c:pt idx="9">
                  <c:v>0.24392564758286822</c:v>
                </c:pt>
                <c:pt idx="10">
                  <c:v>0.24880307902561269</c:v>
                </c:pt>
                <c:pt idx="11">
                  <c:v>0.25124179474698494</c:v>
                </c:pt>
                <c:pt idx="12">
                  <c:v>0.25124179474698494</c:v>
                </c:pt>
                <c:pt idx="13">
                  <c:v>0.2577450366706443</c:v>
                </c:pt>
                <c:pt idx="14">
                  <c:v>0.26018375239201652</c:v>
                </c:pt>
                <c:pt idx="15">
                  <c:v>0.2634353733538462</c:v>
                </c:pt>
                <c:pt idx="16">
                  <c:v>0.26587408907521842</c:v>
                </c:pt>
                <c:pt idx="17">
                  <c:v>0.26668699431567588</c:v>
                </c:pt>
                <c:pt idx="18">
                  <c:v>0.2683128047965907</c:v>
                </c:pt>
                <c:pt idx="19">
                  <c:v>0.2691257100370481</c:v>
                </c:pt>
                <c:pt idx="20">
                  <c:v>0.27075152051796297</c:v>
                </c:pt>
                <c:pt idx="21">
                  <c:v>0.27156442575842038</c:v>
                </c:pt>
                <c:pt idx="22">
                  <c:v>0.27237733099887773</c:v>
                </c:pt>
                <c:pt idx="23">
                  <c:v>0.27319023623933514</c:v>
                </c:pt>
                <c:pt idx="24">
                  <c:v>0.2740031414797926</c:v>
                </c:pt>
                <c:pt idx="25">
                  <c:v>0.27969347816299445</c:v>
                </c:pt>
                <c:pt idx="26">
                  <c:v>0.28131928864390932</c:v>
                </c:pt>
                <c:pt idx="27">
                  <c:v>0.284570909605739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09304"/>
        <c:axId val="242409696"/>
      </c:scatterChart>
      <c:valAx>
        <c:axId val="2424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09696"/>
        <c:crosses val="autoZero"/>
        <c:crossBetween val="midCat"/>
      </c:valAx>
      <c:valAx>
        <c:axId val="2424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19050</xdr:rowOff>
    </xdr:from>
    <xdr:to>
      <xdr:col>12</xdr:col>
      <xdr:colOff>533400</xdr:colOff>
      <xdr:row>7</xdr:row>
      <xdr:rowOff>57150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91" t="9961" r="977" b="61914"/>
        <a:stretch/>
      </xdr:blipFill>
      <xdr:spPr>
        <a:xfrm>
          <a:off x="5295900" y="19050"/>
          <a:ext cx="4848225" cy="13716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153201</xdr:rowOff>
    </xdr:from>
    <xdr:to>
      <xdr:col>3</xdr:col>
      <xdr:colOff>827635</xdr:colOff>
      <xdr:row>45</xdr:row>
      <xdr:rowOff>38901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1008529</xdr:colOff>
      <xdr:row>29</xdr:row>
      <xdr:rowOff>152401</xdr:rowOff>
    </xdr:from>
    <xdr:to>
      <xdr:col>17</xdr:col>
      <xdr:colOff>1299882</xdr:colOff>
      <xdr:row>44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K10" sqref="K10"/>
    </sheetView>
  </sheetViews>
  <sheetFormatPr defaultRowHeight="15" x14ac:dyDescent="0.25"/>
  <cols>
    <col min="1" max="1" width="16.85546875" bestFit="1" customWidth="1"/>
    <col min="2" max="2" width="11.42578125" bestFit="1" customWidth="1"/>
    <col min="3" max="4" width="11.42578125" customWidth="1"/>
    <col min="5" max="5" width="12.28515625" bestFit="1" customWidth="1"/>
    <col min="6" max="6" width="15.5703125" bestFit="1" customWidth="1"/>
    <col min="7" max="7" width="14.85546875" bestFit="1" customWidth="1"/>
    <col min="8" max="8" width="12.85546875" bestFit="1" customWidth="1"/>
    <col min="11" max="11" width="10" bestFit="1" customWidth="1"/>
  </cols>
  <sheetData>
    <row r="1" spans="1:12" x14ac:dyDescent="0.25">
      <c r="A1" s="1">
        <v>42492</v>
      </c>
      <c r="B1" t="s">
        <v>39</v>
      </c>
      <c r="E1" t="s">
        <v>40</v>
      </c>
      <c r="F1" t="s">
        <v>41</v>
      </c>
    </row>
    <row r="2" spans="1:12" x14ac:dyDescent="0.25">
      <c r="A2" t="s">
        <v>42</v>
      </c>
      <c r="E2" t="s">
        <v>43</v>
      </c>
    </row>
    <row r="5" spans="1:12" x14ac:dyDescent="0.25">
      <c r="A5" t="s">
        <v>44</v>
      </c>
      <c r="B5">
        <f>2000/85.259</f>
        <v>23.457934059747359</v>
      </c>
    </row>
    <row r="6" spans="1:12" x14ac:dyDescent="0.25">
      <c r="A6" t="s">
        <v>45</v>
      </c>
      <c r="B6">
        <v>15270</v>
      </c>
    </row>
    <row r="7" spans="1:12" x14ac:dyDescent="0.25">
      <c r="A7" t="s">
        <v>46</v>
      </c>
      <c r="B7">
        <v>121</v>
      </c>
    </row>
    <row r="9" spans="1:12" ht="17.25" x14ac:dyDescent="0.25">
      <c r="A9" s="3"/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K9" t="s">
        <v>54</v>
      </c>
      <c r="L9" t="s">
        <v>55</v>
      </c>
    </row>
    <row r="10" spans="1:12" x14ac:dyDescent="0.25">
      <c r="A10">
        <v>1</v>
      </c>
      <c r="B10">
        <v>387</v>
      </c>
      <c r="C10">
        <v>252.84700000000001</v>
      </c>
      <c r="D10">
        <v>93.947999999999993</v>
      </c>
      <c r="E10">
        <f t="shared" ref="E10:E37" si="0">B10*($B$5^2)</f>
        <v>212956.29742601319</v>
      </c>
      <c r="F10">
        <f t="shared" ref="F10:F37" si="1">(E10-PI()*($B$7^2)/4)/$B$7</f>
        <v>1664.9362224438937</v>
      </c>
      <c r="G10">
        <f t="shared" ref="G10:G37" si="2">(F10*$B$6)+PI()*($B$7^3)/6</f>
        <v>26351163.287215956</v>
      </c>
      <c r="H10">
        <f t="shared" ref="H10:H37" si="3">G10*10^-18</f>
        <v>2.6351163287215957E-11</v>
      </c>
      <c r="J10">
        <f>F10/B5</f>
        <v>70.975398694671966</v>
      </c>
      <c r="K10" s="4">
        <f>(F10+121)/$B$5</f>
        <v>76.133568194671966</v>
      </c>
      <c r="L10">
        <v>71.162999999999997</v>
      </c>
    </row>
    <row r="11" spans="1:12" x14ac:dyDescent="0.25">
      <c r="A11">
        <v>5</v>
      </c>
      <c r="B11">
        <v>316</v>
      </c>
      <c r="C11">
        <v>200.47499999999999</v>
      </c>
      <c r="D11">
        <v>131.26900000000001</v>
      </c>
      <c r="E11">
        <f t="shared" si="0"/>
        <v>173886.79583105986</v>
      </c>
      <c r="F11">
        <f t="shared" si="1"/>
        <v>1342.0477795103952</v>
      </c>
      <c r="G11">
        <f t="shared" si="2"/>
        <v>21420656.763621431</v>
      </c>
      <c r="H11">
        <f t="shared" si="3"/>
        <v>2.1420656763621433E-11</v>
      </c>
      <c r="K11" s="4">
        <f>(F11+121)/$B$5</f>
        <v>62.36899531663839</v>
      </c>
      <c r="L11">
        <v>59.015999999999998</v>
      </c>
    </row>
    <row r="12" spans="1:12" x14ac:dyDescent="0.25">
      <c r="A12">
        <v>4</v>
      </c>
      <c r="B12">
        <v>281</v>
      </c>
      <c r="C12">
        <v>130.42500000000001</v>
      </c>
      <c r="D12">
        <v>131.05199999999999</v>
      </c>
      <c r="E12">
        <f t="shared" si="0"/>
        <v>154627.18236875892</v>
      </c>
      <c r="F12">
        <f t="shared" si="1"/>
        <v>1182.8774203178255</v>
      </c>
      <c r="G12">
        <f t="shared" si="2"/>
        <v>18990125.37875089</v>
      </c>
      <c r="H12">
        <f t="shared" si="3"/>
        <v>1.8990125378750892E-11</v>
      </c>
    </row>
    <row r="13" spans="1:12" x14ac:dyDescent="0.25">
      <c r="A13">
        <v>3</v>
      </c>
      <c r="B13">
        <v>255</v>
      </c>
      <c r="C13">
        <v>67.971000000000004</v>
      </c>
      <c r="D13">
        <v>131.02500000000001</v>
      </c>
      <c r="E13">
        <f t="shared" si="0"/>
        <v>140320.0409396211</v>
      </c>
      <c r="F13">
        <f t="shared" si="1"/>
        <v>1064.6365820604881</v>
      </c>
      <c r="G13">
        <f t="shared" si="2"/>
        <v>17184587.77856135</v>
      </c>
      <c r="H13">
        <f t="shared" si="3"/>
        <v>1.7184587778561351E-11</v>
      </c>
    </row>
    <row r="14" spans="1:12" x14ac:dyDescent="0.25">
      <c r="A14">
        <v>2</v>
      </c>
      <c r="B14">
        <v>194</v>
      </c>
      <c r="C14">
        <v>20.875</v>
      </c>
      <c r="D14">
        <v>139.40100000000001</v>
      </c>
      <c r="E14">
        <f t="shared" si="0"/>
        <v>106753.28604818232</v>
      </c>
      <c r="F14">
        <f t="shared" si="1"/>
        <v>787.2253846105807</v>
      </c>
      <c r="G14">
        <f t="shared" si="2"/>
        <v>12948518.793501265</v>
      </c>
      <c r="H14">
        <f t="shared" si="3"/>
        <v>1.2948518793501266E-11</v>
      </c>
    </row>
    <row r="15" spans="1:12" x14ac:dyDescent="0.25">
      <c r="A15">
        <v>6</v>
      </c>
      <c r="B15">
        <v>173</v>
      </c>
      <c r="C15">
        <v>60.072000000000003</v>
      </c>
      <c r="D15">
        <v>147.95699999999999</v>
      </c>
      <c r="E15">
        <f t="shared" si="0"/>
        <v>95197.517970801753</v>
      </c>
      <c r="F15">
        <f t="shared" si="1"/>
        <v>691.723169095039</v>
      </c>
      <c r="G15">
        <f t="shared" si="2"/>
        <v>11490199.962578945</v>
      </c>
      <c r="H15">
        <f t="shared" si="3"/>
        <v>1.1490199962578945E-11</v>
      </c>
    </row>
    <row r="16" spans="1:12" x14ac:dyDescent="0.25">
      <c r="A16">
        <v>7</v>
      </c>
      <c r="B16">
        <v>152</v>
      </c>
      <c r="C16">
        <v>104.50700000000001</v>
      </c>
      <c r="D16">
        <v>148.053</v>
      </c>
      <c r="E16">
        <f t="shared" si="0"/>
        <v>83641.749893421205</v>
      </c>
      <c r="F16">
        <f t="shared" si="1"/>
        <v>596.22095357949729</v>
      </c>
      <c r="G16">
        <f t="shared" si="2"/>
        <v>10031881.131656623</v>
      </c>
      <c r="H16">
        <f t="shared" si="3"/>
        <v>1.0031881131656624E-11</v>
      </c>
    </row>
    <row r="17" spans="1:8" x14ac:dyDescent="0.25">
      <c r="A17">
        <v>8</v>
      </c>
      <c r="B17">
        <v>141</v>
      </c>
      <c r="C17">
        <v>145.429</v>
      </c>
      <c r="D17">
        <v>148.07400000000001</v>
      </c>
      <c r="E17">
        <f t="shared" si="0"/>
        <v>77588.728519555196</v>
      </c>
      <c r="F17">
        <f t="shared" si="1"/>
        <v>546.1959835475468</v>
      </c>
      <c r="G17">
        <f t="shared" si="2"/>
        <v>9267999.8392687384</v>
      </c>
      <c r="H17">
        <f t="shared" si="3"/>
        <v>9.2679998392687383E-12</v>
      </c>
    </row>
    <row r="18" spans="1:8" x14ac:dyDescent="0.25">
      <c r="A18">
        <v>9</v>
      </c>
      <c r="B18">
        <v>136</v>
      </c>
      <c r="C18">
        <v>185.14400000000001</v>
      </c>
      <c r="D18">
        <v>148.09100000000001</v>
      </c>
      <c r="E18">
        <f t="shared" si="0"/>
        <v>74837.355167797912</v>
      </c>
      <c r="F18">
        <f t="shared" si="1"/>
        <v>523.45736080575102</v>
      </c>
      <c r="G18">
        <f t="shared" si="2"/>
        <v>8920781.0700015165</v>
      </c>
      <c r="H18">
        <f t="shared" si="3"/>
        <v>8.9207810700015165E-12</v>
      </c>
    </row>
    <row r="19" spans="1:8" x14ac:dyDescent="0.25">
      <c r="A19">
        <v>10</v>
      </c>
      <c r="B19">
        <v>126</v>
      </c>
      <c r="C19">
        <v>224.95099999999999</v>
      </c>
      <c r="D19">
        <v>148.49100000000001</v>
      </c>
      <c r="E19">
        <f t="shared" si="0"/>
        <v>69334.608464283359</v>
      </c>
      <c r="F19">
        <f t="shared" si="1"/>
        <v>477.98011532215963</v>
      </c>
      <c r="G19">
        <f t="shared" si="2"/>
        <v>8226343.5314670755</v>
      </c>
      <c r="H19">
        <f t="shared" si="3"/>
        <v>8.226343531467076E-12</v>
      </c>
    </row>
    <row r="20" spans="1:8" x14ac:dyDescent="0.25">
      <c r="A20">
        <v>11</v>
      </c>
      <c r="B20">
        <v>120</v>
      </c>
      <c r="C20">
        <v>263.709</v>
      </c>
      <c r="D20">
        <v>148.98699999999999</v>
      </c>
      <c r="E20">
        <f t="shared" si="0"/>
        <v>66032.960442174633</v>
      </c>
      <c r="F20">
        <f t="shared" si="1"/>
        <v>450.69376803200493</v>
      </c>
      <c r="G20">
        <f t="shared" si="2"/>
        <v>7809681.0083464133</v>
      </c>
      <c r="H20">
        <f t="shared" si="3"/>
        <v>7.809681008346414E-12</v>
      </c>
    </row>
    <row r="21" spans="1:8" x14ac:dyDescent="0.25">
      <c r="A21">
        <v>12</v>
      </c>
      <c r="B21">
        <v>117</v>
      </c>
      <c r="C21">
        <v>301.25200000000001</v>
      </c>
      <c r="D21">
        <v>148.97900000000001</v>
      </c>
      <c r="E21">
        <f t="shared" si="0"/>
        <v>64382.136431120263</v>
      </c>
      <c r="F21">
        <f t="shared" si="1"/>
        <v>437.05059438692746</v>
      </c>
      <c r="G21">
        <f t="shared" si="2"/>
        <v>7601349.7467860803</v>
      </c>
      <c r="H21">
        <f t="shared" si="3"/>
        <v>7.6013497467860806E-12</v>
      </c>
    </row>
    <row r="22" spans="1:8" x14ac:dyDescent="0.25">
      <c r="A22">
        <v>13</v>
      </c>
      <c r="B22">
        <v>117</v>
      </c>
      <c r="C22">
        <v>338.06900000000002</v>
      </c>
      <c r="D22">
        <v>149.00899999999999</v>
      </c>
      <c r="E22">
        <f t="shared" si="0"/>
        <v>64382.136431120263</v>
      </c>
      <c r="F22">
        <f t="shared" si="1"/>
        <v>437.05059438692746</v>
      </c>
      <c r="G22">
        <f t="shared" si="2"/>
        <v>7601349.7467860803</v>
      </c>
      <c r="H22">
        <f t="shared" si="3"/>
        <v>7.6013497467860806E-12</v>
      </c>
    </row>
    <row r="23" spans="1:8" x14ac:dyDescent="0.25">
      <c r="A23">
        <v>24</v>
      </c>
      <c r="B23">
        <v>109</v>
      </c>
      <c r="C23">
        <v>255.39400000000001</v>
      </c>
      <c r="D23">
        <v>165.99</v>
      </c>
      <c r="E23">
        <f t="shared" si="0"/>
        <v>59979.939068308624</v>
      </c>
      <c r="F23">
        <f t="shared" si="1"/>
        <v>400.66879800005444</v>
      </c>
      <c r="G23">
        <f t="shared" si="2"/>
        <v>7045799.7159585292</v>
      </c>
      <c r="H23">
        <f t="shared" si="3"/>
        <v>7.0457997159585293E-12</v>
      </c>
    </row>
    <row r="24" spans="1:8" x14ac:dyDescent="0.25">
      <c r="A24">
        <v>14</v>
      </c>
      <c r="B24">
        <v>106</v>
      </c>
      <c r="C24">
        <v>374.17899999999997</v>
      </c>
      <c r="D24">
        <v>149.113</v>
      </c>
      <c r="E24">
        <f t="shared" si="0"/>
        <v>58329.115057254254</v>
      </c>
      <c r="F24">
        <f t="shared" si="1"/>
        <v>387.02562435497697</v>
      </c>
      <c r="G24">
        <f t="shared" si="2"/>
        <v>6837468.4543981962</v>
      </c>
      <c r="H24">
        <f t="shared" si="3"/>
        <v>6.8374684543981967E-12</v>
      </c>
    </row>
    <row r="25" spans="1:8" x14ac:dyDescent="0.25">
      <c r="A25">
        <v>25</v>
      </c>
      <c r="B25">
        <v>102</v>
      </c>
      <c r="C25">
        <v>285.14699999999999</v>
      </c>
      <c r="D25">
        <v>166</v>
      </c>
      <c r="E25">
        <f t="shared" si="0"/>
        <v>56128.016375848434</v>
      </c>
      <c r="F25">
        <f t="shared" si="1"/>
        <v>368.83472616154046</v>
      </c>
      <c r="G25">
        <f t="shared" si="2"/>
        <v>6559693.4389844202</v>
      </c>
      <c r="H25">
        <f t="shared" si="3"/>
        <v>6.5596934389844207E-12</v>
      </c>
    </row>
    <row r="26" spans="1:8" x14ac:dyDescent="0.25">
      <c r="A26">
        <v>26</v>
      </c>
      <c r="B26">
        <v>99</v>
      </c>
      <c r="C26">
        <v>318.29599999999999</v>
      </c>
      <c r="D26">
        <v>166.03100000000001</v>
      </c>
      <c r="E26">
        <f t="shared" si="0"/>
        <v>54477.192364794071</v>
      </c>
      <c r="F26">
        <f t="shared" si="1"/>
        <v>355.19155251646305</v>
      </c>
      <c r="G26">
        <f t="shared" si="2"/>
        <v>6351362.1774240881</v>
      </c>
      <c r="H26">
        <f t="shared" si="3"/>
        <v>6.3513621774240889E-12</v>
      </c>
    </row>
    <row r="27" spans="1:8" x14ac:dyDescent="0.25">
      <c r="A27">
        <v>27</v>
      </c>
      <c r="B27">
        <v>98</v>
      </c>
      <c r="C27">
        <v>351.12200000000001</v>
      </c>
      <c r="D27">
        <v>166.03299999999999</v>
      </c>
      <c r="E27">
        <f t="shared" si="0"/>
        <v>53926.917694442614</v>
      </c>
      <c r="F27">
        <f t="shared" si="1"/>
        <v>350.64382796810389</v>
      </c>
      <c r="G27">
        <f t="shared" si="2"/>
        <v>6281918.4235706441</v>
      </c>
      <c r="H27">
        <f t="shared" si="3"/>
        <v>6.2819184235706447E-12</v>
      </c>
    </row>
    <row r="28" spans="1:8" x14ac:dyDescent="0.25">
      <c r="A28">
        <v>15</v>
      </c>
      <c r="B28">
        <v>96</v>
      </c>
      <c r="C28">
        <v>409.1</v>
      </c>
      <c r="D28">
        <v>149.54400000000001</v>
      </c>
      <c r="E28">
        <f t="shared" si="0"/>
        <v>52826.368353739701</v>
      </c>
      <c r="F28">
        <f t="shared" si="1"/>
        <v>341.54837887138564</v>
      </c>
      <c r="G28">
        <f t="shared" si="2"/>
        <v>6143030.9158637561</v>
      </c>
      <c r="H28">
        <f t="shared" si="3"/>
        <v>6.1430309158637563E-12</v>
      </c>
    </row>
    <row r="29" spans="1:8" x14ac:dyDescent="0.25">
      <c r="A29">
        <v>30</v>
      </c>
      <c r="B29">
        <v>95</v>
      </c>
      <c r="C29">
        <v>453.78399999999999</v>
      </c>
      <c r="D29">
        <v>166.898</v>
      </c>
      <c r="E29">
        <f t="shared" si="0"/>
        <v>52276.093683388252</v>
      </c>
      <c r="F29">
        <f t="shared" si="1"/>
        <v>337.00065432302654</v>
      </c>
      <c r="G29">
        <f t="shared" si="2"/>
        <v>6073587.162010313</v>
      </c>
      <c r="H29">
        <f t="shared" si="3"/>
        <v>6.0735871620103137E-12</v>
      </c>
    </row>
    <row r="30" spans="1:8" x14ac:dyDescent="0.25">
      <c r="A30">
        <v>28</v>
      </c>
      <c r="B30">
        <v>93</v>
      </c>
      <c r="C30">
        <v>385.267</v>
      </c>
      <c r="D30">
        <v>166.221</v>
      </c>
      <c r="E30">
        <f t="shared" si="0"/>
        <v>51175.544342685338</v>
      </c>
      <c r="F30">
        <f t="shared" si="1"/>
        <v>327.90520522630823</v>
      </c>
      <c r="G30">
        <f t="shared" si="2"/>
        <v>5934699.6543034241</v>
      </c>
      <c r="H30">
        <f t="shared" si="3"/>
        <v>5.9346996543034244E-12</v>
      </c>
    </row>
    <row r="31" spans="1:8" x14ac:dyDescent="0.25">
      <c r="A31">
        <v>29</v>
      </c>
      <c r="B31">
        <v>92</v>
      </c>
      <c r="C31">
        <v>419.53500000000003</v>
      </c>
      <c r="D31">
        <v>166.91900000000001</v>
      </c>
      <c r="E31">
        <f t="shared" si="0"/>
        <v>50625.269672333881</v>
      </c>
      <c r="F31">
        <f t="shared" si="1"/>
        <v>323.35748067794907</v>
      </c>
      <c r="G31">
        <f t="shared" si="2"/>
        <v>5865255.9004499801</v>
      </c>
      <c r="H31">
        <f t="shared" si="3"/>
        <v>5.8652559004499802E-12</v>
      </c>
    </row>
    <row r="32" spans="1:8" x14ac:dyDescent="0.25">
      <c r="A32">
        <v>16</v>
      </c>
      <c r="B32">
        <v>91</v>
      </c>
      <c r="C32">
        <v>443.524</v>
      </c>
      <c r="D32">
        <v>149.84100000000001</v>
      </c>
      <c r="E32">
        <f t="shared" si="0"/>
        <v>50074.995001982432</v>
      </c>
      <c r="F32">
        <f t="shared" si="1"/>
        <v>318.80975612959003</v>
      </c>
      <c r="G32">
        <f t="shared" si="2"/>
        <v>5795812.1465965379</v>
      </c>
      <c r="H32">
        <f t="shared" si="3"/>
        <v>5.7958121465965385E-12</v>
      </c>
    </row>
    <row r="33" spans="1:8" x14ac:dyDescent="0.25">
      <c r="A33">
        <v>23</v>
      </c>
      <c r="B33">
        <v>90</v>
      </c>
      <c r="C33">
        <v>231.38900000000001</v>
      </c>
      <c r="D33">
        <v>165.673</v>
      </c>
      <c r="E33">
        <f t="shared" si="0"/>
        <v>49524.720331630975</v>
      </c>
      <c r="F33">
        <f t="shared" si="1"/>
        <v>314.26203158123087</v>
      </c>
      <c r="G33">
        <f t="shared" si="2"/>
        <v>5726368.392743093</v>
      </c>
      <c r="H33">
        <f t="shared" si="3"/>
        <v>5.7263683927430934E-12</v>
      </c>
    </row>
    <row r="34" spans="1:8" x14ac:dyDescent="0.25">
      <c r="A34">
        <v>17</v>
      </c>
      <c r="B34">
        <v>89</v>
      </c>
      <c r="C34">
        <v>477.18200000000002</v>
      </c>
      <c r="D34">
        <v>149.977</v>
      </c>
      <c r="E34">
        <f t="shared" si="0"/>
        <v>48974.445661279518</v>
      </c>
      <c r="F34">
        <f t="shared" si="1"/>
        <v>309.71430703287172</v>
      </c>
      <c r="G34">
        <f t="shared" si="2"/>
        <v>5656924.638889649</v>
      </c>
      <c r="H34">
        <f t="shared" si="3"/>
        <v>5.6569246388896492E-12</v>
      </c>
    </row>
    <row r="35" spans="1:8" x14ac:dyDescent="0.25">
      <c r="A35">
        <v>19</v>
      </c>
      <c r="B35">
        <v>82</v>
      </c>
      <c r="C35">
        <v>487.59199999999998</v>
      </c>
      <c r="D35">
        <v>165.90799999999999</v>
      </c>
      <c r="E35">
        <f t="shared" si="0"/>
        <v>45122.522968819329</v>
      </c>
      <c r="F35">
        <f t="shared" si="1"/>
        <v>277.88023519435774</v>
      </c>
      <c r="G35">
        <f t="shared" si="2"/>
        <v>5170818.3619155409</v>
      </c>
      <c r="H35">
        <f>G35*10^-18</f>
        <v>5.1708183619155414E-12</v>
      </c>
    </row>
    <row r="36" spans="1:8" x14ac:dyDescent="0.25">
      <c r="A36">
        <v>21</v>
      </c>
      <c r="B36">
        <v>80</v>
      </c>
      <c r="C36">
        <v>171.36799999999999</v>
      </c>
      <c r="D36">
        <v>165.14500000000001</v>
      </c>
      <c r="E36">
        <f t="shared" si="0"/>
        <v>44021.973628116422</v>
      </c>
      <c r="F36">
        <f t="shared" si="1"/>
        <v>268.78478609763954</v>
      </c>
      <c r="G36">
        <f t="shared" si="2"/>
        <v>5031930.8542086538</v>
      </c>
      <c r="H36">
        <f t="shared" si="3"/>
        <v>5.0319308542086538E-12</v>
      </c>
    </row>
    <row r="37" spans="1:8" x14ac:dyDescent="0.25">
      <c r="A37">
        <v>22</v>
      </c>
      <c r="B37">
        <v>76</v>
      </c>
      <c r="C37">
        <v>202.43</v>
      </c>
      <c r="D37">
        <v>165.28899999999999</v>
      </c>
      <c r="E37">
        <f t="shared" si="0"/>
        <v>41820.874946710603</v>
      </c>
      <c r="F37">
        <f t="shared" si="1"/>
        <v>250.593887904203</v>
      </c>
      <c r="G37">
        <f t="shared" si="2"/>
        <v>4754155.8387948778</v>
      </c>
      <c r="H37">
        <f t="shared" si="3"/>
        <v>4.7541558387948778E-12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abSelected="1" topLeftCell="H1" zoomScale="70" zoomScaleNormal="70" workbookViewId="0">
      <selection activeCell="S2" sqref="S2"/>
    </sheetView>
  </sheetViews>
  <sheetFormatPr defaultRowHeight="15" x14ac:dyDescent="0.25"/>
  <cols>
    <col min="1" max="1" width="22.42578125" bestFit="1" customWidth="1"/>
    <col min="2" max="2" width="19.28515625" bestFit="1" customWidth="1"/>
    <col min="3" max="3" width="14.28515625" bestFit="1" customWidth="1"/>
    <col min="4" max="4" width="12.5703125" bestFit="1" customWidth="1"/>
    <col min="5" max="6" width="12.5703125" customWidth="1"/>
    <col min="7" max="7" width="16" bestFit="1" customWidth="1"/>
    <col min="8" max="8" width="20.42578125" bestFit="1" customWidth="1"/>
    <col min="9" max="9" width="26.7109375" bestFit="1" customWidth="1"/>
    <col min="10" max="10" width="18.140625" bestFit="1" customWidth="1"/>
    <col min="11" max="11" width="8" bestFit="1" customWidth="1"/>
    <col min="12" max="12" width="26.85546875" bestFit="1" customWidth="1"/>
    <col min="13" max="14" width="17.42578125" bestFit="1" customWidth="1"/>
    <col min="15" max="15" width="8.140625" bestFit="1" customWidth="1"/>
    <col min="16" max="16" width="12" bestFit="1" customWidth="1"/>
    <col min="17" max="17" width="26.7109375" bestFit="1" customWidth="1"/>
    <col min="18" max="18" width="21.42578125" bestFit="1" customWidth="1"/>
    <col min="19" max="19" width="12.28515625" bestFit="1" customWidth="1"/>
    <col min="20" max="20" width="15.5703125" bestFit="1" customWidth="1"/>
    <col min="21" max="21" width="20.42578125" bestFit="1" customWidth="1"/>
  </cols>
  <sheetData>
    <row r="1" spans="1:21" x14ac:dyDescent="0.25">
      <c r="A1" t="s">
        <v>7</v>
      </c>
      <c r="B1" s="1">
        <v>42492</v>
      </c>
      <c r="C1" t="s">
        <v>9</v>
      </c>
      <c r="D1" t="s">
        <v>14</v>
      </c>
      <c r="E1" t="s">
        <v>50</v>
      </c>
      <c r="F1" t="s">
        <v>51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36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A2" t="s">
        <v>8</v>
      </c>
      <c r="B2" t="s">
        <v>29</v>
      </c>
      <c r="C2">
        <f>2000/85.259</f>
        <v>23.457934059747359</v>
      </c>
      <c r="D2">
        <v>1</v>
      </c>
      <c r="E2">
        <v>212956.29742601319</v>
      </c>
      <c r="F2">
        <v>1664.9362224438937</v>
      </c>
      <c r="G2">
        <f>(F2+$B$12)/$C$2</f>
        <v>76.133568194671966</v>
      </c>
      <c r="H2">
        <f>G2*$C$2</f>
        <v>1785.9362224438937</v>
      </c>
      <c r="I2">
        <v>26351163.287215956</v>
      </c>
      <c r="J2">
        <v>2.6351163287215957E-11</v>
      </c>
      <c r="L2">
        <v>13</v>
      </c>
      <c r="M2">
        <f>(L2+G2/2)*$C$2</f>
        <v>1197.9212539986625</v>
      </c>
      <c r="N2">
        <f>M2/$B$7</f>
        <v>1.6294153754813758E-3</v>
      </c>
      <c r="O2">
        <f>(1-N2)*$B$6</f>
        <v>10.682565255482348</v>
      </c>
      <c r="P2">
        <f>1+(0.068046*O2)</f>
        <v>1.7269058353745519</v>
      </c>
      <c r="Q2">
        <f>T2*10^15/$B$9</f>
        <v>3.1873635333966477E-2</v>
      </c>
      <c r="R2">
        <f>(B5/B11)*(10^12)/60</f>
        <v>13643309.321108928</v>
      </c>
      <c r="S2">
        <f>M2/$R$2</f>
        <v>8.7802836233085961E-5</v>
      </c>
      <c r="T2">
        <f>P2*($B$24-J2)*1000/0.082/$B$15</f>
        <v>1.941600446527502E-10</v>
      </c>
      <c r="U2">
        <f>P2*$B$19</f>
        <v>6.2069582656347065E-2</v>
      </c>
    </row>
    <row r="3" spans="1:21" x14ac:dyDescent="0.25">
      <c r="A3" t="s">
        <v>0</v>
      </c>
      <c r="B3" t="s">
        <v>40</v>
      </c>
      <c r="E3">
        <v>173886.79583105986</v>
      </c>
      <c r="F3">
        <v>1342.0477795103952</v>
      </c>
      <c r="G3">
        <f t="shared" ref="G3:G29" si="0">(F3+$B$12)/$C$2</f>
        <v>62.36899531663839</v>
      </c>
      <c r="H3">
        <f t="shared" ref="H3:H29" si="1">G3*$C$2</f>
        <v>1463.0477795103952</v>
      </c>
      <c r="I3">
        <v>21420656.763621431</v>
      </c>
      <c r="J3">
        <v>2.1420656763621433E-11</v>
      </c>
      <c r="L3">
        <v>102.833</v>
      </c>
      <c r="M3">
        <f t="shared" ref="M3:M6" si="2">(L3+G3/2)*$C$2</f>
        <v>3143.7736229211978</v>
      </c>
      <c r="N3">
        <f t="shared" ref="N3:N6" si="3">M3/$B$7</f>
        <v>4.2761684552483177E-3</v>
      </c>
      <c r="O3">
        <f t="shared" ref="O3:O6" si="4">(1-N3)*$B$6</f>
        <v>10.654244997528842</v>
      </c>
      <c r="P3">
        <f t="shared" ref="P3:P29" si="5">1+(0.068046*O3)</f>
        <v>1.7249787551018474</v>
      </c>
      <c r="Q3">
        <f t="shared" ref="Q3:Q29" si="6">T3*10^15/$B$9</f>
        <v>8.9700981167559438E-2</v>
      </c>
      <c r="S3">
        <f t="shared" ref="S3:S29" si="7">M3/$R$2</f>
        <v>2.3042603146563212E-4</v>
      </c>
      <c r="T3">
        <f t="shared" ref="T3:T29" si="8">P3*($B$24-J3)*1000/0.082/$B$15</f>
        <v>5.4641857843962122E-10</v>
      </c>
      <c r="U3">
        <f t="shared" ref="U3:U29" si="9">P3*$B$19</f>
        <v>6.2000318272718347E-2</v>
      </c>
    </row>
    <row r="4" spans="1:21" x14ac:dyDescent="0.25">
      <c r="B4" t="s">
        <v>43</v>
      </c>
      <c r="E4">
        <v>154627.18236875892</v>
      </c>
      <c r="F4">
        <v>1182.8774203178255</v>
      </c>
      <c r="G4">
        <f t="shared" si="0"/>
        <v>55.583642489438738</v>
      </c>
      <c r="H4">
        <f t="shared" si="1"/>
        <v>1303.8774203178255</v>
      </c>
      <c r="I4">
        <v>18990125.37875089</v>
      </c>
      <c r="J4">
        <v>1.8990125378750892E-11</v>
      </c>
      <c r="L4">
        <v>177.98699999999999</v>
      </c>
      <c r="M4">
        <f t="shared" si="2"/>
        <v>4827.1460196511653</v>
      </c>
      <c r="N4">
        <f t="shared" si="3"/>
        <v>6.5658956445246554E-3</v>
      </c>
      <c r="O4">
        <f t="shared" si="4"/>
        <v>10.629744916603585</v>
      </c>
      <c r="P4">
        <f t="shared" si="5"/>
        <v>1.7233116225952074</v>
      </c>
      <c r="Q4">
        <f t="shared" si="6"/>
        <v>0.11811069256724886</v>
      </c>
      <c r="S4">
        <f t="shared" si="7"/>
        <v>3.5381049465635182E-4</v>
      </c>
      <c r="T4">
        <f t="shared" si="8"/>
        <v>7.1947793537018223E-10</v>
      </c>
      <c r="U4">
        <f t="shared" si="9"/>
        <v>6.1940397102264066E-2</v>
      </c>
    </row>
    <row r="5" spans="1:21" x14ac:dyDescent="0.25">
      <c r="A5" t="s">
        <v>34</v>
      </c>
      <c r="B5">
        <v>12.5</v>
      </c>
      <c r="E5">
        <v>140320.0409396211</v>
      </c>
      <c r="F5">
        <v>1064.6365820604881</v>
      </c>
      <c r="G5">
        <f t="shared" si="0"/>
        <v>50.543094674947575</v>
      </c>
      <c r="H5">
        <f t="shared" si="1"/>
        <v>1185.6365820604881</v>
      </c>
      <c r="I5">
        <v>17184587.77856135</v>
      </c>
      <c r="J5">
        <v>1.7184587778561351E-11</v>
      </c>
      <c r="L5">
        <v>242.99</v>
      </c>
      <c r="M5">
        <f t="shared" si="2"/>
        <v>6292.8616882082551</v>
      </c>
      <c r="N5">
        <f t="shared" si="3"/>
        <v>8.5595656278051706E-3</v>
      </c>
      <c r="O5">
        <f t="shared" si="4"/>
        <v>10.608412647782485</v>
      </c>
      <c r="P5">
        <f t="shared" si="5"/>
        <v>1.721860047031007</v>
      </c>
      <c r="Q5">
        <f t="shared" si="6"/>
        <v>0.13916213253138304</v>
      </c>
      <c r="S5">
        <f t="shared" si="7"/>
        <v>4.6124159029891227E-4</v>
      </c>
      <c r="T5">
        <f t="shared" si="8"/>
        <v>8.4771396745797034E-10</v>
      </c>
      <c r="U5">
        <f t="shared" si="9"/>
        <v>6.1888223620874143E-2</v>
      </c>
    </row>
    <row r="6" spans="1:21" x14ac:dyDescent="0.25">
      <c r="A6" t="s">
        <v>30</v>
      </c>
      <c r="B6">
        <v>10.7</v>
      </c>
      <c r="E6">
        <v>106753.28604818232</v>
      </c>
      <c r="F6">
        <v>787.2253846105807</v>
      </c>
      <c r="G6">
        <f t="shared" si="0"/>
        <v>38.717194033256746</v>
      </c>
      <c r="H6">
        <f t="shared" si="1"/>
        <v>908.22538461058059</v>
      </c>
      <c r="I6">
        <v>12948518.793501265</v>
      </c>
      <c r="J6">
        <v>1.2948518793501266E-11</v>
      </c>
      <c r="L6">
        <v>301.89800000000002</v>
      </c>
      <c r="M6">
        <f t="shared" si="2"/>
        <v>7536.016069074899</v>
      </c>
      <c r="N6">
        <f t="shared" si="3"/>
        <v>1.025050721141898E-2</v>
      </c>
      <c r="O6">
        <f t="shared" si="4"/>
        <v>10.590319572837817</v>
      </c>
      <c r="P6">
        <f t="shared" si="5"/>
        <v>1.7206288856533221</v>
      </c>
      <c r="Q6">
        <f t="shared" si="6"/>
        <v>0.18865047543434957</v>
      </c>
      <c r="S6">
        <f t="shared" si="7"/>
        <v>5.523598337989138E-4</v>
      </c>
      <c r="T6">
        <f t="shared" si="8"/>
        <v>1.1491749952683447E-9</v>
      </c>
      <c r="U6">
        <f t="shared" si="9"/>
        <v>6.1843972410802257E-2</v>
      </c>
    </row>
    <row r="7" spans="1:21" x14ac:dyDescent="0.25">
      <c r="A7" t="s">
        <v>1</v>
      </c>
      <c r="B7">
        <v>735184.7</v>
      </c>
      <c r="E7">
        <v>95197.517970801753</v>
      </c>
      <c r="F7">
        <v>691.723169095039</v>
      </c>
      <c r="G7">
        <f t="shared" si="0"/>
        <v>34.64598233693696</v>
      </c>
      <c r="H7">
        <f t="shared" si="1"/>
        <v>812.72316909503888</v>
      </c>
      <c r="I7">
        <v>11490199.962578945</v>
      </c>
      <c r="J7">
        <v>1.1490199962578945E-11</v>
      </c>
      <c r="O7">
        <v>10.59</v>
      </c>
      <c r="P7">
        <f t="shared" si="5"/>
        <v>1.7206071399999998</v>
      </c>
      <c r="Q7">
        <f t="shared" si="6"/>
        <v>0.20571910128136975</v>
      </c>
      <c r="S7">
        <f t="shared" si="7"/>
        <v>0</v>
      </c>
      <c r="T7">
        <f t="shared" si="8"/>
        <v>1.2531494908630432E-9</v>
      </c>
      <c r="U7">
        <f t="shared" si="9"/>
        <v>6.184319081426199E-2</v>
      </c>
    </row>
    <row r="8" spans="1:21" x14ac:dyDescent="0.25">
      <c r="A8" t="s">
        <v>2</v>
      </c>
      <c r="B8">
        <v>16</v>
      </c>
      <c r="E8">
        <v>83641.749893421205</v>
      </c>
      <c r="F8">
        <v>596.22095357949729</v>
      </c>
      <c r="G8">
        <f t="shared" si="0"/>
        <v>30.574770640617178</v>
      </c>
      <c r="H8">
        <f t="shared" si="1"/>
        <v>717.22095357949729</v>
      </c>
      <c r="I8">
        <v>10031881.131656623</v>
      </c>
      <c r="J8">
        <v>1.0031881131656624E-11</v>
      </c>
      <c r="O8">
        <v>10.59</v>
      </c>
      <c r="P8">
        <f t="shared" si="5"/>
        <v>1.7206071399999998</v>
      </c>
      <c r="Q8">
        <f t="shared" si="6"/>
        <v>0.2227901113309754</v>
      </c>
      <c r="S8">
        <f t="shared" si="7"/>
        <v>0</v>
      </c>
      <c r="T8">
        <f t="shared" si="8"/>
        <v>1.3571385099620615E-9</v>
      </c>
      <c r="U8">
        <f t="shared" si="9"/>
        <v>6.184319081426199E-2</v>
      </c>
    </row>
    <row r="9" spans="1:21" x14ac:dyDescent="0.25">
      <c r="A9" t="s">
        <v>3</v>
      </c>
      <c r="B9">
        <f>B10*C2*B8</f>
        <v>6091556.3166351942</v>
      </c>
      <c r="E9">
        <v>77588.728519555196</v>
      </c>
      <c r="F9">
        <v>546.1959835475468</v>
      </c>
      <c r="G9">
        <f t="shared" si="0"/>
        <v>28.442231180640146</v>
      </c>
      <c r="H9">
        <f t="shared" si="1"/>
        <v>667.1959835475468</v>
      </c>
      <c r="I9">
        <v>9267999.8392687384</v>
      </c>
      <c r="J9">
        <v>9.2679998392687383E-12</v>
      </c>
      <c r="O9">
        <v>10.59</v>
      </c>
      <c r="P9">
        <f t="shared" si="5"/>
        <v>1.7206071399999998</v>
      </c>
      <c r="Q9">
        <f t="shared" si="6"/>
        <v>0.23173206897600701</v>
      </c>
      <c r="S9">
        <f t="shared" si="7"/>
        <v>0</v>
      </c>
      <c r="T9">
        <f t="shared" si="8"/>
        <v>1.4116089485377382E-9</v>
      </c>
      <c r="U9">
        <f t="shared" si="9"/>
        <v>6.184319081426199E-2</v>
      </c>
    </row>
    <row r="10" spans="1:21" x14ac:dyDescent="0.25">
      <c r="A10" t="s">
        <v>4</v>
      </c>
      <c r="B10">
        <v>16230</v>
      </c>
      <c r="E10">
        <v>74837.355167797912</v>
      </c>
      <c r="F10">
        <v>523.45736080575102</v>
      </c>
      <c r="G10">
        <f t="shared" si="0"/>
        <v>27.472895062468762</v>
      </c>
      <c r="H10">
        <f t="shared" si="1"/>
        <v>644.45736080575102</v>
      </c>
      <c r="I10">
        <v>8920781.0700015165</v>
      </c>
      <c r="J10">
        <v>8.9207810700015165E-12</v>
      </c>
      <c r="O10">
        <v>10.59</v>
      </c>
      <c r="P10">
        <f t="shared" si="5"/>
        <v>1.7206071399999998</v>
      </c>
      <c r="Q10">
        <f t="shared" si="6"/>
        <v>0.23579659517829407</v>
      </c>
      <c r="S10">
        <f t="shared" si="7"/>
        <v>0</v>
      </c>
      <c r="T10">
        <f t="shared" si="8"/>
        <v>1.4363682387994091E-9</v>
      </c>
      <c r="U10">
        <f t="shared" si="9"/>
        <v>6.184319081426199E-2</v>
      </c>
    </row>
    <row r="11" spans="1:21" x14ac:dyDescent="0.25">
      <c r="A11" t="s">
        <v>5</v>
      </c>
      <c r="B11">
        <v>15270</v>
      </c>
      <c r="E11">
        <v>69334.608464283359</v>
      </c>
      <c r="F11">
        <v>477.98011532215963</v>
      </c>
      <c r="G11">
        <f t="shared" si="0"/>
        <v>25.534222826126005</v>
      </c>
      <c r="H11">
        <f t="shared" si="1"/>
        <v>598.98011532215969</v>
      </c>
      <c r="I11">
        <v>8226343.5314670755</v>
      </c>
      <c r="J11">
        <v>8.226343531467076E-12</v>
      </c>
      <c r="O11">
        <v>10.59</v>
      </c>
      <c r="P11">
        <f t="shared" si="5"/>
        <v>1.7206071399999998</v>
      </c>
      <c r="Q11">
        <f t="shared" si="6"/>
        <v>0.24392564758286822</v>
      </c>
      <c r="S11">
        <f t="shared" si="7"/>
        <v>0</v>
      </c>
      <c r="T11">
        <f t="shared" si="8"/>
        <v>1.4858868193227511E-9</v>
      </c>
      <c r="U11">
        <f t="shared" si="9"/>
        <v>6.184319081426199E-2</v>
      </c>
    </row>
    <row r="12" spans="1:21" x14ac:dyDescent="0.25">
      <c r="A12" t="s">
        <v>6</v>
      </c>
      <c r="B12">
        <v>121</v>
      </c>
      <c r="E12">
        <v>66032.960442174633</v>
      </c>
      <c r="F12">
        <v>450.69376803200493</v>
      </c>
      <c r="G12">
        <f t="shared" si="0"/>
        <v>24.371019484320357</v>
      </c>
      <c r="H12">
        <f t="shared" si="1"/>
        <v>571.69376803200498</v>
      </c>
      <c r="I12">
        <v>7809681.0083464133</v>
      </c>
      <c r="J12">
        <v>7.809681008346414E-12</v>
      </c>
      <c r="O12">
        <v>10.59</v>
      </c>
      <c r="P12">
        <f t="shared" si="5"/>
        <v>1.7206071399999998</v>
      </c>
      <c r="Q12">
        <f t="shared" si="6"/>
        <v>0.24880307902561269</v>
      </c>
      <c r="S12">
        <f t="shared" si="7"/>
        <v>0</v>
      </c>
      <c r="T12">
        <f t="shared" si="8"/>
        <v>1.5155979676367564E-9</v>
      </c>
      <c r="U12">
        <f t="shared" si="9"/>
        <v>6.184319081426199E-2</v>
      </c>
    </row>
    <row r="13" spans="1:21" x14ac:dyDescent="0.25">
      <c r="A13" t="s">
        <v>33</v>
      </c>
      <c r="B13">
        <v>125</v>
      </c>
      <c r="E13">
        <v>64382.136431120263</v>
      </c>
      <c r="F13">
        <v>437.05059438692746</v>
      </c>
      <c r="G13">
        <f t="shared" si="0"/>
        <v>23.789417813417526</v>
      </c>
      <c r="H13">
        <f t="shared" si="1"/>
        <v>558.05059438692751</v>
      </c>
      <c r="I13">
        <v>7601349.7467860803</v>
      </c>
      <c r="J13">
        <v>7.6013497467860806E-12</v>
      </c>
      <c r="O13">
        <v>10.59</v>
      </c>
      <c r="P13">
        <f t="shared" si="5"/>
        <v>1.7206071399999998</v>
      </c>
      <c r="Q13">
        <f t="shared" si="6"/>
        <v>0.25124179474698494</v>
      </c>
      <c r="S13">
        <f t="shared" si="7"/>
        <v>0</v>
      </c>
      <c r="T13">
        <f t="shared" si="8"/>
        <v>1.5304535417937592E-9</v>
      </c>
      <c r="U13">
        <f t="shared" si="9"/>
        <v>6.184319081426199E-2</v>
      </c>
    </row>
    <row r="14" spans="1:21" x14ac:dyDescent="0.25">
      <c r="A14" t="s">
        <v>31</v>
      </c>
      <c r="B14">
        <v>70</v>
      </c>
      <c r="E14">
        <v>64382.136431120263</v>
      </c>
      <c r="F14">
        <v>437.05059438692746</v>
      </c>
      <c r="G14">
        <f t="shared" si="0"/>
        <v>23.789417813417526</v>
      </c>
      <c r="H14">
        <f t="shared" si="1"/>
        <v>558.05059438692751</v>
      </c>
      <c r="I14">
        <v>7601349.7467860803</v>
      </c>
      <c r="J14">
        <v>7.6013497467860806E-12</v>
      </c>
      <c r="O14">
        <v>10.59</v>
      </c>
      <c r="P14">
        <f t="shared" si="5"/>
        <v>1.7206071399999998</v>
      </c>
      <c r="Q14">
        <f t="shared" si="6"/>
        <v>0.25124179474698494</v>
      </c>
      <c r="S14">
        <f t="shared" si="7"/>
        <v>0</v>
      </c>
      <c r="T14">
        <f t="shared" si="8"/>
        <v>1.5304535417937592E-9</v>
      </c>
      <c r="U14">
        <f t="shared" si="9"/>
        <v>6.184319081426199E-2</v>
      </c>
    </row>
    <row r="15" spans="1:21" x14ac:dyDescent="0.25">
      <c r="A15" t="s">
        <v>32</v>
      </c>
      <c r="B15">
        <f>(B14+459.67)/1.8</f>
        <v>294.26111111111112</v>
      </c>
      <c r="E15">
        <v>59979.939068308624</v>
      </c>
      <c r="F15">
        <v>400.66879800005444</v>
      </c>
      <c r="G15">
        <f t="shared" si="0"/>
        <v>22.238480024343321</v>
      </c>
      <c r="H15">
        <f t="shared" si="1"/>
        <v>521.66879800005449</v>
      </c>
      <c r="I15">
        <v>7045799.7159585292</v>
      </c>
      <c r="J15">
        <v>7.0457997159585293E-12</v>
      </c>
      <c r="O15">
        <v>10.59</v>
      </c>
      <c r="P15">
        <f t="shared" si="5"/>
        <v>1.7206071399999998</v>
      </c>
      <c r="Q15">
        <f t="shared" si="6"/>
        <v>0.2577450366706443</v>
      </c>
      <c r="S15">
        <f t="shared" si="7"/>
        <v>0</v>
      </c>
      <c r="T15">
        <f t="shared" si="8"/>
        <v>1.5700684062124329E-9</v>
      </c>
      <c r="U15">
        <f t="shared" si="9"/>
        <v>6.184319081426199E-2</v>
      </c>
    </row>
    <row r="16" spans="1:21" x14ac:dyDescent="0.25">
      <c r="E16">
        <v>58329.115057254254</v>
      </c>
      <c r="F16">
        <v>387.02562435497697</v>
      </c>
      <c r="G16">
        <f t="shared" si="0"/>
        <v>21.65687835344049</v>
      </c>
      <c r="H16">
        <f t="shared" si="1"/>
        <v>508.02562435497697</v>
      </c>
      <c r="I16">
        <v>6837468.4543981962</v>
      </c>
      <c r="J16">
        <v>6.8374684543981967E-12</v>
      </c>
      <c r="O16">
        <v>10.59</v>
      </c>
      <c r="P16">
        <f t="shared" si="5"/>
        <v>1.7206071399999998</v>
      </c>
      <c r="Q16">
        <f t="shared" si="6"/>
        <v>0.26018375239201652</v>
      </c>
      <c r="S16">
        <f t="shared" si="7"/>
        <v>0</v>
      </c>
      <c r="T16">
        <f t="shared" si="8"/>
        <v>1.5849239803694357E-9</v>
      </c>
      <c r="U16">
        <f t="shared" si="9"/>
        <v>6.184319081426199E-2</v>
      </c>
    </row>
    <row r="17" spans="1:21" x14ac:dyDescent="0.25">
      <c r="E17">
        <v>56128.016375848434</v>
      </c>
      <c r="F17">
        <v>368.83472616154046</v>
      </c>
      <c r="G17">
        <f t="shared" si="0"/>
        <v>20.881409458903388</v>
      </c>
      <c r="H17">
        <f t="shared" si="1"/>
        <v>489.83472616154046</v>
      </c>
      <c r="I17">
        <v>6559693.4389844202</v>
      </c>
      <c r="J17">
        <v>6.5596934389844207E-12</v>
      </c>
      <c r="O17">
        <v>10.59</v>
      </c>
      <c r="P17">
        <f t="shared" si="5"/>
        <v>1.7206071399999998</v>
      </c>
      <c r="Q17">
        <f t="shared" si="6"/>
        <v>0.2634353733538462</v>
      </c>
      <c r="S17">
        <f t="shared" si="7"/>
        <v>0</v>
      </c>
      <c r="T17">
        <f t="shared" si="8"/>
        <v>1.6047314125787725E-9</v>
      </c>
      <c r="U17">
        <f t="shared" si="9"/>
        <v>6.184319081426199E-2</v>
      </c>
    </row>
    <row r="18" spans="1:21" x14ac:dyDescent="0.25">
      <c r="E18">
        <v>54477.192364794071</v>
      </c>
      <c r="F18">
        <v>355.19155251646305</v>
      </c>
      <c r="G18">
        <f t="shared" si="0"/>
        <v>20.29980778800056</v>
      </c>
      <c r="H18">
        <f t="shared" si="1"/>
        <v>476.19155251646305</v>
      </c>
      <c r="I18">
        <v>6351362.1774240881</v>
      </c>
      <c r="J18">
        <v>6.3513621774240889E-12</v>
      </c>
      <c r="O18">
        <v>10.59</v>
      </c>
      <c r="P18">
        <f t="shared" si="5"/>
        <v>1.7206071399999998</v>
      </c>
      <c r="Q18">
        <f t="shared" si="6"/>
        <v>0.26587408907521842</v>
      </c>
      <c r="S18">
        <f t="shared" si="7"/>
        <v>0</v>
      </c>
      <c r="T18">
        <f t="shared" si="8"/>
        <v>1.6195869867357749E-9</v>
      </c>
      <c r="U18">
        <f t="shared" si="9"/>
        <v>6.184319081426199E-2</v>
      </c>
    </row>
    <row r="19" spans="1:21" x14ac:dyDescent="0.25">
      <c r="A19" t="s">
        <v>35</v>
      </c>
      <c r="B19">
        <v>3.5942656156978399E-2</v>
      </c>
      <c r="E19">
        <v>53926.917694442614</v>
      </c>
      <c r="F19">
        <v>350.64382796810389</v>
      </c>
      <c r="G19">
        <f t="shared" si="0"/>
        <v>20.105940564366286</v>
      </c>
      <c r="H19">
        <f t="shared" si="1"/>
        <v>471.64382796810395</v>
      </c>
      <c r="I19">
        <v>6281918.4235706441</v>
      </c>
      <c r="J19">
        <v>6.2819184235706447E-12</v>
      </c>
      <c r="O19">
        <v>10.59</v>
      </c>
      <c r="P19">
        <f t="shared" si="5"/>
        <v>1.7206071399999998</v>
      </c>
      <c r="Q19">
        <f t="shared" si="6"/>
        <v>0.26668699431567588</v>
      </c>
      <c r="S19">
        <f t="shared" si="7"/>
        <v>0</v>
      </c>
      <c r="T19">
        <f t="shared" si="8"/>
        <v>1.6245388447881096E-9</v>
      </c>
      <c r="U19">
        <f t="shared" si="9"/>
        <v>6.184319081426199E-2</v>
      </c>
    </row>
    <row r="20" spans="1:21" x14ac:dyDescent="0.25">
      <c r="B20">
        <f>1/B19</f>
        <v>27.822095162709513</v>
      </c>
      <c r="E20">
        <v>52826.368353739701</v>
      </c>
      <c r="F20">
        <v>341.54837887138564</v>
      </c>
      <c r="G20">
        <f t="shared" si="0"/>
        <v>19.718206117097733</v>
      </c>
      <c r="H20">
        <f t="shared" si="1"/>
        <v>462.54837887138564</v>
      </c>
      <c r="I20">
        <v>6143030.9158637561</v>
      </c>
      <c r="J20">
        <v>6.1430309158637563E-12</v>
      </c>
      <c r="O20">
        <v>10.59</v>
      </c>
      <c r="P20">
        <f t="shared" si="5"/>
        <v>1.7206071399999998</v>
      </c>
      <c r="Q20">
        <f t="shared" si="6"/>
        <v>0.2683128047965907</v>
      </c>
      <c r="S20">
        <f t="shared" si="7"/>
        <v>0</v>
      </c>
      <c r="T20">
        <f t="shared" si="8"/>
        <v>1.6344425608927777E-9</v>
      </c>
      <c r="U20">
        <f t="shared" si="9"/>
        <v>6.184319081426199E-2</v>
      </c>
    </row>
    <row r="21" spans="1:21" x14ac:dyDescent="0.25">
      <c r="E21">
        <v>52276.093683388252</v>
      </c>
      <c r="F21">
        <v>337.00065432302654</v>
      </c>
      <c r="G21">
        <f t="shared" si="0"/>
        <v>19.524338893463458</v>
      </c>
      <c r="H21">
        <f t="shared" si="1"/>
        <v>458.00065432302654</v>
      </c>
      <c r="I21">
        <v>6073587.162010313</v>
      </c>
      <c r="J21">
        <v>6.0735871620103137E-12</v>
      </c>
      <c r="O21">
        <v>10.59</v>
      </c>
      <c r="P21">
        <f t="shared" si="5"/>
        <v>1.7206071399999998</v>
      </c>
      <c r="Q21">
        <f t="shared" si="6"/>
        <v>0.2691257100370481</v>
      </c>
      <c r="S21">
        <f t="shared" si="7"/>
        <v>0</v>
      </c>
      <c r="T21">
        <f t="shared" si="8"/>
        <v>1.639394418945112E-9</v>
      </c>
      <c r="U21">
        <f t="shared" si="9"/>
        <v>6.184319081426199E-2</v>
      </c>
    </row>
    <row r="22" spans="1:21" x14ac:dyDescent="0.25">
      <c r="E22">
        <v>51175.544342685338</v>
      </c>
      <c r="F22">
        <v>327.90520522630823</v>
      </c>
      <c r="G22">
        <f t="shared" si="0"/>
        <v>19.136604446194905</v>
      </c>
      <c r="H22">
        <f t="shared" si="1"/>
        <v>448.90520522630823</v>
      </c>
      <c r="I22">
        <v>5934699.6543034241</v>
      </c>
      <c r="J22">
        <v>5.9346996543034244E-12</v>
      </c>
      <c r="O22">
        <v>10.59</v>
      </c>
      <c r="P22">
        <f t="shared" si="5"/>
        <v>1.7206071399999998</v>
      </c>
      <c r="Q22">
        <f>T22*10^15/$B$9</f>
        <v>0.27075152051796297</v>
      </c>
      <c r="S22">
        <f t="shared" si="7"/>
        <v>0</v>
      </c>
      <c r="T22">
        <f t="shared" si="8"/>
        <v>1.6492981350497805E-9</v>
      </c>
      <c r="U22">
        <f t="shared" si="9"/>
        <v>6.184319081426199E-2</v>
      </c>
    </row>
    <row r="23" spans="1:21" x14ac:dyDescent="0.25">
      <c r="A23" t="s">
        <v>37</v>
      </c>
      <c r="B23">
        <v>1963.6</v>
      </c>
      <c r="E23">
        <v>50625.269672333881</v>
      </c>
      <c r="F23">
        <v>323.35748067794907</v>
      </c>
      <c r="G23">
        <f t="shared" si="0"/>
        <v>18.942737222560631</v>
      </c>
      <c r="H23">
        <f t="shared" si="1"/>
        <v>444.35748067794913</v>
      </c>
      <c r="I23">
        <v>5865255.9004499801</v>
      </c>
      <c r="J23">
        <v>5.8652559004499802E-12</v>
      </c>
      <c r="O23">
        <v>10.59</v>
      </c>
      <c r="P23">
        <f t="shared" si="5"/>
        <v>1.7206071399999998</v>
      </c>
      <c r="Q23">
        <f t="shared" si="6"/>
        <v>0.27156442575842038</v>
      </c>
      <c r="S23">
        <f t="shared" si="7"/>
        <v>0</v>
      </c>
      <c r="T23">
        <f t="shared" si="8"/>
        <v>1.6542499931021148E-9</v>
      </c>
      <c r="U23">
        <f t="shared" si="9"/>
        <v>6.184319081426199E-2</v>
      </c>
    </row>
    <row r="24" spans="1:21" x14ac:dyDescent="0.25">
      <c r="A24" t="s">
        <v>38</v>
      </c>
      <c r="B24">
        <f>(((B23-$B$12)*$B$11)+($B$12^3)*PI()/6)*10^-18</f>
        <v>2.9064089170497698E-11</v>
      </c>
      <c r="E24">
        <v>50074.995001982432</v>
      </c>
      <c r="F24">
        <v>318.80975612959003</v>
      </c>
      <c r="G24">
        <f t="shared" si="0"/>
        <v>18.748869998926356</v>
      </c>
      <c r="H24">
        <f t="shared" si="1"/>
        <v>439.80975612958997</v>
      </c>
      <c r="I24">
        <v>5795812.1465965379</v>
      </c>
      <c r="J24">
        <v>5.7958121465965385E-12</v>
      </c>
      <c r="O24">
        <v>10.59</v>
      </c>
      <c r="P24">
        <f t="shared" si="5"/>
        <v>1.7206071399999998</v>
      </c>
      <c r="Q24">
        <f t="shared" si="6"/>
        <v>0.27237733099887773</v>
      </c>
      <c r="S24">
        <f t="shared" si="7"/>
        <v>0</v>
      </c>
      <c r="T24">
        <f t="shared" si="8"/>
        <v>1.6592018511544486E-9</v>
      </c>
      <c r="U24">
        <f t="shared" si="9"/>
        <v>6.184319081426199E-2</v>
      </c>
    </row>
    <row r="25" spans="1:21" x14ac:dyDescent="0.25">
      <c r="E25">
        <v>49524.720331630975</v>
      </c>
      <c r="F25">
        <v>314.26203158123087</v>
      </c>
      <c r="G25">
        <f t="shared" si="0"/>
        <v>18.555002775292081</v>
      </c>
      <c r="H25">
        <f t="shared" si="1"/>
        <v>435.26203158123087</v>
      </c>
      <c r="I25">
        <v>5726368.392743093</v>
      </c>
      <c r="J25">
        <v>5.7263683927430934E-12</v>
      </c>
      <c r="O25">
        <v>10.59</v>
      </c>
      <c r="P25">
        <f t="shared" si="5"/>
        <v>1.7206071399999998</v>
      </c>
      <c r="Q25">
        <f t="shared" si="6"/>
        <v>0.27319023623933514</v>
      </c>
      <c r="S25">
        <f t="shared" si="7"/>
        <v>0</v>
      </c>
      <c r="T25">
        <f t="shared" si="8"/>
        <v>1.6641537092067829E-9</v>
      </c>
      <c r="U25">
        <f t="shared" si="9"/>
        <v>6.184319081426199E-2</v>
      </c>
    </row>
    <row r="26" spans="1:21" x14ac:dyDescent="0.25">
      <c r="E26">
        <v>48974.445661279518</v>
      </c>
      <c r="F26">
        <v>309.71430703287172</v>
      </c>
      <c r="G26">
        <f t="shared" si="0"/>
        <v>18.361135551657803</v>
      </c>
      <c r="H26">
        <f t="shared" si="1"/>
        <v>430.71430703287172</v>
      </c>
      <c r="I26">
        <v>5656924.638889649</v>
      </c>
      <c r="J26">
        <v>5.6569246388896492E-12</v>
      </c>
      <c r="O26">
        <v>10.59</v>
      </c>
      <c r="P26">
        <f t="shared" si="5"/>
        <v>1.7206071399999998</v>
      </c>
      <c r="Q26">
        <f t="shared" si="6"/>
        <v>0.2740031414797926</v>
      </c>
      <c r="S26">
        <f t="shared" si="7"/>
        <v>0</v>
      </c>
      <c r="T26">
        <f t="shared" si="8"/>
        <v>1.6691055672591173E-9</v>
      </c>
      <c r="U26">
        <f t="shared" si="9"/>
        <v>6.184319081426199E-2</v>
      </c>
    </row>
    <row r="27" spans="1:21" x14ac:dyDescent="0.25">
      <c r="E27">
        <v>45122.522968819329</v>
      </c>
      <c r="F27">
        <v>277.88023519435774</v>
      </c>
      <c r="G27">
        <f t="shared" si="0"/>
        <v>17.004064986217873</v>
      </c>
      <c r="H27">
        <f t="shared" si="1"/>
        <v>398.88023519435774</v>
      </c>
      <c r="I27">
        <v>5170818.3619155409</v>
      </c>
      <c r="J27">
        <v>5.1708183619155414E-12</v>
      </c>
      <c r="O27">
        <v>10.59</v>
      </c>
      <c r="P27">
        <f t="shared" si="5"/>
        <v>1.7206071399999998</v>
      </c>
      <c r="Q27">
        <f t="shared" si="6"/>
        <v>0.27969347816299445</v>
      </c>
      <c r="S27">
        <f t="shared" si="7"/>
        <v>0</v>
      </c>
      <c r="T27">
        <f t="shared" si="8"/>
        <v>1.7037685736254566E-9</v>
      </c>
      <c r="U27">
        <f t="shared" si="9"/>
        <v>6.184319081426199E-2</v>
      </c>
    </row>
    <row r="28" spans="1:21" x14ac:dyDescent="0.25">
      <c r="E28">
        <v>44021.973628116422</v>
      </c>
      <c r="F28">
        <v>268.78478609763954</v>
      </c>
      <c r="G28">
        <f t="shared" si="0"/>
        <v>16.616330538949324</v>
      </c>
      <c r="H28">
        <f t="shared" si="1"/>
        <v>389.78478609763954</v>
      </c>
      <c r="I28">
        <v>5031930.8542086538</v>
      </c>
      <c r="J28">
        <v>5.0319308542086538E-12</v>
      </c>
      <c r="O28">
        <v>10.59</v>
      </c>
      <c r="P28">
        <f t="shared" si="5"/>
        <v>1.7206071399999998</v>
      </c>
      <c r="Q28">
        <f t="shared" si="6"/>
        <v>0.28131928864390932</v>
      </c>
      <c r="S28">
        <f t="shared" si="7"/>
        <v>0</v>
      </c>
      <c r="T28">
        <f t="shared" si="8"/>
        <v>1.7136722897301251E-9</v>
      </c>
      <c r="U28">
        <f t="shared" si="9"/>
        <v>6.184319081426199E-2</v>
      </c>
    </row>
    <row r="29" spans="1:21" x14ac:dyDescent="0.25">
      <c r="E29">
        <v>41820.874946710603</v>
      </c>
      <c r="F29">
        <v>250.593887904203</v>
      </c>
      <c r="G29">
        <f t="shared" si="0"/>
        <v>15.840861644412222</v>
      </c>
      <c r="H29">
        <f t="shared" si="1"/>
        <v>371.59388790420303</v>
      </c>
      <c r="I29">
        <v>4754155.8387948778</v>
      </c>
      <c r="J29">
        <v>4.7541558387948778E-12</v>
      </c>
      <c r="O29">
        <v>10.59</v>
      </c>
      <c r="P29">
        <f t="shared" si="5"/>
        <v>1.7206071399999998</v>
      </c>
      <c r="Q29">
        <f t="shared" si="6"/>
        <v>0.284570909605739</v>
      </c>
      <c r="S29">
        <f t="shared" si="7"/>
        <v>0</v>
      </c>
      <c r="T29">
        <f t="shared" si="8"/>
        <v>1.7334797219394623E-9</v>
      </c>
      <c r="U29">
        <f t="shared" si="9"/>
        <v>6.184319081426199E-2</v>
      </c>
    </row>
    <row r="49" spans="8:12" x14ac:dyDescent="0.25">
      <c r="H49" s="2"/>
      <c r="L49" s="2"/>
    </row>
    <row r="50" spans="8:12" x14ac:dyDescent="0.25">
      <c r="H50" s="2"/>
      <c r="L50" s="2"/>
    </row>
    <row r="51" spans="8:12" x14ac:dyDescent="0.25">
      <c r="H51" s="2"/>
      <c r="L51" s="2"/>
    </row>
    <row r="52" spans="8:12" x14ac:dyDescent="0.25">
      <c r="H52" s="2"/>
      <c r="L52" s="2"/>
    </row>
    <row r="53" spans="8:12" x14ac:dyDescent="0.25">
      <c r="H53" s="2"/>
      <c r="L53" s="2"/>
    </row>
    <row r="54" spans="8:12" x14ac:dyDescent="0.25">
      <c r="L54" s="2"/>
    </row>
    <row r="55" spans="8:12" x14ac:dyDescent="0.25">
      <c r="L55" s="2"/>
    </row>
    <row r="56" spans="8:12" x14ac:dyDescent="0.25">
      <c r="L56" s="2"/>
    </row>
    <row r="57" spans="8:12" x14ac:dyDescent="0.25">
      <c r="L57" s="2"/>
    </row>
    <row r="58" spans="8:12" x14ac:dyDescent="0.25">
      <c r="L58" s="2"/>
    </row>
    <row r="59" spans="8:12" x14ac:dyDescent="0.25">
      <c r="L59" s="2"/>
    </row>
    <row r="60" spans="8:12" x14ac:dyDescent="0.25">
      <c r="L60" s="2"/>
    </row>
    <row r="61" spans="8:12" x14ac:dyDescent="0.25">
      <c r="K61" s="2"/>
      <c r="L61" s="2"/>
    </row>
    <row r="62" spans="8:12" x14ac:dyDescent="0.25">
      <c r="K62" s="2"/>
      <c r="L62" s="2"/>
    </row>
    <row r="63" spans="8:12" x14ac:dyDescent="0.25">
      <c r="K63" s="2"/>
      <c r="L63" s="2"/>
    </row>
    <row r="64" spans="8:12" x14ac:dyDescent="0.25">
      <c r="K64" s="2"/>
      <c r="L64" s="2"/>
    </row>
    <row r="65" spans="11:12" x14ac:dyDescent="0.25">
      <c r="K65" s="2"/>
      <c r="L65" s="2"/>
    </row>
    <row r="66" spans="11:12" x14ac:dyDescent="0.25">
      <c r="K66" s="2"/>
      <c r="L66" s="2"/>
    </row>
    <row r="67" spans="11:12" x14ac:dyDescent="0.25">
      <c r="K67" s="2"/>
      <c r="L67" s="2"/>
    </row>
    <row r="68" spans="11:12" x14ac:dyDescent="0.25">
      <c r="K68" s="2"/>
      <c r="L68" s="2"/>
    </row>
    <row r="69" spans="11:12" x14ac:dyDescent="0.25">
      <c r="K69" s="2"/>
      <c r="L69" s="2"/>
    </row>
    <row r="70" spans="11:12" x14ac:dyDescent="0.25">
      <c r="K70" s="2"/>
      <c r="L70" s="2"/>
    </row>
    <row r="71" spans="11:12" x14ac:dyDescent="0.25">
      <c r="K71" s="2"/>
      <c r="L71" s="2"/>
    </row>
    <row r="72" spans="11:12" x14ac:dyDescent="0.25">
      <c r="K72" s="2"/>
      <c r="L72" s="2"/>
    </row>
    <row r="73" spans="11:12" x14ac:dyDescent="0.25">
      <c r="K73" s="2"/>
      <c r="L73" s="2"/>
    </row>
    <row r="74" spans="11:12" x14ac:dyDescent="0.25">
      <c r="K74" s="2"/>
      <c r="L74" s="2"/>
    </row>
    <row r="75" spans="11:12" x14ac:dyDescent="0.25">
      <c r="K75" s="2"/>
      <c r="L75" s="2"/>
    </row>
    <row r="76" spans="11:12" x14ac:dyDescent="0.25">
      <c r="K76" s="2"/>
      <c r="L76" s="2"/>
    </row>
    <row r="77" spans="11:12" x14ac:dyDescent="0.25">
      <c r="K77" s="2"/>
      <c r="L77" s="2"/>
    </row>
    <row r="78" spans="11:12" x14ac:dyDescent="0.25">
      <c r="K78" s="2"/>
      <c r="L78" s="2"/>
    </row>
    <row r="79" spans="11:12" x14ac:dyDescent="0.25">
      <c r="K79" s="2"/>
      <c r="L79" s="2"/>
    </row>
    <row r="80" spans="11:12" x14ac:dyDescent="0.25">
      <c r="K80" s="2"/>
      <c r="L80" s="2"/>
    </row>
    <row r="81" spans="11:12" x14ac:dyDescent="0.25">
      <c r="K81" s="2"/>
      <c r="L81" s="2"/>
    </row>
    <row r="82" spans="11:12" x14ac:dyDescent="0.25">
      <c r="K82" s="2"/>
      <c r="L82" s="2"/>
    </row>
    <row r="83" spans="11:12" x14ac:dyDescent="0.25">
      <c r="K83" s="2"/>
      <c r="L83" s="2"/>
    </row>
    <row r="84" spans="11:12" x14ac:dyDescent="0.25">
      <c r="K84" s="2"/>
      <c r="L84" s="2"/>
    </row>
    <row r="85" spans="11:12" x14ac:dyDescent="0.25">
      <c r="K85" s="2"/>
      <c r="L85" s="2"/>
    </row>
    <row r="86" spans="11:12" x14ac:dyDescent="0.25">
      <c r="K86" s="2"/>
      <c r="L86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1" sqref="G11"/>
    </sheetView>
  </sheetViews>
  <sheetFormatPr defaultRowHeight="15" x14ac:dyDescent="0.25"/>
  <cols>
    <col min="2" max="2" width="10.7109375" bestFit="1" customWidth="1"/>
    <col min="4" max="4" width="10.2851562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14</v>
      </c>
      <c r="B2">
        <v>17.167000000000002</v>
      </c>
      <c r="C2">
        <f>AVERAGE(B2:B3)</f>
        <v>17.042000000000002</v>
      </c>
      <c r="D2">
        <f>ABS(B3-B2)</f>
        <v>0.25</v>
      </c>
    </row>
    <row r="3" spans="1:4" x14ac:dyDescent="0.25">
      <c r="A3">
        <v>31</v>
      </c>
      <c r="B3">
        <v>16.917000000000002</v>
      </c>
      <c r="C3">
        <f t="shared" ref="C3:C6" si="0">AVERAGE(B3:B4)</f>
        <v>16.667000000000002</v>
      </c>
      <c r="D3">
        <f t="shared" ref="D3:D6" si="1">ABS(B4-B3)</f>
        <v>0.5</v>
      </c>
    </row>
    <row r="4" spans="1:4" x14ac:dyDescent="0.25">
      <c r="A4">
        <v>49</v>
      </c>
      <c r="B4">
        <v>16.417000000000002</v>
      </c>
      <c r="C4">
        <f t="shared" si="0"/>
        <v>16.583500000000001</v>
      </c>
      <c r="D4">
        <f t="shared" si="1"/>
        <v>0.33299999999999841</v>
      </c>
    </row>
    <row r="5" spans="1:4" x14ac:dyDescent="0.25">
      <c r="A5">
        <v>73</v>
      </c>
      <c r="B5">
        <v>16.75</v>
      </c>
      <c r="C5">
        <f t="shared" si="0"/>
        <v>16.875</v>
      </c>
      <c r="D5">
        <f t="shared" si="1"/>
        <v>0.25</v>
      </c>
    </row>
    <row r="6" spans="1:4" x14ac:dyDescent="0.25">
      <c r="A6">
        <v>108</v>
      </c>
      <c r="B6">
        <v>17</v>
      </c>
      <c r="C6">
        <f t="shared" si="0"/>
        <v>17</v>
      </c>
      <c r="D6">
        <f t="shared" si="1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2016-05-26T19:38:34Z</dcterms:modified>
</cp:coreProperties>
</file>